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rojects/ddiaz/Analysis/Scripts/rsconnect/shinyapps.io/neuromast_homeostasis_scRNAseq_2018/data/"/>
    </mc:Choice>
  </mc:AlternateContent>
  <xr:revisionPtr revIDLastSave="0" documentId="13_ncr:1_{A9E4430A-211F-4B42-AE6D-FB6148463234}" xr6:coauthVersionLast="34" xr6:coauthVersionMax="34" xr10:uidLastSave="{00000000-0000-0000-0000-000000000000}"/>
  <bookViews>
    <workbookView xWindow="240" yWindow="440" windowWidth="35380" windowHeight="24320" xr2:uid="{00000000-000D-0000-FFFF-FFFF00000000}"/>
  </bookViews>
  <sheets>
    <sheet name="threeCells" sheetId="1" r:id="rId1"/>
  </sheets>
  <calcPr calcId="179017"/>
</workbook>
</file>

<file path=xl/calcChain.xml><?xml version="1.0" encoding="utf-8"?>
<calcChain xmlns="http://schemas.openxmlformats.org/spreadsheetml/2006/main">
  <c r="D15484" i="1" l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<sst xmlns="http://schemas.openxmlformats.org/spreadsheetml/2006/main" count="61418" uniqueCount="45930">
  <si>
    <t>Ensembl.Gene.ID</t>
  </si>
  <si>
    <t>Associated.Gene.Name</t>
  </si>
  <si>
    <t>ZFIN.ID</t>
  </si>
  <si>
    <t>Description</t>
  </si>
  <si>
    <t>ENSDARG00000082753</t>
  </si>
  <si>
    <t>AC024175.17</t>
  </si>
  <si>
    <t>ENSDARG00000081443</t>
  </si>
  <si>
    <t>AC024175.10</t>
  </si>
  <si>
    <t>ENSDARG00000080337</t>
  </si>
  <si>
    <t>AC024175.4</t>
  </si>
  <si>
    <t>ENSDARG00000063895</t>
  </si>
  <si>
    <t>mt-nd1</t>
  </si>
  <si>
    <t>NADH dehydrogenase 1, mitochondrial [Source:ZFIN;Acc:ZDB-GENE-011205-7]</t>
  </si>
  <si>
    <t>ENSDARG00000063899</t>
  </si>
  <si>
    <t>mt-nd2</t>
  </si>
  <si>
    <t>NADH dehydrogenase 2, mitochondrial [Source:ZFIN;Acc:ZDB-GENE-011205-8]</t>
  </si>
  <si>
    <t>ENSDARG00000080718</t>
  </si>
  <si>
    <t>AC024175.7</t>
  </si>
  <si>
    <t>ENSDARG00000063905</t>
  </si>
  <si>
    <t>mt-co1</t>
  </si>
  <si>
    <t>cytochrome c oxidase I, mitochondrial [Source:ZFIN;Acc:ZDB-GENE-011205-14]</t>
  </si>
  <si>
    <t>ENSDARG00000063908</t>
  </si>
  <si>
    <t>mt-co2</t>
  </si>
  <si>
    <t>cytochrome c oxidase II, mitochondrial [Source:ZFIN;Acc:ZDB-GENE-011205-15]</t>
  </si>
  <si>
    <t>ENSDARG00000063910</t>
  </si>
  <si>
    <t>mt-atp8</t>
  </si>
  <si>
    <t>ATP synthase 8, mitochondrial [Source:ZFIN;Acc:ZDB-GENE-011205-19]</t>
  </si>
  <si>
    <t>ENSDARG00000063911</t>
  </si>
  <si>
    <t>mt-atp6</t>
  </si>
  <si>
    <t>ATP synthase 6, mitochondrial [Source:ZFIN;Acc:ZDB-GENE-011205-18]</t>
  </si>
  <si>
    <t>ENSDARG00000063912</t>
  </si>
  <si>
    <t>mt-co3</t>
  </si>
  <si>
    <t>cytochrome c oxidase III, mitochondrial [Source:ZFIN;Acc:ZDB-GENE-011205-16]</t>
  </si>
  <si>
    <t>ENSDARG00000063914</t>
  </si>
  <si>
    <t>mt-nd3</t>
  </si>
  <si>
    <t>NADH dehydrogenase 3, mitochondrial [Source:ZFIN;Acc:ZDB-GENE-011205-9]</t>
  </si>
  <si>
    <t>ENSDARG00000063916</t>
  </si>
  <si>
    <t>mt-nd4l</t>
  </si>
  <si>
    <t>NADH dehydrogenase 4L, mitochondrial [Source:ZFIN;Acc:ZDB-GENE-011205-11]</t>
  </si>
  <si>
    <t>ENSDARG00000063917</t>
  </si>
  <si>
    <t>mt-nd4</t>
  </si>
  <si>
    <t>NADH dehydrogenase 4, mitochondrial [Source:ZFIN;Acc:ZDB-GENE-011205-10]</t>
  </si>
  <si>
    <t>ENSDARG00000082716</t>
  </si>
  <si>
    <t>AC024175.16</t>
  </si>
  <si>
    <t>ENSDARG00000081280</t>
  </si>
  <si>
    <t>AC024175.8</t>
  </si>
  <si>
    <t>ENSDARG00000063921</t>
  </si>
  <si>
    <t>mt-nd5</t>
  </si>
  <si>
    <t>NADH dehydrogenase 5, mitochondrial [Source:ZFIN;Acc:ZDB-GENE-011205-12]</t>
  </si>
  <si>
    <t>ENSDARG00000063922</t>
  </si>
  <si>
    <t>mt-nd6</t>
  </si>
  <si>
    <t>NADH dehydrogenase 6, mitochondrial [Source:ZFIN;Acc:ZDB-GENE-011205-13]</t>
  </si>
  <si>
    <t>ENSDARG00000063924</t>
  </si>
  <si>
    <t>mt-cyb</t>
  </si>
  <si>
    <t>cytochrome b, mitochondrial [Source:ZFIN;Acc:ZDB-GENE-011205-17]</t>
  </si>
  <si>
    <t>ENSDARG00000083462</t>
  </si>
  <si>
    <t>AC024175.22</t>
  </si>
  <si>
    <t>ENSDARG00000028663</t>
  </si>
  <si>
    <t>tek</t>
  </si>
  <si>
    <t>TEK tyrosine kinase, endothelial [Source:ZFIN;Acc:ZDB-GENE-990415-56]</t>
  </si>
  <si>
    <t>ENSDARG00000075952</t>
  </si>
  <si>
    <t>mbd2</t>
  </si>
  <si>
    <t>methyl-CpG binding domain protein 2 [Source:ZFIN;Acc:ZDB-GENE-030131-9049]</t>
  </si>
  <si>
    <t>ENSDARG00000032997</t>
  </si>
  <si>
    <t>rnf185</t>
  </si>
  <si>
    <t>ring finger protein 185 [Source:ZFIN;Acc:ZDB-GENE-040426-1977]</t>
  </si>
  <si>
    <t>ENSDARG00000102788</t>
  </si>
  <si>
    <t>si:zfos-128g4.1</t>
  </si>
  <si>
    <t>si:zfos-128g4.1 [Source:ZFIN;Acc:ZDB-GENE-141212-382]</t>
  </si>
  <si>
    <t>ENSDARG00000098889</t>
  </si>
  <si>
    <t>si:zfos-128g4.2</t>
  </si>
  <si>
    <t>si:zfos-128g4.2 [Source:ZFIN;Acc:ZDB-GENE-141212-308]</t>
  </si>
  <si>
    <t>ENSDARG00000089781</t>
  </si>
  <si>
    <t>ciz1a</t>
  </si>
  <si>
    <t>cdkn1a interacting zinc finger protein 1a [Source:ZFIN;Acc:ZDB-GENE-100922-222]</t>
  </si>
  <si>
    <t>ENSDARG00000038667</t>
  </si>
  <si>
    <t>fggy</t>
  </si>
  <si>
    <t>FGGY carbohydrate kinase domain containing [Source:ZFIN;Acc:ZDB-GENE-040426-2461]</t>
  </si>
  <si>
    <t>ENSDARG00000063197</t>
  </si>
  <si>
    <t>golga2</t>
  </si>
  <si>
    <t>golgin A2 [Source:ZFIN;Acc:ZDB-GENE-081030-1]</t>
  </si>
  <si>
    <t>ENSDARG00000102795</t>
  </si>
  <si>
    <t>tob2</t>
  </si>
  <si>
    <t>transducer of ERBB2, 2 [Source:ZFIN;Acc:ZDB-GENE-110419-3]</t>
  </si>
  <si>
    <t>ENSDARG00000089355</t>
  </si>
  <si>
    <t>CSDE1</t>
  </si>
  <si>
    <t>si:dkeyp-121d4.3 [Source:ZFIN;Acc:ZDB-GENE-130530-962]</t>
  </si>
  <si>
    <t>ENSDARG00000098103</t>
  </si>
  <si>
    <t>tefb</t>
  </si>
  <si>
    <t>thyrotrophic embryonic factor b [Source:ZFIN;Acc:ZDB-GENE-050522-224]</t>
  </si>
  <si>
    <t>ENSDARG00000057714</t>
  </si>
  <si>
    <t>cmah</t>
  </si>
  <si>
    <t>cytidine monophospho-N-acetylneuraminic acid hydroxylase [Source:ZFIN;Acc:ZDB-GENE-040704-33]</t>
  </si>
  <si>
    <t>ENSDARG00000097048</t>
  </si>
  <si>
    <t>si:ch73-162j3.5</t>
  </si>
  <si>
    <t>si:ch73-162j3.5 [Source:ZFIN;Acc:ZDB-GENE-131127-439]</t>
  </si>
  <si>
    <t>ENSDARG00000078694</t>
  </si>
  <si>
    <t>PHLPP1</t>
  </si>
  <si>
    <t>si:ch73-40a17.1 [Source:ZFIN;Acc:ZDB-GENE-131127-271]</t>
  </si>
  <si>
    <t>ENSDARG00000062396</t>
  </si>
  <si>
    <t>anks1aa</t>
  </si>
  <si>
    <t>ankyrin repeat and sterile alpha motif domain containing 1Aa [Source:ZFIN;Acc:ZDB-GENE-090312-152]</t>
  </si>
  <si>
    <t>ENSDARG00000094332</t>
  </si>
  <si>
    <t>vgll4a</t>
  </si>
  <si>
    <t>vestigial-like family member 4a [Source:ZFIN;Acc:ZDB-GENE-100922-230]</t>
  </si>
  <si>
    <t>ENSDARG00000045944</t>
  </si>
  <si>
    <t>slc6a1a</t>
  </si>
  <si>
    <t>solute carrier family 6 (neurotransmitter transporter), member 1a [Source:ZFIN;Acc:ZDB-GENE-060519-23]</t>
  </si>
  <si>
    <t>ENSDARG00000094523</t>
  </si>
  <si>
    <t>si:dkey-258p11.1</t>
  </si>
  <si>
    <t>si:dkey-258p11.1 [Source:ZFIN;Acc:ZDB-GENE-070705-430]</t>
  </si>
  <si>
    <t>ENSDARG00000007362</t>
  </si>
  <si>
    <t>sft2d1</t>
  </si>
  <si>
    <t>SFT2 domain containing 1 [Source:ZFIN;Acc:ZDB-GENE-040426-1350]</t>
  </si>
  <si>
    <t>ENSDARG00000038360</t>
  </si>
  <si>
    <t>thg1l</t>
  </si>
  <si>
    <t>tRNA-histidine guanylyltransferase 1-like [Source:ZFIN;Acc:ZDB-GENE-041114-170]</t>
  </si>
  <si>
    <t>ENSDARG00000058996</t>
  </si>
  <si>
    <t>jam2a</t>
  </si>
  <si>
    <t>junctional adhesion molecule 2a [Source:ZFIN;Acc:ZDB-GENE-031204-3]</t>
  </si>
  <si>
    <t>ENSDARG00000037855</t>
  </si>
  <si>
    <t>taf11</t>
  </si>
  <si>
    <t>TAF11 RNA polymerase II, TATA box binding protein (TBP)-associated factor [Source:ZFIN;Acc:ZDB-GENE-040718-283]</t>
  </si>
  <si>
    <t>ENSDARG00000093768</t>
  </si>
  <si>
    <t>prr18</t>
  </si>
  <si>
    <t>proline rich 18 [Source:ZFIN;Acc:ZDB-GENE-081107-6]</t>
  </si>
  <si>
    <t>ENSDARG00000089940</t>
  </si>
  <si>
    <t>znf1008</t>
  </si>
  <si>
    <t>zinc finger protein 1008 [Source:ZFIN;Acc:ZDB-GENE-131121-84]</t>
  </si>
  <si>
    <t>ENSDARG00000041203</t>
  </si>
  <si>
    <t>drap1</t>
  </si>
  <si>
    <t>DR1-associated protein 1 (negative cofactor 2 alpha) [Source:ZFIN;Acc:ZDB-GENE-030131-400]</t>
  </si>
  <si>
    <t>ENSDARG00000092778</t>
  </si>
  <si>
    <t>si:ch73-338o16.4</t>
  </si>
  <si>
    <t>si:ch73-338o16.4 [Source:ZFIN;Acc:ZDB-GENE-131119-14]</t>
  </si>
  <si>
    <t>ENSDARG00000001014</t>
  </si>
  <si>
    <t>myh9b</t>
  </si>
  <si>
    <t>myosin, heavy chain 9b, non-muscle [Source:ZFIN;Acc:ZDB-GENE-030131-998]</t>
  </si>
  <si>
    <t>ENSDARG00000092823</t>
  </si>
  <si>
    <t>si:dkeyp-67a8.4</t>
  </si>
  <si>
    <t>si:dkeyp-67a8.4 [Source:ZFIN;Acc:ZDB-GENE-070912-666]</t>
  </si>
  <si>
    <t>ENSDARG00000058874</t>
  </si>
  <si>
    <t>zgc:113227</t>
  </si>
  <si>
    <t>zgc:113227 [Source:ZFIN;Acc:ZDB-GENE-050327-32]</t>
  </si>
  <si>
    <t>ENSDARG00000019406</t>
  </si>
  <si>
    <t>zgc:63470</t>
  </si>
  <si>
    <t>zgc:63470 [Source:ZFIN;Acc:ZDB-GENE-040426-1126]</t>
  </si>
  <si>
    <t>ENSDARG00000097106</t>
  </si>
  <si>
    <t>si:dkey-245m3.2</t>
  </si>
  <si>
    <t>si:dkey-245m3.2 [Source:ZFIN;Acc:ZDB-GENE-070705-413]</t>
  </si>
  <si>
    <t>ENSDARG00000074146</t>
  </si>
  <si>
    <t>zgc:113452</t>
  </si>
  <si>
    <t>zgc:113452 [Source:ZFIN;Acc:ZDB-GENE-050913-16]</t>
  </si>
  <si>
    <t>ENSDARG00000090099</t>
  </si>
  <si>
    <t>si:dkeyp-67a8.4.1</t>
  </si>
  <si>
    <t>ENSDARG00000096411</t>
  </si>
  <si>
    <t>wu:fc32g12</t>
  </si>
  <si>
    <t>wu:fc32g12 [Source:ZFIN;Acc:ZDB-GENE-030131-3280]</t>
  </si>
  <si>
    <t>ENSDARG00000004843</t>
  </si>
  <si>
    <t>foxp1a</t>
  </si>
  <si>
    <t>forkhead box P1a [Source:ZFIN;Acc:ZDB-GENE-060929-624]</t>
  </si>
  <si>
    <t>ENSDARG00000098696</t>
  </si>
  <si>
    <t>rela</t>
  </si>
  <si>
    <t>v-rel avian reticuloendotheliosis viral oncogene homolog A [Source:ZFIN;Acc:ZDB-GENE-040825-4]</t>
  </si>
  <si>
    <t>ENSDARG00000097884</t>
  </si>
  <si>
    <t>si:ch73-40a17.7</t>
  </si>
  <si>
    <t>si:ch73-40a17.7 [Source:ZFIN;Acc:ZDB-GENE-131121-52]</t>
  </si>
  <si>
    <t>ENSDARG00000058369</t>
  </si>
  <si>
    <t>mex3b</t>
  </si>
  <si>
    <t>mex-3 RNA binding family member B [Source:ZFIN;Acc:ZDB-GENE-030131-2628]</t>
  </si>
  <si>
    <t>ENSDARG00000102216</t>
  </si>
  <si>
    <t>dlg1l</t>
  </si>
  <si>
    <t>discs, large (Drosophila) homolog 1, like [Source:ZFIN;Acc:ZDB-GENE-050222-3]</t>
  </si>
  <si>
    <t>ENSDARG00000104831</t>
  </si>
  <si>
    <t>CEP192</t>
  </si>
  <si>
    <t>si:rp71-15i12.1 [Source:ZFIN;Acc:ZDB-GENE-100922-163]</t>
  </si>
  <si>
    <t>ENSDARG00000051783</t>
  </si>
  <si>
    <t>rplp0</t>
  </si>
  <si>
    <t>ribosomal protein, large, P0 [Source:ZFIN;Acc:ZDB-GENE-000629-1]</t>
  </si>
  <si>
    <t>ENSDARG00000097244</t>
  </si>
  <si>
    <t>zgc:174263</t>
  </si>
  <si>
    <t>zgc:174263 [Source:ZFIN;Acc:ZDB-GENE-030131-4589]</t>
  </si>
  <si>
    <t>ENSDARG00000051785</t>
  </si>
  <si>
    <t>dhx33</t>
  </si>
  <si>
    <t>DEAH (Asp-Glu-Ala-His) box polypeptide 33 [Source:ZFIN;Acc:ZDB-GENE-131127-77]</t>
  </si>
  <si>
    <t>ENSDARG00000097550</t>
  </si>
  <si>
    <t>si:ch211-160e1.9</t>
  </si>
  <si>
    <t>si:ch211-160e1.9 [Source:ZFIN;Acc:ZDB-GENE-131127-396]</t>
  </si>
  <si>
    <t>ENSDARG00000097118</t>
  </si>
  <si>
    <t>si:dkey-33c14.3</t>
  </si>
  <si>
    <t>si:dkey-33c14.3 [Source:ZFIN;Acc:ZDB-GENE-131121-627]</t>
  </si>
  <si>
    <t>ENSDARG00000094300</t>
  </si>
  <si>
    <t>NUPR2</t>
  </si>
  <si>
    <t>si:ch211-160e1.5 [Source:ZFIN;Acc:ZDB-GENE-070705-255]</t>
  </si>
  <si>
    <t>ENSDARG00000026759</t>
  </si>
  <si>
    <t>ldlrb</t>
  </si>
  <si>
    <t>low density lipoprotein receptor b [Source:ZFIN;Acc:ZDB-GENE-040426-1254]</t>
  </si>
  <si>
    <t>ENSDARG00000019360</t>
  </si>
  <si>
    <t>sec23b</t>
  </si>
  <si>
    <t>Sec23 homolog B, COPII coat complex component [Source:ZFIN;Acc:ZDB-GENE-030131-5479]</t>
  </si>
  <si>
    <t>ENSDARG00000043644</t>
  </si>
  <si>
    <t>vkorc1l1</t>
  </si>
  <si>
    <t>vitamin K epoxide reductase complex, subunit 1-like 1 [Source:ZFIN;Acc:ZDB-GENE-050522-210]</t>
  </si>
  <si>
    <t>ENSDARG00000076995</t>
  </si>
  <si>
    <t>sharpin</t>
  </si>
  <si>
    <t>SHANK-associated RH domain interacting protein [Source:ZFIN;Acc:ZDB-GENE-101223-1]</t>
  </si>
  <si>
    <t>ENSDARG00000009982</t>
  </si>
  <si>
    <t>fam199x</t>
  </si>
  <si>
    <t>family with sequence similarity 199, X-linked [Source:ZFIN;Acc:ZDB-GENE-040808-24]</t>
  </si>
  <si>
    <t>ENSDARG00000013726</t>
  </si>
  <si>
    <t>ap4b1</t>
  </si>
  <si>
    <t>adaptor-related protein complex 4, beta 1 subunit [Source:ZFIN;Acc:ZDB-GENE-040426-1284]</t>
  </si>
  <si>
    <t>ENSDARG00000063126</t>
  </si>
  <si>
    <t>gusb</t>
  </si>
  <si>
    <t>glucuronidase, beta [Source:ZFIN;Acc:ZDB-GENE-070705-256]</t>
  </si>
  <si>
    <t>ENSDARG00000003449</t>
  </si>
  <si>
    <t>pde10a</t>
  </si>
  <si>
    <t>phosphodiesterase 10A [Source:ZFIN;Acc:ZDB-GENE-040426-1115]</t>
  </si>
  <si>
    <t>ENSDARG00000037852</t>
  </si>
  <si>
    <t>zgc:101663</t>
  </si>
  <si>
    <t>zgc:101663 [Source:ZFIN;Acc:ZDB-GENE-041114-149]</t>
  </si>
  <si>
    <t>ENSDARG00000096919</t>
  </si>
  <si>
    <t>si:dkey-245m3.3</t>
  </si>
  <si>
    <t>si:dkey-245m3.3 [Source:ZFIN;Acc:ZDB-GENE-070705-414]</t>
  </si>
  <si>
    <t>ENSDARG00000097391</t>
  </si>
  <si>
    <t>si:dkey-33c14.7</t>
  </si>
  <si>
    <t>si:dkey-33c14.7 [Source:ZFIN;Acc:ZDB-GENE-131127-528]</t>
  </si>
  <si>
    <t>ENSDARG00000002670</t>
  </si>
  <si>
    <t>ATG14</t>
  </si>
  <si>
    <t>zgc:113944 [Source:ZFIN;Acc:ZDB-GENE-050913-155]</t>
  </si>
  <si>
    <t>ENSDARG00000011246</t>
  </si>
  <si>
    <t>krr1</t>
  </si>
  <si>
    <t>KRR1, small subunit (SSU) processome component, homolog (yeast) [Source:ZFIN;Acc:ZDB-GENE-060623-10]</t>
  </si>
  <si>
    <t>ENSDARG00000076386</t>
  </si>
  <si>
    <t>epdl1</t>
  </si>
  <si>
    <t>ependymin-like 1 [Source:ZFIN;Acc:ZDB-GENE-090710-3]</t>
  </si>
  <si>
    <t>ENSDARG00000103253</t>
  </si>
  <si>
    <t>zgc:112023</t>
  </si>
  <si>
    <t>zgc:112023 [Source:ZFIN;Acc:ZDB-GENE-050417-162]</t>
  </si>
  <si>
    <t>ENSDARG00000013749</t>
  </si>
  <si>
    <t>zgc:92113</t>
  </si>
  <si>
    <t>zgc:92113 [Source:ZFIN;Acc:ZDB-GENE-040801-184]</t>
  </si>
  <si>
    <t>ENSDARG00000100660</t>
  </si>
  <si>
    <t>ZC3HAV1</t>
  </si>
  <si>
    <t>si:ch73-252i11.1 [Source:ZFIN;Acc:ZDB-GENE-141210-7]</t>
  </si>
  <si>
    <t>ENSDARG00000075884</t>
  </si>
  <si>
    <t>shprh</t>
  </si>
  <si>
    <t>SNF2 histone linker PHD RING helicase [Source:ZFIN;Acc:ZDB-GENE-110512-2]</t>
  </si>
  <si>
    <t>ENSDARG00000079672</t>
  </si>
  <si>
    <t>eftud1</t>
  </si>
  <si>
    <t>elongation factor Tu GTP binding domain containing 1 [Source:ZFIN;Acc:ZDB-GENE-130103-6]</t>
  </si>
  <si>
    <t>ENSDARG00000104632</t>
  </si>
  <si>
    <t>si:ch73-252i11.3</t>
  </si>
  <si>
    <t>si:ch73-252i11.3 [Source:ZFIN;Acc:ZDB-GENE-141212-350]</t>
  </si>
  <si>
    <t>ENSDARG00000018351</t>
  </si>
  <si>
    <t>hpda</t>
  </si>
  <si>
    <t>4-hydroxyphenylpyruvate dioxygenase a [Source:ZFIN;Acc:ZDB-GENE-040426-986]</t>
  </si>
  <si>
    <t>ENSDARG00000014313</t>
  </si>
  <si>
    <t>atp5j</t>
  </si>
  <si>
    <t>ATP synthase, H+ transporting, mitochondrial Fo complex, subunit F6 [Source:ZFIN;Acc:ZDB-GENE-040426-2534]</t>
  </si>
  <si>
    <t>ENSDARG00000018508</t>
  </si>
  <si>
    <t>zdhhc8b</t>
  </si>
  <si>
    <t>zinc finger, DHHC-type containing 8b [Source:ZFIN;Acc:ZDB-GENE-030407-3]</t>
  </si>
  <si>
    <t>ENSDARG00000005218</t>
  </si>
  <si>
    <t>wrnip1</t>
  </si>
  <si>
    <t>Werner helicase interacting protein 1 [Source:ZFIN;Acc:ZDB-GENE-040426-2415]</t>
  </si>
  <si>
    <t>ENSDARG00000015662</t>
  </si>
  <si>
    <t>pla2g12b</t>
  </si>
  <si>
    <t>phospholipase A2, group XIIB [Source:ZFIN;Acc:ZDB-GENE-040426-2771]</t>
  </si>
  <si>
    <t>ENSDARG00000059202</t>
  </si>
  <si>
    <t>tspan2b</t>
  </si>
  <si>
    <t>tetraspanin 2b [Source:ZFIN;Acc:ZDB-GENE-100922-60]</t>
  </si>
  <si>
    <t>ENSDARG00000029660</t>
  </si>
  <si>
    <t>commd5</t>
  </si>
  <si>
    <t>COMM domain containing 5 [Source:ZFIN;Acc:ZDB-GENE-040801-71]</t>
  </si>
  <si>
    <t>ENSDARG00000020204</t>
  </si>
  <si>
    <t>nf2a</t>
  </si>
  <si>
    <t>neurofibromin 2a (merlin) [Source:ZFIN;Acc:ZDB-GENE-080722-7]</t>
  </si>
  <si>
    <t>ENSDARG00000037998</t>
  </si>
  <si>
    <t>flot1b</t>
  </si>
  <si>
    <t>flotillin 1b [Source:ZFIN;Acc:ZDB-GENE-020430-2]</t>
  </si>
  <si>
    <t>ENSDARG00000092493</t>
  </si>
  <si>
    <t>si:dkeyp-44a8.2</t>
  </si>
  <si>
    <t>si:dkeyp-44a8.2 [Source:ZFIN;Acc:ZDB-GENE-070705-542]</t>
  </si>
  <si>
    <t>ENSDARG00000062872</t>
  </si>
  <si>
    <t>mrs2</t>
  </si>
  <si>
    <t>MRS2 magnesium transporter [Source:ZFIN;Acc:ZDB-GENE-141211-29]</t>
  </si>
  <si>
    <t>ENSDARG00000063162</t>
  </si>
  <si>
    <t>cmtm8b</t>
  </si>
  <si>
    <t>CKLF-like MARVEL transmembrane domain containing 8b [Source:ZFIN;Acc:ZDB-GENE-070112-1312]</t>
  </si>
  <si>
    <t>ENSDARG00000041417</t>
  </si>
  <si>
    <t>atp6ap1a</t>
  </si>
  <si>
    <t>ATPase, H+ transporting, lysosomal accessory protein 1a [Source:ZFIN;Acc:ZDB-GENE-090312-136]</t>
  </si>
  <si>
    <t>ENSDARG00000071259</t>
  </si>
  <si>
    <t>fbxo34</t>
  </si>
  <si>
    <t>F-box protein 34 [Source:ZFIN;Acc:ZDB-GENE-030131-2194]</t>
  </si>
  <si>
    <t>ENSDARG00000098941</t>
  </si>
  <si>
    <t>si:ch73-57a19.4</t>
  </si>
  <si>
    <t>si:ch73-57a19.4 [Source:ZFIN;Acc:ZDB-GENE-141216-377]</t>
  </si>
  <si>
    <t>ENSDARG00000039719</t>
  </si>
  <si>
    <t>mrps26</t>
  </si>
  <si>
    <t>mitochondrial ribosomal protein S26 [Source:ZFIN;Acc:ZDB-GENE-040718-115]</t>
  </si>
  <si>
    <t>ENSDARG00000016163</t>
  </si>
  <si>
    <t>usp33</t>
  </si>
  <si>
    <t>ubiquitin specific peptidase 33 [Source:ZFIN;Acc:ZDB-GENE-040426-2323]</t>
  </si>
  <si>
    <t>ENSDARG00000070441</t>
  </si>
  <si>
    <t>zdhhc17</t>
  </si>
  <si>
    <t>zinc finger, DHHC-type containing 17 [Source:ZFIN;Acc:ZDB-GENE-070424-194]</t>
  </si>
  <si>
    <t>ENSDARG00000076611</t>
  </si>
  <si>
    <t>fbxo21</t>
  </si>
  <si>
    <t>F-box protein 21 [Source:ZFIN;Acc:ZDB-GENE-100922-229]</t>
  </si>
  <si>
    <t>ENSDARG00000071159</t>
  </si>
  <si>
    <t>SFT2D2</t>
  </si>
  <si>
    <t>zgc:112392 [Source:ZFIN;Acc:ZDB-GENE-050522-336]</t>
  </si>
  <si>
    <t>ENSDARG00000074634</t>
  </si>
  <si>
    <t>keap1b</t>
  </si>
  <si>
    <t>kelch-like ECH-associated protein 1b [Source:ZFIN;Acc:ZDB-GENE-080508-1]</t>
  </si>
  <si>
    <t>ENSDARG00000101175</t>
  </si>
  <si>
    <t>mcu</t>
  </si>
  <si>
    <t>mitochondrial calcium uniporter [Source:ZFIN;Acc:ZDB-GENE-061013-24]</t>
  </si>
  <si>
    <t>ENSDARG00000005078</t>
  </si>
  <si>
    <t>eif4e3</t>
  </si>
  <si>
    <t>eukaryotic translation initiation factor 4E family member 3 [Source:ZFIN;Acc:ZDB-GENE-040912-156]</t>
  </si>
  <si>
    <t>ENSDARG00000099309</t>
  </si>
  <si>
    <t>si:zfos-169g10.3</t>
  </si>
  <si>
    <t>si:zfos-169g10.3 [Source:ZFIN;Acc:ZDB-GENE-120215-190]</t>
  </si>
  <si>
    <t>ENSDARG00000103984</t>
  </si>
  <si>
    <t>cyth4b</t>
  </si>
  <si>
    <t>cytohesin 4b [Source:ZFIN;Acc:ZDB-GENE-080219-45]</t>
  </si>
  <si>
    <t>ENSDARG00000096454</t>
  </si>
  <si>
    <t>ap1m2</t>
  </si>
  <si>
    <t>adaptor-related protein complex 1, mu 2 subunit [Source:ZFIN;Acc:ZDB-GENE-041114-20]</t>
  </si>
  <si>
    <t>ENSDARG00000057881</t>
  </si>
  <si>
    <t>si:dkey-33c12.3</t>
  </si>
  <si>
    <t>si:dkey-33c12.3 [Source:ZFIN;Acc:ZDB-GENE-030131-7320]</t>
  </si>
  <si>
    <t>ENSDARG00000104279</t>
  </si>
  <si>
    <t>appa</t>
  </si>
  <si>
    <t>amyloid beta (A4) precursor protein a [Source:ZFIN;Acc:ZDB-GENE-000616-13]</t>
  </si>
  <si>
    <t>ENSDARG00000057907</t>
  </si>
  <si>
    <t>si:ch73-181d5.4</t>
  </si>
  <si>
    <t>si:ch73-181d5.4 [Source:ZFIN;Acc:ZDB-GENE-100922-118]</t>
  </si>
  <si>
    <t>ENSDARG00000067626</t>
  </si>
  <si>
    <t>ywhag1</t>
  </si>
  <si>
    <t>3-monooxygenase/tryptophan 5-monooxygenase activation protein, gamma polypeptide 1 [Source:ZFIN;Acc:ZDB-GENE-011115-1]</t>
  </si>
  <si>
    <t>ENSDARG00000044001</t>
  </si>
  <si>
    <t>lgals3l</t>
  </si>
  <si>
    <t>lectin, galactoside-binding, soluble, 3 (galectin 3)-like [Source:ZFIN;Acc:ZDB-GENE-030131-4324]</t>
  </si>
  <si>
    <t>ENSDARG00000063358</t>
  </si>
  <si>
    <t>micu1</t>
  </si>
  <si>
    <t>mitochondrial calcium uptake 1 [Source:ZFIN;Acc:ZDB-GENE-070410-22]</t>
  </si>
  <si>
    <t>ENSDARG00000019743</t>
  </si>
  <si>
    <t>dctn1a</t>
  </si>
  <si>
    <t>dynactin 1a [Source:ZFIN;Acc:ZDB-GENE-070117-2205]</t>
  </si>
  <si>
    <t>ENSDARG00000037773</t>
  </si>
  <si>
    <t>rybpa</t>
  </si>
  <si>
    <t>RING1 and YY1 binding protein a [Source:ZFIN;Acc:ZDB-GENE-030424-3]</t>
  </si>
  <si>
    <t>ENSDARG00000041314</t>
  </si>
  <si>
    <t>ndufb9</t>
  </si>
  <si>
    <t>NADH dehydrogenase (ubiquinone) 1 beta subcomplex, 9 [Source:ZFIN;Acc:ZDB-GENE-030131-8364]</t>
  </si>
  <si>
    <t>ENSDARG00000037639</t>
  </si>
  <si>
    <t>nkx3.2</t>
  </si>
  <si>
    <t>NK3 homeobox 2 [Source:ZFIN;Acc:ZDB-GENE-030127-1]</t>
  </si>
  <si>
    <t>ENSDARG00000101032</t>
  </si>
  <si>
    <t>iqcb1</t>
  </si>
  <si>
    <t>IQ motif containing B1 [Source:ZFIN;Acc:ZDB-GENE-041212-47]</t>
  </si>
  <si>
    <t>ENSDARG00000041065</t>
  </si>
  <si>
    <t>hspb1</t>
  </si>
  <si>
    <t>heat shock protein, alpha-crystallin-related, 1 [Source:ZFIN;Acc:ZDB-GENE-030326-4]</t>
  </si>
  <si>
    <t>ENSDARG00000028346</t>
  </si>
  <si>
    <t>tesca</t>
  </si>
  <si>
    <t>tescalcin a [Source:ZFIN;Acc:ZDB-GENE-040426-2632]</t>
  </si>
  <si>
    <t>ENSDARG00000100422</t>
  </si>
  <si>
    <t>ptpro</t>
  </si>
  <si>
    <t>protein tyrosine phosphatase, receptor type, O [Source:ZFIN;Acc:ZDB-GENE-070424-54]</t>
  </si>
  <si>
    <t>ENSDARG00000077581</t>
  </si>
  <si>
    <t>zzz3</t>
  </si>
  <si>
    <t>zinc finger, ZZ-type containing 3 [Source:ZFIN;Acc:ZDB-GENE-030131-6450]</t>
  </si>
  <si>
    <t>ENSDARG00000055498</t>
  </si>
  <si>
    <t>FAM132B</t>
  </si>
  <si>
    <t>si:ch1073-184j22.1 [Source:ZFIN;Acc:ZDB-GENE-081104-74]</t>
  </si>
  <si>
    <t>ENSDARG00000034777</t>
  </si>
  <si>
    <t>txn2</t>
  </si>
  <si>
    <t>thioredoxin 2 [Source:ZFIN;Acc:ZDB-GENE-040426-1795]</t>
  </si>
  <si>
    <t>ENSDARG00000013058</t>
  </si>
  <si>
    <t>ascc2</t>
  </si>
  <si>
    <t>activating signal cointegrator 1 complex subunit 2 [Source:ZFIN;Acc:ZDB-GENE-040426-1223]</t>
  </si>
  <si>
    <t>ENSDARG00000037846</t>
  </si>
  <si>
    <t>hm13</t>
  </si>
  <si>
    <t>histocompatibility (minor) 13 [Source:ZFIN;Acc:ZDB-GENE-020802-3]</t>
  </si>
  <si>
    <t>ENSDARG00000039852</t>
  </si>
  <si>
    <t>ftr93</t>
  </si>
  <si>
    <t>finTRIM family, member 93 [Source:ZFIN;Acc:ZDB-GENE-131126-26]</t>
  </si>
  <si>
    <t>ENSDARG00000026540</t>
  </si>
  <si>
    <t>ppp4r2a</t>
  </si>
  <si>
    <t>protein phosphatase 4, regulatory subunit 2a [Source:ZFIN;Acc:ZDB-GENE-030131-4922]</t>
  </si>
  <si>
    <t>ENSDARG00000089505</t>
  </si>
  <si>
    <t>bod1l1</t>
  </si>
  <si>
    <t>biorientation of chromosomes in cell division 1-like 1 [Source:ZFIN;Acc:ZDB-GENE-111028-1]</t>
  </si>
  <si>
    <t>ENSDARG00000053019</t>
  </si>
  <si>
    <t>rnft2</t>
  </si>
  <si>
    <t>ring finger protein, transmembrane 2 [Source:ZFIN;Acc:ZDB-GENE-050522-168]</t>
  </si>
  <si>
    <t>ENSDARG00000096920</t>
  </si>
  <si>
    <t>SRRM4</t>
  </si>
  <si>
    <t>si:zfos-375h5.1 [Source:ZFIN;Acc:ZDB-GENE-131121-284]</t>
  </si>
  <si>
    <t>ENSDARG00000078315</t>
  </si>
  <si>
    <t>zgc:110063</t>
  </si>
  <si>
    <t>zgc:110063 [Source:ZFIN;Acc:ZDB-GENE-050522-367]</t>
  </si>
  <si>
    <t>ENSDARG00000093612</t>
  </si>
  <si>
    <t>si:dkey-92i17.2</t>
  </si>
  <si>
    <t>si:dkey-92i17.2 [Source:ZFIN;Acc:ZDB-GENE-030131-6759]</t>
  </si>
  <si>
    <t>ENSDARG00000059741</t>
  </si>
  <si>
    <t>alpk1</t>
  </si>
  <si>
    <t>alpha-kinase 1 [Source:ZFIN;Acc:ZDB-GENE-140106-68]</t>
  </si>
  <si>
    <t>ENSDARG00000029356</t>
  </si>
  <si>
    <t>mboat1</t>
  </si>
  <si>
    <t>membrane bound O-acyltransferase domain containing 1 [Source:ZFIN;Acc:ZDB-GENE-041114-98]</t>
  </si>
  <si>
    <t>ENSDARG00000096963</t>
  </si>
  <si>
    <t>si:ch211-185a18.2</t>
  </si>
  <si>
    <t>ENSDARG00000004297</t>
  </si>
  <si>
    <t>irf2bpl</t>
  </si>
  <si>
    <t>interferon regulatory factor 2 binding protein-like [Source:ZFIN;Acc:ZDB-GENE-040426-1968]</t>
  </si>
  <si>
    <t>ENSDARG00000102128</t>
  </si>
  <si>
    <t>eps8</t>
  </si>
  <si>
    <t>epidermal growth factor receptor pathway substrate 8 [Source:ZFIN;Acc:ZDB-GENE-040426-871]</t>
  </si>
  <si>
    <t>ENSDARG00000041421</t>
  </si>
  <si>
    <t>taz</t>
  </si>
  <si>
    <t>tafazzin [Source:ZFIN;Acc:ZDB-GENE-030131-684]</t>
  </si>
  <si>
    <t>ENSDARG00000030896</t>
  </si>
  <si>
    <t>foxq1a</t>
  </si>
  <si>
    <t>forkhead box Q1a [Source:ZFIN;Acc:ZDB-GENE-070424-74]</t>
  </si>
  <si>
    <t>ENSDARG00000013741</t>
  </si>
  <si>
    <t>lancl1</t>
  </si>
  <si>
    <t>LanC antibiotic synthetase component C-like 1 (bacterial) [Source:ZFIN;Acc:ZDB-GENE-040924-1]</t>
  </si>
  <si>
    <t>ENSDARG00000037640</t>
  </si>
  <si>
    <t>aurkb</t>
  </si>
  <si>
    <t>aurora kinase B [Source:ZFIN;Acc:ZDB-GENE-020419-40]</t>
  </si>
  <si>
    <t>ENSDARG00000017441</t>
  </si>
  <si>
    <t>mylz3</t>
  </si>
  <si>
    <t>myosin, light polypeptide 3, skeletal muscle [Source:ZFIN;Acc:ZDB-GENE-000322-6]</t>
  </si>
  <si>
    <t>ENSDARG00000024561</t>
  </si>
  <si>
    <t>nolc1</t>
  </si>
  <si>
    <t>nucleolar and coiled-body phosphoprotein 1 [Source:ZFIN;Acc:ZDB-GENE-030131-6349]</t>
  </si>
  <si>
    <t>ENSDARG00000057890</t>
  </si>
  <si>
    <t>TTC31</t>
  </si>
  <si>
    <t>si:dkey-33c12.4 [Source:ZFIN;Acc:ZDB-GENE-030131-2527]</t>
  </si>
  <si>
    <t>ENSDARG00000075737</t>
  </si>
  <si>
    <t>A2ML1</t>
  </si>
  <si>
    <t>zgc:165518 [Source:ZFIN;Acc:ZDB-GENE-070720-15]</t>
  </si>
  <si>
    <t>ENSDARG00000035221</t>
  </si>
  <si>
    <t>zgc:110249</t>
  </si>
  <si>
    <t>zgc:110249 [Source:ZFIN;Acc:ZDB-GENE-050522-331]</t>
  </si>
  <si>
    <t>ENSDARG00000063021</t>
  </si>
  <si>
    <t>rpain</t>
  </si>
  <si>
    <t>RPA interacting protein [Source:ZFIN;Acc:ZDB-GENE-060825-212]</t>
  </si>
  <si>
    <t>ENSDARG00000058561</t>
  </si>
  <si>
    <t>fbxo30a</t>
  </si>
  <si>
    <t>F-box protein 30a [Source:ZFIN;Acc:ZDB-GENE-040426-1215]</t>
  </si>
  <si>
    <t>ENSDARG00000011961</t>
  </si>
  <si>
    <t>csrp2</t>
  </si>
  <si>
    <t>cysteine and glycine-rich protein 2 [Source:ZFIN;Acc:ZDB-GENE-040426-1863]</t>
  </si>
  <si>
    <t>ENSDARG00000098734</t>
  </si>
  <si>
    <t>ccdc14</t>
  </si>
  <si>
    <t>coiled-coil domain containing 14 [Source:ZFIN;Acc:ZDB-GENE-120215-134]</t>
  </si>
  <si>
    <t>ENSDARG00000012555</t>
  </si>
  <si>
    <t>ak5</t>
  </si>
  <si>
    <t>adenylate kinase 5 [Source:ZFIN;Acc:ZDB-GENE-030131-8256]</t>
  </si>
  <si>
    <t>ENSDARG00000058958</t>
  </si>
  <si>
    <t>TRIM35</t>
  </si>
  <si>
    <t>si:ch73-106l15.3 [Source:ZFIN;Acc:ZDB-GENE-131119-18]</t>
  </si>
  <si>
    <t>ENSDARG00000070284</t>
  </si>
  <si>
    <t>sft2d3</t>
  </si>
  <si>
    <t>SFT2 domain containing 3 [Source:ZFIN;Acc:ZDB-GENE-070907-1]</t>
  </si>
  <si>
    <t>ENSDARG00000089372</t>
  </si>
  <si>
    <t>clk4a</t>
  </si>
  <si>
    <t>CDC-like kinase 4a [Source:ZFIN;Acc:ZDB-GENE-030131-576]</t>
  </si>
  <si>
    <t>ENSDARG00000037997</t>
  </si>
  <si>
    <t>tubb5</t>
  </si>
  <si>
    <t>tubulin, beta 5 [Source:ZFIN;Acc:ZDB-GENE-031110-4]</t>
  </si>
  <si>
    <t>ENSDARG00000013360</t>
  </si>
  <si>
    <t>sh3gl3a</t>
  </si>
  <si>
    <t>SH3-domain GRB2-like 3a [Source:ZFIN;Acc:ZDB-GENE-070112-242]</t>
  </si>
  <si>
    <t>ENSDARG00000059150</t>
  </si>
  <si>
    <t>tmem107</t>
  </si>
  <si>
    <t>transmembrane protein 107 [Source:ZFIN;Acc:ZDB-GENE-040426-2294]</t>
  </si>
  <si>
    <t>ENSDARG00000041619</t>
  </si>
  <si>
    <t>gnb2l1</t>
  </si>
  <si>
    <t>guanine nucleotide binding protein (G protein), beta polypeptide 2-like 1 [Source:ZFIN;Acc:ZDB-GENE-990415-89]</t>
  </si>
  <si>
    <t>ENSDARG00000101180</t>
  </si>
  <si>
    <t>mcm7</t>
  </si>
  <si>
    <t>minichromosome maintenance complex component 7 [Source:ZFIN;Acc:ZDB-GENE-020419-27]</t>
  </si>
  <si>
    <t>ENSDARG00000099828</t>
  </si>
  <si>
    <t>gatsl3</t>
  </si>
  <si>
    <t>ENSDARG00000090965</t>
  </si>
  <si>
    <t>ripk3</t>
  </si>
  <si>
    <t>receptor-interacting serine-threonine kinase 3 [Source:ZFIN;Acc:ZDB-GENE-071115-4]</t>
  </si>
  <si>
    <t>ENSDARG00000015551</t>
  </si>
  <si>
    <t>fth1a</t>
  </si>
  <si>
    <t>ferritin, heavy polypeptide 1a [Source:ZFIN;Acc:ZDB-GENE-000831-2]</t>
  </si>
  <si>
    <t>ENSDARG00000039887</t>
  </si>
  <si>
    <t>c1qbp</t>
  </si>
  <si>
    <t>complement component 1, q subcomponent binding protein [Source:ZFIN;Acc:ZDB-GENE-050417-408]</t>
  </si>
  <si>
    <t>ENSDARG00000059424</t>
  </si>
  <si>
    <t>rnf215</t>
  </si>
  <si>
    <t>ring finger protein 215 [Source:ZFIN;Acc:ZDB-GENE-060526-65]</t>
  </si>
  <si>
    <t>ENSDARG00000041617</t>
  </si>
  <si>
    <t>nme5</t>
  </si>
  <si>
    <t>NME/NM23 family member 5 [Source:ZFIN;Acc:ZDB-GENE-040718-221]</t>
  </si>
  <si>
    <t>ENSDARG00000086764</t>
  </si>
  <si>
    <t>MDC1</t>
  </si>
  <si>
    <t>si:ch73-309n4.5 [Source:ZFIN;Acc:ZDB-GENE-060810-185]</t>
  </si>
  <si>
    <t>ENSDARG00000092488</t>
  </si>
  <si>
    <t>khnyn</t>
  </si>
  <si>
    <t>KH and NYN domain containing [Source:ZFIN;Acc:ZDB-GENE-141215-64]</t>
  </si>
  <si>
    <t>ENSDARG00000104024</t>
  </si>
  <si>
    <t>ccdc137</t>
  </si>
  <si>
    <t>coiled-coil domain containing 137 [Source:ZFIN;Acc:ZDB-GENE-060929-1206]</t>
  </si>
  <si>
    <t>ENSDARG00000039543</t>
  </si>
  <si>
    <t>mrps6</t>
  </si>
  <si>
    <t>mitochondrial ribosomal protein S6 [Source:ZFIN;Acc:ZDB-GENE-060825-59]</t>
  </si>
  <si>
    <t>ENSDARG00000043865</t>
  </si>
  <si>
    <t>timm9</t>
  </si>
  <si>
    <t>translocase of inner mitochondrial membrane 9 homolog [Source:ZFIN;Acc:ZDB-GENE-021206-14]</t>
  </si>
  <si>
    <t>ENSDARG00000024479</t>
  </si>
  <si>
    <t>pigk</t>
  </si>
  <si>
    <t>phosphatidylinositol glycan anchor biosynthesis, class K [Source:ZFIN;Acc:ZDB-GENE-040625-162]</t>
  </si>
  <si>
    <t>ENSDARG00000018272</t>
  </si>
  <si>
    <t>wdr33</t>
  </si>
  <si>
    <t>WD repeat domain 33 [Source:ZFIN;Acc:ZDB-GENE-040924-3]</t>
  </si>
  <si>
    <t>ENSDARG00000088686</t>
  </si>
  <si>
    <t>HIST2H2AB</t>
  </si>
  <si>
    <t>zgc:195633 [Source:ZFIN;Acc:ZDB-GENE-081205-1]</t>
  </si>
  <si>
    <t>ENSDARG00000011201</t>
  </si>
  <si>
    <t>rplp2l</t>
  </si>
  <si>
    <t>ribosomal protein, large P2, like [Source:ZFIN;Acc:ZDB-GENE-070327-2]</t>
  </si>
  <si>
    <t>ENSDARG00000044038</t>
  </si>
  <si>
    <t>zbtb2a</t>
  </si>
  <si>
    <t>zinc finger and BTB domain containing 2a [Source:ZFIN;Acc:ZDB-GENE-040426-726]</t>
  </si>
  <si>
    <t>ENSDARG00000043031</t>
  </si>
  <si>
    <t>ints10</t>
  </si>
  <si>
    <t>integrator complex subunit 10 [Source:ZFIN;Acc:ZDB-GENE-050522-2]</t>
  </si>
  <si>
    <t>ENSDARG00000020527</t>
  </si>
  <si>
    <t>nup62l</t>
  </si>
  <si>
    <t>nucleoporin 62 like [Source:ZFIN;Acc:ZDB-GENE-030131-8491]</t>
  </si>
  <si>
    <t>ENSDARG00000103819</t>
  </si>
  <si>
    <t>si:dkey-23a13.4</t>
  </si>
  <si>
    <t>si:dkey-23a13.4 [Source:ZFIN;Acc:ZDB-GENE-160113-66]</t>
  </si>
  <si>
    <t>ENSDARG00000096346</t>
  </si>
  <si>
    <t>si:ch211-85n16.3</t>
  </si>
  <si>
    <t>si:ch211-85n16.3 [Source:ZFIN;Acc:ZDB-GENE-120215-137]</t>
  </si>
  <si>
    <t>ENSDARG00000098578</t>
  </si>
  <si>
    <t>pdgfab</t>
  </si>
  <si>
    <t>platelet-derived growth factor alpha polypeptide b [Source:ZFIN;Acc:ZDB-GENE-060929-124]</t>
  </si>
  <si>
    <t>ENSDARG00000099514</t>
  </si>
  <si>
    <t>zgc:171759</t>
  </si>
  <si>
    <t>zgc:171759 [Source:ZFIN;Acc:ZDB-GENE-071004-32]</t>
  </si>
  <si>
    <t>ENSDARG00000105314</t>
  </si>
  <si>
    <t>si:dkey-23a13.6</t>
  </si>
  <si>
    <t>si:dkey-23a13.6 [Source:ZFIN;Acc:ZDB-GENE-160113-107]</t>
  </si>
  <si>
    <t>ENSDARG00000074779</t>
  </si>
  <si>
    <t>alms1</t>
  </si>
  <si>
    <t>Alstrom syndrome protein 1 [Source:ZFIN;Acc:ZDB-GENE-030131-4837]</t>
  </si>
  <si>
    <t>ENSDARG00000100850</t>
  </si>
  <si>
    <t>rnf103</t>
  </si>
  <si>
    <t>ring finger protein 103 [Source:ZFIN;Acc:ZDB-GENE-040912-171]</t>
  </si>
  <si>
    <t>ENSDARG00000040912</t>
  </si>
  <si>
    <t>kdelr3</t>
  </si>
  <si>
    <t>KDEL (Lys-Asp-Glu-Leu) endoplasmic reticulum protein retention receptor 3 [Source:ZFIN;Acc:ZDB-GENE-040426-1387]</t>
  </si>
  <si>
    <t>ENSDARG00000104825</t>
  </si>
  <si>
    <t>trim35-7</t>
  </si>
  <si>
    <t>tripartite motif containing 35-7 [Source:ZFIN;Acc:ZDB-GENE-050522-333]</t>
  </si>
  <si>
    <t>ENSDARG00000014825</t>
  </si>
  <si>
    <t>ZNF865</t>
  </si>
  <si>
    <t>si:dkeyp-69b9.6 [Source:ZFIN;Acc:ZDB-GENE-100922-227]</t>
  </si>
  <si>
    <t>ENSDARG00000008986</t>
  </si>
  <si>
    <t>e2f7</t>
  </si>
  <si>
    <t>E2F transcription factor 7 [Source:ZFIN;Acc:ZDB-GENE-030131-3527]</t>
  </si>
  <si>
    <t>ENSDARG00000056233</t>
  </si>
  <si>
    <t>TMEM179B</t>
  </si>
  <si>
    <t>zgc:110591 [Source:ZFIN;Acc:ZDB-GENE-050522-510]</t>
  </si>
  <si>
    <t>ENSDARG00000039850</t>
  </si>
  <si>
    <t>dusp22b</t>
  </si>
  <si>
    <t>dual specificity phosphatase 22b [Source:ZFIN;Acc:ZDB-GENE-050417-257]</t>
  </si>
  <si>
    <t>ENSDARG00000058473</t>
  </si>
  <si>
    <t>st6galnac3</t>
  </si>
  <si>
    <t>ST6 (alpha-N-acetyl-neuraminyl-2,3-beta-galactosyl-1,3)-N-acetylgalactosaminide alpha-2,6-sialyltransferase 3 [Source:ZFIN;Acc:ZDB-GENE-030131-1329]</t>
  </si>
  <si>
    <t>ENSDARG00000097256</t>
  </si>
  <si>
    <t>si:ch211-270g19.5</t>
  </si>
  <si>
    <t>si:ch211-270g19.5 [Source:ZFIN;Acc:ZDB-GENE-131121-121]</t>
  </si>
  <si>
    <t>ENSDARG00000105352</t>
  </si>
  <si>
    <t>si:dkey-23a13.7</t>
  </si>
  <si>
    <t>si:dkey-23a13.7 [Source:ZFIN;Acc:ZDB-GENE-160113-88]</t>
  </si>
  <si>
    <t>ENSDARG00000039268</t>
  </si>
  <si>
    <t>emc4</t>
  </si>
  <si>
    <t>ER membrane protein complex subunit 4 [Source:ZFIN;Acc:ZDB-GENE-040426-1891]</t>
  </si>
  <si>
    <t>ENSDARG00000090872</t>
  </si>
  <si>
    <t>si:dkey-276j7.1</t>
  </si>
  <si>
    <t>si:dkey-276j7.1 [Source:ZFIN;Acc:ZDB-GENE-060720-44]</t>
  </si>
  <si>
    <t>ENSDARG00000013434</t>
  </si>
  <si>
    <t>hira</t>
  </si>
  <si>
    <t>histone cell cycle regulator a [Source:ZFIN;Acc:ZDB-GENE-030131-6296]</t>
  </si>
  <si>
    <t>ENSDARG00000023950</t>
  </si>
  <si>
    <t>znhit3</t>
  </si>
  <si>
    <t>zinc finger, HIT-type containing 3 [Source:ZFIN;Acc:ZDB-GENE-040426-1114]</t>
  </si>
  <si>
    <t>ENSDARG00000102874</t>
  </si>
  <si>
    <t>immt</t>
  </si>
  <si>
    <t>inner membrane protein, mitochondrial (mitofilin) [Source:ZFIN;Acc:ZDB-GENE-030131-5417]</t>
  </si>
  <si>
    <t>ENSDARG00000103800</t>
  </si>
  <si>
    <t>prkar1b</t>
  </si>
  <si>
    <t>protein kinase, cAMP-dependent, regulatory, type I, beta [Source:ZFIN;Acc:ZDB-GENE-060929-580]</t>
  </si>
  <si>
    <t>ENSDARG00000013968</t>
  </si>
  <si>
    <t>psap</t>
  </si>
  <si>
    <t>prosaposin [Source:ZFIN;Acc:ZDB-GENE-020108-1]</t>
  </si>
  <si>
    <t>ENSDARG00000103095</t>
  </si>
  <si>
    <t>tbk1</t>
  </si>
  <si>
    <t>TANK-binding kinase 1 [Source:ZFIN;Acc:ZDB-GENE-060512-359]</t>
  </si>
  <si>
    <t>ENSDARG00000034138</t>
  </si>
  <si>
    <t>shisa2</t>
  </si>
  <si>
    <t>shisa family member 2 [Source:ZFIN;Acc:ZDB-GENE-030925-31]</t>
  </si>
  <si>
    <t>ENSDARG00000022939</t>
  </si>
  <si>
    <t>ino80e</t>
  </si>
  <si>
    <t>INO80 complex subunit E [Source:ZFIN;Acc:ZDB-GENE-040426-1818]</t>
  </si>
  <si>
    <t>ENSDARG00000071288</t>
  </si>
  <si>
    <t>samhd1</t>
  </si>
  <si>
    <t>SAM domain and HD domain 1 [Source:ZFIN;Acc:ZDB-GENE-090313-386]</t>
  </si>
  <si>
    <t>ENSDARG00000105397</t>
  </si>
  <si>
    <t>HIST1H2BA</t>
  </si>
  <si>
    <t>si:dkey-23a13.8 [Source:ZFIN;Acc:ZDB-GENE-160113-110]</t>
  </si>
  <si>
    <t>ENSDARG00000003381</t>
  </si>
  <si>
    <t>si:ch211-266g18.6</t>
  </si>
  <si>
    <t>si:ch211-266g18.6 [Source:ZFIN;Acc:ZDB-GENE-131121-599]</t>
  </si>
  <si>
    <t>ENSDARG00000002635</t>
  </si>
  <si>
    <t>FAM184A</t>
  </si>
  <si>
    <t>zgc:85722 [Source:ZFIN;Acc:ZDB-GENE-040516-7]</t>
  </si>
  <si>
    <t>ENSDARG00000027465</t>
  </si>
  <si>
    <t>rmnd1</t>
  </si>
  <si>
    <t>required for meiotic nuclear division 1 homolog [Source:ZFIN;Acc:ZDB-GENE-050522-21]</t>
  </si>
  <si>
    <t>ENSDARG00000077881</t>
  </si>
  <si>
    <t>chl1a</t>
  </si>
  <si>
    <t>cell adhesion molecule L1-like a [Source:ZFIN;Acc:ZDB-GENE-090313-201]</t>
  </si>
  <si>
    <t>ENSDARG00000088820</t>
  </si>
  <si>
    <t>znf1134</t>
  </si>
  <si>
    <t>ENSDARG00000044628</t>
  </si>
  <si>
    <t>dtd1</t>
  </si>
  <si>
    <t>D-tyrosyl-tRNA deacylase 1 [Source:ZFIN;Acc:ZDB-GENE-040801-175]</t>
  </si>
  <si>
    <t>ENSDARG00000098717</t>
  </si>
  <si>
    <t>arhgap11a</t>
  </si>
  <si>
    <t>ENSDARG00000008969</t>
  </si>
  <si>
    <t>fgb</t>
  </si>
  <si>
    <t>fibrinogen beta chain [Source:ZFIN;Acc:ZDB-GENE-030131-9261]</t>
  </si>
  <si>
    <t>ENSDARG00000018562</t>
  </si>
  <si>
    <t>cope</t>
  </si>
  <si>
    <t>coatomer protein complex, subunit epsilon [Source:ZFIN;Acc:ZDB-GENE-041114-59]</t>
  </si>
  <si>
    <t>ENSDARG00000058961</t>
  </si>
  <si>
    <t>ngfa</t>
  </si>
  <si>
    <t>nerve growth factor a (beta polypeptide) [Source:ZFIN;Acc:ZDB-GENE-990415-176]</t>
  </si>
  <si>
    <t>ENSDARG00000079244</t>
  </si>
  <si>
    <t>pigw</t>
  </si>
  <si>
    <t>phosphatidylinositol glycan anchor biosynthesis, class W [Source:ZFIN;Acc:ZDB-GENE-080204-94]</t>
  </si>
  <si>
    <t>ENSDARG00000105431</t>
  </si>
  <si>
    <t>si:dkey-23a13.9</t>
  </si>
  <si>
    <t>si:dkey-23a13.9 [Source:ZFIN;Acc:ZDB-GENE-160113-29]</t>
  </si>
  <si>
    <t>ENSDARG00000062924</t>
  </si>
  <si>
    <t>BBOF1</t>
  </si>
  <si>
    <t>si:ch211-243o19.4 [Source:ZFIN;Acc:ZDB-GENE-070424-167]</t>
  </si>
  <si>
    <t>ENSDARG00000079613</t>
  </si>
  <si>
    <t>sall3a</t>
  </si>
  <si>
    <t>spalt-like transcription factor 3a [Source:ZFIN;Acc:ZDB-GENE-020228-4]</t>
  </si>
  <si>
    <t>ENSDARG00000101435</t>
  </si>
  <si>
    <t>lgr6</t>
  </si>
  <si>
    <t>leucine-rich repeat containing G protein-coupled receptor 6 [Source:ZFIN;Acc:ZDB-GENE-110411-186]</t>
  </si>
  <si>
    <t>ENSDARG00000100246</t>
  </si>
  <si>
    <t>si:ch73-264i18.3</t>
  </si>
  <si>
    <t>si:ch73-264i18.3 [Source:ZFIN;Acc:ZDB-GENE-141216-184]</t>
  </si>
  <si>
    <t>ENSDARG00000037713</t>
  </si>
  <si>
    <t>pcnp</t>
  </si>
  <si>
    <t>PEST proteolytic signal containing nuclear protein [Source:ZFIN;Acc:ZDB-GENE-041010-130]</t>
  </si>
  <si>
    <t>ENSDARG00000093448</t>
  </si>
  <si>
    <t>mpc1</t>
  </si>
  <si>
    <t>mitochondrial pyruvate carrier 1 [Source:ZFIN;Acc:ZDB-GENE-040718-94]</t>
  </si>
  <si>
    <t>ENSDARG00000063626</t>
  </si>
  <si>
    <t>ddx21</t>
  </si>
  <si>
    <t>DEAD (Asp-Glu-Ala-Asp) box helicase 21 [Source:ZFIN;Acc:ZDB-GENE-031113-10]</t>
  </si>
  <si>
    <t>ENSDARG00000043492</t>
  </si>
  <si>
    <t>irf1a</t>
  </si>
  <si>
    <t>interferon regulatory factor 1a [Source:ZFIN;Acc:ZDB-GENE-060421-4031]</t>
  </si>
  <si>
    <t>ENSDARG00000074869</t>
  </si>
  <si>
    <t>si:ch1073-291c23.2</t>
  </si>
  <si>
    <t>si:ch1073-291c23.2 [Source:ZFIN;Acc:ZDB-GENE-081107-2]</t>
  </si>
  <si>
    <t>ENSDARG00000068515</t>
  </si>
  <si>
    <t>chs1</t>
  </si>
  <si>
    <t>chitin synthase 1 [Source:ZFIN;Acc:ZDB-GENE-030131-1188]</t>
  </si>
  <si>
    <t>ENSDARG00000043873</t>
  </si>
  <si>
    <t>arid4a</t>
  </si>
  <si>
    <t>AT rich interactive domain 4A (RBP1-like) [Source:ZFIN;Acc:ZDB-GENE-050809-105]</t>
  </si>
  <si>
    <t>ENSDARG00000063574</t>
  </si>
  <si>
    <t>mtg2</t>
  </si>
  <si>
    <t>mitochondrial ribosome-associated GTPase 2 [Source:ZFIN;Acc:ZDB-GENE-030131-2209]</t>
  </si>
  <si>
    <t>ENSDARG00000035028</t>
  </si>
  <si>
    <t>lpcat4</t>
  </si>
  <si>
    <t>lysophosphatidylcholine acyltransferase 4 [Source:ZFIN;Acc:ZDB-GENE-030131-5777]</t>
  </si>
  <si>
    <t>ENSDARG00000101892</t>
  </si>
  <si>
    <t>ino80e.1</t>
  </si>
  <si>
    <t>ENSDARG00000102226</t>
  </si>
  <si>
    <t>gpr19</t>
  </si>
  <si>
    <t>G protein-coupled receptor 19 [Source:ZFIN;Acc:ZDB-GENE-040426-1295]</t>
  </si>
  <si>
    <t>ENSDARG00000018989</t>
  </si>
  <si>
    <t>hspa4b</t>
  </si>
  <si>
    <t>heat shock protein 4b [Source:ZFIN;Acc:ZDB-GENE-030131-6018]</t>
  </si>
  <si>
    <t>ENSDARG00000055350</t>
  </si>
  <si>
    <t>sun1</t>
  </si>
  <si>
    <t>Sad1 and UNC84 domain containing 1 [Source:ZFIN;Acc:ZDB-GENE-050522-551]</t>
  </si>
  <si>
    <t>ENSDARG00000092162</t>
  </si>
  <si>
    <t>mhc1zaa</t>
  </si>
  <si>
    <t>major histocompatibility complex class I ZAA [Source:ZFIN;Acc:ZDB-GENE-030916-1]</t>
  </si>
  <si>
    <t>ENSDARG00000074765</t>
  </si>
  <si>
    <t>mhc1zja</t>
  </si>
  <si>
    <t>major histocompatibility complex class I ZJA [Source:ZFIN;Acc:ZDB-GENE-130206-11]</t>
  </si>
  <si>
    <t>ENSDARG00000011837</t>
  </si>
  <si>
    <t>zgc:100846</t>
  </si>
  <si>
    <t>zgc:100846 [Source:ZFIN;Acc:ZDB-GENE-040801-47]</t>
  </si>
  <si>
    <t>ENSDARG00000008906</t>
  </si>
  <si>
    <t>si:ch211-241e1.5</t>
  </si>
  <si>
    <t>si:ch211-241e1.5 [Source:ZFIN;Acc:ZDB-GENE-030131-6298]</t>
  </si>
  <si>
    <t>ENSDARG00000024278</t>
  </si>
  <si>
    <t>adh8b</t>
  </si>
  <si>
    <t>alcohol dehydrogenase 8b [Source:ZFIN;Acc:ZDB-GENE-030529-2]</t>
  </si>
  <si>
    <t>ENSDARG00000057006</t>
  </si>
  <si>
    <t>zgc:113201</t>
  </si>
  <si>
    <t>zgc:113201 [Source:ZFIN;Acc:ZDB-GENE-050522-524]</t>
  </si>
  <si>
    <t>ENSDARG00000013274</t>
  </si>
  <si>
    <t>eif4eb</t>
  </si>
  <si>
    <t>eukaryotic translation initiation factor 4eb [Source:ZFIN;Acc:ZDB-GENE-041121-14]</t>
  </si>
  <si>
    <t>ENSDARG00000104288</t>
  </si>
  <si>
    <t>hfm1</t>
  </si>
  <si>
    <t>HFM1, ATP-dependent DNA helicase homolog (S. cerevisiae) [Source:ZFIN;Acc:ZDB-GENE-061207-43]</t>
  </si>
  <si>
    <t>ENSDARG00000076815</t>
  </si>
  <si>
    <t>eif3s10</t>
  </si>
  <si>
    <t>eukaryotic translation initiation factor 3, subunit 10 (theta) [Source:ZFIN;Acc:ZDB-GENE-030131-5726]</t>
  </si>
  <si>
    <t>ENSDARG00000063538</t>
  </si>
  <si>
    <t>kalrnb</t>
  </si>
  <si>
    <t>kalirin, RhoGEF kinase b [Source:ZFIN;Acc:ZDB-GENE-060421-7244]</t>
  </si>
  <si>
    <t>ENSDARG00000043562</t>
  </si>
  <si>
    <t>zgc:65997</t>
  </si>
  <si>
    <t>zgc:65997 [Source:ZFIN;Acc:ZDB-GENE-040426-1502]</t>
  </si>
  <si>
    <t>ENSDARG00000062330</t>
  </si>
  <si>
    <t>si:ch211-233a24.2</t>
  </si>
  <si>
    <t>si:ch211-233a24.2 [Source:ZFIN;Acc:ZDB-GENE-090313-98]</t>
  </si>
  <si>
    <t>ENSDARG00000007739</t>
  </si>
  <si>
    <t>atp1a1a.2</t>
  </si>
  <si>
    <t>ATPase, Na+/K+ transporting, alpha 1a polypeptide, tandem duplicate 2 [Source:ZFIN;Acc:ZDB-GENE-001212-2]</t>
  </si>
  <si>
    <t>ENSDARG00000104049</t>
  </si>
  <si>
    <t>crebl2</t>
  </si>
  <si>
    <t>cAMP responsive element binding protein-like 2 [Source:ZFIN;Acc:ZDB-GENE-040718-456]</t>
  </si>
  <si>
    <t>ENSDARG00000094799</t>
  </si>
  <si>
    <t>plxnb2a</t>
  </si>
  <si>
    <t>plexin b2a [Source:ZFIN;Acc:ZDB-GENE-030131-8917]</t>
  </si>
  <si>
    <t>ENSDARG00000002791</t>
  </si>
  <si>
    <t>atp1a1a.1</t>
  </si>
  <si>
    <t>ATPase, Na+/K+ transporting, alpha 1a polypeptide, tandem duplicate 1 [Source:ZFIN;Acc:ZDB-GENE-001212-1]</t>
  </si>
  <si>
    <t>ENSDARG00000042236</t>
  </si>
  <si>
    <t>atrx</t>
  </si>
  <si>
    <t>alpha thalassemia/mental retardation syndrome X-linked homolog (human) [Source:ZFIN;Acc:ZDB-GENE-030912-11]</t>
  </si>
  <si>
    <t>ENSDARG00000005606</t>
  </si>
  <si>
    <t>paxip1</t>
  </si>
  <si>
    <t>PAX interacting (with transcription-activation domain) protein 1 [Source:ZFIN;Acc:ZDB-GENE-041010-214]</t>
  </si>
  <si>
    <t>ENSDARG00000055086</t>
  </si>
  <si>
    <t>ggnbp2</t>
  </si>
  <si>
    <t>gametogenetin binding protein 2 [Source:ZFIN;Acc:ZDB-GENE-060929-52]</t>
  </si>
  <si>
    <t>ENSDARG00000033440</t>
  </si>
  <si>
    <t>metap1</t>
  </si>
  <si>
    <t>methionyl aminopeptidase 1 [Source:ZFIN;Acc:ZDB-GENE-050626-124]</t>
  </si>
  <si>
    <t>ENSDARG00000055022</t>
  </si>
  <si>
    <t>pds5a</t>
  </si>
  <si>
    <t>PDS5 cohesin associated factor A [Source:ZFIN;Acc:ZDB-GENE-040426-1612]</t>
  </si>
  <si>
    <t>ENSDARG00000001870</t>
  </si>
  <si>
    <t>atp1a1a.4</t>
  </si>
  <si>
    <t>ATPase, Na+/K+ transporting, alpha 1a polypeptide, tandem duplicate 4 [Source:ZFIN;Acc:ZDB-GENE-001212-4]</t>
  </si>
  <si>
    <t>ENSDARG00000078381</t>
  </si>
  <si>
    <t>trip11</t>
  </si>
  <si>
    <t>thyroid hormone receptor interactor 11 [Source:ZFIN;Acc:ZDB-GENE-030131-9833]</t>
  </si>
  <si>
    <t>ENSDARG00000019986</t>
  </si>
  <si>
    <t>grhprb</t>
  </si>
  <si>
    <t>glyoxylate reductase/hydroxypyruvate reductase b [Source:ZFIN;Acc:ZDB-GENE-040426-1847]</t>
  </si>
  <si>
    <t>ENSDARG00000104227</t>
  </si>
  <si>
    <t>nop10</t>
  </si>
  <si>
    <t>NOP10 ribonucleoprotein homolog (yeast) [Source:ZFIN;Acc:ZDB-GENE-041007-4]</t>
  </si>
  <si>
    <t>ENSDARG00000037307</t>
  </si>
  <si>
    <t>gnpda1</t>
  </si>
  <si>
    <t>glucosamine-6-phosphate deaminase 1 [Source:ZFIN;Acc:ZDB-GENE-050417-417]</t>
  </si>
  <si>
    <t>ENSDARG00000062971</t>
  </si>
  <si>
    <t>sdhaf2</t>
  </si>
  <si>
    <t>succinate dehydrogenase complex assembly factor 2 [Source:ZFIN;Acc:ZDB-GENE-030131-7564]</t>
  </si>
  <si>
    <t>ENSDARG00000033533</t>
  </si>
  <si>
    <t>ccdc115</t>
  </si>
  <si>
    <t>coiled-coil domain containing 115 [Source:ZFIN;Acc:ZDB-GENE-050227-20]</t>
  </si>
  <si>
    <t>ENSDARG00000007892</t>
  </si>
  <si>
    <t>pdcd2</t>
  </si>
  <si>
    <t>programmed cell death 2 [Source:ZFIN;Acc:ZDB-GENE-040426-1236]</t>
  </si>
  <si>
    <t>ENSDARG00000002006</t>
  </si>
  <si>
    <t>rxrbb</t>
  </si>
  <si>
    <t>retinoid x receptor, beta b [Source:ZFIN;Acc:ZDB-GENE-990415-242]</t>
  </si>
  <si>
    <t>ENSDARG00000054362</t>
  </si>
  <si>
    <t>ccdc47</t>
  </si>
  <si>
    <t>coiled-coil domain containing 47 [Source:ZFIN;Acc:ZDB-GENE-040912-15]</t>
  </si>
  <si>
    <t>ENSDARG00000014244</t>
  </si>
  <si>
    <t>rbmx</t>
  </si>
  <si>
    <t>RNA binding motif protein, X-linked [Source:ZFIN;Acc:ZDB-GENE-030131-579]</t>
  </si>
  <si>
    <t>ENSDARG00000012261</t>
  </si>
  <si>
    <t>eftud2</t>
  </si>
  <si>
    <t>elongation factor Tu GTP binding domain containing 2 [Source:ZFIN;Acc:ZDB-GENE-040426-1569]</t>
  </si>
  <si>
    <t>ENSDARG00000070916</t>
  </si>
  <si>
    <t>dnajc27</t>
  </si>
  <si>
    <t>DnaJ (Hsp40) homolog, subfamily C, member 27 [Source:ZFIN;Acc:ZDB-GENE-081022-93]</t>
  </si>
  <si>
    <t>ENSDARG00000069865</t>
  </si>
  <si>
    <t>grxcr1</t>
  </si>
  <si>
    <t>glutaredoxin, cysteine rich 1 [Source:ZFIN;Acc:ZDB-GENE-070424-166]</t>
  </si>
  <si>
    <t>ENSDARG00000008192</t>
  </si>
  <si>
    <t>pank1a</t>
  </si>
  <si>
    <t>pantothenate kinase 1a [Source:ZFIN;Acc:ZDB-GENE-040426-2846]</t>
  </si>
  <si>
    <t>ENSDARG00000058349</t>
  </si>
  <si>
    <t>polr2l</t>
  </si>
  <si>
    <t>polymerase (RNA) II (DNA directed) polypeptide L [Source:ZFIN;Acc:ZDB-GENE-050522-181]</t>
  </si>
  <si>
    <t>ENSDARG00000096548</t>
  </si>
  <si>
    <t>si:dkey-6o1.2</t>
  </si>
  <si>
    <t>si:dkey-6o1.2 [Source:ZFIN;Acc:ZDB-GENE-121214-102]</t>
  </si>
  <si>
    <t>ENSDARG00000054906</t>
  </si>
  <si>
    <t>ier5l</t>
  </si>
  <si>
    <t>immediate early response 5-like [Source:ZFIN;Acc:ZDB-GENE-030131-5134]</t>
  </si>
  <si>
    <t>ENSDARG00000018145</t>
  </si>
  <si>
    <t>mid1ip1l</t>
  </si>
  <si>
    <t>MID1 interacting protein 1, like [Source:ZFIN;Acc:ZDB-GENE-030131-1697]</t>
  </si>
  <si>
    <t>ENSDARG00000104793</t>
  </si>
  <si>
    <t>dgke</t>
  </si>
  <si>
    <t>diacylglycerol kinase, epsilon [Source:ZFIN;Acc:ZDB-GENE-090512-7]</t>
  </si>
  <si>
    <t>ENSDARG00000099850</t>
  </si>
  <si>
    <t>iqsec3a</t>
  </si>
  <si>
    <t>IQ motif and Sec7 domain 3a [Source:ZFIN;Acc:ZDB-GENE-041210-343]</t>
  </si>
  <si>
    <t>ENSDARG00000009252</t>
  </si>
  <si>
    <t>napepld</t>
  </si>
  <si>
    <t>N-acyl phosphatidylethanolamine phospholipase D [Source:ZFIN;Acc:ZDB-GENE-030131-3856]</t>
  </si>
  <si>
    <t>ENSDARG00000096970</t>
  </si>
  <si>
    <t>si:ch211-137i24.14</t>
  </si>
  <si>
    <t>si:ch211-137i24.14 [Source:ZFIN;Acc:ZDB-GENE-131120-27]</t>
  </si>
  <si>
    <t>ENSDARG00000038258</t>
  </si>
  <si>
    <t>proca</t>
  </si>
  <si>
    <t>protein C (inactivator of coagulation factors Va and VIIIa), a [Source:ZFIN;Acc:ZDB-GENE-060824-5]</t>
  </si>
  <si>
    <t>ENSDARG00000095538</t>
  </si>
  <si>
    <t>senp3a</t>
  </si>
  <si>
    <t>SUMO1/sentrin/SMT3 specific peptidase 3a [Source:ZFIN;Acc:ZDB-GENE-030131-2303]</t>
  </si>
  <si>
    <t>ENSDARG00000053455</t>
  </si>
  <si>
    <t>ccdc103</t>
  </si>
  <si>
    <t>coiled-coil domain containing 103 [Source:ZFIN;Acc:ZDB-GENE-040718-253]</t>
  </si>
  <si>
    <t>ENSDARG00000003032</t>
  </si>
  <si>
    <t>eif4a1b</t>
  </si>
  <si>
    <t>eukaryotic translation initiation factor 4A1B [Source:ZFIN;Acc:ZDB-GENE-040120-6]</t>
  </si>
  <si>
    <t>ENSDARG00000012495</t>
  </si>
  <si>
    <t>mphosph10</t>
  </si>
  <si>
    <t>M-phase phosphoprotein 10 (U3 small nucleolar ribonucleoprotein) [Source:ZFIN;Acc:ZDB-GENE-030131-2146]</t>
  </si>
  <si>
    <t>ENSDARG00000005112</t>
  </si>
  <si>
    <t>cdh17</t>
  </si>
  <si>
    <t>cadherin 17, LI cadherin (liver-intestine) [Source:ZFIN;Acc:ZDB-GENE-030910-3]</t>
  </si>
  <si>
    <t>ENSDARG00000031985</t>
  </si>
  <si>
    <t>ppp2r4</t>
  </si>
  <si>
    <t>protein phosphatase 2A activator, regulatory subunit 4 [Source:ZFIN;Acc:ZDB-GENE-040801-11]</t>
  </si>
  <si>
    <t>ENSDARG00000003270</t>
  </si>
  <si>
    <t>dhps</t>
  </si>
  <si>
    <t>deoxyhypusine synthase [Source:ZFIN;Acc:ZDB-GENE-040426-2001]</t>
  </si>
  <si>
    <t>ENSDARG00000038786</t>
  </si>
  <si>
    <t>smarcd3a</t>
  </si>
  <si>
    <t>SWI/SNF related, matrix associated, actin dependent regulator of chromatin, subfamily d, member 3a [Source:ZFIN;Acc:ZDB-GENE-070912-491]</t>
  </si>
  <si>
    <t>ENSDARG00000039701</t>
  </si>
  <si>
    <t>emx2</t>
  </si>
  <si>
    <t>empty spiracles homeobox 2 [Source:ZFIN;Acc:ZDB-GENE-990415-54]</t>
  </si>
  <si>
    <t>ENSDARG00000031775</t>
  </si>
  <si>
    <t>ube2s</t>
  </si>
  <si>
    <t>ubiquitin-conjugating enzyme E2S [Source:ZFIN;Acc:ZDB-GENE-050913-92]</t>
  </si>
  <si>
    <t>ENSDARG00000055770</t>
  </si>
  <si>
    <t>dffa</t>
  </si>
  <si>
    <t>DNA fragmentation factor, alpha polypeptide [Source:ZFIN;Acc:ZDB-GENE-040718-376]</t>
  </si>
  <si>
    <t>ENSDARG00000099257</t>
  </si>
  <si>
    <t>si:ch73-119p20.1</t>
  </si>
  <si>
    <t>si:ch73-119p20.1 [Source:ZFIN;Acc:ZDB-GENE-141216-395]</t>
  </si>
  <si>
    <t>ENSDARG00000054355</t>
  </si>
  <si>
    <t>dcaf7</t>
  </si>
  <si>
    <t>ddb1 and cul4 associated factor 7 [Source:ZFIN;Acc:ZDB-GENE-030131-9511]</t>
  </si>
  <si>
    <t>ENSDARG00000018060</t>
  </si>
  <si>
    <t>pik3r2</t>
  </si>
  <si>
    <t>phosphoinositide-3-kinase, regulatory subunit 2 (beta) [Source:ZFIN;Acc:ZDB-GENE-040309-1]</t>
  </si>
  <si>
    <t>ENSDARG00000039279</t>
  </si>
  <si>
    <t>golga5</t>
  </si>
  <si>
    <t>golgin A5 [Source:ZFIN;Acc:ZDB-GENE-040426-2749]</t>
  </si>
  <si>
    <t>ENSDARG00000021794</t>
  </si>
  <si>
    <t>hmmr</t>
  </si>
  <si>
    <t>hyaluronan-mediated motility receptor (RHAMM) [Source:ZFIN;Acc:ZDB-GENE-030131-731]</t>
  </si>
  <si>
    <t>ENSDARG00000098311</t>
  </si>
  <si>
    <t>ZFOS-932H1.3</t>
  </si>
  <si>
    <t>ENSDARG00000102855</t>
  </si>
  <si>
    <t>neo1a</t>
  </si>
  <si>
    <t>neogenin 1a [Source:ZFIN;Acc:ZDB-GENE-021031-1]</t>
  </si>
  <si>
    <t>ENSDARG00000031228</t>
  </si>
  <si>
    <t>podxl</t>
  </si>
  <si>
    <t>podocalyxin-like [Source:ZFIN;Acc:ZDB-GENE-030131-2805]</t>
  </si>
  <si>
    <t>ENSDARG00000007960</t>
  </si>
  <si>
    <t>hnrnpaba</t>
  </si>
  <si>
    <t>heterogeneous nuclear ribonucleoprotein A/Ba [Source:ZFIN;Acc:ZDB-GENE-030131-185]</t>
  </si>
  <si>
    <t>ENSDARG00000045913</t>
  </si>
  <si>
    <t>mrps10</t>
  </si>
  <si>
    <t>mitochondrial ribosomal protein S10 [Source:ZFIN;Acc:ZDB-GENE-040914-39]</t>
  </si>
  <si>
    <t>ENSDARG00000025576</t>
  </si>
  <si>
    <t>mkln1</t>
  </si>
  <si>
    <t>muskelin 1, intracellular mediator containing kelch motifs [Source:ZFIN;Acc:ZDB-GENE-030131-3942]</t>
  </si>
  <si>
    <t>ENSDARG00000045914</t>
  </si>
  <si>
    <t>si:ch211-51e12.7</t>
  </si>
  <si>
    <t>si:ch211-51e12.7 [Source:ZFIN;Acc:ZDB-GENE-030131-8279]</t>
  </si>
  <si>
    <t>ENSDARG00000036831</t>
  </si>
  <si>
    <t>rnf41</t>
  </si>
  <si>
    <t>ring finger protein 41 [Source:ZFIN;Acc:ZDB-GENE-040426-2920]</t>
  </si>
  <si>
    <t>ENSDARG00000014994</t>
  </si>
  <si>
    <t>tbp</t>
  </si>
  <si>
    <t>TATA box binding protein [Source:ZFIN;Acc:ZDB-GENE-030616-563]</t>
  </si>
  <si>
    <t>ENSDARG00000027826</t>
  </si>
  <si>
    <t>pudp</t>
  </si>
  <si>
    <t>pseudouridine 5'-phosphatase [Source:ZFIN;Acc:ZDB-GENE-050522-36]</t>
  </si>
  <si>
    <t>ENSDARG00000102474</t>
  </si>
  <si>
    <t>dusp16</t>
  </si>
  <si>
    <t>dual specificity phosphatase 16 [Source:ZFIN;Acc:ZDB-GENE-040426-2360]</t>
  </si>
  <si>
    <t>ENSDARG00000104891</t>
  </si>
  <si>
    <t>si:dkey-109j17.5</t>
  </si>
  <si>
    <t>si:dkey-109j17.5 [Source:ZFIN;Acc:ZDB-GENE-090313-173]</t>
  </si>
  <si>
    <t>ENSDARG00000056346</t>
  </si>
  <si>
    <t>acap1</t>
  </si>
  <si>
    <t>ArfGAP with coiled-coil, ankyrin repeat and PH domains 1 [Source:ZFIN;Acc:ZDB-GENE-070112-1242]</t>
  </si>
  <si>
    <t>ENSDARG00000101432</t>
  </si>
  <si>
    <t>rab11fip2</t>
  </si>
  <si>
    <t>RAB11 family interacting protein 2 (class I) [Source:ZFIN;Acc:ZDB-GENE-100727-5]</t>
  </si>
  <si>
    <t>ENSDARG00000070047</t>
  </si>
  <si>
    <t>rgs4</t>
  </si>
  <si>
    <t>regulator of G-protein signaling 4 [Source:ZFIN;Acc:ZDB-GENE-030131-9839]</t>
  </si>
  <si>
    <t>ENSDARG00000013979</t>
  </si>
  <si>
    <t>ndfip1</t>
  </si>
  <si>
    <t>Nedd4 family interacting protein 1 [Source:ZFIN;Acc:ZDB-GENE-030131-2767]</t>
  </si>
  <si>
    <t>ENSDARG00000104373</t>
  </si>
  <si>
    <t>si:zfos-932h1.2</t>
  </si>
  <si>
    <t>si:zfos-932h1.2 [Source:ZFIN;Acc:ZDB-GENE-141212-345]</t>
  </si>
  <si>
    <t>ENSDARG00000003757</t>
  </si>
  <si>
    <t>cnpy1</t>
  </si>
  <si>
    <t>canopy1 [Source:ZFIN;Acc:ZDB-GENE-060315-3]</t>
  </si>
  <si>
    <t>ENSDARG00000023958</t>
  </si>
  <si>
    <t>rnf181</t>
  </si>
  <si>
    <t>ring finger protein 181 [Source:ZFIN;Acc:ZDB-GENE-040426-1024]</t>
  </si>
  <si>
    <t>ENSDARG00000102123</t>
  </si>
  <si>
    <t>phtf2</t>
  </si>
  <si>
    <t>putative homeodomain transcription factor 2 [Source:ZFIN;Acc:ZDB-GENE-040711-4]</t>
  </si>
  <si>
    <t>ENSDARG00000069334</t>
  </si>
  <si>
    <t>AGFG2</t>
  </si>
  <si>
    <t>zgc:114045 [Source:ZFIN;Acc:ZDB-GENE-050913-119]</t>
  </si>
  <si>
    <t>ENSDARG00000053457</t>
  </si>
  <si>
    <t>rpl23</t>
  </si>
  <si>
    <t>ribosomal protein L23 [Source:ZFIN;Acc:ZDB-GENE-030131-8756]</t>
  </si>
  <si>
    <t>ENSDARG00000061185</t>
  </si>
  <si>
    <t>nat15</t>
  </si>
  <si>
    <t>N-acetyltransferase 15 (GCN5-related, putative) [Source:ZFIN;Acc:ZDB-GENE-041111-143]</t>
  </si>
  <si>
    <t>ENSDARG00000057426</t>
  </si>
  <si>
    <t>oard1</t>
  </si>
  <si>
    <t>O-acyl-ADP-ribose deacylase 1 [Source:ZFIN;Acc:ZDB-GENE-050522-480]</t>
  </si>
  <si>
    <t>ENSDARG00000045428</t>
  </si>
  <si>
    <t>mcee</t>
  </si>
  <si>
    <t>methylmalonyl CoA epimerase [Source:ZFIN;Acc:ZDB-GENE-050522-368]</t>
  </si>
  <si>
    <t>ENSDARG00000015759</t>
  </si>
  <si>
    <t>tspan7</t>
  </si>
  <si>
    <t>tetraspanin 7 [Source:ZFIN;Acc:ZDB-GENE-030131-5435]</t>
  </si>
  <si>
    <t>ENSDARG00000070961</t>
  </si>
  <si>
    <t>lepr</t>
  </si>
  <si>
    <t>leptin receptor [Source:ZFIN;Acc:ZDB-GENE-080104-1]</t>
  </si>
  <si>
    <t>ENSDARG00000015314</t>
  </si>
  <si>
    <t>zc4h2</t>
  </si>
  <si>
    <t>zinc finger, C4H2 domain containing [Source:ZFIN;Acc:ZDB-GENE-030131-2207]</t>
  </si>
  <si>
    <t>ENSDARG00000070546</t>
  </si>
  <si>
    <t>msgn1</t>
  </si>
  <si>
    <t>mesogenin 1 [Source:ZFIN;Acc:ZDB-GENE-030722-1]</t>
  </si>
  <si>
    <t>ENSDARG00000104011</t>
  </si>
  <si>
    <t>rps17</t>
  </si>
  <si>
    <t>ribosomal protein S17 [Source:ZFIN;Acc:ZDB-GENE-040426-1852]</t>
  </si>
  <si>
    <t>ENSDARG00000100083</t>
  </si>
  <si>
    <t>sgut1</t>
  </si>
  <si>
    <t>SGT1 homolog, MIS12 kinetochore complex assembly cochaperone [Source:ZFIN;Acc:ZDB-GENE-041114-56]</t>
  </si>
  <si>
    <t>ENSDARG00000103856</t>
  </si>
  <si>
    <t>ptcd3</t>
  </si>
  <si>
    <t>pentatricopeptide repeat domain 3 [Source:ZFIN;Acc:ZDB-GENE-030131-6849]</t>
  </si>
  <si>
    <t>ENSDARG00000062198</t>
  </si>
  <si>
    <t>pcm1</t>
  </si>
  <si>
    <t>pericentriolar material 1 [Source:ZFIN;Acc:ZDB-GENE-030131-428]</t>
  </si>
  <si>
    <t>ENSDARG00000104311</t>
  </si>
  <si>
    <t>scmh1</t>
  </si>
  <si>
    <t>sex comb on midleg homolog 1 (Drosophila) [Source:ZFIN;Acc:ZDB-GENE-070410-82]</t>
  </si>
  <si>
    <t>ENSDARG00000055708</t>
  </si>
  <si>
    <t>timm8b</t>
  </si>
  <si>
    <t>translocase of inner mitochondrial membrane 8 homolog B (yeast) [Source:ZFIN;Acc:ZDB-GENE-031019-1]</t>
  </si>
  <si>
    <t>ENSDARG00000028322</t>
  </si>
  <si>
    <t>pex14</t>
  </si>
  <si>
    <t>peroxisomal biogenesis factor 14 [Source:ZFIN;Acc:ZDB-GENE-060130-169]</t>
  </si>
  <si>
    <t>ENSDARG00000034605</t>
  </si>
  <si>
    <t>zgc:153169</t>
  </si>
  <si>
    <t>zgc:153169 [Source:ZFIN;Acc:ZDB-GENE-060929-764]</t>
  </si>
  <si>
    <t>ENSDARG00000076094</t>
  </si>
  <si>
    <t>klhl30</t>
  </si>
  <si>
    <t>kelch-like family member 30 [Source:ZFIN;Acc:ZDB-GENE-100913-2]</t>
  </si>
  <si>
    <t>ENSDARG00000078211</t>
  </si>
  <si>
    <t>espnla</t>
  </si>
  <si>
    <t>espin-like a [Source:ZFIN;Acc:ZDB-GENE-131121-3]</t>
  </si>
  <si>
    <t>ENSDARG00000077090</t>
  </si>
  <si>
    <t>PLXNB2</t>
  </si>
  <si>
    <t>si:ch211-127b11.1 [Source:ZFIN;Acc:ZDB-GENE-041210-159]</t>
  </si>
  <si>
    <t>ENSDARG00000009488</t>
  </si>
  <si>
    <t>gipc2</t>
  </si>
  <si>
    <t>GIPC PDZ domain containing family, member 2 [Source:ZFIN;Acc:ZDB-GENE-040426-921]</t>
  </si>
  <si>
    <t>ENSDARG00000079525</t>
  </si>
  <si>
    <t>slc39a5</t>
  </si>
  <si>
    <t>solute carrier family 39 (zinc transporter), member 5 [Source:ZFIN;Acc:ZDB-GENE-060608-1]</t>
  </si>
  <si>
    <t>ENSDARG00000062463</t>
  </si>
  <si>
    <t>zc3h12b</t>
  </si>
  <si>
    <t>zinc finger CCCH-type containing 12B [Source:ZFIN;Acc:ZDB-GENE-060526-290]</t>
  </si>
  <si>
    <t>ENSDARG00000011764</t>
  </si>
  <si>
    <t>asun</t>
  </si>
  <si>
    <t>asunder, spermatogenesis regulator homolog (Drosphila) [Source:ZFIN;Acc:ZDB-GENE-030131-6224]</t>
  </si>
  <si>
    <t>ENSDARG00000062538</t>
  </si>
  <si>
    <t>si:dkey-215k6.1</t>
  </si>
  <si>
    <t>si:dkey-215k6.1 [Source:ZFIN;Acc:ZDB-GENE-060526-251]</t>
  </si>
  <si>
    <t>ENSDARG00000053405</t>
  </si>
  <si>
    <t>sord</t>
  </si>
  <si>
    <t>sorbitol dehydrogenase [Source:ZFIN;Acc:ZDB-GENE-040426-1231]</t>
  </si>
  <si>
    <t>ENSDARG00000087536</t>
  </si>
  <si>
    <t>znf407</t>
  </si>
  <si>
    <t>zinc finger protein 407 [Source:ZFIN;Acc:ZDB-GENE-110411-123]</t>
  </si>
  <si>
    <t>ENSDARG00000045790</t>
  </si>
  <si>
    <t>si:ch211-125a15.1</t>
  </si>
  <si>
    <t>si:ch211-125a15.1 [Source:ZFIN;Acc:ZDB-GENE-041210-104]</t>
  </si>
  <si>
    <t>ENSDARG00000002644</t>
  </si>
  <si>
    <t>rgs5a</t>
  </si>
  <si>
    <t>regulator of G-protein signaling 5a [Source:ZFIN;Acc:ZDB-GENE-030131-7570]</t>
  </si>
  <si>
    <t>ENSDARG00000039406</t>
  </si>
  <si>
    <t>prom2</t>
  </si>
  <si>
    <t>prominin 2 [Source:ZFIN;Acc:ZDB-GENE-080723-16]</t>
  </si>
  <si>
    <t>ENSDARG00000016161</t>
  </si>
  <si>
    <t>ccdc170</t>
  </si>
  <si>
    <t>coiled-coil domain containing 170 [Source:ZFIN;Acc:ZDB-GENE-070112-162]</t>
  </si>
  <si>
    <t>ENSDARG00000044575</t>
  </si>
  <si>
    <t>vars</t>
  </si>
  <si>
    <t>valyl-tRNA synthetase [Source:ZFIN;Acc:ZDB-GENE-010601-1]</t>
  </si>
  <si>
    <t>ENSDARG00000057626</t>
  </si>
  <si>
    <t>josd2</t>
  </si>
  <si>
    <t>Josephin domain containing 2 [Source:ZFIN;Acc:ZDB-GENE-040426-850]</t>
  </si>
  <si>
    <t>ENSDARG00000039699</t>
  </si>
  <si>
    <t>fam204a</t>
  </si>
  <si>
    <t>family with sequence similarity 204, member A [Source:ZFIN;Acc:ZDB-GENE-040718-271]</t>
  </si>
  <si>
    <t>ENSDARG00000099352</t>
  </si>
  <si>
    <t>FMN1</t>
  </si>
  <si>
    <t>FMN1.1</t>
  </si>
  <si>
    <t>si:rp71-62i8.1 [Source:ZFIN;Acc:ZDB-GENE-131127-571]</t>
  </si>
  <si>
    <t>ENSDARG00000053129</t>
  </si>
  <si>
    <t>carhsp1</t>
  </si>
  <si>
    <t>calcium regulated heat stable protein 1 [Source:ZFIN;Acc:ZDB-GENE-040426-1479]</t>
  </si>
  <si>
    <t>ENSDARG00000095092</t>
  </si>
  <si>
    <t>si:ch211-232m8.3</t>
  </si>
  <si>
    <t>si:ch211-232m8.3 [Source:ZFIN;Acc:ZDB-GENE-081107-22]</t>
  </si>
  <si>
    <t>ENSDARG00000092889</t>
  </si>
  <si>
    <t>SYCE3</t>
  </si>
  <si>
    <t>zgc:194246 [Source:ZFIN;Acc:ZDB-GENE-081022-85]</t>
  </si>
  <si>
    <t>ENSDARG00000040303</t>
  </si>
  <si>
    <t>nbn</t>
  </si>
  <si>
    <t>nibrin [Source:ZFIN;Acc:ZDB-GENE-041008-35]</t>
  </si>
  <si>
    <t>ENSDARG00000038980</t>
  </si>
  <si>
    <t>txndc12</t>
  </si>
  <si>
    <t>thioredoxin domain containing 12 (endoplasmic reticulum) [Source:ZFIN;Acc:ZDB-GENE-050522-497]</t>
  </si>
  <si>
    <t>ENSDARG00000038151</t>
  </si>
  <si>
    <t>zgc:92360</t>
  </si>
  <si>
    <t>zgc:92360 [Source:ZFIN;Acc:ZDB-GENE-040718-470]</t>
  </si>
  <si>
    <t>ENSDARG00000056378</t>
  </si>
  <si>
    <t>ifi30</t>
  </si>
  <si>
    <t>interferon, gamma-inducible protein 30 [Source:ZFIN;Acc:ZDB-GENE-030131-8447]</t>
  </si>
  <si>
    <t>ENSDARG00000008235</t>
  </si>
  <si>
    <t>cog5</t>
  </si>
  <si>
    <t>component of oligomeric golgi complex 5 [Source:ZFIN;Acc:ZDB-GENE-041210-47]</t>
  </si>
  <si>
    <t>ENSDARG00000053467</t>
  </si>
  <si>
    <t>gtpbp1</t>
  </si>
  <si>
    <t>GTP binding protein 1 [Source:ZFIN;Acc:ZDB-GENE-030909-12]</t>
  </si>
  <si>
    <t>ENSDARG00000062430</t>
  </si>
  <si>
    <t>gpd2</t>
  </si>
  <si>
    <t>glycerol-3-phosphate dehydrogenase 2 (mitochondrial) [Source:ZFIN;Acc:ZDB-GENE-030131-4869]</t>
  </si>
  <si>
    <t>ENSDARG00000104396</t>
  </si>
  <si>
    <t>trim25</t>
  </si>
  <si>
    <t>tripartite motif containing 25 [Source:ZFIN;Acc:ZDB-GENE-040426-797]</t>
  </si>
  <si>
    <t>ENSDARG00000005754</t>
  </si>
  <si>
    <t>ptprfb</t>
  </si>
  <si>
    <t>protein tyrosine phosphatase, receptor type, f, b [Source:ZFIN;Acc:ZDB-GENE-060503-530]</t>
  </si>
  <si>
    <t>ENSDARG00000060716</t>
  </si>
  <si>
    <t>prkx</t>
  </si>
  <si>
    <t>protein kinase, X-linked [Source:ZFIN;Acc:ZDB-GENE-090313-408]</t>
  </si>
  <si>
    <t>ENSDARG00000055719</t>
  </si>
  <si>
    <t>ino80c</t>
  </si>
  <si>
    <t>INO80 complex subunit C [Source:ZFIN;Acc:ZDB-GENE-040625-97]</t>
  </si>
  <si>
    <t>ENSDARG00000038787</t>
  </si>
  <si>
    <t>tmub1</t>
  </si>
  <si>
    <t>transmembrane and ubiquitin-like domain containing 1 [Source:ZFIN;Acc:ZDB-GENE-040426-2504]</t>
  </si>
  <si>
    <t>ENSDARG00000031116</t>
  </si>
  <si>
    <t>dnal4a</t>
  </si>
  <si>
    <t>dynein, axonemal, light chain 4a [Source:ZFIN;Acc:ZDB-GENE-040801-122]</t>
  </si>
  <si>
    <t>ENSDARG00000022623</t>
  </si>
  <si>
    <t>fbxo44</t>
  </si>
  <si>
    <t>F-box protein 44 [Source:ZFIN;Acc:ZDB-GENE-041212-85]</t>
  </si>
  <si>
    <t>ENSDARG00000058574</t>
  </si>
  <si>
    <t>abcg2c</t>
  </si>
  <si>
    <t>ATP-binding cassette, sub-family G (WHITE), member 2c [Source:ZFIN;Acc:ZDB-GENE-050517-37]</t>
  </si>
  <si>
    <t>ENSDARG00000062956</t>
  </si>
  <si>
    <t>dagla</t>
  </si>
  <si>
    <t>diacylglycerol lipase, alpha [Source:ZFIN;Acc:ZDB-GENE-070619-1]</t>
  </si>
  <si>
    <t>ENSDARG00000019038</t>
  </si>
  <si>
    <t>sgsm3</t>
  </si>
  <si>
    <t>small G protein signaling modulator 3 [Source:ZFIN;Acc:ZDB-GENE-040426-2635]</t>
  </si>
  <si>
    <t>ENSDARG00000029663</t>
  </si>
  <si>
    <t>rab1ab</t>
  </si>
  <si>
    <t>RAB1A, member RAS oncogene family b [Source:ZFIN;Acc:ZDB-GENE-030616-564]</t>
  </si>
  <si>
    <t>ENSDARG00000024311</t>
  </si>
  <si>
    <t>nsmce4a</t>
  </si>
  <si>
    <t>NSE4 homolog A, SMC5-SMC6 complex component [Source:ZFIN;Acc:ZDB-GENE-050522-111]</t>
  </si>
  <si>
    <t>ENSDARG00000103598</t>
  </si>
  <si>
    <t>siva1</t>
  </si>
  <si>
    <t>SIVA1, apoptosis-inducing factor [Source:ZFIN;Acc:ZDB-GENE-050506-57]</t>
  </si>
  <si>
    <t>ENSDARG00000097666</t>
  </si>
  <si>
    <t>arid4a.1</t>
  </si>
  <si>
    <t>ENSDARG00000100894</t>
  </si>
  <si>
    <t>si:ch211-193k8.5</t>
  </si>
  <si>
    <t>si:ch211-193k8.5 [Source:ZFIN;Acc:ZDB-GENE-030131-5121]</t>
  </si>
  <si>
    <t>ENSDARG00000093823</t>
  </si>
  <si>
    <t>si:ch211-102c2.8</t>
  </si>
  <si>
    <t>si:ch211-102c2.8 [Source:ZFIN;Acc:ZDB-GENE-081104-98]</t>
  </si>
  <si>
    <t>ENSDARG00000104342</t>
  </si>
  <si>
    <t>csnk1g1</t>
  </si>
  <si>
    <t>casein kinase 1, gamma 1 [Source:ZFIN;Acc:ZDB-GENE-041212-63]</t>
  </si>
  <si>
    <t>ENSDARG00000025032</t>
  </si>
  <si>
    <t>nr3c1</t>
  </si>
  <si>
    <t>nuclear receptor subfamily 3, group C, member 1 (glucocorticoid receptor) [Source:ZFIN;Acc:ZDB-GENE-050522-503]</t>
  </si>
  <si>
    <t>ENSDARG00000037837</t>
  </si>
  <si>
    <t>ogfr</t>
  </si>
  <si>
    <t>opioid growth factor receptor [Source:ZFIN;Acc:ZDB-GENE-030131-377]</t>
  </si>
  <si>
    <t>ENSDARG00000006031</t>
  </si>
  <si>
    <t>abat</t>
  </si>
  <si>
    <t>4-aminobutyrate aminotransferase [Source:ZFIN;Acc:ZDB-GENE-031006-4]</t>
  </si>
  <si>
    <t>ENSDARG00000062457</t>
  </si>
  <si>
    <t>las1l</t>
  </si>
  <si>
    <t>LAS1-like, ribosome biogenesis factor [Source:ZFIN;Acc:ZDB-GENE-030131-3625]</t>
  </si>
  <si>
    <t>ENSDARG00000077188</t>
  </si>
  <si>
    <t>atrnl1a</t>
  </si>
  <si>
    <t>attractin-like 1a [Source:ZFIN;Acc:ZDB-GENE-081028-60]</t>
  </si>
  <si>
    <t>ENSDARG00000025549</t>
  </si>
  <si>
    <t>ndufaf1</t>
  </si>
  <si>
    <t>NADH dehydrogenase (ubiquinone) complex I, assembly factor 1 [Source:ZFIN;Acc:ZDB-GENE-050306-9]</t>
  </si>
  <si>
    <t>ENSDARG00000039411</t>
  </si>
  <si>
    <t>cep68</t>
  </si>
  <si>
    <t>centrosomal protein 68 [Source:ZFIN;Acc:ZDB-GENE-030616-565]</t>
  </si>
  <si>
    <t>ENSDARG00000036826</t>
  </si>
  <si>
    <t>ankrd52a</t>
  </si>
  <si>
    <t>ankyrin repeat domain 52a [Source:ZFIN;Acc:ZDB-GENE-050522-247]</t>
  </si>
  <si>
    <t>ENSDARG00000046090</t>
  </si>
  <si>
    <t>dhrs11a</t>
  </si>
  <si>
    <t>dehydrogenase/reductase (SDR family) member 11a [Source:ZFIN;Acc:ZDB-GENE-060929-324]</t>
  </si>
  <si>
    <t>ENSDARG00000093646</t>
  </si>
  <si>
    <t>si:ch211-270n8.3</t>
  </si>
  <si>
    <t>si:ch211-270n8.3 [Source:ZFIN;Acc:ZDB-GENE-081028-50]</t>
  </si>
  <si>
    <t>ENSDARG00000094423</t>
  </si>
  <si>
    <t>si:ch211-270n8.4</t>
  </si>
  <si>
    <t>si:ch211-270n8.4 [Source:ZFIN;Acc:ZDB-GENE-081028-70]</t>
  </si>
  <si>
    <t>ENSDARG00000015111</t>
  </si>
  <si>
    <t>ddx39ab</t>
  </si>
  <si>
    <t>DEAD (Asp-Glu-Ala-Asp) box polypeptide 39Ab [Source:ZFIN;Acc:ZDB-GENE-040426-2902]</t>
  </si>
  <si>
    <t>ENSDARG00000008947</t>
  </si>
  <si>
    <t>rtf1</t>
  </si>
  <si>
    <t>RTF1 homolog, Paf1/RNA polymerase II complex component [Source:ZFIN;Acc:ZDB-GENE-030131-6778]</t>
  </si>
  <si>
    <t>ENSDARG00000056367</t>
  </si>
  <si>
    <t>mpv17l2</t>
  </si>
  <si>
    <t>MPV17 mitochondrial membrane protein-like 2 [Source:ZFIN;Acc:ZDB-GENE-040718-306]</t>
  </si>
  <si>
    <t>ENSDARG00000077506</t>
  </si>
  <si>
    <t>tjp1a</t>
  </si>
  <si>
    <t>tight junction protein 1a [Source:ZFIN;Acc:ZDB-GENE-031001-2]</t>
  </si>
  <si>
    <t>ENSDARG00000029071</t>
  </si>
  <si>
    <t>creld2</t>
  </si>
  <si>
    <t>cysteine-rich with EGF-like domains 2 [Source:ZFIN;Acc:ZDB-GENE-040426-1626]</t>
  </si>
  <si>
    <t>ENSDARG00000002403</t>
  </si>
  <si>
    <t>nusap1</t>
  </si>
  <si>
    <t>nucleolar and spindle associated protein 1 [Source:ZFIN;Acc:ZDB-GENE-030827-5]</t>
  </si>
  <si>
    <t>ENSDARG00000058159</t>
  </si>
  <si>
    <t>ipo8</t>
  </si>
  <si>
    <t>importin 8 [Source:ZFIN;Acc:ZDB-GENE-060503-3]</t>
  </si>
  <si>
    <t>ENSDARG00000075924</t>
  </si>
  <si>
    <t>RAPGEF4</t>
  </si>
  <si>
    <t>zgc:171558 [Source:ZFIN;Acc:ZDB-GENE-080219-4]</t>
  </si>
  <si>
    <t>ENSDARG00000055359</t>
  </si>
  <si>
    <t>si:dkey-68o6.2</t>
  </si>
  <si>
    <t>si:dkey-68o6.2 [Source:ZFIN;Acc:ZDB-GENE-141212-239]</t>
  </si>
  <si>
    <t>ENSDARG00000075149</t>
  </si>
  <si>
    <t>nagpa</t>
  </si>
  <si>
    <t>N-acetylglucosamine-1-phosphodiester alpha-N-acetylglucosaminidase [Source:ZFIN;Acc:ZDB-GENE-070928-4]</t>
  </si>
  <si>
    <t>ENSDARG00000103682</t>
  </si>
  <si>
    <t>si:dkey-23i12.5</t>
  </si>
  <si>
    <t>si:dkey-23i12.5 [Source:ZFIN;Acc:ZDB-GENE-141222-32]</t>
  </si>
  <si>
    <t>ENSDARG00000040248</t>
  </si>
  <si>
    <t>crata</t>
  </si>
  <si>
    <t>carnitine O-acetyltransferase a [Source:ZFIN;Acc:ZDB-GENE-040927-17]</t>
  </si>
  <si>
    <t>ENSDARG00000028017</t>
  </si>
  <si>
    <t>tp53inp1</t>
  </si>
  <si>
    <t>tumor protein p53 inducible nuclear protein 1 [Source:ZFIN;Acc:ZDB-GENE-031018-3]</t>
  </si>
  <si>
    <t>ENSDARG00000021688</t>
  </si>
  <si>
    <t>mxa</t>
  </si>
  <si>
    <t>myxovirus (influenza) resistance A [Source:ZFIN;Acc:ZDB-GENE-030721-5]</t>
  </si>
  <si>
    <t>ENSDARG00000098529</t>
  </si>
  <si>
    <t>ccne2</t>
  </si>
  <si>
    <t>cyclin E2 [Source:ZFIN;Acc:ZDB-GENE-030131-9689]</t>
  </si>
  <si>
    <t>ENSDARG00000029146</t>
  </si>
  <si>
    <t>lrp1ab</t>
  </si>
  <si>
    <t>low density lipoprotein receptor-related protein 1Ab [Source:ZFIN;Acc:ZDB-GENE-030131-7126]</t>
  </si>
  <si>
    <t>ENSDARG00000027590</t>
  </si>
  <si>
    <t>sept2</t>
  </si>
  <si>
    <t>septin 2 [Source:ZFIN;Acc:ZDB-GENE-030131-911]</t>
  </si>
  <si>
    <t>ENSDARG00000077075</t>
  </si>
  <si>
    <t>fastk</t>
  </si>
  <si>
    <t>Fas-activated serine/threonine kinase [Source:ZFIN;Acc:ZDB-GENE-070912-680]</t>
  </si>
  <si>
    <t>ENSDARG00000010108</t>
  </si>
  <si>
    <t>bri3bp</t>
  </si>
  <si>
    <t>bri3 binding protein [Source:ZFIN;Acc:ZDB-GENE-030131-5254]</t>
  </si>
  <si>
    <t>ENSDARG00000076351</t>
  </si>
  <si>
    <t>brinp3a.1</t>
  </si>
  <si>
    <t>bone morphogenetic protein/retinoic acid inducible neural-specific 3a, tandem duplicate 1 [Source:ZFIN;Acc:ZDB-GENE-080218-16]</t>
  </si>
  <si>
    <t>ENSDARG00000013842</t>
  </si>
  <si>
    <t>tbc1d19</t>
  </si>
  <si>
    <t>TBC1 domain family, member 19 [Source:ZFIN;Acc:ZDB-GENE-040426-1265]</t>
  </si>
  <si>
    <t>ENSDARG00000007697</t>
  </si>
  <si>
    <t>fabp7a</t>
  </si>
  <si>
    <t>fatty acid binding protein 7, brain, a [Source:ZFIN;Acc:ZDB-GENE-000627-1]</t>
  </si>
  <si>
    <t>ENSDARG00000058354</t>
  </si>
  <si>
    <t>selt1a</t>
  </si>
  <si>
    <t>selenoprotein T, 1a [Source:ZFIN;Acc:ZDB-GENE-030327-6]</t>
  </si>
  <si>
    <t>ENSDARG00000033380</t>
  </si>
  <si>
    <t>gyg2</t>
  </si>
  <si>
    <t>glycogenin 2 [Source:ZFIN;Acc:ZDB-GENE-080723-74]</t>
  </si>
  <si>
    <t>ENSDARG00000079949</t>
  </si>
  <si>
    <t>supt16h</t>
  </si>
  <si>
    <t>SPT16 homolog, facilitates chromatin remodeling subunit [Source:ZFIN;Acc:ZDB-GENE-031118-96]</t>
  </si>
  <si>
    <t>ENSDARG00000095890</t>
  </si>
  <si>
    <t>znf236</t>
  </si>
  <si>
    <t>zinc finger protein 236 [Source:ZFIN;Acc:ZDB-GENE-041111-195]</t>
  </si>
  <si>
    <t>ENSDARG00000079891</t>
  </si>
  <si>
    <t>dnajc6</t>
  </si>
  <si>
    <t>DnaJ (Hsp40) homolog, subfamily C, member 6 [Source:ZFIN;Acc:ZDB-GENE-080104-2]</t>
  </si>
  <si>
    <t>ENSDARG00000102428</t>
  </si>
  <si>
    <t>si:dkey-15k2.5</t>
  </si>
  <si>
    <t>si:dkey-15k2.5 [Source:ZFIN;Acc:ZDB-GENE-141216-131]</t>
  </si>
  <si>
    <t>ENSDARG00000086618</t>
  </si>
  <si>
    <t>psma3</t>
  </si>
  <si>
    <t>proteasome subunit alpha 3 [Source:ZFIN;Acc:ZDB-GENE-050913-120]</t>
  </si>
  <si>
    <t>ENSDARG00000035066</t>
  </si>
  <si>
    <t>ubtf</t>
  </si>
  <si>
    <t>upstream binding transcription factor, RNA polymerase I [Source:ZFIN;Acc:ZDB-GENE-030616-252]</t>
  </si>
  <si>
    <t>ENSDARG00000056184</t>
  </si>
  <si>
    <t>dvl2</t>
  </si>
  <si>
    <t>dishevelled segment polarity protein 2 [Source:ZFIN;Acc:ZDB-GENE-041118-20]</t>
  </si>
  <si>
    <t>ENSDARG00000061335</t>
  </si>
  <si>
    <t>galnt1</t>
  </si>
  <si>
    <t>UDP-N-acetyl-alpha-D-galactosamine:polypeptide N-acetylgalactosaminyltransferase 1 [Source:ZFIN;Acc:ZDB-GENE-030131-2360]</t>
  </si>
  <si>
    <t>ENSDARG00000098850</t>
  </si>
  <si>
    <t>si:ch211-274j7.3</t>
  </si>
  <si>
    <t>si:ch211-274j7.3 [Source:ZFIN;Acc:ZDB-GENE-141212-311]</t>
  </si>
  <si>
    <t>ENSDARG00000054814</t>
  </si>
  <si>
    <t>PTP4A3</t>
  </si>
  <si>
    <t>si:ch211-251p5.5 [Source:ZFIN;Acc:ZDB-GENE-030131-2635]</t>
  </si>
  <si>
    <t>ENSDARG00000091872</t>
  </si>
  <si>
    <t>CCDC117</t>
  </si>
  <si>
    <t>si:ch211-102c2.7 [Source:ZFIN;Acc:ZDB-GENE-030131-1001]</t>
  </si>
  <si>
    <t>ENSDARG00000091699</t>
  </si>
  <si>
    <t>capn2a</t>
  </si>
  <si>
    <t>calpain 2, (m/II) large subunit a [Source:ZFIN;Acc:ZDB-GENE-050320-69]</t>
  </si>
  <si>
    <t>ENSDARG00000058020</t>
  </si>
  <si>
    <t>fbxw9</t>
  </si>
  <si>
    <t>F-box and WD repeat domain containing 9 [Source:ZFIN;Acc:ZDB-GENE-091204-198]</t>
  </si>
  <si>
    <t>ENSDARG00000037030</t>
  </si>
  <si>
    <t>casz1</t>
  </si>
  <si>
    <t>castor zinc finger 1 [Source:ZFIN;Acc:ZDB-GENE-060130-108]</t>
  </si>
  <si>
    <t>ENSDARG00000103207</t>
  </si>
  <si>
    <t>rab11fip4b</t>
  </si>
  <si>
    <t>RAB11 family interacting protein 4 (class II) b [Source:ZFIN;Acc:ZDB-GENE-080722-8]</t>
  </si>
  <si>
    <t>ENSDARG00000094323</t>
  </si>
  <si>
    <t>si:dkey-180i4.2</t>
  </si>
  <si>
    <t>si:dkey-180i4.2 [Source:ZFIN;Acc:ZDB-GENE-060526-226]</t>
  </si>
  <si>
    <t>ENSDARG00000075560</t>
  </si>
  <si>
    <t>kmt2cb</t>
  </si>
  <si>
    <t>lysine (K)-specific methyltransferase 2Cb [Source:ZFIN;Acc:ZDB-GENE-070705-340]</t>
  </si>
  <si>
    <t>ENSDARG00000036870</t>
  </si>
  <si>
    <t>arih1l</t>
  </si>
  <si>
    <t>ariadne homolog, ubiquitin-conjugating enzyme E2 binding protein, 1 like [Source:ZFIN;Acc:ZDB-GENE-040426-2395]</t>
  </si>
  <si>
    <t>ENSDARG00000061095</t>
  </si>
  <si>
    <t>stk36</t>
  </si>
  <si>
    <t>serine/threonine kinase 36 (fused homolog, Drosophila) [Source:ZFIN;Acc:ZDB-GENE-030912-6]</t>
  </si>
  <si>
    <t>ENSDARG00000077828</t>
  </si>
  <si>
    <t>slc29a3</t>
  </si>
  <si>
    <t>solute carrier family 29 (equilibrative nucleoside transporter), member 3 [Source:ZFIN;Acc:ZDB-GENE-081107-66]</t>
  </si>
  <si>
    <t>ENSDARG00000104760</t>
  </si>
  <si>
    <t>MAP3K6</t>
  </si>
  <si>
    <t>si:ch211-1i11.3 [Source:ZFIN;Acc:ZDB-GENE-030131-8638]</t>
  </si>
  <si>
    <t>ENSDARG00000098392</t>
  </si>
  <si>
    <t>si:ch73-28h20.1</t>
  </si>
  <si>
    <t>si:ch73-28h20.1 [Source:ZFIN;Acc:ZDB-GENE-141216-463]</t>
  </si>
  <si>
    <t>ENSDARG00000043586</t>
  </si>
  <si>
    <t>fas</t>
  </si>
  <si>
    <t>Fas cell surface death receptor [Source:ZFIN;Acc:ZDB-GENE-061019-2]</t>
  </si>
  <si>
    <t>ENSDARG00000099104</t>
  </si>
  <si>
    <t>rpl24</t>
  </si>
  <si>
    <t>ribosomal protein L24 [Source:ZFIN;Acc:ZDB-GENE-020419-25]</t>
  </si>
  <si>
    <t>ENSDARG00000009196</t>
  </si>
  <si>
    <t>anxa3a</t>
  </si>
  <si>
    <t>annexin A3a [Source:ZFIN;Acc:ZDB-GENE-040912-58]</t>
  </si>
  <si>
    <t>ENSDARG00000029250</t>
  </si>
  <si>
    <t>poli</t>
  </si>
  <si>
    <t>polymerase (DNA directed) iota [Source:ZFIN;Acc:ZDB-GENE-050417-376]</t>
  </si>
  <si>
    <t>ENSDARG00000013221</t>
  </si>
  <si>
    <t>pde4ca</t>
  </si>
  <si>
    <t>phosphodiesterase 4C, cAMP-specific a [Source:ZFIN;Acc:ZDB-GENE-070912-373]</t>
  </si>
  <si>
    <t>ENSDARG00000061904</t>
  </si>
  <si>
    <t>fhod3b</t>
  </si>
  <si>
    <t>formin homology 2 domain containing 3b [Source:ZFIN;Acc:ZDB-GENE-081028-61]</t>
  </si>
  <si>
    <t>ENSDARG00000102407</t>
  </si>
  <si>
    <t>cep97</t>
  </si>
  <si>
    <t>centrosomal protein 97 [Source:ZFIN;Acc:ZDB-GENE-031030-11]</t>
  </si>
  <si>
    <t>ENSDARG00000101178</t>
  </si>
  <si>
    <t>sh3rf2</t>
  </si>
  <si>
    <t>SH3 domain containing ring finger 2 [Source:ZFIN;Acc:ZDB-GENE-141212-301]</t>
  </si>
  <si>
    <t>ENSDARG00000062101</t>
  </si>
  <si>
    <t>iffo2a</t>
  </si>
  <si>
    <t>intermediate filament family orphan 2a [Source:ZFIN;Acc:ZDB-GENE-090313-342]</t>
  </si>
  <si>
    <t>ENSDARG00000101219</t>
  </si>
  <si>
    <t>si:dkey-56m19.4</t>
  </si>
  <si>
    <t>si:dkey-56m19.4 [Source:ZFIN;Acc:ZDB-GENE-141216-108]</t>
  </si>
  <si>
    <t>ENSDARG00000052020</t>
  </si>
  <si>
    <t>cmtm4</t>
  </si>
  <si>
    <t>CKLF-like MARVEL transmembrane domain containing 4 [Source:ZFIN;Acc:ZDB-GENE-040718-195]</t>
  </si>
  <si>
    <t>ENSDARG00000071872</t>
  </si>
  <si>
    <t>zdhhc15b</t>
  </si>
  <si>
    <t>zinc finger, DHHC-type containing 15b [Source:ZFIN;Acc:ZDB-GENE-061110-106]</t>
  </si>
  <si>
    <t>ENSDARG00000035924</t>
  </si>
  <si>
    <t>dync1li2</t>
  </si>
  <si>
    <t>dynein, cytoplasmic 1, light intermediate chain 2 [Source:ZFIN;Acc:ZDB-GENE-050417-156]</t>
  </si>
  <si>
    <t>ENSDARG00000098375</t>
  </si>
  <si>
    <t>polr1a</t>
  </si>
  <si>
    <t>polymerase (RNA) I polypeptide A [Source:ZFIN;Acc:ZDB-GENE-030131-5286]</t>
  </si>
  <si>
    <t>ENSDARG00000097216</t>
  </si>
  <si>
    <t>taf8</t>
  </si>
  <si>
    <t>ENSDARG00000078551</t>
  </si>
  <si>
    <t>zgc:171242</t>
  </si>
  <si>
    <t>zgc:171242 [Source:ZFIN;Acc:ZDB-GENE-071004-79]</t>
  </si>
  <si>
    <t>ENSDARG00000078166</t>
  </si>
  <si>
    <t>ETAA1</t>
  </si>
  <si>
    <t>si:dkey-78p8.1 [Source:ZFIN;Acc:ZDB-GENE-081107-73]</t>
  </si>
  <si>
    <t>ENSDARG00000077863</t>
  </si>
  <si>
    <t>mettl22</t>
  </si>
  <si>
    <t>methyltransferase like 22 [Source:ZFIN;Acc:ZDB-GENE-081022-70]</t>
  </si>
  <si>
    <t>ENSDARG00000055530</t>
  </si>
  <si>
    <t>sertad2b</t>
  </si>
  <si>
    <t>SERTA domain containing 2b [Source:ZFIN;Acc:ZDB-GENE-030616-569]</t>
  </si>
  <si>
    <t>ENSDARG00000070721</t>
  </si>
  <si>
    <t>vdrb</t>
  </si>
  <si>
    <t>vitamin D (1,25- dihydroxyvitamin D3) receptor b [Source:ZFIN;Acc:ZDB-GENE-080403-10]</t>
  </si>
  <si>
    <t>ENSDARG00000058848</t>
  </si>
  <si>
    <t>mcoln1b</t>
  </si>
  <si>
    <t>mucolipin 1b [Source:ZFIN;Acc:ZDB-GENE-130514-1]</t>
  </si>
  <si>
    <t>ENSDARG00000015707</t>
  </si>
  <si>
    <t>dvl3a</t>
  </si>
  <si>
    <t>dishevelled segment polarity protein 3a [Source:ZFIN;Acc:ZDB-GENE-010319-1]</t>
  </si>
  <si>
    <t>ENSDARG00000097071</t>
  </si>
  <si>
    <t>PIFO</t>
  </si>
  <si>
    <t>si:ch211-66i15.4 [Source:ZFIN;Acc:ZDB-GENE-090313-121]</t>
  </si>
  <si>
    <t>ENSDARG00000045568</t>
  </si>
  <si>
    <t>bcat1</t>
  </si>
  <si>
    <t>branched chain amino-acid transaminase 1, cytosolic [Source:ZFIN;Acc:ZDB-GENE-030131-9358]</t>
  </si>
  <si>
    <t>ENSDARG00000009550</t>
  </si>
  <si>
    <t>foxi3b</t>
  </si>
  <si>
    <t>forkhead box I3b [Source:ZFIN;Acc:ZDB-GENE-031126-4]</t>
  </si>
  <si>
    <t>ENSDARG00000044532</t>
  </si>
  <si>
    <t>nr4a2b</t>
  </si>
  <si>
    <t>nuclear receptor subfamily 4, group A, member 2b [Source:ZFIN;Acc:ZDB-GENE-040718-103]</t>
  </si>
  <si>
    <t>ENSDARG00000013346</t>
  </si>
  <si>
    <t>fam208ab</t>
  </si>
  <si>
    <t>family with sequence similarity 208, member Ab [Source:ZFIN;Acc:ZDB-GENE-090311-29]</t>
  </si>
  <si>
    <t>ENSDARG00000074321</t>
  </si>
  <si>
    <t>tead3a</t>
  </si>
  <si>
    <t>TEA domain family member 3 a [Source:ZFIN;Acc:ZDB-GENE-031112-10]</t>
  </si>
  <si>
    <t>ENSDARG00000080019</t>
  </si>
  <si>
    <t>UBA6</t>
  </si>
  <si>
    <t>si:dkey-82j4.2 [Source:ZFIN;Acc:ZDB-GENE-090312-139]</t>
  </si>
  <si>
    <t>ENSDARG00000044433</t>
  </si>
  <si>
    <t>sned1</t>
  </si>
  <si>
    <t>sushi, nidogen and EGF-like domains 1 [Source:ZFIN;Acc:ZDB-GENE-100913-1]</t>
  </si>
  <si>
    <t>ENSDARG00000041607</t>
  </si>
  <si>
    <t>eif4ebp3l</t>
  </si>
  <si>
    <t>eukaryotic translation initiation factor 4E binding protein 3, like [Source:ZFIN;Acc:ZDB-GENE-030826-26]</t>
  </si>
  <si>
    <t>ENSDARG00000062785</t>
  </si>
  <si>
    <t>adpgk2</t>
  </si>
  <si>
    <t>ADP-dependent glucokinase 2 [Source:ZFIN;Acc:ZDB-GENE-090609-3]</t>
  </si>
  <si>
    <t>ENSDARG00000035324</t>
  </si>
  <si>
    <t>hnrpl</t>
  </si>
  <si>
    <t>heterogeneous nuclear ribonucleoprotein L [Source:ZFIN;Acc:ZDB-GENE-040426-710]</t>
  </si>
  <si>
    <t>ENSDARG00000104660</t>
  </si>
  <si>
    <t>si:ch73-132f6.5</t>
  </si>
  <si>
    <t>si:ch73-132f6.5 [Source:ZFIN;Acc:ZDB-GENE-030131-9581]</t>
  </si>
  <si>
    <t>ENSDARG00000099732</t>
  </si>
  <si>
    <t>gfra1a</t>
  </si>
  <si>
    <t>gdnf family receptor alpha 1a [Source:ZFIN;Acc:ZDB-GENE-010226-2]</t>
  </si>
  <si>
    <t>ENSDARG00000006567</t>
  </si>
  <si>
    <t>dus4l</t>
  </si>
  <si>
    <t>dihydrouridine synthase 4-like (S. cerevisiae) [Source:ZFIN;Acc:ZDB-GENE-040801-233]</t>
  </si>
  <si>
    <t>ENSDARG00000006546</t>
  </si>
  <si>
    <t>ak4</t>
  </si>
  <si>
    <t>adenylate kinase 4 [Source:ZFIN;Acc:ZDB-GENE-040426-2505]</t>
  </si>
  <si>
    <t>ENSDARG00000060586</t>
  </si>
  <si>
    <t>ctdspl2b</t>
  </si>
  <si>
    <t>CTD (carboxy-terminal domain, RNA polymerase II, polypeptide A) small phosphatase like 2b [Source:ZFIN;Acc:ZDB-GENE-030131-1809]</t>
  </si>
  <si>
    <t>ENSDARG00000057303</t>
  </si>
  <si>
    <t>galnt7</t>
  </si>
  <si>
    <t>UDP-N-acetyl-alpha-D-galactosamine: polypeptide N-acetylgalactosaminyltransferase 7 [Source:ZFIN;Acc:ZDB-GENE-050522-284]</t>
  </si>
  <si>
    <t>ENSDARG00000093492</t>
  </si>
  <si>
    <t>si:dkey-246i21.1</t>
  </si>
  <si>
    <t>si:dkey-246i21.1 [Source:ZFIN;Acc:ZDB-GENE-090313-271]</t>
  </si>
  <si>
    <t>ENSDARG00000015937</t>
  </si>
  <si>
    <t>kptn</t>
  </si>
  <si>
    <t>kaptin (actin binding protein) [Source:ZFIN;Acc:ZDB-GENE-040801-258]</t>
  </si>
  <si>
    <t>ENSDARG00000036481</t>
  </si>
  <si>
    <t>tcn2</t>
  </si>
  <si>
    <t>transcobalamin II [Source:ZFIN;Acc:ZDB-GENE-030131-4648]</t>
  </si>
  <si>
    <t>ENSDARG00000034817</t>
  </si>
  <si>
    <t>asah1b</t>
  </si>
  <si>
    <t>N-acylsphingosine amidohydrolase (acid ceramidase) 1b [Source:ZFIN;Acc:ZDB-GENE-040426-1512]</t>
  </si>
  <si>
    <t>ENSDARG00000031632</t>
  </si>
  <si>
    <t>chst10</t>
  </si>
  <si>
    <t>carbohydrate sulfotransferase 10 [Source:ZFIN;Acc:ZDB-GENE-040808-40]</t>
  </si>
  <si>
    <t>ENSDARG00000040523</t>
  </si>
  <si>
    <t>smpd2a</t>
  </si>
  <si>
    <t>sphingomyelin phosphodiesterase 2a, neutral membrane (neutral sphingomyelinase) [Source:ZFIN;Acc:ZDB-GENE-051014-1]</t>
  </si>
  <si>
    <t>ENSDARG00000099247</t>
  </si>
  <si>
    <t>si:dkey-68o6.5</t>
  </si>
  <si>
    <t>si:dkey-68o6.5 [Source:ZFIN;Acc:ZDB-GENE-030131-5416]</t>
  </si>
  <si>
    <t>ENSDARG00000101249</t>
  </si>
  <si>
    <t>si:dkey-23a13.15</t>
  </si>
  <si>
    <t>si:dkey-23a13.15 [Source:ZFIN;Acc:ZDB-GENE-160113-119]</t>
  </si>
  <si>
    <t>ENSDARG00000079347</t>
  </si>
  <si>
    <t>zgc:194659</t>
  </si>
  <si>
    <t>zgc:194659 [Source:ZFIN;Acc:ZDB-GENE-081022-139]</t>
  </si>
  <si>
    <t>ENSDARG00000099339</t>
  </si>
  <si>
    <t>pacsin3</t>
  </si>
  <si>
    <t>protein kinase C and casein kinase substrate in neurons 3 [Source:ZFIN;Acc:ZDB-GENE-040426-984]</t>
  </si>
  <si>
    <t>ENSDARG00000034943</t>
  </si>
  <si>
    <t>si:ch211-127l15.5</t>
  </si>
  <si>
    <t>si:ch211-127l15.5 [Source:ZFIN;Acc:ZDB-GENE-030131-1459]</t>
  </si>
  <si>
    <t>ENSDARG00000098647</t>
  </si>
  <si>
    <t>ankdd1a</t>
  </si>
  <si>
    <t>ankyrin repeat and death domain containing 1A [Source:ZFIN;Acc:ZDB-GENE-070615-8]</t>
  </si>
  <si>
    <t>ENSDARG00000004861</t>
  </si>
  <si>
    <t>esrrga</t>
  </si>
  <si>
    <t>estrogen-related receptor gamma a [Source:ZFIN;Acc:ZDB-GENE-030821-2]</t>
  </si>
  <si>
    <t>ENSDARG00000044615</t>
  </si>
  <si>
    <t>zak</t>
  </si>
  <si>
    <t>sterile alpha motif and leucine zipper containing kinase AZK [Source:ZFIN;Acc:ZDB-GENE-070912-386]</t>
  </si>
  <si>
    <t>ENSDARG00000040300</t>
  </si>
  <si>
    <t>gtpbp10</t>
  </si>
  <si>
    <t>GTP-binding protein 10 (putative) [Source:ZFIN;Acc:ZDB-GENE-040718-153]</t>
  </si>
  <si>
    <t>ENSDARG00000029063</t>
  </si>
  <si>
    <t>clpxa</t>
  </si>
  <si>
    <t>caseinolytic mitochondrial matrix peptidase chaperone subunit a [Source:ZFIN;Acc:ZDB-GENE-040912-143]</t>
  </si>
  <si>
    <t>ENSDARG00000062374</t>
  </si>
  <si>
    <t>leng9</t>
  </si>
  <si>
    <t>leukocyte receptor cluster (LRC) member 9 [Source:ZFIN;Acc:ZDB-GENE-061013-607]</t>
  </si>
  <si>
    <t>ENSDARG00000007760</t>
  </si>
  <si>
    <t>spg21</t>
  </si>
  <si>
    <t>spastic paraplegia 21 (autosomal recessive, Mast syndrome) [Source:ZFIN;Acc:ZDB-GENE-040426-2722]</t>
  </si>
  <si>
    <t>ENSDARG00000041199</t>
  </si>
  <si>
    <t>alg12</t>
  </si>
  <si>
    <t>ALG12, alpha-1,6-mannosyltransferase [Source:ZFIN;Acc:ZDB-GENE-041210-295]</t>
  </si>
  <si>
    <t>ENSDARG00000001578</t>
  </si>
  <si>
    <t>echs1</t>
  </si>
  <si>
    <t>enoyl CoA hydratase, short chain, 1, mitochondrial [Source:ZFIN;Acc:ZDB-GENE-030616-617]</t>
  </si>
  <si>
    <t>ENSDARG00000040190</t>
  </si>
  <si>
    <t>qdpra</t>
  </si>
  <si>
    <t>quinoid dihydropteridine reductase a [Source:ZFIN;Acc:ZDB-GENE-070705-197]</t>
  </si>
  <si>
    <t>ENSDARG00000096594</t>
  </si>
  <si>
    <t>lratb</t>
  </si>
  <si>
    <t>lecithin retinol acyltransferase b (phosphatidylcholine-retinol O-acyltransferase) [Source:ZFIN;Acc:ZDB-GENE-060810-31]</t>
  </si>
  <si>
    <t>ENSDARG00000038976</t>
  </si>
  <si>
    <t>pdcd7</t>
  </si>
  <si>
    <t>programmed cell death 7 [Source:ZFIN;Acc:ZDB-GENE-040728-3]</t>
  </si>
  <si>
    <t>ENSDARG00000102806</t>
  </si>
  <si>
    <t>si:dkey-23a13.16</t>
  </si>
  <si>
    <t>si:dkey-23a13.16 [Source:ZFIN;Acc:ZDB-GENE-160113-83]</t>
  </si>
  <si>
    <t>ENSDARG00000091843</t>
  </si>
  <si>
    <t>ubap1lb</t>
  </si>
  <si>
    <t>ubiquitin associated protein 1-like b [Source:ZFIN;Acc:ZDB-GENE-120406-5]</t>
  </si>
  <si>
    <t>ENSDARG00000079336</t>
  </si>
  <si>
    <t>si:ch211-150j10.4</t>
  </si>
  <si>
    <t>si:ch211-150j10.4 [Source:ZFIN;Acc:ZDB-GENE-110411-215]</t>
  </si>
  <si>
    <t>ENSDARG00000094454</t>
  </si>
  <si>
    <t>cdh23</t>
  </si>
  <si>
    <t>cadherin-related 23 [Source:ZFIN;Acc:ZDB-GENE-040513-7]</t>
  </si>
  <si>
    <t>ENSDARG00000104173</t>
  </si>
  <si>
    <t>tufm</t>
  </si>
  <si>
    <t>Tu translation elongation factor, mitochondrial [Source:ZFIN;Acc:ZDB-GENE-050320-73]</t>
  </si>
  <si>
    <t>ENSDARG00000099307</t>
  </si>
  <si>
    <t>si:dkey-10p5.10</t>
  </si>
  <si>
    <t>si:dkey-10p5.10 [Source:ZFIN;Acc:ZDB-GENE-120215-130]</t>
  </si>
  <si>
    <t>ENSDARG00000023878</t>
  </si>
  <si>
    <t>stk24b</t>
  </si>
  <si>
    <t>serine/threonine kinase 24b (STE20 homolog, yeast) [Source:ZFIN;Acc:ZDB-GENE-040426-2841]</t>
  </si>
  <si>
    <t>ENSDARG00000092780</t>
  </si>
  <si>
    <t>si:ch1073-170o4.1</t>
  </si>
  <si>
    <t>si:ch1073-170o4.1 [Source:ZFIN;Acc:ZDB-GENE-030131-7012]</t>
  </si>
  <si>
    <t>ENSDARG00000037122</t>
  </si>
  <si>
    <t>TENM2</t>
  </si>
  <si>
    <t>si:dkey-34l15.2 [Source:ZFIN;Acc:ZDB-GENE-081027-5]</t>
  </si>
  <si>
    <t>ENSDARG00000005476</t>
  </si>
  <si>
    <t>nav3</t>
  </si>
  <si>
    <t>neuron navigator 3 [Source:ZFIN;Acc:ZDB-GENE-021205-1]</t>
  </si>
  <si>
    <t>ENSDARG00000035634</t>
  </si>
  <si>
    <t>rfc5</t>
  </si>
  <si>
    <t>replication factor C (activator 1) 5 [Source:ZFIN;Acc:ZDB-GENE-040907-1]</t>
  </si>
  <si>
    <t>ENSDARG00000038153</t>
  </si>
  <si>
    <t>lgals2b</t>
  </si>
  <si>
    <t>lectin, galactoside-binding, soluble, 2b [Source:ZFIN;Acc:ZDB-GENE-040426-1590]</t>
  </si>
  <si>
    <t>ENSDARG00000006869</t>
  </si>
  <si>
    <t>stx17</t>
  </si>
  <si>
    <t>syntaxin 17 [Source:ZFIN;Acc:ZDB-GENE-041114-164]</t>
  </si>
  <si>
    <t>ENSDARG00000035608</t>
  </si>
  <si>
    <t>pgam5</t>
  </si>
  <si>
    <t>PGAM family member 5, serine/threonine protein phosphatase, mitochondrial [Source:ZFIN;Acc:ZDB-GENE-030131-683]</t>
  </si>
  <si>
    <t>ENSDARG00000100074</t>
  </si>
  <si>
    <t>znf994</t>
  </si>
  <si>
    <t>zinc finger protein 994 [Source:ZFIN;Acc:ZDB-GENE-110913-145]</t>
  </si>
  <si>
    <t>ENSDARG00000099872</t>
  </si>
  <si>
    <t>znf1092</t>
  </si>
  <si>
    <t>szinc finger protein 1092 [Source:ZFIN;Acc:ZDB-GENE-110914-23]</t>
  </si>
  <si>
    <t>ENSDARG00000019008</t>
  </si>
  <si>
    <t>erp44</t>
  </si>
  <si>
    <t>endoplasmic reticulum protein 44 [Source:ZFIN;Acc:ZDB-GENE-040426-1902]</t>
  </si>
  <si>
    <t>ENSDARG00000058608</t>
  </si>
  <si>
    <t>wsb2</t>
  </si>
  <si>
    <t>WD repeat and SOCS box containing 2 [Source:ZFIN;Acc:ZDB-GENE-081104-26]</t>
  </si>
  <si>
    <t>ENSDARG00000015206</t>
  </si>
  <si>
    <t>hnrnpua</t>
  </si>
  <si>
    <t>heterogeneous nuclear ribonucleoprotein Ua [Source:ZFIN;Acc:ZDB-GENE-030131-3731]</t>
  </si>
  <si>
    <t>ENSDARG00000087538</t>
  </si>
  <si>
    <t>kif3a</t>
  </si>
  <si>
    <t>kinesin family member 3A [Source:ZFIN;Acc:ZDB-GENE-050417-71]</t>
  </si>
  <si>
    <t>ENSDARG00000097957</t>
  </si>
  <si>
    <t>si:ch73-239g21.2</t>
  </si>
  <si>
    <t>si:ch73-239g21.2 [Source:ZFIN;Acc:ZDB-GENE-131118-27]</t>
  </si>
  <si>
    <t>ENSDARG00000071018</t>
  </si>
  <si>
    <t>ptena</t>
  </si>
  <si>
    <t>phosphatase and tensin homolog A [Source:ZFIN;Acc:ZDB-GENE-030131-3776]</t>
  </si>
  <si>
    <t>ENSDARG00000070399</t>
  </si>
  <si>
    <t>alg2</t>
  </si>
  <si>
    <t>asparagine-linked glycosylation 2 (alpha-1,3-mannosyltransferase) [Source:ZFIN;Acc:ZDB-GENE-060502-2]</t>
  </si>
  <si>
    <t>ENSDARG00000060348</t>
  </si>
  <si>
    <t>map3k3</t>
  </si>
  <si>
    <t>mitogen-activated protein kinase kinase kinase 3 [Source:ZFIN;Acc:ZDB-GENE-070910-1]</t>
  </si>
  <si>
    <t>ENSDARG00000070455</t>
  </si>
  <si>
    <t>tmem245</t>
  </si>
  <si>
    <t>transmembrane protein 245 [Source:ZFIN;Acc:ZDB-GENE-100922-188]</t>
  </si>
  <si>
    <t>ENSDARG00000089413</t>
  </si>
  <si>
    <t>mbpb</t>
  </si>
  <si>
    <t>myelin basic protein b [Source:ZFIN;Acc:ZDB-GENE-030429-21]</t>
  </si>
  <si>
    <t>ENSDARG00000076568</t>
  </si>
  <si>
    <t>sec61b</t>
  </si>
  <si>
    <t>Sec61 translocon beta subunit [Source:ZFIN;Acc:ZDB-GENE-040718-260]</t>
  </si>
  <si>
    <t>ENSDARG00000073764</t>
  </si>
  <si>
    <t>si:ch211-113j14.1</t>
  </si>
  <si>
    <t>si:ch211-113j14.1 [Source:ZFIN;Acc:ZDB-GENE-120215-110]</t>
  </si>
  <si>
    <t>ENSDARG00000069118</t>
  </si>
  <si>
    <t>ppp2r5eb</t>
  </si>
  <si>
    <t>protein phosphatase 2, regulatory subunit B', epsilon isoform b [Source:ZFIN;Acc:ZDB-GENE-030904-6]</t>
  </si>
  <si>
    <t>ENSDARG00000055854</t>
  </si>
  <si>
    <t>nr4a3</t>
  </si>
  <si>
    <t>nuclear receptor subfamily 4, group A, member 3 [Source:ZFIN;Acc:ZDB-GENE-070824-4]</t>
  </si>
  <si>
    <t>ENSDARG00000054414</t>
  </si>
  <si>
    <t>spata17</t>
  </si>
  <si>
    <t>spermatogenesis associated 17 [Source:ZFIN;Acc:ZDB-GENE-111214-1]</t>
  </si>
  <si>
    <t>ENSDARG00000032963</t>
  </si>
  <si>
    <t>her12</t>
  </si>
  <si>
    <t>hairy-related 12 [Source:ZFIN;Acc:ZDB-GENE-040824-5]</t>
  </si>
  <si>
    <t>ENSDARG00000059048</t>
  </si>
  <si>
    <t>mpzl1l</t>
  </si>
  <si>
    <t>myelin protein zero-like 1 like [Source:ZFIN;Acc:ZDB-GENE-050417-455]</t>
  </si>
  <si>
    <t>ENSDARG00000078929</t>
  </si>
  <si>
    <t>abhd16a</t>
  </si>
  <si>
    <t>abhydrolase domain containing 16A [Source:ZFIN;Acc:ZDB-GENE-010601-2]</t>
  </si>
  <si>
    <t>ENSDARG00000038113</t>
  </si>
  <si>
    <t>rprd1b</t>
  </si>
  <si>
    <t>regulation of nuclear pre-mRNA domain containing 1B [Source:ZFIN;Acc:ZDB-GENE-030131-355]</t>
  </si>
  <si>
    <t>ENSDARG00000089260</t>
  </si>
  <si>
    <t>dus1l</t>
  </si>
  <si>
    <t>dihydrouridine synthase 1-like (S. cerevisiae) [Source:ZFIN;Acc:ZDB-GENE-030131-1435]</t>
  </si>
  <si>
    <t>ENSDARG00000056504</t>
  </si>
  <si>
    <t>frg1</t>
  </si>
  <si>
    <t>FSHD region gene 1 [Source:ZFIN;Acc:ZDB-GENE-050417-324]</t>
  </si>
  <si>
    <t>ENSDARG00000075421</t>
  </si>
  <si>
    <t>pttg1</t>
  </si>
  <si>
    <t>pituitary tumor-transforming 1 [Source:ZFIN;Acc:ZDB-GENE-081104-345]</t>
  </si>
  <si>
    <t>ENSDARG00000004114</t>
  </si>
  <si>
    <t>tti1</t>
  </si>
  <si>
    <t>TELO2 interacting protein 1 [Source:ZFIN;Acc:ZDB-GENE-080819-3]</t>
  </si>
  <si>
    <t>ENSDARG00000016086</t>
  </si>
  <si>
    <t>smurf1</t>
  </si>
  <si>
    <t>SMAD specific E3 ubiquitin protein ligase 1 [Source:ZFIN;Acc:ZDB-GENE-040426-2744]</t>
  </si>
  <si>
    <t>ENSDARG00000061451</t>
  </si>
  <si>
    <t>n4bp2</t>
  </si>
  <si>
    <t>NEDD4 binding protein 2 [Source:ZFIN;Acc:ZDB-GENE-061103-451]</t>
  </si>
  <si>
    <t>ENSDARG00000051975</t>
  </si>
  <si>
    <t>cd99</t>
  </si>
  <si>
    <t>CD99 molecule [Source:ZFIN;Acc:ZDB-GENE-061103-391]</t>
  </si>
  <si>
    <t>ENSDARG00000016687</t>
  </si>
  <si>
    <t>acadvl</t>
  </si>
  <si>
    <t>acyl-CoA dehydrogenase, very long chain [Source:ZFIN;Acc:ZDB-GENE-030131-899]</t>
  </si>
  <si>
    <t>ENSDARG00000102937</t>
  </si>
  <si>
    <t>hspbp1</t>
  </si>
  <si>
    <t>HSPA (heat shock 70kDa) binding protein, cytoplasmic cochaperone 1 [Source:ZFIN;Acc:ZDB-GENE-030219-55]</t>
  </si>
  <si>
    <t>ENSDARG00000060683</t>
  </si>
  <si>
    <t>lrsam1</t>
  </si>
  <si>
    <t>leucine rich repeat and sterile alpha motif containing 1 [Source:ZFIN;Acc:ZDB-GENE-060526-97]</t>
  </si>
  <si>
    <t>ENSDARG00000099355</t>
  </si>
  <si>
    <t>si:ch211-238e22.1</t>
  </si>
  <si>
    <t>si:ch211-238e22.1 [Source:ZFIN;Acc:ZDB-GENE-041210-345]</t>
  </si>
  <si>
    <t>ENSDARG00000040298</t>
  </si>
  <si>
    <t>apoa4b.1</t>
  </si>
  <si>
    <t>apolipoprotein A-IV b, tandem duplicate 1 [Source:ZFIN;Acc:ZDB-GENE-030131-1263]</t>
  </si>
  <si>
    <t>ENSDARG00000003208</t>
  </si>
  <si>
    <t>pomk</t>
  </si>
  <si>
    <t>protein-O-mannose kinase [Source:ZFIN;Acc:ZDB-GENE-041114-119]</t>
  </si>
  <si>
    <t>ENSDARG00000090818</t>
  </si>
  <si>
    <t>CACFD1</t>
  </si>
  <si>
    <t>si:ch73-209e20.5 [Source:ZFIN;Acc:ZDB-GENE-120215-178]</t>
  </si>
  <si>
    <t>ENSDARG00000093597</t>
  </si>
  <si>
    <t>oip5</t>
  </si>
  <si>
    <t>opa interacting protein 5 [Source:ZFIN;Acc:ZDB-GENE-090313-328]</t>
  </si>
  <si>
    <t>ENSDARG00000001776</t>
  </si>
  <si>
    <t>stim2b</t>
  </si>
  <si>
    <t>stromal interaction molecule 2b [Source:ZFIN;Acc:ZDB-GENE-120404-3]</t>
  </si>
  <si>
    <t>ENSDARG00000012881</t>
  </si>
  <si>
    <t>slc4a1a</t>
  </si>
  <si>
    <t>solute carrier family 4 (anion exchanger), member 1a (Diego blood group) [Source:ZFIN;Acc:ZDB-GENE-010525-1]</t>
  </si>
  <si>
    <t>ENSDARG00000024602</t>
  </si>
  <si>
    <t>zgc:162964</t>
  </si>
  <si>
    <t>zgc:162964 [Source:ZFIN;Acc:ZDB-GENE-030131-9798]</t>
  </si>
  <si>
    <t>ENSDARG00000029242</t>
  </si>
  <si>
    <t>fbxo3</t>
  </si>
  <si>
    <t>F-box protein 3 [Source:ZFIN;Acc:ZDB-GENE-050522-269]</t>
  </si>
  <si>
    <t>ENSDARG00000078092</t>
  </si>
  <si>
    <t>limd2</t>
  </si>
  <si>
    <t>LIM domain containing 2 [Source:ZFIN;Acc:ZDB-GENE-120906-1]</t>
  </si>
  <si>
    <t>ENSDARG00000031956</t>
  </si>
  <si>
    <t>tmem63a</t>
  </si>
  <si>
    <t>transmembrane protein 63A [Source:ZFIN;Acc:ZDB-GENE-041210-107]</t>
  </si>
  <si>
    <t>ENSDARG00000079202</t>
  </si>
  <si>
    <t>parp2</t>
  </si>
  <si>
    <t>poly (ADP-ribose) polymerase 2 [Source:ZFIN;Acc:ZDB-GENE-031113-6]</t>
  </si>
  <si>
    <t>ENSDARG00000004452</t>
  </si>
  <si>
    <t>tardbpl</t>
  </si>
  <si>
    <t>TAR DNA binding protein, like [Source:ZFIN;Acc:ZDB-GENE-031030-1]</t>
  </si>
  <si>
    <t>ENSDARG00000057899</t>
  </si>
  <si>
    <t>zgc:114081</t>
  </si>
  <si>
    <t>zgc:114081 [Source:ZFIN;Acc:ZDB-GENE-050913-78]</t>
  </si>
  <si>
    <t>ENSDARG00000029722</t>
  </si>
  <si>
    <t>hmgb2a</t>
  </si>
  <si>
    <t>high mobility group box 2a [Source:ZFIN;Acc:ZDB-GENE-051120-126]</t>
  </si>
  <si>
    <t>ENSDARG00000069363</t>
  </si>
  <si>
    <t>zgc:153142</t>
  </si>
  <si>
    <t>zgc:153142 [Source:ZFIN;Acc:ZDB-GENE-061013-507]</t>
  </si>
  <si>
    <t>ENSDARG00000039310</t>
  </si>
  <si>
    <t>parla</t>
  </si>
  <si>
    <t>presenilin associated, rhomboid-like a [Source:ZFIN;Acc:ZDB-GENE-050327-8]</t>
  </si>
  <si>
    <t>ENSDARG00000104804</t>
  </si>
  <si>
    <t>si:ch211-238e22.8</t>
  </si>
  <si>
    <t>si:ch211-238e22.8 [Source:ZFIN;Acc:ZDB-GENE-050419-231]</t>
  </si>
  <si>
    <t>ENSDARG00000103889</t>
  </si>
  <si>
    <t>mettl17</t>
  </si>
  <si>
    <t>methyltransferase like 17 [Source:ZFIN;Acc:ZDB-GENE-031118-203]</t>
  </si>
  <si>
    <t>ENSDARG00000030887</t>
  </si>
  <si>
    <t>phf23a</t>
  </si>
  <si>
    <t>PHD finger protein 23a [Source:ZFIN;Acc:ZDB-GENE-050320-67]</t>
  </si>
  <si>
    <t>ENSDARG00000062795</t>
  </si>
  <si>
    <t>abcb7</t>
  </si>
  <si>
    <t>ATP-binding cassette, sub-family B (MDR/TAP), member 7 [Source:ZFIN;Acc:ZDB-GENE-050517-10]</t>
  </si>
  <si>
    <t>ENSDARG00000037905</t>
  </si>
  <si>
    <t>cacna1aa</t>
  </si>
  <si>
    <t>calcium channel, voltage-dependent, P/Q type, alpha 1A subunit, a [Source:ZFIN;Acc:ZDB-GENE-040724-26]</t>
  </si>
  <si>
    <t>ENSDARG00000094426</t>
  </si>
  <si>
    <t>her4.2</t>
  </si>
  <si>
    <t>hairy-related 4, tandem duplicate 2 [Source:ZFIN;Acc:ZDB-GENE-060815-1]</t>
  </si>
  <si>
    <t>ENSDARG00000063149</t>
  </si>
  <si>
    <t>tmtc1</t>
  </si>
  <si>
    <t>transmembrane and tetratricopeptide repeat containing 1 [Source:ZFIN;Acc:ZDB-GENE-070705-219]</t>
  </si>
  <si>
    <t>ENSDARG00000105328</t>
  </si>
  <si>
    <t>si:dkey-23a13.17</t>
  </si>
  <si>
    <t>si:dkey-23a13.17 [Source:ZFIN;Acc:ZDB-GENE-160113-52]</t>
  </si>
  <si>
    <t>ENSDARG00000068432</t>
  </si>
  <si>
    <t>si:dkey-56m19.5</t>
  </si>
  <si>
    <t>si:dkey-56m19.5 [Source:ZFIN;Acc:ZDB-GENE-030131-226]</t>
  </si>
  <si>
    <t>ENSDARG00000070770</t>
  </si>
  <si>
    <t>her4.3</t>
  </si>
  <si>
    <t>hairy-related 4, tandem duplicate 3 [Source:ZFIN;Acc:ZDB-GENE-081030-7]</t>
  </si>
  <si>
    <t>ENSDARG00000056729</t>
  </si>
  <si>
    <t>her4.2.1</t>
  </si>
  <si>
    <t>ENSDARG00000020009</t>
  </si>
  <si>
    <t>bmp2k</t>
  </si>
  <si>
    <t>BMP2 inducible kinase [Source:ZFIN;Acc:ZDB-GENE-041212-72]</t>
  </si>
  <si>
    <t>ENSDARG00000093456</t>
  </si>
  <si>
    <t>si:dkey-71p21.9</t>
  </si>
  <si>
    <t>si:dkey-71p21.9 [Source:ZFIN;Acc:ZDB-GENE-030131-2500]</t>
  </si>
  <si>
    <t>ENSDARG00000056732</t>
  </si>
  <si>
    <t>her4.1</t>
  </si>
  <si>
    <t>hairy-related 4, tandem duplicate 1 [Source:ZFIN;Acc:ZDB-GENE-980526-521]</t>
  </si>
  <si>
    <t>ENSDARG00000062884</t>
  </si>
  <si>
    <t>map3k2</t>
  </si>
  <si>
    <t>mitogen-activated protein kinase kinase kinase 2 [Source:ZFIN;Acc:ZDB-GENE-120215-96]</t>
  </si>
  <si>
    <t>ENSDARG00000059116</t>
  </si>
  <si>
    <t>heatr5b</t>
  </si>
  <si>
    <t>HEAT repeat containing 5B [Source:ZFIN;Acc:ZDB-GENE-130530-676]</t>
  </si>
  <si>
    <t>ENSDARG00000074663</t>
  </si>
  <si>
    <t>zgc:162183</t>
  </si>
  <si>
    <t>zgc:162183 [Source:ZFIN;Acc:ZDB-GENE-070410-30]</t>
  </si>
  <si>
    <t>ENSDARG00000009822</t>
  </si>
  <si>
    <t>her4.4</t>
  </si>
  <si>
    <t>hairy-related 4, tandem duplicate 4 [Source:ZFIN;Acc:ZDB-GENE-081031-104]</t>
  </si>
  <si>
    <t>ENSDARG00000012078</t>
  </si>
  <si>
    <t>meis1b</t>
  </si>
  <si>
    <t>Meis homeobox 1 b [Source:ZFIN;Acc:ZDB-GENE-020122-1]</t>
  </si>
  <si>
    <t>ENSDARG00000011233</t>
  </si>
  <si>
    <t>pcyt1aa</t>
  </si>
  <si>
    <t>phosphate cytidylyltransferase 1, choline, alpha a [Source:ZFIN;Acc:ZDB-GENE-050417-108]</t>
  </si>
  <si>
    <t>ENSDARG00000104350</t>
  </si>
  <si>
    <t>si:dkey-68o6.6</t>
  </si>
  <si>
    <t>si:dkey-68o6.6 [Source:ZFIN;Acc:ZDB-GENE-141212-381]</t>
  </si>
  <si>
    <t>ENSDARG00000100155</t>
  </si>
  <si>
    <t>si:ch211-217i17.1</t>
  </si>
  <si>
    <t>si:ch211-217i17.1 [Source:ZFIN;Acc:ZDB-GENE-131122-15]</t>
  </si>
  <si>
    <t>ENSDARG00000094191</t>
  </si>
  <si>
    <t>nup37</t>
  </si>
  <si>
    <t>nucleoporin 37 [Source:ZFIN;Acc:ZDB-GENE-040718-363]</t>
  </si>
  <si>
    <t>ENSDARG00000024306</t>
  </si>
  <si>
    <t>zbed4</t>
  </si>
  <si>
    <t>zinc finger, BED-type containing 4 [Source:ZFIN;Acc:ZDB-GENE-041210-305]</t>
  </si>
  <si>
    <t>ENSDARG00000053370</t>
  </si>
  <si>
    <t>eif3jb</t>
  </si>
  <si>
    <t>eukaryotic translation initiation factor 3, subunit Jb [Source:ZFIN;Acc:ZDB-GENE-040426-2900]</t>
  </si>
  <si>
    <t>ENSDARG00000101061</t>
  </si>
  <si>
    <t>eif2a</t>
  </si>
  <si>
    <t>eukaryotic translation initiation factor 2A [Source:ZFIN;Acc:ZDB-GENE-050626-52]</t>
  </si>
  <si>
    <t>ENSDARG00000006617</t>
  </si>
  <si>
    <t>napga</t>
  </si>
  <si>
    <t>N-ethylmaleimide-sensitive factor attachment protein, gamma a [Source:ZFIN;Acc:ZDB-GENE-050320-46]</t>
  </si>
  <si>
    <t>ENSDARG00000040881</t>
  </si>
  <si>
    <t>hnrnph1</t>
  </si>
  <si>
    <t>heterogeneous nuclear ribonucleoprotein H1 [Source:ZFIN;Acc:ZDB-GENE-040426-1856]</t>
  </si>
  <si>
    <t>ENSDARG00000062806</t>
  </si>
  <si>
    <t>ttll9</t>
  </si>
  <si>
    <t>tubulin tyrosine ligase-like family, member 9 [Source:ZFIN;Acc:ZDB-GENE-030131-1582]</t>
  </si>
  <si>
    <t>ENSDARG00000098802</t>
  </si>
  <si>
    <t>map7d1a</t>
  </si>
  <si>
    <t>MAP7 domain containing 1a [Source:ZFIN;Acc:ZDB-GENE-060503-22]</t>
  </si>
  <si>
    <t>ENSDARG00000029944</t>
  </si>
  <si>
    <t>parpbp</t>
  </si>
  <si>
    <t>PARP1 binding protein [Source:ZFIN;Acc:ZDB-GENE-060421-5714]</t>
  </si>
  <si>
    <t>ENSDARG00000100363</t>
  </si>
  <si>
    <t>dcun1d5</t>
  </si>
  <si>
    <t>DCN1, defective in cullin neddylation 1, domain containing 5 (S. cerevisiae) [Source:ZFIN;Acc:ZDB-GENE-040426-2603]</t>
  </si>
  <si>
    <t>ENSDARG00000057984</t>
  </si>
  <si>
    <t>eps8l1</t>
  </si>
  <si>
    <t>eps8-like1 [Source:ZFIN;Acc:ZDB-GENE-050306-14]</t>
  </si>
  <si>
    <t>ENSDARG00000077265</t>
  </si>
  <si>
    <t>wdr89</t>
  </si>
  <si>
    <t>WD repeat domain 89 [Source:ZFIN;Acc:ZDB-GENE-090319-3]</t>
  </si>
  <si>
    <t>ENSDARG00000077653</t>
  </si>
  <si>
    <t>rabl6b</t>
  </si>
  <si>
    <t>RAB, member RAS oncogene family-like 6b [Source:ZFIN;Acc:ZDB-GENE-081104-97]</t>
  </si>
  <si>
    <t>ENSDARG00000104710</t>
  </si>
  <si>
    <t>psip1</t>
  </si>
  <si>
    <t>PC4 and SFRS1 interacting protein 1 [Source:ZFIN;Acc:ZDB-GENE-050522-104]</t>
  </si>
  <si>
    <t>ENSDARG00000101540</t>
  </si>
  <si>
    <t>fgf3</t>
  </si>
  <si>
    <t>fibroblast growth factor 3 [Source:ZFIN;Acc:ZDB-GENE-980526-178]</t>
  </si>
  <si>
    <t>ENSDARG00000097429</t>
  </si>
  <si>
    <t>si:dkey-192l18.11</t>
  </si>
  <si>
    <t>si:dkey-192l18.11 [Source:ZFIN;Acc:ZDB-GENE-131121-477]</t>
  </si>
  <si>
    <t>ENSDARG00000103154</t>
  </si>
  <si>
    <t>TRIM35.2</t>
  </si>
  <si>
    <t>si:ch73-144l3.1 [Source:ZFIN;Acc:ZDB-GENE-131119-96]</t>
  </si>
  <si>
    <t>ENSDARG00000071567</t>
  </si>
  <si>
    <t>TSTD1</t>
  </si>
  <si>
    <t>si:dkey-34l15.1 [Source:ZFIN;Acc:ZDB-GENE-081107-63]</t>
  </si>
  <si>
    <t>ENSDARG00000101474</t>
  </si>
  <si>
    <t>snapc3</t>
  </si>
  <si>
    <t>small nuclear RNA activating complex, polypeptide 3 [Source:ZFIN;Acc:ZDB-GENE-040426-971]</t>
  </si>
  <si>
    <t>ENSDARG00000056347</t>
  </si>
  <si>
    <t>rab3aa</t>
  </si>
  <si>
    <t>RAB3A, member RAS oncogene family, a [Source:ZFIN;Acc:ZDB-GENE-040801-2]</t>
  </si>
  <si>
    <t>ENSDARG00000101720</t>
  </si>
  <si>
    <t>si:dkey-23a13.18</t>
  </si>
  <si>
    <t>si:dkey-23a13.18 [Source:ZFIN;Acc:ZDB-GENE-160113-116]</t>
  </si>
  <si>
    <t>ENSDARG00000029600</t>
  </si>
  <si>
    <t>wdr32</t>
  </si>
  <si>
    <t>WD repeat domain 32 [Source:ZFIN;Acc:ZDB-GENE-040426-2314]</t>
  </si>
  <si>
    <t>ENSDARG00000039422</t>
  </si>
  <si>
    <t>fuom</t>
  </si>
  <si>
    <t>fucose mutarotase [Source:ZFIN;Acc:ZDB-GENE-030616-618]</t>
  </si>
  <si>
    <t>ENSDARG00000059987</t>
  </si>
  <si>
    <t>dnah12</t>
  </si>
  <si>
    <t>dynein, axonemal, heavy chain 12 [Source:ZFIN;Acc:ZDB-GENE-090311-9]</t>
  </si>
  <si>
    <t>ENSDARG00000060430</t>
  </si>
  <si>
    <t>zfyve28</t>
  </si>
  <si>
    <t>zinc finger, FYVE domain containing 28 [Source:ZFIN;Acc:ZDB-GENE-061103-208]</t>
  </si>
  <si>
    <t>ENSDARG00000016231</t>
  </si>
  <si>
    <t>bcap29</t>
  </si>
  <si>
    <t>B-cell receptor-associated protein 29 [Source:ZFIN;Acc:ZDB-GENE-050522-468]</t>
  </si>
  <si>
    <t>ENSDARG00000013596</t>
  </si>
  <si>
    <t>brd1a</t>
  </si>
  <si>
    <t>bromodomain containing 1a [Source:ZFIN;Acc:ZDB-GENE-041008-168]</t>
  </si>
  <si>
    <t>ENSDARG00000012035</t>
  </si>
  <si>
    <t>zgc:100832</t>
  </si>
  <si>
    <t>zgc:100832 [Source:ZFIN;Acc:ZDB-GENE-040801-53]</t>
  </si>
  <si>
    <t>ENSDARG00000074323</t>
  </si>
  <si>
    <t>efcab2</t>
  </si>
  <si>
    <t>EF-hand calcium binding domain 2 [Source:ZFIN;Acc:ZDB-GENE-070521-5]</t>
  </si>
  <si>
    <t>ENSDARG00000060534</t>
  </si>
  <si>
    <t>sgpp1</t>
  </si>
  <si>
    <t>sphingosine-1-phosphate phosphatase 1 [Source:ZFIN;Acc:ZDB-GENE-090319-2]</t>
  </si>
  <si>
    <t>ENSDARG00000099920</t>
  </si>
  <si>
    <t>si:dkey-23a13.19</t>
  </si>
  <si>
    <t>si:dkey-23a13.19 [Source:ZFIN;Acc:ZDB-GENE-160113-37]</t>
  </si>
  <si>
    <t>ENSDARG00000028442</t>
  </si>
  <si>
    <t>rsg1</t>
  </si>
  <si>
    <t>REM2 and RAB-like small GTPase 1 [Source:ZFIN;Acc:ZDB-GENE-040912-80]</t>
  </si>
  <si>
    <t>ENSDARG00000074050</t>
  </si>
  <si>
    <t>efnb2b</t>
  </si>
  <si>
    <t>ephrin-B2b [Source:ZFIN;Acc:ZDB-GENE-010618-1]</t>
  </si>
  <si>
    <t>ENSDARG00000091471</t>
  </si>
  <si>
    <t>ECT2L</t>
  </si>
  <si>
    <t>epithelial cell transforming 2 like [Source:HGNC Symbol;Acc:HGNC:21118]</t>
  </si>
  <si>
    <t>ENSDARG00000020625</t>
  </si>
  <si>
    <t>jak1</t>
  </si>
  <si>
    <t>Janus kinase 1 [Source:ZFIN;Acc:ZDB-GENE-980526-142]</t>
  </si>
  <si>
    <t>ENSDARG00000019364</t>
  </si>
  <si>
    <t>mbip</t>
  </si>
  <si>
    <t>MAP3K12 binding inhibitory protein 1 [Source:ZFIN;Acc:ZDB-GENE-060810-43]</t>
  </si>
  <si>
    <t>ENSDARG00000037142</t>
  </si>
  <si>
    <t>zgc:153146</t>
  </si>
  <si>
    <t>zgc:153146 [Source:ZFIN;Acc:ZDB-GENE-060825-339]</t>
  </si>
  <si>
    <t>ENSDARG00000001785</t>
  </si>
  <si>
    <t>irx2a</t>
  </si>
  <si>
    <t>iroquois homeobox 2a [Source:ZFIN;Acc:ZDB-GENE-040426-1446]</t>
  </si>
  <si>
    <t>ENSDARG00000002369</t>
  </si>
  <si>
    <t>UBC</t>
  </si>
  <si>
    <t>si:ch211-202a12.4 [Source:ZFIN;Acc:ZDB-GENE-030131-8486]</t>
  </si>
  <si>
    <t>ENSDARG00000062385</t>
  </si>
  <si>
    <t>flcn</t>
  </si>
  <si>
    <t>folliculin [Source:ZFIN;Acc:ZDB-GENE-060421-3470]</t>
  </si>
  <si>
    <t>ENSDARG00000093313</t>
  </si>
  <si>
    <t>ubb</t>
  </si>
  <si>
    <t>ubiquitin B [Source:ZFIN;Acc:ZDB-GENE-050411-10]</t>
  </si>
  <si>
    <t>ENSDARG00000104287</t>
  </si>
  <si>
    <t>oraov1</t>
  </si>
  <si>
    <t>oral cancer overexpressed 1 [Source:ZFIN;Acc:ZDB-GENE-030729-33]</t>
  </si>
  <si>
    <t>ENSDARG00000035607</t>
  </si>
  <si>
    <t>ankle2</t>
  </si>
  <si>
    <t>ankyrin repeat and LEM domain containing 2 [Source:ZFIN;Acc:ZDB-GENE-030131-6090]</t>
  </si>
  <si>
    <t>ENSDARG00000074636</t>
  </si>
  <si>
    <t>cep170b</t>
  </si>
  <si>
    <t>centrosomal protein 170B [Source:ZFIN;Acc:ZDB-GENE-131127-515]</t>
  </si>
  <si>
    <t>ENSDARG00000078206</t>
  </si>
  <si>
    <t>zgc:171506</t>
  </si>
  <si>
    <t>zgc:171506 [Source:ZFIN;Acc:ZDB-GENE-080204-96]</t>
  </si>
  <si>
    <t>ENSDARG00000097518</t>
  </si>
  <si>
    <t>si:ch211-205j18.1</t>
  </si>
  <si>
    <t>si:ch211-205j18.1 [Source:ZFIN;Acc:ZDB-GENE-131119-98]</t>
  </si>
  <si>
    <t>ENSDARG00000059653</t>
  </si>
  <si>
    <t>kdm2aa</t>
  </si>
  <si>
    <t>lysine (K)-specific demethylase 2Aa [Source:ZFIN;Acc:ZDB-GENE-061215-144]</t>
  </si>
  <si>
    <t>ENSDARG00000093156</t>
  </si>
  <si>
    <t>si:ch73-21g5.7</t>
  </si>
  <si>
    <t>si:ch73-21g5.7 [Source:ZFIN;Acc:ZDB-GENE-081104-260]</t>
  </si>
  <si>
    <t>ENSDARG00000098176</t>
  </si>
  <si>
    <t>si:rp71-1h20.5</t>
  </si>
  <si>
    <t>si:rp71-1h20.5 [Source:ZFIN;Acc:ZDB-GENE-030131-7869]</t>
  </si>
  <si>
    <t>ENSDARG00000102436</t>
  </si>
  <si>
    <t>WIZ</t>
  </si>
  <si>
    <t>si:ch211-194b1.1 [Source:ZFIN;Acc:ZDB-GENE-131126-2]</t>
  </si>
  <si>
    <t>ENSDARG00000063068</t>
  </si>
  <si>
    <t>syne1b</t>
  </si>
  <si>
    <t>spectrin repeat containing, nuclear envelope 1b [Source:ZFIN;Acc:ZDB-GENE-071218-4]</t>
  </si>
  <si>
    <t>ENSDARG00000073716</t>
  </si>
  <si>
    <t>cpxm1a</t>
  </si>
  <si>
    <t>carboxypeptidase X (M14 family), member 1a [Source:ZFIN;Acc:ZDB-GENE-030131-5284]</t>
  </si>
  <si>
    <t>ENSDARG00000037645</t>
  </si>
  <si>
    <t>zgc:173570</t>
  </si>
  <si>
    <t>zgc:173570 [Source:ZFIN;Acc:ZDB-GENE-080218-15]</t>
  </si>
  <si>
    <t>ENSDARG00000027159</t>
  </si>
  <si>
    <t>fbxo28</t>
  </si>
  <si>
    <t>F-box protein 28 [Source:ZFIN;Acc:ZDB-GENE-030131-4665]</t>
  </si>
  <si>
    <t>ENSDARG00000053070</t>
  </si>
  <si>
    <t>gosr2</t>
  </si>
  <si>
    <t>golgi SNAP receptor complex member 2 [Source:ZFIN;Acc:ZDB-GENE-030131-3290]</t>
  </si>
  <si>
    <t>ENSDARG00000044142</t>
  </si>
  <si>
    <t>acss1</t>
  </si>
  <si>
    <t>acyl-CoA synthetase short-chain family member 1 [Source:ZFIN;Acc:ZDB-GENE-050320-139]</t>
  </si>
  <si>
    <t>ENSDARG00000087681</t>
  </si>
  <si>
    <t>DRAXIN</t>
  </si>
  <si>
    <t>si:dkey-1c11.1 [Source:ZFIN;Acc:ZDB-GENE-081104-352]</t>
  </si>
  <si>
    <t>ENSDARG00000037928</t>
  </si>
  <si>
    <t>ddx42</t>
  </si>
  <si>
    <t>DEAD (Asp-Glu-Ala-Asp) box helicase 42 [Source:ZFIN;Acc:ZDB-GENE-050706-53]</t>
  </si>
  <si>
    <t>ENSDARG00000002402</t>
  </si>
  <si>
    <t>ercc3</t>
  </si>
  <si>
    <t>excision repair cross-complementation group 3 [Source:ZFIN;Acc:ZDB-GENE-030131-3043]</t>
  </si>
  <si>
    <t>ENSDARG00000098223</t>
  </si>
  <si>
    <t>si:ch211-207m11.3</t>
  </si>
  <si>
    <t>si:ch211-207m11.3 [Source:ZFIN;Acc:ZDB-GENE-060503-210]</t>
  </si>
  <si>
    <t>ENSDARG00000060177</t>
  </si>
  <si>
    <t>vcpip1</t>
  </si>
  <si>
    <t>valosin containing protein (p97)/p47 complex interacting protein 1 [Source:ZFIN;Acc:ZDB-GENE-070912-613]</t>
  </si>
  <si>
    <t>ENSDARG00000018319</t>
  </si>
  <si>
    <t>arglu1b</t>
  </si>
  <si>
    <t>arginine and glutamate rich 1b [Source:ZFIN;Acc:ZDB-GENE-040426-736]</t>
  </si>
  <si>
    <t>ENSDARG00000018956</t>
  </si>
  <si>
    <t>tmem39b</t>
  </si>
  <si>
    <t>transmembrane protein 39B [Source:ZFIN;Acc:ZDB-GENE-030131-6042]</t>
  </si>
  <si>
    <t>ENSDARG00000012953</t>
  </si>
  <si>
    <t>mob1bb</t>
  </si>
  <si>
    <t>MOB kinase activator 1Bb [Source:ZFIN;Acc:ZDB-GENE-050522-58]</t>
  </si>
  <si>
    <t>ENSDARG00000006260</t>
  </si>
  <si>
    <t>tuba8l4</t>
  </si>
  <si>
    <t>tubulin, alpha 8 like 4 [Source:ZFIN;Acc:ZDB-GENE-040426-860]</t>
  </si>
  <si>
    <t>ENSDARG00000061051</t>
  </si>
  <si>
    <t>brinp3a.2</t>
  </si>
  <si>
    <t>bone morphogenetic protein/retinoic acid inducible neural-specific 3a, tandem duplicate 2 [Source:ZFIN;Acc:ZDB-GENE-131119-53]</t>
  </si>
  <si>
    <t>ENSDARG00000053558</t>
  </si>
  <si>
    <t>rtkn2a</t>
  </si>
  <si>
    <t>rhotekin 2a [Source:ZFIN;Acc:ZDB-GENE-041010-225]</t>
  </si>
  <si>
    <t>ENSDARG00000013343</t>
  </si>
  <si>
    <t>kif26ba</t>
  </si>
  <si>
    <t>kinesin family member 26Ba [Source:ZFIN;Acc:ZDB-GENE-070521-4]</t>
  </si>
  <si>
    <t>ENSDARG00000100906</t>
  </si>
  <si>
    <t>HIST2H2AB.1</t>
  </si>
  <si>
    <t>ENSDARG00000045510</t>
  </si>
  <si>
    <t>tbc1d22a</t>
  </si>
  <si>
    <t>TBC1 domain family, member 22a [Source:ZFIN;Acc:ZDB-GENE-041114-144]</t>
  </si>
  <si>
    <t>ENSDARG00000097485</t>
  </si>
  <si>
    <t>CFAP99</t>
  </si>
  <si>
    <t>cilia and flagella associated protein 99 [Source:HGNC Symbol;Acc:HGNC:51180]</t>
  </si>
  <si>
    <t>ENSDARG00000100494</t>
  </si>
  <si>
    <t>pbx1a</t>
  </si>
  <si>
    <t>pre-B-cell leukemia homeobox 1a [Source:ZFIN;Acc:ZDB-GENE-000405-1]</t>
  </si>
  <si>
    <t>ENSDARG00000103155</t>
  </si>
  <si>
    <t>ext1a</t>
  </si>
  <si>
    <t>exostosin glycosyltransferase 1a [Source:ZFIN;Acc:ZDB-GENE-050211-3]</t>
  </si>
  <si>
    <t>ENSDARG00000060610</t>
  </si>
  <si>
    <t>pcdh7b</t>
  </si>
  <si>
    <t>protocadherin 7b [Source:ZFIN;Acc:ZDB-GENE-081104-299]</t>
  </si>
  <si>
    <t>ENSDARG00000030087</t>
  </si>
  <si>
    <t>nfkbib</t>
  </si>
  <si>
    <t>nuclear factor of kappa light polypeptide gene enhancer in B-cells inhibitor, beta [Source:ZFIN;Acc:ZDB-GENE-070705-529]</t>
  </si>
  <si>
    <t>ENSDARG00000079306</t>
  </si>
  <si>
    <t>rlim</t>
  </si>
  <si>
    <t>ring finger protein, LIM domain interacting [Source:ZFIN;Acc:ZDB-GENE-120809-2]</t>
  </si>
  <si>
    <t>ENSDARG00000007231</t>
  </si>
  <si>
    <t>ryk</t>
  </si>
  <si>
    <t>receptor-like tyrosine kinase [Source:ZFIN;Acc:ZDB-GENE-070209-277]</t>
  </si>
  <si>
    <t>ENSDARG00000008305</t>
  </si>
  <si>
    <t>hand2</t>
  </si>
  <si>
    <t>heart and neural crest derivatives expressed 2 [Source:ZFIN;Acc:ZDB-GENE-000511-1]</t>
  </si>
  <si>
    <t>ENSDARG00000003827</t>
  </si>
  <si>
    <t>snapc1b</t>
  </si>
  <si>
    <t>small nuclear RNA activating complex, polypeptide 1b [Source:ZFIN;Acc:ZDB-GENE-040426-716]</t>
  </si>
  <si>
    <t>ENSDARG00000101831</t>
  </si>
  <si>
    <t>irx1a</t>
  </si>
  <si>
    <t>iroquois homeobox 1a [Source:ZFIN;Acc:ZDB-GENE-040707-1]</t>
  </si>
  <si>
    <t>ENSDARG00000099382</t>
  </si>
  <si>
    <t>si:ch211-209n20.1</t>
  </si>
  <si>
    <t>si:ch211-209n20.1 [Source:ZFIN;Acc:ZDB-GENE-070705-98]</t>
  </si>
  <si>
    <t>ENSDARG00000006691</t>
  </si>
  <si>
    <t>rpl12</t>
  </si>
  <si>
    <t>ribosomal protein L12 [Source:ZFIN;Acc:ZDB-GENE-030131-5297]</t>
  </si>
  <si>
    <t>ENSDARG00000101989</t>
  </si>
  <si>
    <t>thrap3a</t>
  </si>
  <si>
    <t>thyroid hormone receptor associated protein 3a [Source:ZFIN;Acc:ZDB-GENE-030219-79]</t>
  </si>
  <si>
    <t>ENSDARG00000100179</t>
  </si>
  <si>
    <t>gb:ai877918</t>
  </si>
  <si>
    <t>expressed sequence AI877918 [Source:ZFIN;Acc:ZDB-GENE-090506-8]</t>
  </si>
  <si>
    <t>ENSDARG00000005891</t>
  </si>
  <si>
    <t>cyb5r3</t>
  </si>
  <si>
    <t>cytochrome b5 reductase 3 [Source:ZFIN;Acc:ZDB-GENE-030131-3281]</t>
  </si>
  <si>
    <t>ENSDARG00000002790</t>
  </si>
  <si>
    <t>ap2m1a</t>
  </si>
  <si>
    <t>adaptor-related protein complex 2, mu 1 subunit, a [Source:ZFIN;Acc:ZDB-GENE-030131-9784]</t>
  </si>
  <si>
    <t>ENSDARG00000053159</t>
  </si>
  <si>
    <t>zgc:110626</t>
  </si>
  <si>
    <t>zgc:110626 [Source:ZFIN;Acc:ZDB-GENE-050417-447]</t>
  </si>
  <si>
    <t>ENSDARG00000080006</t>
  </si>
  <si>
    <t>tmem41b</t>
  </si>
  <si>
    <t>transmembrane protein 41B [Source:ZFIN;Acc:ZDB-GENE-061215-138]</t>
  </si>
  <si>
    <t>ENSDARG00000011222</t>
  </si>
  <si>
    <t>ccdc28b</t>
  </si>
  <si>
    <t>coiled-coil domain containing 28B [Source:ZFIN;Acc:ZDB-GENE-060208-3]</t>
  </si>
  <si>
    <t>ENSDARG00000089936</t>
  </si>
  <si>
    <t>sepw2b</t>
  </si>
  <si>
    <t>selenoprotein W, 2b [Source:ZFIN;Acc:ZDB-GENE-030428-2]</t>
  </si>
  <si>
    <t>ENSDARG00000040059</t>
  </si>
  <si>
    <t>gbp</t>
  </si>
  <si>
    <t>glycogen synthase kinase binding protein [Source:ZFIN;Acc:ZDB-GENE-990714-7]</t>
  </si>
  <si>
    <t>ENSDARG00000061093</t>
  </si>
  <si>
    <t>phldb1a</t>
  </si>
  <si>
    <t>pleckstrin homology-like domain, family B, member 1a [Source:ZFIN;Acc:ZDB-GENE-060526-272]</t>
  </si>
  <si>
    <t>ENSDARG00000093804</t>
  </si>
  <si>
    <t>sst6</t>
  </si>
  <si>
    <t>somatostatin 6 [Source:ZFIN;Acc:ZDB-GENE-081022-199]</t>
  </si>
  <si>
    <t>ENSDARG00000007477</t>
  </si>
  <si>
    <t>fbxo8</t>
  </si>
  <si>
    <t>F-box protein 8 [Source:ZFIN;Acc:ZDB-GENE-060421-7091]</t>
  </si>
  <si>
    <t>ENSDARG00000015607</t>
  </si>
  <si>
    <t>si:ch211-220f21.2</t>
  </si>
  <si>
    <t>si:ch211-220f21.2 [Source:ZFIN;Acc:ZDB-GENE-160113-17]</t>
  </si>
  <si>
    <t>ENSDARG00000054890</t>
  </si>
  <si>
    <t>rgra</t>
  </si>
  <si>
    <t>retinal G protein coupled receptor a [Source:ZFIN;Acc:ZDB-GENE-040924-6]</t>
  </si>
  <si>
    <t>ENSDARG00000105372</t>
  </si>
  <si>
    <t>si:ch211-220f21.1</t>
  </si>
  <si>
    <t>si:ch211-220f21.1 [Source:ZFIN;Acc:ZDB-GENE-160113-32]</t>
  </si>
  <si>
    <t>ENSDARG00000105439</t>
  </si>
  <si>
    <t>si:dkey-23a13.3</t>
  </si>
  <si>
    <t>si:dkey-23a13.3 [Source:ZFIN;Acc:ZDB-GENE-160113-8]</t>
  </si>
  <si>
    <t>ENSDARG00000054680</t>
  </si>
  <si>
    <t>chrna9</t>
  </si>
  <si>
    <t>cholinergic receptor, nicotinic, alpha 9 [Source:ZFIN;Acc:ZDB-GENE-090312-63]</t>
  </si>
  <si>
    <t>ENSDARG00000055252</t>
  </si>
  <si>
    <t>snap23.2</t>
  </si>
  <si>
    <t>synaptosomal-associated protein 23.2 [Source:ZFIN;Acc:ZDB-GENE-051030-75]</t>
  </si>
  <si>
    <t>ENSDARG00000105508</t>
  </si>
  <si>
    <t>si:dkey-23a13.21</t>
  </si>
  <si>
    <t>si:dkey-23a13.21 [Source:ZFIN;Acc:ZDB-GENE-160113-53]</t>
  </si>
  <si>
    <t>ENSDARG00000034534</t>
  </si>
  <si>
    <t>atp6v1aa</t>
  </si>
  <si>
    <t>ATPase, H+ transporting, lysosomal, V1 subunit Aa [Source:ZFIN;Acc:ZDB-GENE-040426-1143]</t>
  </si>
  <si>
    <t>ENSDARG00000105353</t>
  </si>
  <si>
    <t>si:ch1073-35f11.1</t>
  </si>
  <si>
    <t>si:ch1073-35f11.1 [Source:ZFIN;Acc:ZDB-GENE-160113-101]</t>
  </si>
  <si>
    <t>ENSDARG00000011301</t>
  </si>
  <si>
    <t>nae1</t>
  </si>
  <si>
    <t>nedd8 activating enzyme E1 subunit 1 [Source:ZFIN;Acc:ZDB-GENE-040426-1552]</t>
  </si>
  <si>
    <t>ENSDARG00000060168</t>
  </si>
  <si>
    <t>fam160b1</t>
  </si>
  <si>
    <t>family with sequence similarity 160, member B1 [Source:ZFIN;Acc:ZDB-GENE-070424-63]</t>
  </si>
  <si>
    <t>ENSDARG00000022983</t>
  </si>
  <si>
    <t>ccdc28a</t>
  </si>
  <si>
    <t>coiled-coil domain containing 28A [Source:ZFIN;Acc:ZDB-GENE-030131-5007]</t>
  </si>
  <si>
    <t>ENSDARG00000105430</t>
  </si>
  <si>
    <t>si:ch73-368j24.11</t>
  </si>
  <si>
    <t>si:ch73-368j24.11 [Source:ZFIN;Acc:ZDB-GENE-160113-46]</t>
  </si>
  <si>
    <t>ENSDARG00000062511</t>
  </si>
  <si>
    <t>golga3</t>
  </si>
  <si>
    <t>golgin A3 [Source:ZFIN;Acc:ZDB-GENE-060526-252]</t>
  </si>
  <si>
    <t>ENSDARG00000104374</t>
  </si>
  <si>
    <t>smchd1</t>
  </si>
  <si>
    <t>structural maintenance of chromosomes flexible hinge domain containing 1 [Source:ZFIN;Acc:ZDB-GENE-050211-6]</t>
  </si>
  <si>
    <t>ENSDARG00000105459</t>
  </si>
  <si>
    <t>HIST2H3D</t>
  </si>
  <si>
    <t>si:ch73-368j24.5 [Source:ZFIN;Acc:ZDB-GENE-160113-84]</t>
  </si>
  <si>
    <t>ENSDARG00000093874</t>
  </si>
  <si>
    <t>si:dkey-196j8.2</t>
  </si>
  <si>
    <t>si:dkey-196j8.2 [Source:ZFIN;Acc:ZDB-GENE-081107-58]</t>
  </si>
  <si>
    <t>ENSDARG00000069374</t>
  </si>
  <si>
    <t>sh2d4ba</t>
  </si>
  <si>
    <t>SH2 domain containing 4Ba [Source:ZFIN;Acc:ZDB-GENE-090313-53]</t>
  </si>
  <si>
    <t>ENSDARG00000094792</t>
  </si>
  <si>
    <t>twf2a</t>
  </si>
  <si>
    <t>twinfilin actin-binding protein 2a [Source:ZFIN;Acc:ZDB-GENE-030131-7638]</t>
  </si>
  <si>
    <t>ENSDARG00000104668</t>
  </si>
  <si>
    <t>plxna1b</t>
  </si>
  <si>
    <t>plexin A1b [Source:ZFIN;Acc:ZDB-GENE-061007-1]</t>
  </si>
  <si>
    <t>ENSDARG00000104700</t>
  </si>
  <si>
    <t>acvr2ab</t>
  </si>
  <si>
    <t>activin A receptor, type IIAb [Source:ZFIN;Acc:ZDB-GENE-120215-23]</t>
  </si>
  <si>
    <t>ENSDARG00000012874</t>
  </si>
  <si>
    <t>snap23.1</t>
  </si>
  <si>
    <t>synaptosomal-associated protein 23.1 [Source:ZFIN;Acc:ZDB-GENE-040426-883]</t>
  </si>
  <si>
    <t>ENSDARG00000069496</t>
  </si>
  <si>
    <t>arl2</t>
  </si>
  <si>
    <t>ADP-ribosylation factor-like 2 [Source:ZFIN;Acc:ZDB-GENE-041010-19]</t>
  </si>
  <si>
    <t>ENSDARG00000101593</t>
  </si>
  <si>
    <t>zgc:163077</t>
  </si>
  <si>
    <t>zgc:163077 [Source:ZFIN;Acc:ZDB-GENE-070521-6]</t>
  </si>
  <si>
    <t>ENSDARG00000017703</t>
  </si>
  <si>
    <t>paqr3a</t>
  </si>
  <si>
    <t>progestin and adipoQ receptor family member IIIa [Source:ZFIN;Acc:ZDB-GENE-040426-1667]</t>
  </si>
  <si>
    <t>ENSDARG00000101906</t>
  </si>
  <si>
    <t>zgc:113442</t>
  </si>
  <si>
    <t>zgc:113442 [Source:ZFIN;Acc:ZDB-GENE-050227-2]</t>
  </si>
  <si>
    <t>ENSDARG00000105182</t>
  </si>
  <si>
    <t>ntan1</t>
  </si>
  <si>
    <t>N-terminal asparagine amidase [Source:ZFIN;Acc:ZDB-GENE-040426-1896]</t>
  </si>
  <si>
    <t>ENSDARG00000088505</t>
  </si>
  <si>
    <t>fam217b</t>
  </si>
  <si>
    <t>family with sequence similarity 217, member B [Source:ZFIN;Acc:ZDB-GENE-090313-236]</t>
  </si>
  <si>
    <t>ENSDARG00000103053</t>
  </si>
  <si>
    <t>si:ch211-67o16.8</t>
  </si>
  <si>
    <t>si:ch211-67o16.8 [Source:ZFIN;Acc:ZDB-GENE-141216-25]</t>
  </si>
  <si>
    <t>ENSDARG00000101161</t>
  </si>
  <si>
    <t>orc4</t>
  </si>
  <si>
    <t>origin recognition complex, subunit 4 [Source:ZFIN;Acc:ZDB-GENE-040426-2224]</t>
  </si>
  <si>
    <t>ENSDARG00000038228</t>
  </si>
  <si>
    <t>sepw2a</t>
  </si>
  <si>
    <t>selenoprotein W, 2a [Source:ZFIN;Acc:ZDB-GENE-030428-1]</t>
  </si>
  <si>
    <t>ENSDARG00000014083</t>
  </si>
  <si>
    <t>wdr82</t>
  </si>
  <si>
    <t>WD repeat domain 82 [Source:ZFIN;Acc:ZDB-GENE-030131-333]</t>
  </si>
  <si>
    <t>ENSDARG00000062831</t>
  </si>
  <si>
    <t>si:ch73-22o12.1</t>
  </si>
  <si>
    <t>si:ch73-22o12.1 [Source:ZFIN;Acc:ZDB-GENE-110411-27]</t>
  </si>
  <si>
    <t>ENSDARG00000077810</t>
  </si>
  <si>
    <t>otud4</t>
  </si>
  <si>
    <t>OTU deubiquitinase 4 [Source:ZFIN;Acc:ZDB-GENE-030131-5338]</t>
  </si>
  <si>
    <t>ENSDARG00000060551</t>
  </si>
  <si>
    <t>rps6ka5</t>
  </si>
  <si>
    <t>ribosomal protein S6 kinase, polypeptide 5 [Source:ZFIN;Acc:ZDB-GENE-130530-693]</t>
  </si>
  <si>
    <t>ENSDARG00000004680</t>
  </si>
  <si>
    <t>dnajb6a</t>
  </si>
  <si>
    <t>DnaJ (Hsp40) homolog, subfamily B, member 6a [Source:ZFIN;Acc:ZDB-GENE-040718-45]</t>
  </si>
  <si>
    <t>ENSDARG00000057884</t>
  </si>
  <si>
    <t>zgc:114174</t>
  </si>
  <si>
    <t>zgc:114174 [Source:ZFIN;Acc:ZDB-GENE-050626-103]</t>
  </si>
  <si>
    <t>ENSDARG00000099776</t>
  </si>
  <si>
    <t>glula</t>
  </si>
  <si>
    <t>glutamate-ammonia ligase (glutamine synthase) a [Source:ZFIN;Acc:ZDB-GENE-030131-688]</t>
  </si>
  <si>
    <t>ENSDARG00000044807</t>
  </si>
  <si>
    <t>dck</t>
  </si>
  <si>
    <t>deoxycytidine kinase [Source:ZFIN;Acc:ZDB-GENE-041024-3]</t>
  </si>
  <si>
    <t>ENSDARG00000022698</t>
  </si>
  <si>
    <t>lad1</t>
  </si>
  <si>
    <t>ladinin [Source:ZFIN;Acc:ZDB-GENE-030616-268]</t>
  </si>
  <si>
    <t>ENSDARG00000099995</t>
  </si>
  <si>
    <t>apbb2b</t>
  </si>
  <si>
    <t>amyloid beta (A4) precursor protein-binding, family B, member 2b [Source:ZFIN;Acc:ZDB-GENE-090313-73]</t>
  </si>
  <si>
    <t>ENSDARG00000079280</t>
  </si>
  <si>
    <t>dhrsx</t>
  </si>
  <si>
    <t>dehydrogenase/reductase (SDR family) X-linked [Source:ZFIN;Acc:ZDB-GENE-060620-2]</t>
  </si>
  <si>
    <t>ENSDARG00000092290</t>
  </si>
  <si>
    <t>GSG2</t>
  </si>
  <si>
    <t>si:dkeyp-26a9.2 [Source:ZFIN;Acc:ZDB-GENE-090313-379]</t>
  </si>
  <si>
    <t>ENSDARG00000079779</t>
  </si>
  <si>
    <t>radil</t>
  </si>
  <si>
    <t>Ras association and DIL domains [Source:ZFIN;Acc:ZDB-GENE-071206-1]</t>
  </si>
  <si>
    <t>ENSDARG00000105348</t>
  </si>
  <si>
    <t>si:ch211-277c7.7</t>
  </si>
  <si>
    <t>si:ch211-277c7.7 [Source:ZFIN;Acc:ZDB-GENE-160114-41]</t>
  </si>
  <si>
    <t>ENSDARG00000020610</t>
  </si>
  <si>
    <t>tnnt2a</t>
  </si>
  <si>
    <t>troponin T type 2a (cardiac) [Source:ZFIN;Acc:ZDB-GENE-000626-1]</t>
  </si>
  <si>
    <t>ENSDARG00000015239</t>
  </si>
  <si>
    <t>prp19</t>
  </si>
  <si>
    <t>PRP19/PSO4 homolog (S. cerevisiae) [Source:ZFIN;Acc:ZDB-GENE-030131-263]</t>
  </si>
  <si>
    <t>ENSDARG00000088708</t>
  </si>
  <si>
    <t>ngfra</t>
  </si>
  <si>
    <t>nerve growth factor receptor a (TNFR superfamily, member 16) [Source:ZFIN;Acc:ZDB-GENE-050928-1]</t>
  </si>
  <si>
    <t>ENSDARG00000005482</t>
  </si>
  <si>
    <t>rapgef2</t>
  </si>
  <si>
    <t>Rap guanine nucleotide exchange factor (GEF) 2 [Source:ZFIN;Acc:ZDB-GENE-030131-6959]</t>
  </si>
  <si>
    <t>ENSDARG00000045486</t>
  </si>
  <si>
    <t>pawr</t>
  </si>
  <si>
    <t>PRKC, apoptosis, WT1, regulator [Source:ZFIN;Acc:ZDB-GENE-041010-108]</t>
  </si>
  <si>
    <t>ENSDARG00000102959</t>
  </si>
  <si>
    <t>zgc:171220</t>
  </si>
  <si>
    <t>zgc:171220 [Source:ZFIN;Acc:ZDB-GENE-071004-11]</t>
  </si>
  <si>
    <t>ENSDARG00000055099</t>
  </si>
  <si>
    <t>fam184b</t>
  </si>
  <si>
    <t>family with sequence similarity 184, member B [Source:ZFIN;Acc:ZDB-GENE-090313-380]</t>
  </si>
  <si>
    <t>ENSDARG00000071384</t>
  </si>
  <si>
    <t>slc7a11</t>
  </si>
  <si>
    <t>solute carrier family 7 (anionic amino acid transporter light chain, xc- system), member 11 [Source:ZFIN;Acc:ZDB-GENE-150416-1]</t>
  </si>
  <si>
    <t>ENSDARG00000101093</t>
  </si>
  <si>
    <t>zgc:162971</t>
  </si>
  <si>
    <t>zgc:162971 [Source:ZFIN;Acc:ZDB-GENE-070424-48]</t>
  </si>
  <si>
    <t>ENSDARG00000055938</t>
  </si>
  <si>
    <t>tspan14</t>
  </si>
  <si>
    <t>tetraspanin 14 [Source:ZFIN;Acc:ZDB-GENE-060825-329]</t>
  </si>
  <si>
    <t>ENSDARG00000039022</t>
  </si>
  <si>
    <t>stk25b</t>
  </si>
  <si>
    <t>serine/threonine kinase 25b [Source:ZFIN;Acc:ZDB-GENE-040426-2537]</t>
  </si>
  <si>
    <t>ENSDARG00000101320</t>
  </si>
  <si>
    <t>si:dkey-50i6.5</t>
  </si>
  <si>
    <t>si:dkey-50i6.5 [Source:ZFIN;Acc:ZDB-GENE-081031-53]</t>
  </si>
  <si>
    <t>ENSDARG00000103196</t>
  </si>
  <si>
    <t>zgc:113343</t>
  </si>
  <si>
    <t>zgc:113343 [Source:ZFIN;Acc:ZDB-GENE-050327-90]</t>
  </si>
  <si>
    <t>ENSDARG00000069169</t>
  </si>
  <si>
    <t>cerk</t>
  </si>
  <si>
    <t>ceramide kinase [Source:ZFIN;Acc:ZDB-GENE-041210-210]</t>
  </si>
  <si>
    <t>ENSDARG00000097000</t>
  </si>
  <si>
    <t>si:ch211-66i8.3</t>
  </si>
  <si>
    <t>si:ch211-66i8.3 [Source:ZFIN;Acc:ZDB-GENE-131120-31]</t>
  </si>
  <si>
    <t>ENSDARG00000058050</t>
  </si>
  <si>
    <t>smyd3</t>
  </si>
  <si>
    <t>SET and MYND domain containing 3 [Source:ZFIN;Acc:ZDB-GENE-051120-138]</t>
  </si>
  <si>
    <t>ENSDARG00000036700</t>
  </si>
  <si>
    <t>si:ch211-114n24.6</t>
  </si>
  <si>
    <t>si:ch211-114n24.6 [Source:ZFIN;Acc:ZDB-GENE-120214-26]</t>
  </si>
  <si>
    <t>ENSDARG00000017762</t>
  </si>
  <si>
    <t>srrt</t>
  </si>
  <si>
    <t>serrate RNA effector molecule homolog (Arabidopsis) [Source:ZFIN;Acc:ZDB-GENE-020419-13]</t>
  </si>
  <si>
    <t>ENSDARG00000008706</t>
  </si>
  <si>
    <t>paip2b</t>
  </si>
  <si>
    <t>poly(A) binding protein interacting protein 2B [Source:ZFIN;Acc:ZDB-GENE-040426-1736]</t>
  </si>
  <si>
    <t>ENSDARG00000063255</t>
  </si>
  <si>
    <t>btbd11a</t>
  </si>
  <si>
    <t>BTB (POZ) domain containing 11a [Source:ZFIN;Acc:ZDB-GENE-050419-142]</t>
  </si>
  <si>
    <t>ENSDARG00000101637</t>
  </si>
  <si>
    <t>ccnd1</t>
  </si>
  <si>
    <t>cyclin D1 [Source:ZFIN;Acc:ZDB-GENE-980526-176]</t>
  </si>
  <si>
    <t>ENSDARG00000070108</t>
  </si>
  <si>
    <t>dek</t>
  </si>
  <si>
    <t>DEK proto-oncogene [Source:ZFIN;Acc:ZDB-GENE-060512-191]</t>
  </si>
  <si>
    <t>ENSDARG00000003287</t>
  </si>
  <si>
    <t>wdr12</t>
  </si>
  <si>
    <t>WD repeat domain 12 [Source:ZFIN;Acc:ZDB-GENE-030131-371]</t>
  </si>
  <si>
    <t>ENSDARG00000019191</t>
  </si>
  <si>
    <t>sept12</t>
  </si>
  <si>
    <t>septin 12 [Source:ZFIN;Acc:ZDB-GENE-120215-68]</t>
  </si>
  <si>
    <t>ENSDARG00000094457</t>
  </si>
  <si>
    <t>si:dkey-222f8.6</t>
  </si>
  <si>
    <t>si:dkey-222f8.6 [Source:ZFIN;Acc:ZDB-GENE-041210-87]</t>
  </si>
  <si>
    <t>ENSDARG00000092483</t>
  </si>
  <si>
    <t>iqcc</t>
  </si>
  <si>
    <t>IQ motif containing C [Source:ZFIN;Acc:ZDB-GENE-090313-325]</t>
  </si>
  <si>
    <t>ENSDARG00000008372</t>
  </si>
  <si>
    <t>spred2b</t>
  </si>
  <si>
    <t>sprouty-related, EVH1 domain containing 2b [Source:ZFIN;Acc:ZDB-GENE-040426-2342]</t>
  </si>
  <si>
    <t>ENSDARG00000059768</t>
  </si>
  <si>
    <t>gpatch8</t>
  </si>
  <si>
    <t>G patch domain containing 8 [Source:ZFIN;Acc:ZDB-GENE-030131-6966]</t>
  </si>
  <si>
    <t>ENSDARG00000019717</t>
  </si>
  <si>
    <t>pbx2</t>
  </si>
  <si>
    <t>pre-B-cell leukemia homeobox 2 [Source:ZFIN;Acc:ZDB-GENE-000405-5]</t>
  </si>
  <si>
    <t>ENSDARG00000017489</t>
  </si>
  <si>
    <t>zgc:123068</t>
  </si>
  <si>
    <t>zgc:123068 [Source:ZFIN;Acc:ZDB-GENE-051030-98]</t>
  </si>
  <si>
    <t>ENSDARG00000077513</t>
  </si>
  <si>
    <t>ppp1r3da</t>
  </si>
  <si>
    <t>protein phosphatase 1, regulatory subunit 3Da [Source:ZFIN;Acc:ZDB-GENE-080204-75]</t>
  </si>
  <si>
    <t>ENSDARG00000077533</t>
  </si>
  <si>
    <t>eif3f</t>
  </si>
  <si>
    <t>eukaryotic translation initiation factor 3, subunit F [Source:ZFIN;Acc:ZDB-GENE-100215-2]</t>
  </si>
  <si>
    <t>ENSDARG00000015343</t>
  </si>
  <si>
    <t>pgd</t>
  </si>
  <si>
    <t>phosphogluconate dehydrogenase [Source:ZFIN;Acc:ZDB-GENE-040426-2807]</t>
  </si>
  <si>
    <t>ENSDARG00000002792</t>
  </si>
  <si>
    <t>arcn1a</t>
  </si>
  <si>
    <t>archain 1a [Source:ZFIN;Acc:ZDB-GENE-021031-2]</t>
  </si>
  <si>
    <t>ENSDARG00000102219</t>
  </si>
  <si>
    <t>TRIM35.4</t>
  </si>
  <si>
    <t>si:ch211-12p12.2 [Source:ZFIN;Acc:ZDB-GENE-131125-5]</t>
  </si>
  <si>
    <t>ENSDARG00000091385</t>
  </si>
  <si>
    <t>zgc:165409</t>
  </si>
  <si>
    <t>zgc:165409 [Source:ZFIN;Acc:ZDB-GENE-070615-19]</t>
  </si>
  <si>
    <t>ENSDARG00000007347</t>
  </si>
  <si>
    <t>degs1</t>
  </si>
  <si>
    <t>delta(4)-desaturase, sphingolipid 1 [Source:ZFIN;Acc:ZDB-GENE-030131-5283]</t>
  </si>
  <si>
    <t>ENSDARG00000035282</t>
  </si>
  <si>
    <t>emc6</t>
  </si>
  <si>
    <t>ER membrane protein complex subunit 6 [Source:ZFIN;Acc:ZDB-GENE-030131-9164]</t>
  </si>
  <si>
    <t>ENSDARG00000096419</t>
  </si>
  <si>
    <t>si:ch211-114n24.7</t>
  </si>
  <si>
    <t>si:ch211-114n24.7 [Source:ZFIN;Acc:ZDB-GENE-050208-65]</t>
  </si>
  <si>
    <t>ENSDARG00000099448</t>
  </si>
  <si>
    <t>sh3d21</t>
  </si>
  <si>
    <t>SH3 domain containing 21 [Source:ZFIN;Acc:ZDB-GENE-051120-57]</t>
  </si>
  <si>
    <t>ENSDARG00000008551</t>
  </si>
  <si>
    <t>pole3</t>
  </si>
  <si>
    <t>polymerase (DNA directed), epsilon 3 (p17 subunit) [Source:ZFIN;Acc:ZDB-GENE-040426-1773]</t>
  </si>
  <si>
    <t>ENSDARG00000078685</t>
  </si>
  <si>
    <t>rufy1</t>
  </si>
  <si>
    <t>RUN and FYVE domain containing 1 [Source:ZFIN;Acc:ZDB-GENE-090421-4]</t>
  </si>
  <si>
    <t>ENSDARG00000053518</t>
  </si>
  <si>
    <t>adhfe1</t>
  </si>
  <si>
    <t>alcohol dehydrogenase, iron containing, 1 [Source:ZFIN;Acc:ZDB-GENE-040426-2070]</t>
  </si>
  <si>
    <t>ENSDARG00000098433</t>
  </si>
  <si>
    <t>utp6</t>
  </si>
  <si>
    <t>UTP6, small subunit (SSU) processome component, homolog (yeast) [Source:ZFIN;Acc:ZDB-GENE-040426-769]</t>
  </si>
  <si>
    <t>ENSDARG00000102097</t>
  </si>
  <si>
    <t>nfkbiz</t>
  </si>
  <si>
    <t>nuclear factor of kappa light polypeptide gene enhancer in B-cells inhibitor, zeta [Source:ZFIN;Acc:ZDB-GENE-071024-1]</t>
  </si>
  <si>
    <t>ENSDARG00000035338</t>
  </si>
  <si>
    <t>tppp2</t>
  </si>
  <si>
    <t>tubulin polymerization-promoting protein family member 2 [Source:ZFIN;Acc:ZDB-GENE-140106-24]</t>
  </si>
  <si>
    <t>ENSDARG00000007129</t>
  </si>
  <si>
    <t>slc6a16a</t>
  </si>
  <si>
    <t>solute carrier family 6, member 16a [Source:ZFIN;Acc:ZDB-GENE-061009-43]</t>
  </si>
  <si>
    <t>ENSDARG00000010194</t>
  </si>
  <si>
    <t>eif4bb</t>
  </si>
  <si>
    <t>eukaryotic translation initiation factor 4Bb [Source:ZFIN;Acc:ZDB-GENE-030131-8563]</t>
  </si>
  <si>
    <t>ENSDARG00000003328</t>
  </si>
  <si>
    <t>slf2</t>
  </si>
  <si>
    <t>SMC5-SMC6 complex localization factor 2 [Source:ZFIN;Acc:ZDB-GENE-081107-61]</t>
  </si>
  <si>
    <t>ENSDARG00000068863</t>
  </si>
  <si>
    <t>si:dkey-98f17.5</t>
  </si>
  <si>
    <t>si:dkey-98f17.5 [Source:ZFIN;Acc:ZDB-GENE-060526-354]</t>
  </si>
  <si>
    <t>ENSDARG00000098796</t>
  </si>
  <si>
    <t>znf1122</t>
  </si>
  <si>
    <t>zinc finger protein 1122 [Source:ZFIN;Acc:ZDB-GENE-141211-60]</t>
  </si>
  <si>
    <t>ENSDARG00000017591</t>
  </si>
  <si>
    <t>fat1a</t>
  </si>
  <si>
    <t>FAT atypical cadherin 1a [Source:ZFIN;Acc:ZDB-GENE-050425-1]</t>
  </si>
  <si>
    <t>ENSDARG00000098582</t>
  </si>
  <si>
    <t>znf1040</t>
  </si>
  <si>
    <t>zinc finger protein 1040 [Source:ZFIN;Acc:ZDB-GENE-141210-11]</t>
  </si>
  <si>
    <t>ENSDARG00000010784</t>
  </si>
  <si>
    <t>ppp1r12a</t>
  </si>
  <si>
    <t>protein phosphatase 1, regulatory subunit 12A [Source:ZFIN;Acc:ZDB-GENE-041011-3]</t>
  </si>
  <si>
    <t>ENSDARG00000044144</t>
  </si>
  <si>
    <t>wapla</t>
  </si>
  <si>
    <t>WAPL cohesin release factor a [Source:ZFIN;Acc:ZDB-GENE-131010-1]</t>
  </si>
  <si>
    <t>ENSDARG00000100547</t>
  </si>
  <si>
    <t>si:ch211-67o16.6</t>
  </si>
  <si>
    <t>si:ch211-67o16.6 [Source:ZFIN;Acc:ZDB-GENE-141216-86]</t>
  </si>
  <si>
    <t>ENSDARG00000003854</t>
  </si>
  <si>
    <t>acsl1b</t>
  </si>
  <si>
    <t>acyl-CoA synthetase long-chain family member 1b [Source:ZFIN;Acc:ZDB-GENE-040801-88]</t>
  </si>
  <si>
    <t>ENSDARG00000004806</t>
  </si>
  <si>
    <t>grwd1</t>
  </si>
  <si>
    <t>glutamate-rich WD repeat containing 1 [Source:ZFIN;Acc:ZDB-GENE-030131-9844]</t>
  </si>
  <si>
    <t>ENSDARG00000014817</t>
  </si>
  <si>
    <t>ranbp1</t>
  </si>
  <si>
    <t>RAN binding protein 1 [Source:ZFIN;Acc:ZDB-GENE-040426-2548]</t>
  </si>
  <si>
    <t>ENSDARG00000103636</t>
  </si>
  <si>
    <t>si:dkey-122c11.4</t>
  </si>
  <si>
    <t>si:dkey-122c11.4 [Source:ZFIN;Acc:ZDB-GENE-110913-45]</t>
  </si>
  <si>
    <t>ENSDARG00000053106</t>
  </si>
  <si>
    <t>cep44</t>
  </si>
  <si>
    <t>centrosomal protein 44 [Source:ZFIN;Acc:ZDB-GENE-060929-392]</t>
  </si>
  <si>
    <t>ENSDARG00000032129</t>
  </si>
  <si>
    <t>gtf2f1</t>
  </si>
  <si>
    <t>general transcription factor IIF, polypeptide 1 [Source:ZFIN;Acc:ZDB-GENE-030131-4557]</t>
  </si>
  <si>
    <t>ENSDARG00000020241</t>
  </si>
  <si>
    <t>icmt</t>
  </si>
  <si>
    <t>isoprenylcysteine carboxyl methyltransferase [Source:ZFIN;Acc:ZDB-GENE-050417-90]</t>
  </si>
  <si>
    <t>ENSDARG00000077176</t>
  </si>
  <si>
    <t>zgc:174888</t>
  </si>
  <si>
    <t>zgc:174888 [Source:ZFIN;Acc:ZDB-GENE-030328-33]</t>
  </si>
  <si>
    <t>ENSDARG00000035422</t>
  </si>
  <si>
    <t>cyr61l1</t>
  </si>
  <si>
    <t>cysteine-rich, angiogenic inducer 61 like 1 [Source:ZFIN;Acc:ZDB-GENE-050417-136]</t>
  </si>
  <si>
    <t>ENSDARG00000054540</t>
  </si>
  <si>
    <t>imp4</t>
  </si>
  <si>
    <t>IMP4, U3 small nucleolar ribonucleoprotein, homolog (yeast) [Source:ZFIN;Acc:ZDB-GENE-040718-474]</t>
  </si>
  <si>
    <t>ENSDARG00000092708</t>
  </si>
  <si>
    <t>si:dkey-228c11.4</t>
  </si>
  <si>
    <t>si:dkey-228c11.4 [Source:ZFIN;Acc:ZDB-GENE-061207-61]</t>
  </si>
  <si>
    <t>ENSDARG00000089109</t>
  </si>
  <si>
    <t>bcl2b</t>
  </si>
  <si>
    <t>B-cell CLL/lymphoma 2b [Source:ZFIN;Acc:ZDB-GENE-110411-185]</t>
  </si>
  <si>
    <t>ENSDARG00000097193</t>
  </si>
  <si>
    <t>si:dkey-28n18.9</t>
  </si>
  <si>
    <t>si:dkey-28n18.9 [Source:ZFIN;Acc:ZDB-GENE-131127-205]</t>
  </si>
  <si>
    <t>ENSDARG00000037906</t>
  </si>
  <si>
    <t>alkbh7</t>
  </si>
  <si>
    <t>alkB homolog 7 [Source:ZFIN;Acc:ZDB-GENE-050417-78]</t>
  </si>
  <si>
    <t>ENSDARG00000071021</t>
  </si>
  <si>
    <t>papss2a</t>
  </si>
  <si>
    <t>3'-phosphoadenosine 5'-phosphosulfate synthase 2a [Source:ZFIN;Acc:ZDB-GENE-061110-85]</t>
  </si>
  <si>
    <t>ENSDARG00000054934</t>
  </si>
  <si>
    <t>zgc:101765</t>
  </si>
  <si>
    <t>zgc:101765 [Source:ZFIN;Acc:ZDB-GENE-041010-156]</t>
  </si>
  <si>
    <t>ENSDARG00000037929</t>
  </si>
  <si>
    <t>strada</t>
  </si>
  <si>
    <t>ste20-related kinase adaptor alpha [Source:ZFIN;Acc:ZDB-GENE-030131-6482]</t>
  </si>
  <si>
    <t>ENSDARG00000011934</t>
  </si>
  <si>
    <t>gyg1a</t>
  </si>
  <si>
    <t>glycogenin 1a [Source:ZFIN;Acc:ZDB-GENE-040426-2910]</t>
  </si>
  <si>
    <t>ENSDARG00000054937</t>
  </si>
  <si>
    <t>badb</t>
  </si>
  <si>
    <t>BCL2-associated agonist of cell death b [Source:ZFIN;Acc:ZDB-GENE-000616-1]</t>
  </si>
  <si>
    <t>ENSDARG00000009607</t>
  </si>
  <si>
    <t>ccnc</t>
  </si>
  <si>
    <t>cyclin C [Source:ZFIN;Acc:ZDB-GENE-030131-7369]</t>
  </si>
  <si>
    <t>ENSDARG00000077400</t>
  </si>
  <si>
    <t>rbm10</t>
  </si>
  <si>
    <t>RNA binding motif protein 10 [Source:ZFIN;Acc:ZDB-GENE-100922-245]</t>
  </si>
  <si>
    <t>ENSDARG00000026053</t>
  </si>
  <si>
    <t>hltf</t>
  </si>
  <si>
    <t>helicase-like transcription factor [Source:ZFIN;Acc:ZDB-GENE-030131-3306]</t>
  </si>
  <si>
    <t>ENSDARG00000070278</t>
  </si>
  <si>
    <t>mettl14</t>
  </si>
  <si>
    <t>methyltransferase like 14 [Source:ZFIN;Acc:ZDB-GENE-040426-2328]</t>
  </si>
  <si>
    <t>ENSDARG00000035751</t>
  </si>
  <si>
    <t>ipo7</t>
  </si>
  <si>
    <t>importin 7 [Source:ZFIN;Acc:ZDB-GENE-030131-458]</t>
  </si>
  <si>
    <t>ENSDARG00000103806</t>
  </si>
  <si>
    <t>si:ch211-12p12.4</t>
  </si>
  <si>
    <t>si:ch211-12p12.4 [Source:ZFIN;Acc:ZDB-GENE-131120-120]</t>
  </si>
  <si>
    <t>ENSDARG00000092166</t>
  </si>
  <si>
    <t>si:dkey-147f3.8</t>
  </si>
  <si>
    <t>si:dkey-147f3.8 [Source:ZFIN;Acc:ZDB-GENE-061009-32]</t>
  </si>
  <si>
    <t>ENSDARG00000007216</t>
  </si>
  <si>
    <t>abce1</t>
  </si>
  <si>
    <t>ATP-binding cassette, sub-family E (OABP), member 1 [Source:ZFIN;Acc:ZDB-GENE-040426-1995]</t>
  </si>
  <si>
    <t>ENSDARG00000104139</t>
  </si>
  <si>
    <t>atp1a3b</t>
  </si>
  <si>
    <t>ATPase, Na+/K+ transporting, alpha 3b polypeptide [Source:ZFIN;Acc:ZDB-GENE-001212-8]</t>
  </si>
  <si>
    <t>ENSDARG00000032175</t>
  </si>
  <si>
    <t>puf60a</t>
  </si>
  <si>
    <t>poly-U binding splicing factor a [Source:ZFIN;Acc:ZDB-GENE-030131-2891]</t>
  </si>
  <si>
    <t>ENSDARG00000079312</t>
  </si>
  <si>
    <t>kmt2ca</t>
  </si>
  <si>
    <t>lysine (K)-specific methyltransferase 2Ca [Source:ZFIN;Acc:ZDB-GENE-080520-3]</t>
  </si>
  <si>
    <t>ENSDARG00000078333</t>
  </si>
  <si>
    <t>tmem234</t>
  </si>
  <si>
    <t>transmembrane protein 234 [Source:ZFIN;Acc:ZDB-GENE-090313-326]</t>
  </si>
  <si>
    <t>ENSDARG00000038133</t>
  </si>
  <si>
    <t>zgc:113411</t>
  </si>
  <si>
    <t>zgc:113411 [Source:ZFIN;Acc:ZDB-GENE-050417-474]</t>
  </si>
  <si>
    <t>ENSDARG00000056150</t>
  </si>
  <si>
    <t>rbms2b</t>
  </si>
  <si>
    <t>RNA binding motif, single stranded interacting protein 2b [Source:ZFIN;Acc:ZDB-GENE-040801-51]</t>
  </si>
  <si>
    <t>ENSDARG00000104214</t>
  </si>
  <si>
    <t>si:ch211-67o16.3</t>
  </si>
  <si>
    <t>si:ch211-67o16.3 [Source:ZFIN;Acc:ZDB-GENE-141216-24]</t>
  </si>
  <si>
    <t>ENSDARG00000096205</t>
  </si>
  <si>
    <t>znf997</t>
  </si>
  <si>
    <t>zinc finger protein 997 [Source:ZFIN;Acc:ZDB-GENE-110914-80]</t>
  </si>
  <si>
    <t>ENSDARG00000012021</t>
  </si>
  <si>
    <t>kdsr</t>
  </si>
  <si>
    <t>3-ketodihydrosphingosine reductase [Source:ZFIN;Acc:ZDB-GENE-040426-853]</t>
  </si>
  <si>
    <t>ENSDARG00000074307</t>
  </si>
  <si>
    <t>rapgef5b</t>
  </si>
  <si>
    <t>Rap guanine nucleotide exchange factor (GEF) 5b [Source:ZFIN;Acc:ZDB-GENE-061215-2]</t>
  </si>
  <si>
    <t>ENSDARG00000075819</t>
  </si>
  <si>
    <t>arhgef2</t>
  </si>
  <si>
    <t>rho/rac guanine nucleotide exchange factor (GEF) 2 [Source:ZFIN;Acc:ZDB-GENE-030717-1]</t>
  </si>
  <si>
    <t>ENSDARG00000053744</t>
  </si>
  <si>
    <t>dcdc2b</t>
  </si>
  <si>
    <t>doublecortin domain containing 2B [Source:ZFIN;Acc:ZDB-GENE-051113-124]</t>
  </si>
  <si>
    <t>ENSDARG00000061896</t>
  </si>
  <si>
    <t>slco2a1</t>
  </si>
  <si>
    <t>solute carrier organic anion transporter family, member 2A1 [Source:ZFIN;Acc:ZDB-GENE-060606-3]</t>
  </si>
  <si>
    <t>ENSDARG00000074756</t>
  </si>
  <si>
    <t>tfb2m</t>
  </si>
  <si>
    <t>transcription factor B2, mitochondrial [Source:ZFIN;Acc:ZDB-GENE-070521-3]</t>
  </si>
  <si>
    <t>ENSDARG00000008383</t>
  </si>
  <si>
    <t>arpc1a</t>
  </si>
  <si>
    <t>actin related protein 2/3 complex, subunit 1A [Source:ZFIN;Acc:ZDB-GENE-040116-1]</t>
  </si>
  <si>
    <t>ENSDARG00000015674</t>
  </si>
  <si>
    <t>msx3</t>
  </si>
  <si>
    <t>muscle segment homeobox 3 [Source:ZFIN;Acc:ZDB-GENE-980526-306]</t>
  </si>
  <si>
    <t>ENSDARG00000006983</t>
  </si>
  <si>
    <t>celf3b</t>
  </si>
  <si>
    <t>cugbp, Elav-like family member 3b [Source:ZFIN;Acc:ZDB-GENE-110408-50]</t>
  </si>
  <si>
    <t>ENSDARG00000013853</t>
  </si>
  <si>
    <t>lmo4a</t>
  </si>
  <si>
    <t>LIM domain only 4a [Source:ZFIN;Acc:ZDB-GENE-010702-1]</t>
  </si>
  <si>
    <t>ENSDARG00000075639</t>
  </si>
  <si>
    <t>si:ch211-89o9.6</t>
  </si>
  <si>
    <t>si:ch211-89o9.6 [Source:ZFIN;Acc:ZDB-GENE-030131-7155]</t>
  </si>
  <si>
    <t>ENSDARG00000090444</t>
  </si>
  <si>
    <t>ponzr1</t>
  </si>
  <si>
    <t>plac8 onzin related protein 1 [Source:ZFIN;Acc:ZDB-GENE-070727-1]</t>
  </si>
  <si>
    <t>ENSDARG00000058820</t>
  </si>
  <si>
    <t>bin1b</t>
  </si>
  <si>
    <t>bridging integrator 1b [Source:ZFIN;Acc:ZDB-GENE-030425-1]</t>
  </si>
  <si>
    <t>ENSDARG00000040650</t>
  </si>
  <si>
    <t>gps1</t>
  </si>
  <si>
    <t>G protein pathway suppressor 1 [Source:ZFIN;Acc:ZDB-GENE-041111-240]</t>
  </si>
  <si>
    <t>ENSDARG00000095136</t>
  </si>
  <si>
    <t>si:ch211-130m23.2</t>
  </si>
  <si>
    <t>si:ch211-130m23.2 [Source:ZFIN;Acc:ZDB-GENE-060531-13]</t>
  </si>
  <si>
    <t>ENSDARG00000087641</t>
  </si>
  <si>
    <t>cdh26.2</t>
  </si>
  <si>
    <t>cadherin 26, tandem duplicate 2 [Source:ZFIN;Acc:ZDB-GENE-100922-183]</t>
  </si>
  <si>
    <t>ENSDARG00000104918</t>
  </si>
  <si>
    <t>si:ch211-196f19.1</t>
  </si>
  <si>
    <t>si:ch211-196f19.1 [Source:ZFIN;Acc:ZDB-GENE-081103-47]</t>
  </si>
  <si>
    <t>ENSDARG00000052494</t>
  </si>
  <si>
    <t>pcdh18b</t>
  </si>
  <si>
    <t>protocadherin 18b [Source:ZFIN;Acc:ZDB-GENE-080804-1]</t>
  </si>
  <si>
    <t>ENSDARG00000017427</t>
  </si>
  <si>
    <t>phf20l1</t>
  </si>
  <si>
    <t>PHD finger protein 20-like 1 [Source:ZFIN;Acc:ZDB-GENE-030131-5837]</t>
  </si>
  <si>
    <t>ENSDARG00000098786</t>
  </si>
  <si>
    <t>rangrf</t>
  </si>
  <si>
    <t>RAN guanine nucleotide release factor [Source:ZFIN;Acc:ZDB-GENE-060526-143]</t>
  </si>
  <si>
    <t>ENSDARG00000002701</t>
  </si>
  <si>
    <t>rasl12</t>
  </si>
  <si>
    <t>RAS-like, family 12 [Source:ZFIN;Acc:ZDB-GENE-040426-1201]</t>
  </si>
  <si>
    <t>ENSDARG00000057058</t>
  </si>
  <si>
    <t>minpp1a</t>
  </si>
  <si>
    <t>multiple inositol-polyphosphate phosphatase 1a [Source:ZFIN;Acc:ZDB-GENE-060929-1194]</t>
  </si>
  <si>
    <t>ENSDARG00000074217</t>
  </si>
  <si>
    <t>si:dkey-188i13.6</t>
  </si>
  <si>
    <t>si:dkey-188i13.6 [Source:ZFIN;Acc:ZDB-GENE-030131-7410]</t>
  </si>
  <si>
    <t>ENSDARG00000074060</t>
  </si>
  <si>
    <t>map3k14a</t>
  </si>
  <si>
    <t>mitogen-activated protein kinase kinase kinase 14a [Source:ZFIN;Acc:ZDB-GENE-120215-80]</t>
  </si>
  <si>
    <t>ENSDARG00000075121</t>
  </si>
  <si>
    <t>hbegfa</t>
  </si>
  <si>
    <t>heparin-binding EGF-like growth factor a [Source:ZFIN;Acc:ZDB-GENE-080204-119]</t>
  </si>
  <si>
    <t>ENSDARG00000044808</t>
  </si>
  <si>
    <t>slc4a4b</t>
  </si>
  <si>
    <t>solute carrier family 4 (sodium bicarbonate cotransporter), member 4b [Source:ZFIN;Acc:ZDB-GENE-091030-1]</t>
  </si>
  <si>
    <t>ENSDARG00000000760</t>
  </si>
  <si>
    <t>znf511</t>
  </si>
  <si>
    <t>zinc finger protein 511 [Source:ZFIN;Acc:ZDB-GENE-030616-621]</t>
  </si>
  <si>
    <t>ENSDARG00000071871</t>
  </si>
  <si>
    <t>glod5</t>
  </si>
  <si>
    <t>glyoxalase domain containing 5 [Source:ZFIN;Acc:ZDB-GENE-050522-174]</t>
  </si>
  <si>
    <t>ENSDARG00000045139</t>
  </si>
  <si>
    <t>ca7</t>
  </si>
  <si>
    <t>carbonic anhydrase VII [Source:ZFIN;Acc:ZDB-GENE-040426-1786]</t>
  </si>
  <si>
    <t>ENSDARG00000099090</t>
  </si>
  <si>
    <t>znf1087</t>
  </si>
  <si>
    <t>zinc finger protein 1087 [Source:ZFIN;Acc:ZDB-GENE-110913-106]</t>
  </si>
  <si>
    <t>ENSDARG00000059886</t>
  </si>
  <si>
    <t>fam222ba</t>
  </si>
  <si>
    <t>family with sequence similarity 222, member Ba [Source:ZFIN;Acc:ZDB-GENE-060526-355]</t>
  </si>
  <si>
    <t>ENSDARG00000056691</t>
  </si>
  <si>
    <t>cpeb4</t>
  </si>
  <si>
    <t>cytoplasmic polyadenylation element binding protein 4 [Source:ZFIN;Acc:ZDB-GENE-040426-1557]</t>
  </si>
  <si>
    <t>ENSDARG00000030563</t>
  </si>
  <si>
    <t>zgc:77880</t>
  </si>
  <si>
    <t>zgc:77880 [Source:ZFIN;Acc:ZDB-GENE-040426-1901]</t>
  </si>
  <si>
    <t>ENSDARG00000068650</t>
  </si>
  <si>
    <t>fam214b</t>
  </si>
  <si>
    <t>family with sequence similarity 214, member B [Source:ZFIN;Acc:ZDB-GENE-060526-330]</t>
  </si>
  <si>
    <t>ENSDARG00000089138</t>
  </si>
  <si>
    <t>LONRF2</t>
  </si>
  <si>
    <t>si:ch1073-440b2.1 [Source:ZFIN;Acc:ZDB-GENE-030131-8303]</t>
  </si>
  <si>
    <t>ENSDARG00000076791</t>
  </si>
  <si>
    <t>cdk13</t>
  </si>
  <si>
    <t>cyclin-dependent kinase 13 [Source:ZFIN;Acc:ZDB-GENE-030131-4975]</t>
  </si>
  <si>
    <t>ENSDARG00000027887</t>
  </si>
  <si>
    <t>zfyve21</t>
  </si>
  <si>
    <t>zinc finger, FYVE domain containing 21 [Source:ZFIN;Acc:ZDB-GENE-030131-1296]</t>
  </si>
  <si>
    <t>ENSDARG00000097878</t>
  </si>
  <si>
    <t>si:ch73-376g11.3</t>
  </si>
  <si>
    <t>si:ch73-376g11.3 [Source:ZFIN;Acc:ZDB-GENE-131121-375]</t>
  </si>
  <si>
    <t>ENSDARG00000002165</t>
  </si>
  <si>
    <t>psme1</t>
  </si>
  <si>
    <t>proteasome activator subunit 1 [Source:ZFIN;Acc:ZDB-GENE-991110-17]</t>
  </si>
  <si>
    <t>ENSDARG00000068868</t>
  </si>
  <si>
    <t>nap1l4b</t>
  </si>
  <si>
    <t>nucleosome assembly protein 1-like 4b [Source:ZFIN;Acc:ZDB-GENE-041114-168]</t>
  </si>
  <si>
    <t>ENSDARG00000053586</t>
  </si>
  <si>
    <t>creb1a</t>
  </si>
  <si>
    <t>cAMP responsive element binding protein 1a [Source:ZFIN;Acc:ZDB-GENE-040426-750]</t>
  </si>
  <si>
    <t>ENSDARG00000035056</t>
  </si>
  <si>
    <t>fgf13a</t>
  </si>
  <si>
    <t>fibroblast growth factor 13a [Source:ZFIN;Acc:ZDB-GENE-041114-101]</t>
  </si>
  <si>
    <t>ENSDARG00000015905</t>
  </si>
  <si>
    <t>lztr1</t>
  </si>
  <si>
    <t>leucine-zipper-like transcription regulator 1 [Source:ZFIN;Acc:ZDB-GENE-030131-9564]</t>
  </si>
  <si>
    <t>ENSDARG00000101899</t>
  </si>
  <si>
    <t>KNCN</t>
  </si>
  <si>
    <t>si:dkey-225f23.3 [Source:ZFIN;Acc:ZDB-GENE-070705-385]</t>
  </si>
  <si>
    <t>ENSDARG00000025859</t>
  </si>
  <si>
    <t>lmf2b</t>
  </si>
  <si>
    <t>lipase maturation factor 2b [Source:ZFIN;Acc:ZDB-GENE-070206-11]</t>
  </si>
  <si>
    <t>ENSDARG00000007320</t>
  </si>
  <si>
    <t>rpl7</t>
  </si>
  <si>
    <t>ribosomal protein L7 [Source:ZFIN;Acc:ZDB-GENE-030131-8654]</t>
  </si>
  <si>
    <t>ENSDARG00000092191</t>
  </si>
  <si>
    <t>si:dkey-238c7.13</t>
  </si>
  <si>
    <t>si:dkey-238c7.13 [Source:ZFIN;Acc:ZDB-GENE-030131-7311]</t>
  </si>
  <si>
    <t>ENSDARG00000100476</t>
  </si>
  <si>
    <t>si:dkeyp-110c7.4</t>
  </si>
  <si>
    <t>si:dkeyp-110c7.4 [Source:ZFIN;Acc:ZDB-GENE-070705-532]</t>
  </si>
  <si>
    <t>ENSDARG00000103307</t>
  </si>
  <si>
    <t>znf1117</t>
  </si>
  <si>
    <t>zinc finger protein 1117 [Source:ZFIN;Acc:ZDB-GENE-110914-52]</t>
  </si>
  <si>
    <t>ENSDARG00000102884</t>
  </si>
  <si>
    <t>si:ch211-145h19.5</t>
  </si>
  <si>
    <t>si:ch211-145h19.5 [Source:ZFIN;Acc:ZDB-GENE-110914-112]</t>
  </si>
  <si>
    <t>ENSDARG00000100519</t>
  </si>
  <si>
    <t>spop</t>
  </si>
  <si>
    <t>speckle-type POZ protein [Source:ZFIN;Acc:ZDB-GENE-040426-1378]</t>
  </si>
  <si>
    <t>ENSDARG00000093936</t>
  </si>
  <si>
    <t>si:dkeyp-1h4.6</t>
  </si>
  <si>
    <t>si:dkeyp-1h4.6 [Source:ZFIN;Acc:ZDB-GENE-060503-841]</t>
  </si>
  <si>
    <t>ENSDARG00000061830</t>
  </si>
  <si>
    <t>prss12</t>
  </si>
  <si>
    <t>protease, serine, 12 (neurotrypsin, motopsin) [Source:ZFIN;Acc:ZDB-GENE-090313-45]</t>
  </si>
  <si>
    <t>ENSDARG00000102810</t>
  </si>
  <si>
    <t>samd1a</t>
  </si>
  <si>
    <t>sterile alpha motif domain containing 1a [Source:ZFIN;Acc:ZDB-GENE-061013-517]</t>
  </si>
  <si>
    <t>ENSDARG00000104353</t>
  </si>
  <si>
    <t>nop58</t>
  </si>
  <si>
    <t>NOP58 ribonucleoprotein homolog (yeast) [Source:ZFIN;Acc:ZDB-GENE-040426-2140]</t>
  </si>
  <si>
    <t>ENSDARG00000076594</t>
  </si>
  <si>
    <t>pcdh12</t>
  </si>
  <si>
    <t>protocadherin 12 [Source:ZFIN;Acc:ZDB-GENE-140106-126]</t>
  </si>
  <si>
    <t>ENSDARG00000102783</t>
  </si>
  <si>
    <t>slc25a35</t>
  </si>
  <si>
    <t>solute carrier family 25, member 35 [Source:ZFIN;Acc:ZDB-GENE-060526-142]</t>
  </si>
  <si>
    <t>ENSDARG00000077121</t>
  </si>
  <si>
    <t>cyp26b1</t>
  </si>
  <si>
    <t>cytochrome P450, family 26, subfamily b, polypeptide 1 [Source:ZFIN;Acc:ZDB-GENE-030131-2908]</t>
  </si>
  <si>
    <t>ENSDARG00000102824</t>
  </si>
  <si>
    <t>pcdh10b</t>
  </si>
  <si>
    <t>protocadherin 10b [Source:ZFIN;Acc:ZDB-GENE-030721-4]</t>
  </si>
  <si>
    <t>ENSDARG00000034522</t>
  </si>
  <si>
    <t>rab6ba</t>
  </si>
  <si>
    <t>RAB6B, member RAS oncogene family a [Source:ZFIN;Acc:ZDB-GENE-050809-136]</t>
  </si>
  <si>
    <t>ENSDARG00000070076</t>
  </si>
  <si>
    <t>actr2b</t>
  </si>
  <si>
    <t>ARP2 actin-related protein 2b homolog (yeast) [Source:ZFIN;Acc:ZDB-GENE-050410-4]</t>
  </si>
  <si>
    <t>ENSDARG00000100317</t>
  </si>
  <si>
    <t>ahsa1b</t>
  </si>
  <si>
    <t>AHA1, activator of heat shock protein ATPase homolog 1b [Source:ZFIN;Acc:ZDB-GENE-030131-664]</t>
  </si>
  <si>
    <t>ENSDARG00000092950</t>
  </si>
  <si>
    <t>si:dkey-7a20.9</t>
  </si>
  <si>
    <t>si:dkey-7a20.9 [Source:ZFIN;Acc:ZDB-GENE-090313-340]</t>
  </si>
  <si>
    <t>ENSDARG00000057053</t>
  </si>
  <si>
    <t>SGMS1</t>
  </si>
  <si>
    <t>zgc:91976 [Source:ZFIN;Acc:ZDB-GENE-041114-201]</t>
  </si>
  <si>
    <t>ENSDARG00000101327</t>
  </si>
  <si>
    <t>znf1076</t>
  </si>
  <si>
    <t>zinc finger protein 1076 [Source:ZFIN;Acc:ZDB-GENE-110913-64]</t>
  </si>
  <si>
    <t>ENSDARG00000101963</t>
  </si>
  <si>
    <t>tmem141</t>
  </si>
  <si>
    <t>transmembrane protein 141 [Source:ZFIN;Acc:ZDB-GENE-060929-272]</t>
  </si>
  <si>
    <t>ENSDARG00000058042</t>
  </si>
  <si>
    <t>kitlgb</t>
  </si>
  <si>
    <t>kit ligand b [Source:ZFIN;Acc:ZDB-GENE-070424-2]</t>
  </si>
  <si>
    <t>ENSDARG00000038835</t>
  </si>
  <si>
    <t>ppid</t>
  </si>
  <si>
    <t>peptidylprolyl isomerase D [Source:ZFIN;Acc:ZDB-GENE-040625-34]</t>
  </si>
  <si>
    <t>ENSDARG00000044267</t>
  </si>
  <si>
    <t>sumo1</t>
  </si>
  <si>
    <t>small ubiquitin-like modifier 1 [Source:ZFIN;Acc:ZDB-GENE-040426-2186]</t>
  </si>
  <si>
    <t>ENSDARG00000099960</t>
  </si>
  <si>
    <t>elovl1a</t>
  </si>
  <si>
    <t>ELOVL fatty acid elongase 1a [Source:ZFIN;Acc:ZDB-GENE-041010-66]</t>
  </si>
  <si>
    <t>ENSDARG00000027063</t>
  </si>
  <si>
    <t>arpc1b</t>
  </si>
  <si>
    <t>actin related protein 2/3 complex, subunit 1B [Source:ZFIN;Acc:ZDB-GENE-030131-7414]</t>
  </si>
  <si>
    <t>ENSDARG00000094249</t>
  </si>
  <si>
    <t>LCOR</t>
  </si>
  <si>
    <t>wu:fc17b08 [Source:ZFIN;Acc:ZDB-GENE-030131-2746]</t>
  </si>
  <si>
    <t>ENSDARG00000092228</t>
  </si>
  <si>
    <t>si:dkey-27p18.3</t>
  </si>
  <si>
    <t>si:dkey-27p18.3 [Source:ZFIN;Acc:ZDB-GENE-060526-287]</t>
  </si>
  <si>
    <t>ENSDARG00000025605</t>
  </si>
  <si>
    <t>nvl</t>
  </si>
  <si>
    <t>nuclear VCP-like [Source:ZFIN;Acc:ZDB-GENE-040426-2871]</t>
  </si>
  <si>
    <t>ENSDARG00000098013</t>
  </si>
  <si>
    <t>si:ch211-130m23.5</t>
  </si>
  <si>
    <t>si:ch211-130m23.5 [Source:ZFIN;Acc:ZDB-GENE-131121-298]</t>
  </si>
  <si>
    <t>ENSDARG00000012016</t>
  </si>
  <si>
    <t>hpgd</t>
  </si>
  <si>
    <t>hydroxyprostaglandin dehydrogenase 15-(NAD) [Source:ZFIN;Acc:ZDB-GENE-080728-2]</t>
  </si>
  <si>
    <t>ENSDARG00000070795</t>
  </si>
  <si>
    <t>eaf1</t>
  </si>
  <si>
    <t>ELL associated factor 1 [Source:ZFIN;Acc:ZDB-GENE-040625-109]</t>
  </si>
  <si>
    <t>ENSDARG00000096338</t>
  </si>
  <si>
    <t>si:dkey-20j1.4</t>
  </si>
  <si>
    <t>si:dkey-20j1.4 [Source:ZFIN;Acc:ZDB-GENE-120214-35]</t>
  </si>
  <si>
    <t>ENSDARG00000036549</t>
  </si>
  <si>
    <t>agpat3</t>
  </si>
  <si>
    <t>1-acylglycerol-3-phosphate O-acyltransferase 3 [Source:ZFIN;Acc:ZDB-GENE-040426-2765]</t>
  </si>
  <si>
    <t>ENSDARG00000078016</t>
  </si>
  <si>
    <t>dtx4</t>
  </si>
  <si>
    <t>deltex 4, E3 ubiquitin ligase [Source:ZFIN;Acc:ZDB-GENE-070410-129]</t>
  </si>
  <si>
    <t>ENSDARG00000097959</t>
  </si>
  <si>
    <t>si:dkey-248g15.3</t>
  </si>
  <si>
    <t>si:dkey-248g15.3 [Source:ZFIN;Acc:ZDB-GENE-131127-95]</t>
  </si>
  <si>
    <t>ENSDARG00000008858</t>
  </si>
  <si>
    <t>cyp7b1</t>
  </si>
  <si>
    <t>cytochrome P450, family 7, subfamily B, polypeptide 1 [Source:ZFIN;Acc:ZDB-GENE-070912-293]</t>
  </si>
  <si>
    <t>ENSDARG00000060915</t>
  </si>
  <si>
    <t>fbxl16</t>
  </si>
  <si>
    <t>F-box and leucine-rich repeat protein 16 [Source:ZFIN;Acc:ZDB-GENE-120215-180]</t>
  </si>
  <si>
    <t>ENSDARG00000070798</t>
  </si>
  <si>
    <t>pmvk</t>
  </si>
  <si>
    <t>phosphomevalonate kinase [Source:ZFIN;Acc:ZDB-GENE-070410-91]</t>
  </si>
  <si>
    <t>ENSDARG00000105177</t>
  </si>
  <si>
    <t>ilf3b</t>
  </si>
  <si>
    <t>interleukin enhancer binding factor 3b [Source:ZFIN;Acc:ZDB-GENE-030131-587]</t>
  </si>
  <si>
    <t>ENSDARG00000061684</t>
  </si>
  <si>
    <t>slc25a17</t>
  </si>
  <si>
    <t>solute carrier family 25 (mitochondrial carrier; peroxisomal membrane protein), member 17 [Source:ZFIN;Acc:ZDB-GENE-070620-4]</t>
  </si>
  <si>
    <t>ENSDARG00000090152</t>
  </si>
  <si>
    <t>anapc10</t>
  </si>
  <si>
    <t>anaphase promoting complex subunit 10 [Source:ZFIN;Acc:ZDB-GENE-060224-2]</t>
  </si>
  <si>
    <t>ENSDARG00000088753</t>
  </si>
  <si>
    <t>si:ch211-57h10.1</t>
  </si>
  <si>
    <t>si:ch211-57h10.1 [Source:ZFIN;Acc:ZDB-GENE-060526-173]</t>
  </si>
  <si>
    <t>ENSDARG00000078574</t>
  </si>
  <si>
    <t>SENP1</t>
  </si>
  <si>
    <t>si:dkey-21c19.3 [Source:ZFIN;Acc:ZDB-GENE-030131-6462]</t>
  </si>
  <si>
    <t>ENSDARG00000033466</t>
  </si>
  <si>
    <t>tagln2</t>
  </si>
  <si>
    <t>transgelin 2 [Source:ZFIN;Acc:ZDB-GENE-020802-2]</t>
  </si>
  <si>
    <t>ENSDARG00000077323</t>
  </si>
  <si>
    <t>thap4</t>
  </si>
  <si>
    <t>THAP domain containing 4 [Source:ZFIN;Acc:ZDB-GENE-070912-5]</t>
  </si>
  <si>
    <t>ENSDARG00000094160</t>
  </si>
  <si>
    <t>DLEU7</t>
  </si>
  <si>
    <t>si:ch73-160h15.3 [Source:ZFIN;Acc:ZDB-GENE-100922-213]</t>
  </si>
  <si>
    <t>ENSDARG00000078404</t>
  </si>
  <si>
    <t>cdh26.1</t>
  </si>
  <si>
    <t>cadherin 26, tandem duplicate 1 [Source:ZFIN;Acc:ZDB-GENE-100922-193]</t>
  </si>
  <si>
    <t>ENSDARG00000045487</t>
  </si>
  <si>
    <t>rps16</t>
  </si>
  <si>
    <t>ribosomal protein S16 [Source:ZFIN;Acc:ZDB-GENE-050506-107]</t>
  </si>
  <si>
    <t>ENSDARG00000087070</t>
  </si>
  <si>
    <t>znf977</t>
  </si>
  <si>
    <t>zinc finger protein 977 [Source:ZFIN;Acc:ZDB-GENE-110913-138]</t>
  </si>
  <si>
    <t>ENSDARG00000101790</t>
  </si>
  <si>
    <t>si:ch73-299h12.3</t>
  </si>
  <si>
    <t>si:ch73-299h12.3 [Source:ZFIN;Acc:ZDB-GENE-081031-93]</t>
  </si>
  <si>
    <t>ENSDARG00000060316</t>
  </si>
  <si>
    <t>cish</t>
  </si>
  <si>
    <t>cytokine inducible SH2-containing protein [Source:ZFIN;Acc:ZDB-GENE-050907-1]</t>
  </si>
  <si>
    <t>ENSDARG00000002190</t>
  </si>
  <si>
    <t>chmp2bb</t>
  </si>
  <si>
    <t>charged multivesicular body protein 2Bb [Source:ZFIN;Acc:ZDB-GENE-040426-2539]</t>
  </si>
  <si>
    <t>ENSDARG00000099312</t>
  </si>
  <si>
    <t>hn1b</t>
  </si>
  <si>
    <t>hematological and neurological expressed 1b [Source:ZFIN;Acc:ZDB-GENE-030131-2784]</t>
  </si>
  <si>
    <t>ENSDARG00000045463</t>
  </si>
  <si>
    <t>ralaa</t>
  </si>
  <si>
    <t>v-ral simian leukemia viral oncogene homolog Aa (ras related) [Source:ZFIN;Acc:ZDB-GENE-040426-1344]</t>
  </si>
  <si>
    <t>ENSDARG00000041723</t>
  </si>
  <si>
    <t>zgc:55461</t>
  </si>
  <si>
    <t>zgc:55461 [Source:ZFIN;Acc:ZDB-GENE-040426-2879]</t>
  </si>
  <si>
    <t>ENSDARG00000069386</t>
  </si>
  <si>
    <t>mtg1</t>
  </si>
  <si>
    <t>mitochondrial ribosome-associated GTPase 1 [Source:ZFIN;Acc:ZDB-GENE-031110-2]</t>
  </si>
  <si>
    <t>ENSDARG00000093819</t>
  </si>
  <si>
    <t>si:ch211-207l22.1</t>
  </si>
  <si>
    <t>si:ch211-207l22.1 [Source:ZFIN;Acc:ZDB-GENE-100922-77]</t>
  </si>
  <si>
    <t>ENSDARG00000038612</t>
  </si>
  <si>
    <t>pih1d3</t>
  </si>
  <si>
    <t>PIH1 domain containing 3 [Source:ZFIN;Acc:ZDB-GENE-040722-2]</t>
  </si>
  <si>
    <t>ENSDARG00000076509</t>
  </si>
  <si>
    <t>polr2d</t>
  </si>
  <si>
    <t>polymerase (RNA) II (DNA directed) polypeptide D [Source:ZFIN;Acc:ZDB-GENE-040714-2]</t>
  </si>
  <si>
    <t>ENSDARG00000038834</t>
  </si>
  <si>
    <t>etfdh</t>
  </si>
  <si>
    <t>electron-transferring-flavoprotein dehydrogenase [Source:ZFIN;Acc:ZDB-GENE-040912-168]</t>
  </si>
  <si>
    <t>ENSDARG00000075034</t>
  </si>
  <si>
    <t>raver2</t>
  </si>
  <si>
    <t>ribonucleoprotein, PTB-binding 2 [Source:ZFIN;Acc:ZDB-GENE-090713-1]</t>
  </si>
  <si>
    <t>ENSDARG00000004171</t>
  </si>
  <si>
    <t>rabac1</t>
  </si>
  <si>
    <t>Rab acceptor 1 (prenylated) [Source:ZFIN;Acc:ZDB-GENE-040625-146]</t>
  </si>
  <si>
    <t>ENSDARG00000037871</t>
  </si>
  <si>
    <t>wipi2</t>
  </si>
  <si>
    <t>WD repeat domain, phosphoinositide interacting 2 [Source:ZFIN;Acc:ZDB-GENE-040718-488]</t>
  </si>
  <si>
    <t>ENSDARG00000058992</t>
  </si>
  <si>
    <t>cers2b</t>
  </si>
  <si>
    <t>ceramide synthase 2b [Source:ZFIN;Acc:ZDB-GENE-110408-40]</t>
  </si>
  <si>
    <t>ENSDARG00000104605</t>
  </si>
  <si>
    <t>si:ch73-299h12.4</t>
  </si>
  <si>
    <t>si:ch73-299h12.4 [Source:ZFIN;Acc:ZDB-GENE-081104-275]</t>
  </si>
  <si>
    <t>ENSDARG00000094101</t>
  </si>
  <si>
    <t>si:dkey-122c11.8</t>
  </si>
  <si>
    <t>si:dkey-122c11.8 [Source:ZFIN;Acc:ZDB-GENE-110913-23]</t>
  </si>
  <si>
    <t>ENSDARG00000069175</t>
  </si>
  <si>
    <t>vps4b</t>
  </si>
  <si>
    <t>vacuolar protein sorting 4b homolog B (S. cerevisiae) [Source:ZFIN;Acc:ZDB-GENE-040426-1235]</t>
  </si>
  <si>
    <t>ENSDARG00000062788</t>
  </si>
  <si>
    <t>irg1l</t>
  </si>
  <si>
    <t>immunoresponsive gene 1, like [Source:ZFIN;Acc:ZDB-GENE-061103-301]</t>
  </si>
  <si>
    <t>ENSDARG00000075173</t>
  </si>
  <si>
    <t>si:ch1073-322p19.1</t>
  </si>
  <si>
    <t>si:ch1073-322p19.1 [Source:ZFIN;Acc:ZDB-GENE-091204-224]</t>
  </si>
  <si>
    <t>ENSDARG00000031020</t>
  </si>
  <si>
    <t>pip4k2ca</t>
  </si>
  <si>
    <t>phosphatidylinositol-5-phosphate 4-kinase, type II, gamma a [Source:ZFIN;Acc:ZDB-GENE-030828-9]</t>
  </si>
  <si>
    <t>ENSDARG00000079766</t>
  </si>
  <si>
    <t>tap1</t>
  </si>
  <si>
    <t>transporter 1, ATP-binding cassette, sub-family B (MDR/TAP) [Source:ZFIN;Acc:ZDB-GENE-050517-43]</t>
  </si>
  <si>
    <t>ENSDARG00000023858</t>
  </si>
  <si>
    <t>ccdc174</t>
  </si>
  <si>
    <t>coiled-coil domain containing 174 [Source:ZFIN;Acc:ZDB-GENE-050320-54]</t>
  </si>
  <si>
    <t>ENSDARG00000073869</t>
  </si>
  <si>
    <t>pdzrn3b</t>
  </si>
  <si>
    <t>PDZ domain containing RING finger 3b [Source:ZFIN;Acc:ZDB-GENE-071022-4]</t>
  </si>
  <si>
    <t>ENSDARG00000008840</t>
  </si>
  <si>
    <t>hmbsa</t>
  </si>
  <si>
    <t>hydroxymethylbilane synthase a [Source:ZFIN;Acc:ZDB-GENE-040426-1375]</t>
  </si>
  <si>
    <t>ENSDARG00000003382</t>
  </si>
  <si>
    <t>cwc25</t>
  </si>
  <si>
    <t>CWC25 spliceosome-associated protein homolog (S. cerevisiae) [Source:ZFIN;Acc:ZDB-GENE-040426-2817]</t>
  </si>
  <si>
    <t>ENSDARG00000054533</t>
  </si>
  <si>
    <t>araf</t>
  </si>
  <si>
    <t>A-Raf proto-oncogene, serine/threonine kinase [Source:ZFIN;Acc:ZDB-GENE-050102-2]</t>
  </si>
  <si>
    <t>ENSDARG00000087555</t>
  </si>
  <si>
    <t>si:ch73-308l14.2</t>
  </si>
  <si>
    <t>si:ch73-308l14.2 [Source:ZFIN;Acc:ZDB-GENE-141219-12]</t>
  </si>
  <si>
    <t>ENSDARG00000099499</t>
  </si>
  <si>
    <t>ndufa4l</t>
  </si>
  <si>
    <t>NADH dehydrogenase (ubiquinone) 1 alpha subcomplex 4, like [Source:ZFIN;Acc:ZDB-GENE-040426-2756]</t>
  </si>
  <si>
    <t>ENSDARG00000095837</t>
  </si>
  <si>
    <t>si:dkey-185p13.1</t>
  </si>
  <si>
    <t>si:dkey-185p13.1 [Source:ZFIN;Acc:ZDB-GENE-110411-125]</t>
  </si>
  <si>
    <t>ENSDARG00000086283</t>
  </si>
  <si>
    <t>cnsta</t>
  </si>
  <si>
    <t>consortin, connexin sorting protein a [Source:ZFIN;Acc:ZDB-GENE-120917-3]</t>
  </si>
  <si>
    <t>ENSDARG00000094142</t>
  </si>
  <si>
    <t>si:dkey-261m5.1</t>
  </si>
  <si>
    <t>si:dkey-261m5.1 [Source:ZFIN;Acc:ZDB-GENE-131125-109]</t>
  </si>
  <si>
    <t>ENSDARG00000051854</t>
  </si>
  <si>
    <t>cdt1</t>
  </si>
  <si>
    <t>chromatin licensing and DNA replication factor 1 [Source:ZFIN;Acc:ZDB-GENE-070111-1]</t>
  </si>
  <si>
    <t>ENSDARG00000055644</t>
  </si>
  <si>
    <t>prss60.2</t>
  </si>
  <si>
    <t>protease, serine, 60.2 [Source:ZFIN;Acc:ZDB-GENE-050320-109]</t>
  </si>
  <si>
    <t>ENSDARG00000056680</t>
  </si>
  <si>
    <t>stc2a</t>
  </si>
  <si>
    <t>stanniocalcin 2a [Source:ZFIN;Acc:ZDB-GENE-041008-14]</t>
  </si>
  <si>
    <t>ENSDARG00000003519</t>
  </si>
  <si>
    <t>aprt</t>
  </si>
  <si>
    <t>adenine phosphoribosyltransferase [Source:ZFIN;Acc:ZDB-GENE-040426-1492]</t>
  </si>
  <si>
    <t>ENSDARG00000058243</t>
  </si>
  <si>
    <t>phactr3a</t>
  </si>
  <si>
    <t>phosphatase and actin regulator 3a [Source:ZFIN;Acc:ZDB-GENE-080220-4]</t>
  </si>
  <si>
    <t>ENSDARG00000074366</t>
  </si>
  <si>
    <t>si:ch1073-186i23.1</t>
  </si>
  <si>
    <t>si:ch1073-186i23.1 [Source:ZFIN;Acc:ZDB-GENE-080917-28]</t>
  </si>
  <si>
    <t>ENSDARG00000026387</t>
  </si>
  <si>
    <t>tmem55bb</t>
  </si>
  <si>
    <t>transmembrane protein 55Bb [Source:ZFIN;Acc:ZDB-GENE-121214-195]</t>
  </si>
  <si>
    <t>ENSDARG00000059887</t>
  </si>
  <si>
    <t>eral1</t>
  </si>
  <si>
    <t>Era-like 12S mitochondrial rRNA chaperone 1 [Source:ZFIN;Acc:ZDB-GENE-060526-84]</t>
  </si>
  <si>
    <t>ENSDARG00000075899</t>
  </si>
  <si>
    <t>adgrl2b.1</t>
  </si>
  <si>
    <t>adhesion G protein-coupled receptor L2b, tandem duplicate 1 [Source:ZFIN;Acc:ZDB-GENE-130116-4]</t>
  </si>
  <si>
    <t>ENSDARG00000020239</t>
  </si>
  <si>
    <t>lpin1</t>
  </si>
  <si>
    <t>lipin 1 [Source:ZFIN;Acc:ZDB-GENE-080722-2]</t>
  </si>
  <si>
    <t>ENSDARG00000051853</t>
  </si>
  <si>
    <t>galns</t>
  </si>
  <si>
    <t>galactosamine (N-acetyl)-6-sulfatase [Source:ZFIN;Acc:ZDB-GENE-070112-1152]</t>
  </si>
  <si>
    <t>ENSDARG00000038213</t>
  </si>
  <si>
    <t>slc35b1</t>
  </si>
  <si>
    <t>solute carrier family 35, member B1 [Source:ZFIN;Acc:ZDB-GENE-040912-148]</t>
  </si>
  <si>
    <t>ENSDARG00000035563</t>
  </si>
  <si>
    <t>znf703</t>
  </si>
  <si>
    <t>zinc finger protein 703 [Source:ZFIN;Acc:ZDB-GENE-010717-1]</t>
  </si>
  <si>
    <t>ENSDARG00000062390</t>
  </si>
  <si>
    <t>cdc42ep5</t>
  </si>
  <si>
    <t>CDC42 effector protein (Rho GTPase binding) 5 [Source:ZFIN;Acc:ZDB-GENE-030131-5813]</t>
  </si>
  <si>
    <t>ENSDARG00000087788</t>
  </si>
  <si>
    <t>RNH1</t>
  </si>
  <si>
    <t>si:ch211-22k7.9 [Source:ZFIN;Acc:ZDB-GENE-070424-160]</t>
  </si>
  <si>
    <t>ENSDARG00000037628</t>
  </si>
  <si>
    <t>trpt1</t>
  </si>
  <si>
    <t>tRNA phosphotransferase 1 [Source:ZFIN;Acc:ZDB-GENE-050227-16]</t>
  </si>
  <si>
    <t>ENSDARG00000099766</t>
  </si>
  <si>
    <t>myl12.1</t>
  </si>
  <si>
    <t>myosin, light chain 12, genome duplicate 1 [Source:ZFIN;Acc:ZDB-GENE-030131-4918]</t>
  </si>
  <si>
    <t>ENSDARG00000098444</t>
  </si>
  <si>
    <t>si:dkey-3h2.4</t>
  </si>
  <si>
    <t>si:dkey-3h2.4 [Source:ZFIN;Acc:ZDB-GENE-070705-466]</t>
  </si>
  <si>
    <t>ENSDARG00000051851</t>
  </si>
  <si>
    <t>ctu2</t>
  </si>
  <si>
    <t>cytosolic thiouridylase subunit 2 homolog (S. pombe) [Source:ZFIN;Acc:ZDB-GENE-040801-79]</t>
  </si>
  <si>
    <t>ENSDARG00000099640</t>
  </si>
  <si>
    <t>eed</t>
  </si>
  <si>
    <t>embryonic ectoderm development [Source:ZFIN;Acc:ZDB-GENE-050417-287]</t>
  </si>
  <si>
    <t>ENSDARG00000070109</t>
  </si>
  <si>
    <t>ncapg</t>
  </si>
  <si>
    <t>non-SMC condensin I complex, subunit G [Source:ZFIN;Acc:ZDB-GENE-041111-282]</t>
  </si>
  <si>
    <t>ENSDARG00000101388</t>
  </si>
  <si>
    <t>si:ch211-171l17.14</t>
  </si>
  <si>
    <t>si:ch211-171l17.14 [Source:ZFIN;Acc:ZDB-GENE-070912-153]</t>
  </si>
  <si>
    <t>ENSDARG00000023303</t>
  </si>
  <si>
    <t>zgc:66427</t>
  </si>
  <si>
    <t>zgc:66427 [Source:ZFIN;Acc:ZDB-GENE-040426-1913]</t>
  </si>
  <si>
    <t>ENSDARG00000063095</t>
  </si>
  <si>
    <t>ctsf</t>
  </si>
  <si>
    <t>cathepsin F [Source:ZFIN;Acc:ZDB-GENE-030131-9831]</t>
  </si>
  <si>
    <t>ENSDARG00000104919</t>
  </si>
  <si>
    <t>si:ch211-153b23.3</t>
  </si>
  <si>
    <t>si:ch211-153b23.3 [Source:ZFIN;Acc:ZDB-GENE-141216-408]</t>
  </si>
  <si>
    <t>ENSDARG00000101319</t>
  </si>
  <si>
    <t>si:ch73-299h12.6</t>
  </si>
  <si>
    <t>si:ch73-299h12.6 [Source:ZFIN;Acc:ZDB-GENE-081031-44]</t>
  </si>
  <si>
    <t>ENSDARG00000040295</t>
  </si>
  <si>
    <t>apoeb</t>
  </si>
  <si>
    <t>apolipoprotein Eb [Source:ZFIN;Acc:ZDB-GENE-980526-368]</t>
  </si>
  <si>
    <t>ENSDARG00000044809</t>
  </si>
  <si>
    <t>fpgs</t>
  </si>
  <si>
    <t>folylpolyglutamate synthase [Source:ZFIN;Acc:ZDB-GENE-040426-2781]</t>
  </si>
  <si>
    <t>ENSDARG00000039243</t>
  </si>
  <si>
    <t>zgc:152791</t>
  </si>
  <si>
    <t>zgc:152791 [Source:ZFIN;Acc:ZDB-GENE-060901-4]</t>
  </si>
  <si>
    <t>ENSDARG00000070098</t>
  </si>
  <si>
    <t>lcorl</t>
  </si>
  <si>
    <t>ligand dependent nuclear receptor corepressor-like [Source:ZFIN;Acc:ZDB-GENE-030131-6300]</t>
  </si>
  <si>
    <t>ENSDARG00000099910</t>
  </si>
  <si>
    <t>si:ch211-208f21.3</t>
  </si>
  <si>
    <t>si:ch211-208f21.3 [Source:ZFIN;Acc:ZDB-GENE-110913-7]</t>
  </si>
  <si>
    <t>ENSDARG00000069013</t>
  </si>
  <si>
    <t>prdx4</t>
  </si>
  <si>
    <t>peroxiredoxin 4 [Source:ZFIN;Acc:ZDB-GENE-030131-1096]</t>
  </si>
  <si>
    <t>ENSDARG00000100349</t>
  </si>
  <si>
    <t>prkacaa</t>
  </si>
  <si>
    <t>protein kinase, cAMP-dependent, catalytic, alpha, genome duplicate a [Source:ZFIN;Acc:ZDB-GENE-050114-6]</t>
  </si>
  <si>
    <t>ENSDARG00000097082</t>
  </si>
  <si>
    <t>im:7152348</t>
  </si>
  <si>
    <t>im:7152348 [Source:ZFIN;Acc:ZDB-GENE-041111-308]</t>
  </si>
  <si>
    <t>ENSDARG00000022007</t>
  </si>
  <si>
    <t>SPEF1</t>
  </si>
  <si>
    <t>zgc:66426 [Source:ZFIN;Acc:ZDB-GENE-040426-1639]</t>
  </si>
  <si>
    <t>ENSDARG00000052833</t>
  </si>
  <si>
    <t>zfand3</t>
  </si>
  <si>
    <t>zinc finger, AN1-type domain 3 [Source:ZFIN;Acc:ZDB-GENE-050706-134]</t>
  </si>
  <si>
    <t>ENSDARG00000093496</t>
  </si>
  <si>
    <t>BEND2</t>
  </si>
  <si>
    <t>si:zfos-905g2.1 [Source:ZFIN;Acc:ZDB-GENE-030131-9565]</t>
  </si>
  <si>
    <t>ENSDARG00000068143</t>
  </si>
  <si>
    <t>slc39a6</t>
  </si>
  <si>
    <t>solute carrier family 39 (zinc transporter), member 6 [Source:ZFIN;Acc:ZDB-GENE-030131-3023]</t>
  </si>
  <si>
    <t>ENSDARG00000058893</t>
  </si>
  <si>
    <t>nhej1</t>
  </si>
  <si>
    <t>nonhomologous end-joining factor 1 [Source:ZFIN;Acc:ZDB-GENE-040426-2515]</t>
  </si>
  <si>
    <t>ENSDARG00000058978</t>
  </si>
  <si>
    <t>BEND2.1</t>
  </si>
  <si>
    <t>zgc:113423 [Source:ZFIN;Acc:ZDB-GENE-050913-14]</t>
  </si>
  <si>
    <t>ENSDARG00000016311</t>
  </si>
  <si>
    <t>dock9b</t>
  </si>
  <si>
    <t>dedicator of cytokinesis 9b [Source:ZFIN;Acc:ZDB-GENE-090916-2]</t>
  </si>
  <si>
    <t>ENSDARG00000013613</t>
  </si>
  <si>
    <t>anxa13l</t>
  </si>
  <si>
    <t>annexin A13, like [Source:ZFIN;Acc:ZDB-GENE-050522-310]</t>
  </si>
  <si>
    <t>ENSDARG00000075867</t>
  </si>
  <si>
    <t>mkl1a</t>
  </si>
  <si>
    <t>megakaryoblastic leukemia (translocation) 1a [Source:ZFIN;Acc:ZDB-GENE-121205-3]</t>
  </si>
  <si>
    <t>ENSDARG00000092726</t>
  </si>
  <si>
    <t>si:dkey-184p9.7</t>
  </si>
  <si>
    <t>si:dkey-184p9.7 [Source:ZFIN;Acc:ZDB-GENE-091204-97]</t>
  </si>
  <si>
    <t>ENSDARG00000102741</t>
  </si>
  <si>
    <t>sumo2b</t>
  </si>
  <si>
    <t>small ubiquitin-like modifier 2b [Source:ZFIN;Acc:ZDB-GENE-040801-7]</t>
  </si>
  <si>
    <t>ENSDARG00000091548</t>
  </si>
  <si>
    <t>stard9</t>
  </si>
  <si>
    <t>StAR-related lipid transfer (START) domain containing 9 [Source:ZFIN;Acc:ZDB-GENE-111111-11]</t>
  </si>
  <si>
    <t>ENSDARG00000100773</t>
  </si>
  <si>
    <t>zmynd19</t>
  </si>
  <si>
    <t>zinc finger, MYND-type containing 19 [Source:ZFIN;Acc:ZDB-GENE-030131-4460]</t>
  </si>
  <si>
    <t>ENSDARG00000041776</t>
  </si>
  <si>
    <t>ndst3</t>
  </si>
  <si>
    <t>N-deacetylase/N-sulfotransferase (heparan glucosaminyl) 3 [Source:ZFIN;Acc:ZDB-GENE-090312-199]</t>
  </si>
  <si>
    <t>ENSDARG00000077012</t>
  </si>
  <si>
    <t>eif4ea</t>
  </si>
  <si>
    <t>eukaryotic translation initiation factor 4ea [Source:ZFIN;Acc:ZDB-GENE-040413-1]</t>
  </si>
  <si>
    <t>ENSDARG00000006603</t>
  </si>
  <si>
    <t>csrp1a</t>
  </si>
  <si>
    <t>cysteine and glycine-rich protein 1a [Source:ZFIN;Acc:ZDB-GENE-030909-4]</t>
  </si>
  <si>
    <t>ENSDARG00000037020</t>
  </si>
  <si>
    <t>kif1b</t>
  </si>
  <si>
    <t>kinesin family member 1B [Source:ZFIN;Acc:ZDB-GENE-030820-1]</t>
  </si>
  <si>
    <t>ENSDARG00000075194</t>
  </si>
  <si>
    <t>si:dkey-56e3.3</t>
  </si>
  <si>
    <t>si:dkey-56e3.3 [Source:ZFIN;Acc:ZDB-GENE-050411-91]</t>
  </si>
  <si>
    <t>ENSDARG00000076466</t>
  </si>
  <si>
    <t>maml1</t>
  </si>
  <si>
    <t>mastermind-like transcriptional coactivator 1 [Source:ZFIN;Acc:ZDB-GENE-100820-2]</t>
  </si>
  <si>
    <t>ENSDARG00000102950</t>
  </si>
  <si>
    <t>si:ch211-241b2.1</t>
  </si>
  <si>
    <t>si:ch211-241b2.1 [Source:ZFIN;Acc:ZDB-GENE-070705-131]</t>
  </si>
  <si>
    <t>ENSDARG00000078389</t>
  </si>
  <si>
    <t>si:dkey-188i13.7</t>
  </si>
  <si>
    <t>si:dkey-188i13.7 [Source:ZFIN;Acc:ZDB-GENE-090312-190]</t>
  </si>
  <si>
    <t>ENSDARG00000104693</t>
  </si>
  <si>
    <t>il6st</t>
  </si>
  <si>
    <t>interleukin 6 signal transducer [Source:ZFIN;Acc:ZDB-GENE-080104-6]</t>
  </si>
  <si>
    <t>ENSDARG00000071029</t>
  </si>
  <si>
    <t>si:dkey-147f3.4</t>
  </si>
  <si>
    <t>si:dkey-147f3.4 [Source:ZFIN;Acc:ZDB-GENE-061009-29]</t>
  </si>
  <si>
    <t>ENSDARG00000009524</t>
  </si>
  <si>
    <t>rnf150b</t>
  </si>
  <si>
    <t>ring finger protein 150b [Source:ZFIN;Acc:ZDB-GENE-050417-470]</t>
  </si>
  <si>
    <t>ENSDARG00000098679</t>
  </si>
  <si>
    <t>nup85</t>
  </si>
  <si>
    <t>nucleoporin 85 [Source:ZFIN;Acc:ZDB-GENE-040801-145]</t>
  </si>
  <si>
    <t>ENSDARG00000039436</t>
  </si>
  <si>
    <t>il13ra2</t>
  </si>
  <si>
    <t>interleukin 13 receptor, alpha 2 [Source:ZFIN;Acc:ZDB-GENE-030521-10]</t>
  </si>
  <si>
    <t>ENSDARG00000002758</t>
  </si>
  <si>
    <t>dedd1</t>
  </si>
  <si>
    <t>death effector domain-containing 1 [Source:ZFIN;Acc:ZDB-GENE-000616-2]</t>
  </si>
  <si>
    <t>ENSDARG00000091656</t>
  </si>
  <si>
    <t>lsm8</t>
  </si>
  <si>
    <t>LSM8 homolog, U6 small nuclear RNA associated [Source:ZFIN;Acc:ZDB-GENE-070629-3]</t>
  </si>
  <si>
    <t>ENSDARG00000016835</t>
  </si>
  <si>
    <t>tcirg1a</t>
  </si>
  <si>
    <t>T-cell, immune regulator 1, ATPase, H+ transporting, lysosomal V0 subunit A3a [Source:ZFIN;Acc:ZDB-GENE-090311-31]</t>
  </si>
  <si>
    <t>ENSDARG00000009350</t>
  </si>
  <si>
    <t>atg3</t>
  </si>
  <si>
    <t>autophagy related 3 [Source:ZFIN;Acc:ZDB-GENE-030131-8576]</t>
  </si>
  <si>
    <t>ENSDARG00000062965</t>
  </si>
  <si>
    <t>fam45a</t>
  </si>
  <si>
    <t>family with sequence similarity 45, member A [Source:ZFIN;Acc:ZDB-GENE-030131-3548]</t>
  </si>
  <si>
    <t>ENSDARG00000101543</t>
  </si>
  <si>
    <t>strumpellin</t>
  </si>
  <si>
    <t>strumpellin [Source:ZFIN;Acc:ZDB-GENE-040426-838]</t>
  </si>
  <si>
    <t>ENSDARG00000018478</t>
  </si>
  <si>
    <t>agxtb</t>
  </si>
  <si>
    <t>alanine-glyoxylate aminotransferase b [Source:ZFIN;Acc:ZDB-GENE-010302-3]</t>
  </si>
  <si>
    <t>ENSDARG00000069185</t>
  </si>
  <si>
    <t>celsr1a</t>
  </si>
  <si>
    <t>cadherin EGF LAG seven-pass G-type receptor 1a [Source:ZFIN;Acc:ZDB-GENE-030616-78]</t>
  </si>
  <si>
    <t>ENSDARG00000014190</t>
  </si>
  <si>
    <t>sst2</t>
  </si>
  <si>
    <t>somatostatin 2 [Source:ZFIN;Acc:ZDB-GENE-010219-2]</t>
  </si>
  <si>
    <t>ENSDARG00000101037</t>
  </si>
  <si>
    <t>asf1ba</t>
  </si>
  <si>
    <t>anti-silencing function 1Ba histone chaperone [Source:ZFIN;Acc:ZDB-GENE-031118-197]</t>
  </si>
  <si>
    <t>ENSDARG00000025797</t>
  </si>
  <si>
    <t>abhd2a</t>
  </si>
  <si>
    <t>abhydrolase domain containing 2a [Source:ZFIN;Acc:ZDB-GENE-040426-784]</t>
  </si>
  <si>
    <t>ENSDARG00000028148</t>
  </si>
  <si>
    <t>pax2a</t>
  </si>
  <si>
    <t>paired box 2a [Source:ZFIN;Acc:ZDB-GENE-990415-8]</t>
  </si>
  <si>
    <t>ENSDARG00000078894</t>
  </si>
  <si>
    <t>hemk1</t>
  </si>
  <si>
    <t>HemK methyltransferase family member 1 [Source:ZFIN;Acc:ZDB-GENE-050208-185]</t>
  </si>
  <si>
    <t>ENSDARG00000037488</t>
  </si>
  <si>
    <t>canx</t>
  </si>
  <si>
    <t>calnexin [Source:ZFIN;Acc:ZDB-GENE-040426-2797]</t>
  </si>
  <si>
    <t>ENSDARG00000063594</t>
  </si>
  <si>
    <t>hipk1a</t>
  </si>
  <si>
    <t>homeodomain interacting protein kinase 1a [Source:ZFIN;Acc:ZDB-GENE-081031-101]</t>
  </si>
  <si>
    <t>ENSDARG00000077567</t>
  </si>
  <si>
    <t>angel1</t>
  </si>
  <si>
    <t>angel homolog 1 (Drosophila) [Source:ZFIN;Acc:ZDB-GENE-111020-12]</t>
  </si>
  <si>
    <t>ENSDARG00000099612</t>
  </si>
  <si>
    <t>zgc:66483</t>
  </si>
  <si>
    <t>zgc:66483 [Source:ZFIN;Acc:ZDB-GENE-030131-5765]</t>
  </si>
  <si>
    <t>ENSDARG00000079350</t>
  </si>
  <si>
    <t>znf654</t>
  </si>
  <si>
    <t>zinc finger protein 654 [Source:ZFIN;Acc:ZDB-GENE-030131-1423]</t>
  </si>
  <si>
    <t>ENSDARG00000069545</t>
  </si>
  <si>
    <t>atg12</t>
  </si>
  <si>
    <t>ATG12 autophagy related 12 homolog (S. cerevisiae) [Source:ZFIN;Acc:ZDB-GENE-071205-7]</t>
  </si>
  <si>
    <t>ENSDARG00000070084</t>
  </si>
  <si>
    <t>phf10</t>
  </si>
  <si>
    <t>PHD finger protein 10 [Source:ZFIN;Acc:ZDB-GENE-040426-1573]</t>
  </si>
  <si>
    <t>ENSDARG00000101245</t>
  </si>
  <si>
    <t>znf1063</t>
  </si>
  <si>
    <t>zinc finger protein 1063 [Source:ZFIN;Acc:ZDB-GENE-110914-144]</t>
  </si>
  <si>
    <t>ENSDARG00000099439</t>
  </si>
  <si>
    <t>serp1</t>
  </si>
  <si>
    <t>stress-associated endoplasmic reticulum protein 1 [Source:ZFIN;Acc:ZDB-GENE-030131-8741]</t>
  </si>
  <si>
    <t>ENSDARG00000092361</t>
  </si>
  <si>
    <t>si:dkey-79f11.7</t>
  </si>
  <si>
    <t>si:dkey-79f11.7 [Source:ZFIN;Acc:ZDB-GENE-090313-338]</t>
  </si>
  <si>
    <t>ENSDARG00000102948</t>
  </si>
  <si>
    <t>crb3a</t>
  </si>
  <si>
    <t>crumbs homolog 3a [Source:ZFIN;Acc:ZDB-GENE-060610-2]</t>
  </si>
  <si>
    <t>ENSDARG00000056080</t>
  </si>
  <si>
    <t>RAP1GDS1</t>
  </si>
  <si>
    <t>si:dkey-191g9.5 [Source:ZFIN;Acc:ZDB-GENE-090313-217]</t>
  </si>
  <si>
    <t>ENSDARG00000041724</t>
  </si>
  <si>
    <t>glipr2</t>
  </si>
  <si>
    <t>GLI pathogenesis-related 2 [Source:ZFIN;Acc:ZDB-GENE-030131-4424]</t>
  </si>
  <si>
    <t>ENSDARG00000061603</t>
  </si>
  <si>
    <t>sorbs2b</t>
  </si>
  <si>
    <t>sorbin and SH3 domain containing 2b [Source:ZFIN;Acc:ZDB-GENE-070308-3]</t>
  </si>
  <si>
    <t>ENSDARG00000026904</t>
  </si>
  <si>
    <t>cbln13</t>
  </si>
  <si>
    <t>cerebellin 13 [Source:ZFIN;Acc:ZDB-GENE-070912-288]</t>
  </si>
  <si>
    <t>ENSDARG00000078640</t>
  </si>
  <si>
    <t>fam117aa</t>
  </si>
  <si>
    <t>family with sequence similarity 117, member Aa [Source:ZFIN;Acc:ZDB-GENE-110606-4]</t>
  </si>
  <si>
    <t>ENSDARG00000012369</t>
  </si>
  <si>
    <t>rdh10b</t>
  </si>
  <si>
    <t>retinol dehydrogenase 10b [Source:ZFIN;Acc:ZDB-GENE-030909-7]</t>
  </si>
  <si>
    <t>ENSDARG00000060252</t>
  </si>
  <si>
    <t>mogs</t>
  </si>
  <si>
    <t>mannosyl-oligosaccharide glucosidase [Source:ZFIN;Acc:ZDB-GENE-070112-412]</t>
  </si>
  <si>
    <t>ENSDARG00000063636</t>
  </si>
  <si>
    <t>galnt11</t>
  </si>
  <si>
    <t>UDP-N-acetyl-alpha-D-galactosamine:polypeptide N-acetylgalactosaminyltransferase 11 (GalNAc-T11) [Source:ZFIN;Acc:ZDB-GENE-060929-998]</t>
  </si>
  <si>
    <t>ENSDARG00000004621</t>
  </si>
  <si>
    <t>gpm6ab</t>
  </si>
  <si>
    <t>glycoprotein M6Ab [Source:ZFIN;Acc:ZDB-GENE-030710-8]</t>
  </si>
  <si>
    <t>ENSDARG00000058903</t>
  </si>
  <si>
    <t>GPR161</t>
  </si>
  <si>
    <t>si:ch211-237c6.4 [Source:ZFIN;Acc:ZDB-GENE-120215-39]</t>
  </si>
  <si>
    <t>ENSDARG00000058679</t>
  </si>
  <si>
    <t>KRCC1</t>
  </si>
  <si>
    <t>zgc:114104 [Source:ZFIN;Acc:ZDB-GENE-050913-63]</t>
  </si>
  <si>
    <t>ENSDARG00000026476</t>
  </si>
  <si>
    <t>tia1l</t>
  </si>
  <si>
    <t>cytotoxic granule-associated RNA binding protein 1, like [Source:ZFIN;Acc:ZDB-GENE-030131-2167]</t>
  </si>
  <si>
    <t>ENSDARG00000088882</t>
  </si>
  <si>
    <t>GPRIN3</t>
  </si>
  <si>
    <t>si:ch211-149b19.2 [Source:ZFIN;Acc:ZDB-GENE-110411-60]</t>
  </si>
  <si>
    <t>ENSDARG00000077169</t>
  </si>
  <si>
    <t>si:ch211-153b23.4</t>
  </si>
  <si>
    <t>si:ch211-153b23.4 [Source:ZFIN;Acc:ZDB-GENE-030131-7332]</t>
  </si>
  <si>
    <t>ENSDARG00000103795</t>
  </si>
  <si>
    <t>zgc:113348</t>
  </si>
  <si>
    <t>zgc:113348 [Source:ZFIN;Acc:ZDB-GENE-050227-10]</t>
  </si>
  <si>
    <t>ENSDARG00000053456</t>
  </si>
  <si>
    <t>GK</t>
  </si>
  <si>
    <t>zgc:172295 [Source:ZFIN;Acc:ZDB-GENE-080204-72]</t>
  </si>
  <si>
    <t>ENSDARG00000011370</t>
  </si>
  <si>
    <t>fyna</t>
  </si>
  <si>
    <t>FYN proto-oncogene, Src family tyrosine kinase a [Source:ZFIN;Acc:ZDB-GENE-030903-5]</t>
  </si>
  <si>
    <t>ENSDARG00000044811</t>
  </si>
  <si>
    <t>cdk9</t>
  </si>
  <si>
    <t>cyclin-dependent kinase 9 (CDC2-related kinase) [Source:ZFIN;Acc:ZDB-GENE-030131-321]</t>
  </si>
  <si>
    <t>ENSDARG00000017219</t>
  </si>
  <si>
    <t>pabpc1a</t>
  </si>
  <si>
    <t>poly(A) binding protein, cytoplasmic 1a [Source:ZFIN;Acc:ZDB-GENE-030131-3238]</t>
  </si>
  <si>
    <t>ENSDARG00000006038</t>
  </si>
  <si>
    <t>aebp2</t>
  </si>
  <si>
    <t>AE binding protein 2 [Source:ZFIN;Acc:ZDB-GENE-040426-2885]</t>
  </si>
  <si>
    <t>ENSDARG00000033140</t>
  </si>
  <si>
    <t>desi1a</t>
  </si>
  <si>
    <t>desumoylating isopeptidase 1a [Source:ZFIN;Acc:ZDB-GENE-040426-1657]</t>
  </si>
  <si>
    <t>ENSDARG00000017905</t>
  </si>
  <si>
    <t>casp3a</t>
  </si>
  <si>
    <t>caspase 3, apoptosis-related cysteine peptidase a [Source:ZFIN;Acc:ZDB-GENE-011210-1]</t>
  </si>
  <si>
    <t>ENSDARG00000052011</t>
  </si>
  <si>
    <t>rrad</t>
  </si>
  <si>
    <t>Ras-related associated with diabetes [Source:ZFIN;Acc:ZDB-GENE-030131-5607]</t>
  </si>
  <si>
    <t>ENSDARG00000008191</t>
  </si>
  <si>
    <t>tmeff1a</t>
  </si>
  <si>
    <t>transmembrane protein with EGF-like and two follistatin-like domains 1a [Source:ZFIN;Acc:ZDB-GENE-070912-294]</t>
  </si>
  <si>
    <t>ENSDARG00000056862</t>
  </si>
  <si>
    <t>cep63</t>
  </si>
  <si>
    <t>centrosomal protein 63 [Source:ZFIN;Acc:ZDB-GENE-040426-1154]</t>
  </si>
  <si>
    <t>ENSDARG00000101072</t>
  </si>
  <si>
    <t>cnot6b</t>
  </si>
  <si>
    <t>CCR4-NOT transcription complex, subunit 6b [Source:ZFIN;Acc:ZDB-GENE-071004-97]</t>
  </si>
  <si>
    <t>ENSDARG00000063438</t>
  </si>
  <si>
    <t>srebf2</t>
  </si>
  <si>
    <t>sterol regulatory element binding transcription factor 2 [Source:ZFIN;Acc:ZDB-GENE-070410-8]</t>
  </si>
  <si>
    <t>ENSDARG00000071217</t>
  </si>
  <si>
    <t>hs6st3a</t>
  </si>
  <si>
    <t>heparan sulfate 6-O-sulfotransferase 3a [Source:ZFIN;Acc:ZDB-GENE-120215-57]</t>
  </si>
  <si>
    <t>ENSDARG00000104436</t>
  </si>
  <si>
    <t>zgc:153426</t>
  </si>
  <si>
    <t>zgc:153426 [Source:ZFIN;Acc:ZDB-GENE-060929-220]</t>
  </si>
  <si>
    <t>ENSDARG00000055797</t>
  </si>
  <si>
    <t>cnpy4</t>
  </si>
  <si>
    <t>canopy4 [Source:ZFIN;Acc:ZDB-GENE-060315-5]</t>
  </si>
  <si>
    <t>ENSDARG00000075842</t>
  </si>
  <si>
    <t>pigt</t>
  </si>
  <si>
    <t>phosphatidylinositol glycan anchor biosynthesis, class T [Source:ZFIN;Acc:ZDB-GENE-090313-46]</t>
  </si>
  <si>
    <t>ENSDARG00000102358</t>
  </si>
  <si>
    <t>si:dkey-261o4.9</t>
  </si>
  <si>
    <t>si:dkey-261o4.9 [Source:ZFIN;Acc:ZDB-GENE-141211-1]</t>
  </si>
  <si>
    <t>ENSDARG00000011510</t>
  </si>
  <si>
    <t>rcc2</t>
  </si>
  <si>
    <t>regulator of chromosome condensation 2 [Source:ZFIN;Acc:ZDB-GENE-040426-2213]</t>
  </si>
  <si>
    <t>ENSDARG00000070447</t>
  </si>
  <si>
    <t>slc39a9</t>
  </si>
  <si>
    <t>solute carrier family 39, member 9 [Source:ZFIN;Acc:ZDB-GENE-060314-3]</t>
  </si>
  <si>
    <t>ENSDARG00000006385</t>
  </si>
  <si>
    <t>triobpb</t>
  </si>
  <si>
    <t>TRIO and F-actin binding protein b [Source:ZFIN;Acc:ZDB-GENE-061215-80]</t>
  </si>
  <si>
    <t>ENSDARG00000034568</t>
  </si>
  <si>
    <t>fitm2</t>
  </si>
  <si>
    <t>fat storage-inducing transmembrane protein 2 [Source:ZFIN;Acc:ZDB-GENE-050508-5]</t>
  </si>
  <si>
    <t>ENSDARG00000058257</t>
  </si>
  <si>
    <t>slc39a1</t>
  </si>
  <si>
    <t>solute carrier family 39 (zinc transporter), member 1 [Source:ZFIN;Acc:ZDB-GENE-030131-9917]</t>
  </si>
  <si>
    <t>ENSDARG00000103659</t>
  </si>
  <si>
    <t>bco1l</t>
  </si>
  <si>
    <t>beta-carotene oxygenase 1, like [Source:ZFIN;Acc:ZDB-GENE-040426-1191]</t>
  </si>
  <si>
    <t>ENSDARG00000057869</t>
  </si>
  <si>
    <t>cdc42l2</t>
  </si>
  <si>
    <t>cell division cycle 42 like 2 [Source:ZFIN;Acc:ZDB-GENE-060312-21]</t>
  </si>
  <si>
    <t>ENSDARG00000044923</t>
  </si>
  <si>
    <t>ube2w</t>
  </si>
  <si>
    <t>ubiquitin-conjugating enzyme E2W (putative) [Source:ZFIN;Acc:ZDB-GENE-050506-94]</t>
  </si>
  <si>
    <t>ENSDARG00000024654</t>
  </si>
  <si>
    <t>pgm3</t>
  </si>
  <si>
    <t>phosphoglucomutase 3 [Source:ZFIN;Acc:ZDB-GENE-041024-13]</t>
  </si>
  <si>
    <t>ENSDARG00000024324</t>
  </si>
  <si>
    <t>arhgap1</t>
  </si>
  <si>
    <t>Rho GTPase activating protein 1 [Source:ZFIN;Acc:ZDB-GENE-050417-305]</t>
  </si>
  <si>
    <t>ENSDARG00000074266</t>
  </si>
  <si>
    <t>si:ch1073-314i13.4</t>
  </si>
  <si>
    <t>si:ch1073-314i13.4 [Source:ZFIN;Acc:ZDB-GENE-120214-41]</t>
  </si>
  <si>
    <t>ENSDARG00000045768</t>
  </si>
  <si>
    <t>cry1aa</t>
  </si>
  <si>
    <t>cryptochrome circadian clock 1aa [Source:ZFIN;Acc:ZDB-GENE-010426-2]</t>
  </si>
  <si>
    <t>ENSDARG00000037930</t>
  </si>
  <si>
    <t>rnf113a</t>
  </si>
  <si>
    <t>ring finger protein 113A [Source:ZFIN;Acc:ZDB-GENE-040825-1]</t>
  </si>
  <si>
    <t>ENSDARG00000079217</t>
  </si>
  <si>
    <t>bbs9</t>
  </si>
  <si>
    <t>Bardet-Biedl syndrome 9 [Source:ZFIN;Acc:ZDB-GENE-081027-4]</t>
  </si>
  <si>
    <t>ENSDARG00000045355</t>
  </si>
  <si>
    <t>tceb1a</t>
  </si>
  <si>
    <t>transcription elongation factor B (SIII), polypeptide 1a [Source:ZFIN;Acc:ZDB-GENE-040912-120]</t>
  </si>
  <si>
    <t>ENSDARG00000038027</t>
  </si>
  <si>
    <t>nol12</t>
  </si>
  <si>
    <t>nucleolar protein 12 [Source:ZFIN;Acc:ZDB-GENE-040426-1035]</t>
  </si>
  <si>
    <t>ENSDARG00000046087</t>
  </si>
  <si>
    <t>brd2b</t>
  </si>
  <si>
    <t>bromodomain containing 2b [Source:ZFIN;Acc:ZDB-GENE-070220-1]</t>
  </si>
  <si>
    <t>ENSDARG00000098934</t>
  </si>
  <si>
    <t>rrp7a</t>
  </si>
  <si>
    <t>ribosomal RNA processing 7 homolog A [Source:ZFIN;Acc:ZDB-GENE-050417-38]</t>
  </si>
  <si>
    <t>ENSDARG00000027589</t>
  </si>
  <si>
    <t>fzd7b</t>
  </si>
  <si>
    <t>frizzled class receptor 7b [Source:ZFIN;Acc:ZDB-GENE-990415-229]</t>
  </si>
  <si>
    <t>ENSDARG00000026225</t>
  </si>
  <si>
    <t>whsc1</t>
  </si>
  <si>
    <t>Wolf-Hirschhorn syndrome candidate 1 [Source:ZFIN;Acc:ZDB-GENE-030131-2581]</t>
  </si>
  <si>
    <t>ENSDARG00000068983</t>
  </si>
  <si>
    <t>btbd9</t>
  </si>
  <si>
    <t>BTB (POZ) domain containing 9 [Source:ZFIN;Acc:ZDB-GENE-040704-39]</t>
  </si>
  <si>
    <t>ENSDARG00000030650</t>
  </si>
  <si>
    <t>r3hdml</t>
  </si>
  <si>
    <t>R3H domain containing-like [Source:ZFIN;Acc:ZDB-GENE-090313-275]</t>
  </si>
  <si>
    <t>ENSDARG00000009868</t>
  </si>
  <si>
    <t>dcaf11</t>
  </si>
  <si>
    <t>ddb1 and cul4 associated factor 11 [Source:ZFIN;Acc:ZDB-GENE-050809-116]</t>
  </si>
  <si>
    <t>ENSDARG00000088699</t>
  </si>
  <si>
    <t>pdzd8</t>
  </si>
  <si>
    <t>PDZ domain containing 8 [Source:ZFIN;Acc:ZDB-GENE-110310-2]</t>
  </si>
  <si>
    <t>ENSDARG00000052010</t>
  </si>
  <si>
    <t>fam96b</t>
  </si>
  <si>
    <t>family with sequence similarity 96, member B [Source:ZFIN;Acc:ZDB-GENE-040718-148]</t>
  </si>
  <si>
    <t>ENSDARG00000095826</t>
  </si>
  <si>
    <t>smdt1a</t>
  </si>
  <si>
    <t>single-pass membrane protein with aspartate-rich tail 1a [Source:ZFIN;Acc:ZDB-GENE-110411-114]</t>
  </si>
  <si>
    <t>ENSDARG00000038028</t>
  </si>
  <si>
    <t>ndufa6</t>
  </si>
  <si>
    <t>NADH dehydrogenase (ubiquinone) 1 alpha subcomplex, 6 [Source:ZFIN;Acc:ZDB-GENE-040426-1124]</t>
  </si>
  <si>
    <t>ENSDARG00000092170</t>
  </si>
  <si>
    <t>apoc1</t>
  </si>
  <si>
    <t>apolipoprotein C-I [Source:ZFIN;Acc:ZDB-GENE-030131-1074]</t>
  </si>
  <si>
    <t>ENSDARG00000044852</t>
  </si>
  <si>
    <t>wbp2nl</t>
  </si>
  <si>
    <t>WBP2 N-terminal like [Source:ZFIN;Acc:ZDB-GENE-030131-4012]</t>
  </si>
  <si>
    <t>ENSDARG00000038025</t>
  </si>
  <si>
    <t>cbx7a</t>
  </si>
  <si>
    <t>chromobox homolog 7a [Source:ZFIN;Acc:ZDB-GENE-050417-400]</t>
  </si>
  <si>
    <t>ENSDARG00000089917</t>
  </si>
  <si>
    <t>sh3tc2</t>
  </si>
  <si>
    <t>SH3 domain and tetratricopeptide repeats 2 [Source:ZFIN;Acc:ZDB-GENE-081104-347]</t>
  </si>
  <si>
    <t>ENSDARG00000101411</t>
  </si>
  <si>
    <t>wbp11</t>
  </si>
  <si>
    <t>WW domain binding protein 11 [Source:ZFIN;Acc:ZDB-GENE-040426-1829]</t>
  </si>
  <si>
    <t>ENSDARG00000078111</t>
  </si>
  <si>
    <t>ap5z1</t>
  </si>
  <si>
    <t>adaptor-related protein complex 5, zeta 1 subunit [Source:ZFIN;Acc:ZDB-GENE-120508-2]</t>
  </si>
  <si>
    <t>ENSDARG00000058533</t>
  </si>
  <si>
    <t>pole</t>
  </si>
  <si>
    <t>polymerase (DNA directed), epsilon [Source:ZFIN;Acc:ZDB-GENE-070705-557]</t>
  </si>
  <si>
    <t>ENSDARG00000006758</t>
  </si>
  <si>
    <t>fam234b</t>
  </si>
  <si>
    <t>family with sequence similarity 234, member B [Source:ZFIN;Acc:ZDB-GENE-030131-3308]</t>
  </si>
  <si>
    <t>ENSDARG00000100741</t>
  </si>
  <si>
    <t>cdc20</t>
  </si>
  <si>
    <t>cell division cycle 20 homolog [Source:ZFIN;Acc:ZDB-GENE-040426-2044]</t>
  </si>
  <si>
    <t>ENSDARG00000031647</t>
  </si>
  <si>
    <t>stat2</t>
  </si>
  <si>
    <t>signal transducer and activator of transcription 2 [Source:ZFIN;Acc:ZDB-GENE-080321-1]</t>
  </si>
  <si>
    <t>ENSDARG00000069832</t>
  </si>
  <si>
    <t>sfxn4</t>
  </si>
  <si>
    <t>sideroflexin 4 [Source:ZFIN;Acc:ZDB-GENE-050309-187]</t>
  </si>
  <si>
    <t>ENSDARG00000004115</t>
  </si>
  <si>
    <t>mgat4b</t>
  </si>
  <si>
    <t>mannosyl (alpha-1,3-)-glycoprotein beta-1,4-N-acetylglucosaminyltransferase, isozyme B [Source:ZFIN;Acc:ZDB-GENE-040704-19]</t>
  </si>
  <si>
    <t>ENSDARG00000104875</t>
  </si>
  <si>
    <t>bspry</t>
  </si>
  <si>
    <t>B-box and SPRY domain containing [Source:ZFIN;Acc:ZDB-GENE-060526-219]</t>
  </si>
  <si>
    <t>ENSDARG00000074262</t>
  </si>
  <si>
    <t>nck1a</t>
  </si>
  <si>
    <t>NCK adaptor protein 1a [Source:ZFIN;Acc:ZDB-GENE-070912-547]</t>
  </si>
  <si>
    <t>ENSDARG00000098924</t>
  </si>
  <si>
    <t>suz12b</t>
  </si>
  <si>
    <t>SUZ12 polycomb repressive complex 2b subunit [Source:ZFIN;Acc:ZDB-GENE-030131-3255]</t>
  </si>
  <si>
    <t>ENSDARG00000104733</t>
  </si>
  <si>
    <t>coq4</t>
  </si>
  <si>
    <t>coenzyme Q4 homolog (S. cerevisiae) [Source:ZFIN;Acc:ZDB-GENE-060526-218]</t>
  </si>
  <si>
    <t>ENSDARG00000045359</t>
  </si>
  <si>
    <t>tceb1b</t>
  </si>
  <si>
    <t>transcription elongation factor B (SIII), polypeptide 1b [Source:ZFIN;Acc:ZDB-GENE-040718-138]</t>
  </si>
  <si>
    <t>ENSDARG00000098603</t>
  </si>
  <si>
    <t>si:dkeyp-101f3.2</t>
  </si>
  <si>
    <t>si:dkeyp-101f3.2 [Source:ZFIN;Acc:ZDB-GENE-141216-419]</t>
  </si>
  <si>
    <t>ENSDARG00000099375</t>
  </si>
  <si>
    <t>poldip3</t>
  </si>
  <si>
    <t>polymerase (DNA-directed), delta interacting protein 3 [Source:ZFIN;Acc:ZDB-GENE-120201-2]</t>
  </si>
  <si>
    <t>ENSDARG00000100679</t>
  </si>
  <si>
    <t>lrch3</t>
  </si>
  <si>
    <t>leucine-rich repeats and calponin homology (CH) domain containing 3 [Source:ZFIN;Acc:ZDB-GENE-071004-44]</t>
  </si>
  <si>
    <t>ENSDARG00000099045</t>
  </si>
  <si>
    <t>cacnb2a</t>
  </si>
  <si>
    <t>calcium channel, voltage-dependent, beta 2a [Source:ZFIN;Acc:ZDB-GENE-080808-7]</t>
  </si>
  <si>
    <t>ENSDARG00000087749</t>
  </si>
  <si>
    <t>ccser2a</t>
  </si>
  <si>
    <t>coiled-coil serine-rich protein 2a [Source:ZFIN;Acc:ZDB-GENE-131121-492]</t>
  </si>
  <si>
    <t>ENSDARG00000058206</t>
  </si>
  <si>
    <t>si:ch211-153b23.5</t>
  </si>
  <si>
    <t>si:ch211-153b23.5 [Source:ZFIN;Acc:ZDB-GENE-030131-9744]</t>
  </si>
  <si>
    <t>ENSDARG00000063321</t>
  </si>
  <si>
    <t>rabl2</t>
  </si>
  <si>
    <t>RAB, member of RAS oncogene family-like 2 [Source:ZFIN;Acc:ZDB-GENE-060503-464]</t>
  </si>
  <si>
    <t>ENSDARG00000095974</t>
  </si>
  <si>
    <t>si:ch73-211l13.2</t>
  </si>
  <si>
    <t>si:ch73-211l13.2 [Source:ZFIN;Acc:ZDB-GENE-110411-257]</t>
  </si>
  <si>
    <t>ENSDARG00000071037</t>
  </si>
  <si>
    <t>pex13</t>
  </si>
  <si>
    <t>peroxisomal biogenesis factor 13 [Source:ZFIN;Acc:ZDB-GENE-040426-1544]</t>
  </si>
  <si>
    <t>ENSDARG00000061161</t>
  </si>
  <si>
    <t>ube2j2</t>
  </si>
  <si>
    <t>ubiquitin-conjugating enzyme E2, J2 (UBC6 homolog, yeast) [Source:ZFIN;Acc:ZDB-GENE-070410-28]</t>
  </si>
  <si>
    <t>ENSDARG00000078348</t>
  </si>
  <si>
    <t>tcf20</t>
  </si>
  <si>
    <t>transcription factor 20 [Source:ZFIN;Acc:ZDB-GENE-110411-97]</t>
  </si>
  <si>
    <t>ENSDARG00000098726</t>
  </si>
  <si>
    <t>rptor</t>
  </si>
  <si>
    <t>regulatory associated protein of MTOR, complex 1 [Source:ZFIN;Acc:ZDB-GENE-130530-685]</t>
  </si>
  <si>
    <t>ENSDARG00000100257</t>
  </si>
  <si>
    <t>zgc:174314</t>
  </si>
  <si>
    <t>zgc:174314 [Source:ZFIN;Acc:ZDB-GENE-080213-5]</t>
  </si>
  <si>
    <t>ENSDARG00000105382</t>
  </si>
  <si>
    <t>HIST1H4A</t>
  </si>
  <si>
    <t>si:ch73-368j24.2 [Source:ZFIN;Acc:ZDB-GENE-160113-92]</t>
  </si>
  <si>
    <t>ENSDARG00000006093</t>
  </si>
  <si>
    <t>cdk15</t>
  </si>
  <si>
    <t>cyclin-dependent kinase 15 [Source:ZFIN;Acc:ZDB-GENE-060421-7193]</t>
  </si>
  <si>
    <t>ENSDARG00000060068</t>
  </si>
  <si>
    <t>fam98b</t>
  </si>
  <si>
    <t>family with sequence similarity 98, member B [Source:ZFIN;Acc:ZDB-GENE-061201-63]</t>
  </si>
  <si>
    <t>ENSDARG00000061590</t>
  </si>
  <si>
    <t>cachd1</t>
  </si>
  <si>
    <t>cache domain containing 1 [Source:ZFIN;Acc:ZDB-GENE-100819-3]</t>
  </si>
  <si>
    <t>ENSDARG00000103432</t>
  </si>
  <si>
    <t>exosc4</t>
  </si>
  <si>
    <t>exosome component 4 [Source:ZFIN;Acc:ZDB-GENE-040426-1702]</t>
  </si>
  <si>
    <t>ENSDARG00000098209</t>
  </si>
  <si>
    <t>SIMC1</t>
  </si>
  <si>
    <t>si:ch211-199b20.3 [Source:ZFIN;Acc:ZDB-GENE-141215-17]</t>
  </si>
  <si>
    <t>ENSDARG00000097214</t>
  </si>
  <si>
    <t>si:ch211-214o13.1</t>
  </si>
  <si>
    <t>si:ch211-214o13.1 [Source:ZFIN;Acc:ZDB-GENE-131127-207]</t>
  </si>
  <si>
    <t>ENSDARG00000091349</t>
  </si>
  <si>
    <t>plekhd1</t>
  </si>
  <si>
    <t>pleckstrin homology domain containing, family D (with coiled-coil domains) member 1 [Source:ZFIN;Acc:ZDB-GENE-130926-1]</t>
  </si>
  <si>
    <t>ENSDARG00000080010</t>
  </si>
  <si>
    <t>adh5</t>
  </si>
  <si>
    <t>alcohol dehydrogenase 5 [Source:ZFIN;Acc:ZDB-GENE-011003-1]</t>
  </si>
  <si>
    <t>ENSDARG00000021991</t>
  </si>
  <si>
    <t>erlin1</t>
  </si>
  <si>
    <t>ER lipid raft associated 1 [Source:ZFIN;Acc:ZDB-GENE-050327-13]</t>
  </si>
  <si>
    <t>ENSDARG00000020219</t>
  </si>
  <si>
    <t>dld</t>
  </si>
  <si>
    <t>deltaD [Source:ZFIN;Acc:ZDB-GENE-990415-47]</t>
  </si>
  <si>
    <t>ENSDARG00000020143</t>
  </si>
  <si>
    <t>pah</t>
  </si>
  <si>
    <t>phenylalanine hydroxylase [Source:ZFIN;Acc:ZDB-GENE-031006-2]</t>
  </si>
  <si>
    <t>ENSDARG00000102927</t>
  </si>
  <si>
    <t>si:dkey-261o4.6</t>
  </si>
  <si>
    <t>si:dkey-261o4.6 [Source:ZFIN;Acc:ZDB-GENE-131118-3]</t>
  </si>
  <si>
    <t>ENSDARG00000062909</t>
  </si>
  <si>
    <t>furina</t>
  </si>
  <si>
    <t>furin (paired basic amino acid cleaving enzyme) a [Source:ZFIN;Acc:ZDB-GENE-040901-1]</t>
  </si>
  <si>
    <t>ENSDARG00000029100</t>
  </si>
  <si>
    <t>chchd1</t>
  </si>
  <si>
    <t>coiled-coil-helix-coiled-coil-helix domain containing 1 [Source:ZFIN;Acc:ZDB-GENE-060810-176]</t>
  </si>
  <si>
    <t>ENSDARG00000038658</t>
  </si>
  <si>
    <t>murca</t>
  </si>
  <si>
    <t>muscle-related coiled-coil protein a [Source:ZFIN;Acc:ZDB-GENE-050506-21]</t>
  </si>
  <si>
    <t>ENSDARG00000068978</t>
  </si>
  <si>
    <t>glo1</t>
  </si>
  <si>
    <t>glyoxalase 1 [Source:ZFIN;Acc:ZDB-GENE-030722-9]</t>
  </si>
  <si>
    <t>ENSDARG00000075580</t>
  </si>
  <si>
    <t>lrch2</t>
  </si>
  <si>
    <t>leucine-rich repeats and calponin homology (CH) domain containing 2 [Source:ZFIN;Acc:ZDB-GENE-080114-1]</t>
  </si>
  <si>
    <t>ENSDARG00000100279</t>
  </si>
  <si>
    <t>HIST2H2AB.2</t>
  </si>
  <si>
    <t>zgc:165551 [Source:ZFIN;Acc:ZDB-GENE-030131-6292]</t>
  </si>
  <si>
    <t>ENSDARG00000104129</t>
  </si>
  <si>
    <t>si:dkey-23n7.10</t>
  </si>
  <si>
    <t>si:dkey-23n7.10 [Source:ZFIN;Acc:ZDB-GENE-141222-64]</t>
  </si>
  <si>
    <t>ENSDARG00000098397</t>
  </si>
  <si>
    <t>si:ch73-59f11.2</t>
  </si>
  <si>
    <t>si:ch73-59f11.2 [Source:ZFIN;Acc:ZDB-GENE-131127-566]</t>
  </si>
  <si>
    <t>ENSDARG00000098244</t>
  </si>
  <si>
    <t>si:dkey-19h16.7</t>
  </si>
  <si>
    <t>si:dkey-19h16.7 [Source:ZFIN;Acc:ZDB-GENE-110914-214]</t>
  </si>
  <si>
    <t>ENSDARG00000061923</t>
  </si>
  <si>
    <t>amotl2a</t>
  </si>
  <si>
    <t>angiomotin like 2a [Source:ZFIN;Acc:ZDB-GENE-030131-9770]</t>
  </si>
  <si>
    <t>ENSDARG00000005010</t>
  </si>
  <si>
    <t>si:dkeyp-2e4.8</t>
  </si>
  <si>
    <t>si:dkeyp-2e4.8 [Source:ZFIN;Acc:ZDB-GENE-061207-81]</t>
  </si>
  <si>
    <t>ENSDARG00000012763</t>
  </si>
  <si>
    <t>arl13b</t>
  </si>
  <si>
    <t>ADP-ribosylation factor-like 13b [Source:ZFIN;Acc:ZDB-GENE-021217-3]</t>
  </si>
  <si>
    <t>ENSDARG00000075008</t>
  </si>
  <si>
    <t>pask</t>
  </si>
  <si>
    <t>PAS domain containing serine/threonine kinase [Source:ZFIN;Acc:ZDB-GENE-030131-1394]</t>
  </si>
  <si>
    <t>ENSDARG00000062801</t>
  </si>
  <si>
    <t>erfl3</t>
  </si>
  <si>
    <t>Ets2 repressor factor like 3 [Source:ZFIN;Acc:ZDB-GENE-090529-4]</t>
  </si>
  <si>
    <t>ENSDARG00000037455</t>
  </si>
  <si>
    <t>ugt8</t>
  </si>
  <si>
    <t>UDP glycosyltransferase 8 [Source:ZFIN;Acc:ZDB-GENE-060616-129]</t>
  </si>
  <si>
    <t>ENSDARG00000092664</t>
  </si>
  <si>
    <t>si:dkey-93m18.3</t>
  </si>
  <si>
    <t>si:dkey-93m18.3 [Source:ZFIN;Acc:ZDB-GENE-091204-346]</t>
  </si>
  <si>
    <t>ENSDARG00000077130</t>
  </si>
  <si>
    <t>bcl10</t>
  </si>
  <si>
    <t>B-cell CLL/lymphoma 10 [Source:ZFIN;Acc:ZDB-GENE-100219-2]</t>
  </si>
  <si>
    <t>ENSDARG00000027986</t>
  </si>
  <si>
    <t>slc35d1b</t>
  </si>
  <si>
    <t>solute carrier family 35 (UDP-GlcA/UDP-GalNAc transporter), member D1b [Source:ZFIN;Acc:ZDB-GENE-040426-1213]</t>
  </si>
  <si>
    <t>ENSDARG00000075151</t>
  </si>
  <si>
    <t>si:dkey-188i13.10</t>
  </si>
  <si>
    <t>si:dkey-188i13.10 [Source:ZFIN;Acc:ZDB-GENE-090313-208]</t>
  </si>
  <si>
    <t>ENSDARG00000041449</t>
  </si>
  <si>
    <t>spred1</t>
  </si>
  <si>
    <t>sprouty-related, EVH1 domain containing 1 [Source:ZFIN;Acc:ZDB-GENE-040426-2338]</t>
  </si>
  <si>
    <t>ENSDARG00000079857</t>
  </si>
  <si>
    <t>si:ch211-189k9.2</t>
  </si>
  <si>
    <t>si:ch211-189k9.2 [Source:ZFIN;Acc:ZDB-GENE-100405-5]</t>
  </si>
  <si>
    <t>ENSDARG00000075766</t>
  </si>
  <si>
    <t>sccpdha</t>
  </si>
  <si>
    <t>saccharopine dehydrogenase a [Source:ZFIN;Acc:ZDB-GENE-040718-51]</t>
  </si>
  <si>
    <t>ENSDARG00000032218</t>
  </si>
  <si>
    <t>acss3</t>
  </si>
  <si>
    <t>acyl-CoA synthetase short-chain family member 3 [Source:ZFIN;Acc:ZDB-GENE-060503-816]</t>
  </si>
  <si>
    <t>ENSDARG00000060469</t>
  </si>
  <si>
    <t>pik3r4</t>
  </si>
  <si>
    <t>phosphoinositide-3-kinase, regulatory subunit 4 [Source:ZFIN;Acc:ZDB-GENE-050309-84]</t>
  </si>
  <si>
    <t>ENSDARG00000034785</t>
  </si>
  <si>
    <t>dachb</t>
  </si>
  <si>
    <t>dachshund b [Source:ZFIN;Acc:ZDB-GENE-020402-4]</t>
  </si>
  <si>
    <t>ENSDARG00000021022</t>
  </si>
  <si>
    <t>ift57</t>
  </si>
  <si>
    <t>intraflagellar transport 57 homolog (Chlamydomonas) [Source:ZFIN;Acc:ZDB-GENE-040614-1]</t>
  </si>
  <si>
    <t>ENSDARG00000043734</t>
  </si>
  <si>
    <t>trmu</t>
  </si>
  <si>
    <t>tRNA 5-methylaminomethyl-2-thiouridylate methyltransferase [Source:ZFIN;Acc:ZDB-GENE-050522-540]</t>
  </si>
  <si>
    <t>ENSDARG00000007245</t>
  </si>
  <si>
    <t>rundc3aa</t>
  </si>
  <si>
    <t>RUN domain containing 3Aa [Source:ZFIN;Acc:ZDB-GENE-130530-533]</t>
  </si>
  <si>
    <t>ENSDARG00000077126</t>
  </si>
  <si>
    <t>snrnp70</t>
  </si>
  <si>
    <t>small nuclear ribonucleoprotein 70 (U1) [Source:ZFIN;Acc:ZDB-GENE-040825-2]</t>
  </si>
  <si>
    <t>ENSDARG00000070512</t>
  </si>
  <si>
    <t>tnrc5</t>
  </si>
  <si>
    <t>trinucleotide repeat containing 5 [Source:ZFIN;Acc:ZDB-GENE-050411-12]</t>
  </si>
  <si>
    <t>ENSDARG00000092967</t>
  </si>
  <si>
    <t>si:dkey-93m18.4</t>
  </si>
  <si>
    <t>si:dkey-93m18.4 [Source:ZFIN;Acc:ZDB-GENE-091204-318]</t>
  </si>
  <si>
    <t>ENSDARG00000103956</t>
  </si>
  <si>
    <t>si:dkey-17o15.2</t>
  </si>
  <si>
    <t>si:dkey-17o15.2 [Source:ZFIN;Acc:ZDB-GENE-030131-4187]</t>
  </si>
  <si>
    <t>ENSDARG00000061108</t>
  </si>
  <si>
    <t>ep300b</t>
  </si>
  <si>
    <t>E1A binding protein p300 b [Source:ZFIN;Acc:ZDB-GENE-080403-15]</t>
  </si>
  <si>
    <t>ENSDARG00000043334</t>
  </si>
  <si>
    <t>ccdc6a</t>
  </si>
  <si>
    <t>coiled-coil domain containing 6a [Source:ZFIN;Acc:ZDB-GENE-030131-7848]</t>
  </si>
  <si>
    <t>ENSDARG00000104071</t>
  </si>
  <si>
    <t>zgc:110091</t>
  </si>
  <si>
    <t>zgc:110091 [Source:ZFIN;Acc:ZDB-GENE-050417-34]</t>
  </si>
  <si>
    <t>ENSDARG00000003200</t>
  </si>
  <si>
    <t>foxm1</t>
  </si>
  <si>
    <t>forkhead box M1 [Source:ZFIN;Acc:ZDB-GENE-040426-1275]</t>
  </si>
  <si>
    <t>ENSDARG00000002213</t>
  </si>
  <si>
    <t>invs</t>
  </si>
  <si>
    <t>inversin [Source:ZFIN;Acc:ZDB-GENE-020507-2]</t>
  </si>
  <si>
    <t>ENSDARG00000097495</t>
  </si>
  <si>
    <t>si:ch73-36j8.3</t>
  </si>
  <si>
    <t>si:ch73-36j8.3 [Source:ZFIN;Acc:ZDB-GENE-131121-249]</t>
  </si>
  <si>
    <t>ENSDARG00000063332</t>
  </si>
  <si>
    <t>shank3a</t>
  </si>
  <si>
    <t>SH3 and multiple ankyrin repeat domains 3a [Source:ZFIN;Acc:ZDB-GENE-060503-369]</t>
  </si>
  <si>
    <t>ENSDARG00000076526</t>
  </si>
  <si>
    <t>gar1</t>
  </si>
  <si>
    <t>GAR1 homolog, ribonucleoprotein [Source:ZFIN;Acc:ZDB-GENE-040426-893]</t>
  </si>
  <si>
    <t>ENSDARG00000076128</t>
  </si>
  <si>
    <t>prkar1aa</t>
  </si>
  <si>
    <t>protein kinase, cAMP-dependent, regulatory, type I, alpha (tissue specific extinguisher 1) a [Source:ZFIN;Acc:ZDB-GENE-050116-2]</t>
  </si>
  <si>
    <t>ENSDARG00000100655</t>
  </si>
  <si>
    <t>si:dkey-28k24.1</t>
  </si>
  <si>
    <t>si:dkey-28k24.1 [Source:ZFIN;Acc:ZDB-GENE-141210-12]</t>
  </si>
  <si>
    <t>ENSDARG00000058090</t>
  </si>
  <si>
    <t>cfap57</t>
  </si>
  <si>
    <t>cilia and flagella associated protein 57 [Source:ZFIN;Acc:ZDB-GENE-110411-266]</t>
  </si>
  <si>
    <t>ENSDARG00000078773</t>
  </si>
  <si>
    <t>tmem70</t>
  </si>
  <si>
    <t>transmembrane protein 70 [Source:ZFIN;Acc:ZDB-GENE-070912-593]</t>
  </si>
  <si>
    <t>ENSDARG00000093997</t>
  </si>
  <si>
    <t>si:dkey-9i23.15</t>
  </si>
  <si>
    <t>si:dkey-9i23.15 [Source:ZFIN;Acc:ZDB-GENE-090313-361]</t>
  </si>
  <si>
    <t>ENSDARG00000020764</t>
  </si>
  <si>
    <t>slmapb</t>
  </si>
  <si>
    <t>sarcolemma associated protein b [Source:ZFIN;Acc:ZDB-GENE-040426-809]</t>
  </si>
  <si>
    <t>ENSDARG00000029406</t>
  </si>
  <si>
    <t>h2afx</t>
  </si>
  <si>
    <t>H2A histone family, member X [Source:ZFIN;Acc:ZDB-GENE-040426-987]</t>
  </si>
  <si>
    <t>ENSDARG00000094133</t>
  </si>
  <si>
    <t>wu:fc21g02</t>
  </si>
  <si>
    <t>wu:fc21g02 [Source:ZFIN;Acc:ZDB-GENE-030131-2925]</t>
  </si>
  <si>
    <t>ENSDARG00000073820</t>
  </si>
  <si>
    <t>zgc:174917</t>
  </si>
  <si>
    <t>zgc:174917 [Source:ZFIN;Acc:ZDB-GENE-070928-42]</t>
  </si>
  <si>
    <t>ENSDARG00000098240</t>
  </si>
  <si>
    <t>meis2a</t>
  </si>
  <si>
    <t>Meis homeobox 2a [Source:ZFIN;Acc:ZDB-GENE-020122-2]</t>
  </si>
  <si>
    <t>ENSDARG00000078572</t>
  </si>
  <si>
    <t>stox2b</t>
  </si>
  <si>
    <t>storkhead box 2b [Source:ZFIN;Acc:ZDB-GENE-130524-1]</t>
  </si>
  <si>
    <t>ENSDARG00000058105</t>
  </si>
  <si>
    <t>rpl36a</t>
  </si>
  <si>
    <t>ribosomal protein L36A [Source:ZFIN;Acc:ZDB-GENE-020423-1]</t>
  </si>
  <si>
    <t>ENSDARG00000102956</t>
  </si>
  <si>
    <t>mmp17b</t>
  </si>
  <si>
    <t>matrix metallopeptidase 17b [Source:ZFIN;Acc:ZDB-GENE-081107-17]</t>
  </si>
  <si>
    <t>ENSDARG00000060584</t>
  </si>
  <si>
    <t>si:dkey-226m8.9</t>
  </si>
  <si>
    <t>si:dkey-226m8.9 [Source:ZFIN;Acc:ZDB-GENE-060526-260]</t>
  </si>
  <si>
    <t>ENSDARG00000098711</t>
  </si>
  <si>
    <t>si:ch1073-425j19.2</t>
  </si>
  <si>
    <t>si:ch1073-425j19.2 [Source:ZFIN;Acc:ZDB-GENE-131127-522]</t>
  </si>
  <si>
    <t>ENSDARG00000034768</t>
  </si>
  <si>
    <t>phf3</t>
  </si>
  <si>
    <t>PHD finger protein 3 [Source:ZFIN;Acc:ZDB-GENE-090313-207]</t>
  </si>
  <si>
    <t>ENSDARG00000097239</t>
  </si>
  <si>
    <t>si:ch73-31d8.2</t>
  </si>
  <si>
    <t>si:ch73-31d8.2 [Source:ZFIN;Acc:ZDB-GENE-030131-8387]</t>
  </si>
  <si>
    <t>ENSDARG00000100712</t>
  </si>
  <si>
    <t>si:dkey-19b23.12</t>
  </si>
  <si>
    <t>si:dkey-19b23.12 [Source:ZFIN;Acc:ZDB-GENE-141216-440]</t>
  </si>
  <si>
    <t>ENSDARG00000032102</t>
  </si>
  <si>
    <t>prdx3</t>
  </si>
  <si>
    <t>peroxiredoxin 3 [Source:ZFIN;Acc:ZDB-GENE-030826-18]</t>
  </si>
  <si>
    <t>ENSDARG00000093656</t>
  </si>
  <si>
    <t>si:dkeyp-2e4.6</t>
  </si>
  <si>
    <t>si:dkeyp-2e4.6 [Source:ZFIN;Acc:ZDB-GENE-061009-50]</t>
  </si>
  <si>
    <t>ENSDARG00000036040</t>
  </si>
  <si>
    <t>atg13</t>
  </si>
  <si>
    <t>ATG13 autophagy related 13 homolog (S. cerevisiae) [Source:ZFIN;Acc:ZDB-GENE-040426-1149]</t>
  </si>
  <si>
    <t>ENSDARG00000092000</t>
  </si>
  <si>
    <t>znf1020</t>
  </si>
  <si>
    <t>zinc finger protein 1020 [Source:ZFIN;Acc:ZDB-GENE-110913-31]</t>
  </si>
  <si>
    <t>ENSDARG00000092895</t>
  </si>
  <si>
    <t>si:dkey-188i13.11</t>
  </si>
  <si>
    <t>si:dkey-188i13.11 [Source:ZFIN;Acc:ZDB-GENE-090313-209]</t>
  </si>
  <si>
    <t>ENSDARG00000095908</t>
  </si>
  <si>
    <t>SAT1</t>
  </si>
  <si>
    <t>si:ch1073-228p2.2 [Source:ZFIN;Acc:ZDB-GENE-110411-88]</t>
  </si>
  <si>
    <t>ENSDARG00000037872</t>
  </si>
  <si>
    <t>foxk1</t>
  </si>
  <si>
    <t>forkhead box K1 [Source:ZFIN;Acc:ZDB-GENE-030131-6402]</t>
  </si>
  <si>
    <t>ENSDARG00000025789</t>
  </si>
  <si>
    <t>chd4b</t>
  </si>
  <si>
    <t>chromodomain helicase DNA binding protein 4b [Source:ZFIN;Acc:ZDB-GENE-030131-4532]</t>
  </si>
  <si>
    <t>ENSDARG00000070461</t>
  </si>
  <si>
    <t>zgc:154061</t>
  </si>
  <si>
    <t>zgc:154061 [Source:ZFIN;Acc:ZDB-GENE-060929-922]</t>
  </si>
  <si>
    <t>ENSDARG00000044047</t>
  </si>
  <si>
    <t>slc18b1</t>
  </si>
  <si>
    <t>solute carrier family 18, subfamily B, member 1 [Source:ZFIN;Acc:ZDB-GENE-050417-386]</t>
  </si>
  <si>
    <t>ENSDARG00000075990</t>
  </si>
  <si>
    <t>acap3a</t>
  </si>
  <si>
    <t>ArfGAP with coiled-coil, ankyrin repeat and PH domains 3a [Source:ZFIN;Acc:ZDB-GENE-030131-1711]</t>
  </si>
  <si>
    <t>ENSDARG00000013023</t>
  </si>
  <si>
    <t>nsun3</t>
  </si>
  <si>
    <t>NOP2/Sun domain family, member 3 [Source:ZFIN;Acc:ZDB-GENE-050706-95]</t>
  </si>
  <si>
    <t>ENSDARG00000101036</t>
  </si>
  <si>
    <t>traf2b</t>
  </si>
  <si>
    <t>Tnf receptor-associated factor 2b [Source:ZFIN;Acc:ZDB-GENE-030131-5345]</t>
  </si>
  <si>
    <t>ENSDARG00000062040</t>
  </si>
  <si>
    <t>atp8b5a</t>
  </si>
  <si>
    <t>ATPase, class I, type 8B, member 5a [Source:ZFIN;Acc:ZDB-GENE-060531-48]</t>
  </si>
  <si>
    <t>ENSDARG00000036164</t>
  </si>
  <si>
    <t>cars</t>
  </si>
  <si>
    <t>cysteinyl-tRNA synthetase [Source:ZFIN;Acc:ZDB-GENE-030328-29]</t>
  </si>
  <si>
    <t>ENSDARG00000013161</t>
  </si>
  <si>
    <t>zgc:55558</t>
  </si>
  <si>
    <t>zgc:55558 [Source:ZFIN;Acc:ZDB-GENE-040426-740]</t>
  </si>
  <si>
    <t>ENSDARG00000035564</t>
  </si>
  <si>
    <t>dgcr8</t>
  </si>
  <si>
    <t>DGCR8 microprocessor complex subunit [Source:ZFIN;Acc:ZDB-GENE-030131-3421]</t>
  </si>
  <si>
    <t>ENSDARG00000093130</t>
  </si>
  <si>
    <t>si:dkey-82k12.7</t>
  </si>
  <si>
    <t>si:dkey-82k12.7 [Source:ZFIN;Acc:ZDB-GENE-070912-594]</t>
  </si>
  <si>
    <t>ENSDARG00000102856</t>
  </si>
  <si>
    <t>si:ch73-59f11.3</t>
  </si>
  <si>
    <t>si:ch73-59f11.3 [Source:ZFIN;Acc:ZDB-GENE-131121-446]</t>
  </si>
  <si>
    <t>ENSDARG00000069199</t>
  </si>
  <si>
    <t>zgc:172120</t>
  </si>
  <si>
    <t>zgc:172120 [Source:ZFIN;Acc:ZDB-GENE-080204-46]</t>
  </si>
  <si>
    <t>ENSDARG00000074535</t>
  </si>
  <si>
    <t>lingo2a</t>
  </si>
  <si>
    <t>leucine rich repeat and Ig domain containing 2a [Source:ZFIN;Acc:ZDB-GENE-080327-19]</t>
  </si>
  <si>
    <t>ENSDARG00000096045</t>
  </si>
  <si>
    <t>SRR</t>
  </si>
  <si>
    <t>SRR.1</t>
  </si>
  <si>
    <t>si:ch73-263o4.4 [Source:ZFIN;Acc:ZDB-GENE-110914-210]</t>
  </si>
  <si>
    <t>ENSDARG00000070124</t>
  </si>
  <si>
    <t>ptpn23a</t>
  </si>
  <si>
    <t>protein tyrosine phosphatase, non-receptor type 23, a [Source:ZFIN;Acc:ZDB-GENE-100921-24]</t>
  </si>
  <si>
    <t>ENSDARG00000070617</t>
  </si>
  <si>
    <t>vhl</t>
  </si>
  <si>
    <t>von Hippel-Lindau tumor suppressor [Source:ZFIN;Acc:ZDB-GENE-070112-1042]</t>
  </si>
  <si>
    <t>ENSDARG00000079834</t>
  </si>
  <si>
    <t>kdf1a</t>
  </si>
  <si>
    <t>keratinocyte differentiation factor 1a [Source:ZFIN;Acc:ZDB-GENE-110411-156]</t>
  </si>
  <si>
    <t>ENSDARG00000053466</t>
  </si>
  <si>
    <t>timmdc1</t>
  </si>
  <si>
    <t>translocase of inner mitochondrial membrane domain containing 1 [Source:ZFIN;Acc:ZDB-GENE-050417-369]</t>
  </si>
  <si>
    <t>ENSDARG00000007080</t>
  </si>
  <si>
    <t>rhcgl1</t>
  </si>
  <si>
    <t>Rh family, C glycoprotein, like 1 [Source:ZFIN;Acc:ZDB-GENE-060209-2]</t>
  </si>
  <si>
    <t>ENSDARG00000054980</t>
  </si>
  <si>
    <t>ebna1bp2</t>
  </si>
  <si>
    <t>EBNA1 binding protein 2 [Source:ZFIN;Acc:ZDB-GENE-030131-6989]</t>
  </si>
  <si>
    <t>ENSDARG00000058366</t>
  </si>
  <si>
    <t>si:dkey-222f8.3</t>
  </si>
  <si>
    <t>si:dkey-222f8.3 [Source:ZFIN;Acc:ZDB-GENE-030131-3658]</t>
  </si>
  <si>
    <t>ENSDARG00000098405</t>
  </si>
  <si>
    <t>map3k1</t>
  </si>
  <si>
    <t>mitogen-activated protein kinase kinase kinase 1, E3 ubiquitin protein ligase [Source:ZFIN;Acc:ZDB-GENE-090313-412]</t>
  </si>
  <si>
    <t>ENSDARG00000102753</t>
  </si>
  <si>
    <t>si:ch211-240l14.1</t>
  </si>
  <si>
    <t>si:ch211-240l14.1 [Source:ZFIN;Acc:ZDB-GENE-040724-59]</t>
  </si>
  <si>
    <t>ENSDARG00000036426</t>
  </si>
  <si>
    <t>CDA</t>
  </si>
  <si>
    <t>zgc:103586 [Source:ZFIN;Acc:ZDB-GENE-041114-88]</t>
  </si>
  <si>
    <t>ENSDARG00000068220</t>
  </si>
  <si>
    <t>hbl3</t>
  </si>
  <si>
    <t>hexose-binding lectin 3 [Source:ZFIN;Acc:ZDB-GENE-000427-2]</t>
  </si>
  <si>
    <t>ENSDARG00000102917</t>
  </si>
  <si>
    <t>si:ch211-199m9.3</t>
  </si>
  <si>
    <t>si:ch211-199m9.3 [Source:ZFIN;Acc:ZDB-GENE-110914-18]</t>
  </si>
  <si>
    <t>ENSDARG00000036785</t>
  </si>
  <si>
    <t>si:ch211-226m16.2</t>
  </si>
  <si>
    <t>si:ch211-226m16.2 [Source:ZFIN;Acc:ZDB-GENE-030131-2302]</t>
  </si>
  <si>
    <t>ENSDARG00000008803</t>
  </si>
  <si>
    <t>marcksb</t>
  </si>
  <si>
    <t>myristoylated alanine-rich protein kinase C substrate b [Source:ZFIN;Acc:ZDB-GENE-030131-1921]</t>
  </si>
  <si>
    <t>ENSDARG00000054950</t>
  </si>
  <si>
    <t>eef2kmt</t>
  </si>
  <si>
    <t>eukaryotic elongation factor 2 lysine methyltransferase [Source:ZFIN;Acc:ZDB-GENE-041010-160]</t>
  </si>
  <si>
    <t>ENSDARG00000062770</t>
  </si>
  <si>
    <t>snx21</t>
  </si>
  <si>
    <t>sorting nexin family member 21 [Source:ZFIN;Acc:ZDB-GENE-061013-557]</t>
  </si>
  <si>
    <t>ENSDARG00000103381</t>
  </si>
  <si>
    <t>si:ch211-199m9.2</t>
  </si>
  <si>
    <t>si:ch211-199m9.2 [Source:ZFIN;Acc:ZDB-GENE-110913-32]</t>
  </si>
  <si>
    <t>ENSDARG00000069589</t>
  </si>
  <si>
    <t>tmem222a</t>
  </si>
  <si>
    <t>transmembrane protein 222a [Source:ZFIN;Acc:ZDB-GENE-050306-17]</t>
  </si>
  <si>
    <t>ENSDARG00000103581</t>
  </si>
  <si>
    <t>si:ch211-212k5.1</t>
  </si>
  <si>
    <t>si:ch211-212k5.1 [Source:ZFIN;Acc:ZDB-GENE-110914-19]</t>
  </si>
  <si>
    <t>ENSDARG00000033614</t>
  </si>
  <si>
    <t>rasgef1ba</t>
  </si>
  <si>
    <t>RasGEF domain family, member 1Ba [Source:ZFIN;Acc:ZDB-GENE-030131-5783]</t>
  </si>
  <si>
    <t>ENSDARG00000088612</t>
  </si>
  <si>
    <t>si:ch211-153b23.7</t>
  </si>
  <si>
    <t>si:ch211-153b23.7 [Source:ZFIN;Acc:ZDB-GENE-141216-14]</t>
  </si>
  <si>
    <t>ENSDARG00000104697</t>
  </si>
  <si>
    <t>si:dkey-57k17.1</t>
  </si>
  <si>
    <t>si:dkey-57k17.1 [Source:ZFIN;Acc:ZDB-GENE-110913-105]</t>
  </si>
  <si>
    <t>ENSDARG00000003869</t>
  </si>
  <si>
    <t>decr1</t>
  </si>
  <si>
    <t>2,4-dienoyl CoA reductase 1, mitochondrial [Source:ZFIN;Acc:ZDB-GENE-040718-142]</t>
  </si>
  <si>
    <t>ENSDARG00000098707</t>
  </si>
  <si>
    <t>si:ch211-212k5.4</t>
  </si>
  <si>
    <t>si:ch211-212k5.4 [Source:ZFIN;Acc:ZDB-GENE-110914-68]</t>
  </si>
  <si>
    <t>ENSDARG00000054963</t>
  </si>
  <si>
    <t>alg1</t>
  </si>
  <si>
    <t>ALG1, chitobiosyldiphosphodolichol beta-mannosyltransferase [Source:ZFIN;Acc:ZDB-GENE-030131-6093]</t>
  </si>
  <si>
    <t>ENSDARG00000097892</t>
  </si>
  <si>
    <t>si:ch211-252f13.6</t>
  </si>
  <si>
    <t>si:ch211-252f13.6 [Source:ZFIN;Acc:ZDB-GENE-131127-312]</t>
  </si>
  <si>
    <t>ENSDARG00000105375</t>
  </si>
  <si>
    <t>si:ch211-285c6.5</t>
  </si>
  <si>
    <t>si:ch211-285c6.5 [Source:ZFIN;Acc:ZDB-GENE-160113-125]</t>
  </si>
  <si>
    <t>ENSDARG00000042839</t>
  </si>
  <si>
    <t>dph6</t>
  </si>
  <si>
    <t>diphthamine biosynthesis 6 [Source:ZFIN;Acc:ZDB-GENE-050227-15]</t>
  </si>
  <si>
    <t>ENSDARG00000079234</t>
  </si>
  <si>
    <t>si:ch211-285c6.2</t>
  </si>
  <si>
    <t>si:ch211-285c6.2 [Source:ZFIN;Acc:ZDB-GENE-040724-168]</t>
  </si>
  <si>
    <t>ENSDARG00000101126</t>
  </si>
  <si>
    <t>atad5b</t>
  </si>
  <si>
    <t>ATPase family, AAA domain containing 5b [Source:ZFIN;Acc:ZDB-GENE-030131-338]</t>
  </si>
  <si>
    <t>ENSDARG00000105266</t>
  </si>
  <si>
    <t>si:dkey-16p6.1</t>
  </si>
  <si>
    <t>si:dkey-16p6.1 [Source:ZFIN;Acc:ZDB-GENE-081103-43]</t>
  </si>
  <si>
    <t>ENSDARG00000055502</t>
  </si>
  <si>
    <t>cicb</t>
  </si>
  <si>
    <t>capicua transcriptional repressor b [Source:ZFIN;Acc:ZDB-GENE-030131-1966]</t>
  </si>
  <si>
    <t>ENSDARG00000030357</t>
  </si>
  <si>
    <t>zgc:66313</t>
  </si>
  <si>
    <t>zgc:66313 [Source:ZFIN;Acc:ZDB-GENE-040426-1606]</t>
  </si>
  <si>
    <t>ENSDARG00000038024</t>
  </si>
  <si>
    <t>flr</t>
  </si>
  <si>
    <t>fleer [Source:ZFIN;Acc:ZDB-GENE-070117-2066]</t>
  </si>
  <si>
    <t>ENSDARG00000095497</t>
  </si>
  <si>
    <t>si:dkeyp-2e4.5</t>
  </si>
  <si>
    <t>si:dkeyp-2e4.5 [Source:ZFIN;Acc:ZDB-GENE-061009-49]</t>
  </si>
  <si>
    <t>ENSDARG00000079124</t>
  </si>
  <si>
    <t>MTERF4</t>
  </si>
  <si>
    <t>si:dkeyp-94h10.5 [Source:ZFIN;Acc:ZDB-GENE-070912-693]</t>
  </si>
  <si>
    <t>ENSDARG00000100548</t>
  </si>
  <si>
    <t>tefm</t>
  </si>
  <si>
    <t>transcription elongation factor, mitochondrial [Source:ZFIN;Acc:ZDB-GENE-060825-345]</t>
  </si>
  <si>
    <t>ENSDARG00000032951</t>
  </si>
  <si>
    <t>nrbp2a</t>
  </si>
  <si>
    <t>nuclear receptor binding protein 2a [Source:ZFIN;Acc:ZDB-GENE-070713-4]</t>
  </si>
  <si>
    <t>ENSDARG00000086678</t>
  </si>
  <si>
    <t>ascc3</t>
  </si>
  <si>
    <t>activating signal cointegrator 1 complex subunit 3 [Source:ZFIN;Acc:ZDB-GENE-130214-2]</t>
  </si>
  <si>
    <t>ENSDARG00000098825</t>
  </si>
  <si>
    <t>farsa</t>
  </si>
  <si>
    <t>phenylalanyl-tRNA synthetase, alpha subunit [Source:ZFIN;Acc:ZDB-GENE-050512-2]</t>
  </si>
  <si>
    <t>ENSDARG00000105465</t>
  </si>
  <si>
    <t>hnrnpa0a</t>
  </si>
  <si>
    <t>ENSDARG00000074071</t>
  </si>
  <si>
    <t>zgc:123335</t>
  </si>
  <si>
    <t>zgc:123335 [Source:ZFIN;Acc:ZDB-GENE-051113-228]</t>
  </si>
  <si>
    <t>ENSDARG00000102028</t>
  </si>
  <si>
    <t>si:dkey-51d8.3</t>
  </si>
  <si>
    <t>si:dkey-51d8.3 [Source:ZFIN;Acc:ZDB-GENE-081103-8]</t>
  </si>
  <si>
    <t>ENSDARG00000103371</t>
  </si>
  <si>
    <t>si:dkey-190j3.6</t>
  </si>
  <si>
    <t>si:dkey-190j3.6 [Source:ZFIN;Acc:ZDB-GENE-050208-480]</t>
  </si>
  <si>
    <t>ENSDARG00000056627</t>
  </si>
  <si>
    <t>cxcl14</t>
  </si>
  <si>
    <t>chemokine (C-X-C motif) ligand 14 [Source:ZFIN;Acc:ZDB-GENE-000619-1]</t>
  </si>
  <si>
    <t>ENSDARG00000055561</t>
  </si>
  <si>
    <t>c1galt1b</t>
  </si>
  <si>
    <t>core 1 synthase, glycoprotein-N-acetylgalactosamine 3-beta-galactosyltransferase, 1b [Source:ZFIN;Acc:ZDB-GENE-030131-9075]</t>
  </si>
  <si>
    <t>ENSDARG00000014941</t>
  </si>
  <si>
    <t>tprkb</t>
  </si>
  <si>
    <t>Tp53rk binding protein [Source:ZFIN;Acc:ZDB-GENE-041114-68]</t>
  </si>
  <si>
    <t>ENSDARG00000074244</t>
  </si>
  <si>
    <t>arhgef10lb</t>
  </si>
  <si>
    <t>Rho guanine nucleotide exchange factor (GEF) 10-like b [Source:ZFIN;Acc:ZDB-GENE-090313-222]</t>
  </si>
  <si>
    <t>ENSDARG00000089302</t>
  </si>
  <si>
    <t>hnrnpa0a.1</t>
  </si>
  <si>
    <t>heterogeneous nuclear ribonucleoprotein A0a [Source:ZFIN;Acc:ZDB-GENE-030131-2249]</t>
  </si>
  <si>
    <t>ENSDARG00000075014</t>
  </si>
  <si>
    <t>sqstm1</t>
  </si>
  <si>
    <t>sequestosome 1 [Source:ZFIN;Acc:ZDB-GENE-040426-2204]</t>
  </si>
  <si>
    <t>ENSDARG00000037291</t>
  </si>
  <si>
    <t>dpf2l</t>
  </si>
  <si>
    <t>D4, zinc and double PHD fingers family 2, like [Source:ZFIN;Acc:ZDB-GENE-030131-5132]</t>
  </si>
  <si>
    <t>ENSDARG00000039521</t>
  </si>
  <si>
    <t>ssx2ipa</t>
  </si>
  <si>
    <t>synovial sarcoma, X breakpoint 2 interacting protein a [Source:ZFIN;Acc:ZDB-GENE-040426-1756]</t>
  </si>
  <si>
    <t>ENSDARG00000099304</t>
  </si>
  <si>
    <t>si:ch211-51f19.1</t>
  </si>
  <si>
    <t>si:ch211-51f19.1 [Source:ZFIN;Acc:ZDB-GENE-141216-485]</t>
  </si>
  <si>
    <t>ENSDARG00000105414</t>
  </si>
  <si>
    <t>HIST1H2BA.3</t>
  </si>
  <si>
    <t>si:ch73-368j24.10 [Source:ZFIN;Acc:ZDB-GENE-160113-100]</t>
  </si>
  <si>
    <t>ENSDARG00000092327</t>
  </si>
  <si>
    <t>si:dkeyp-2e4.3</t>
  </si>
  <si>
    <t>si:dkeyp-2e4.3 [Source:ZFIN;Acc:ZDB-GENE-061009-48]</t>
  </si>
  <si>
    <t>ENSDARG00000015866</t>
  </si>
  <si>
    <t>apoa2</t>
  </si>
  <si>
    <t>apolipoprotein A-II [Source:ZFIN;Acc:ZDB-GENE-030131-1046]</t>
  </si>
  <si>
    <t>ENSDARG00000056647</t>
  </si>
  <si>
    <t>klhl3</t>
  </si>
  <si>
    <t>kelch-like family member 3 [Source:ZFIN;Acc:ZDB-GENE-120203-4]</t>
  </si>
  <si>
    <t>ENSDARG00000078911</t>
  </si>
  <si>
    <t>zgc:163098</t>
  </si>
  <si>
    <t>zgc:163098 [Source:ZFIN;Acc:ZDB-GENE-070410-141]</t>
  </si>
  <si>
    <t>ENSDARG00000099371</t>
  </si>
  <si>
    <t>cygb1</t>
  </si>
  <si>
    <t>cytoglobin 1 [Source:ZFIN;Acc:ZDB-GENE-020513-1]</t>
  </si>
  <si>
    <t>ENSDARG00000045360</t>
  </si>
  <si>
    <t>flj11011l</t>
  </si>
  <si>
    <t>hypothetical protein FLJ11011-like (H. sapiens) [Source:ZFIN;Acc:ZDB-GENE-050113-1]</t>
  </si>
  <si>
    <t>ENSDARG00000076779</t>
  </si>
  <si>
    <t>fam13b</t>
  </si>
  <si>
    <t>family with sequence similarity 13, member B [Source:ZFIN;Acc:ZDB-GENE-030131-4913]</t>
  </si>
  <si>
    <t>ENSDARG00000099923</t>
  </si>
  <si>
    <t>MGAT4D</t>
  </si>
  <si>
    <t>zgc:154054 [Source:ZFIN;Acc:ZDB-GENE-061103-283]</t>
  </si>
  <si>
    <t>ENSDARG00000021739</t>
  </si>
  <si>
    <t>klhl24a</t>
  </si>
  <si>
    <t>kelch-like family member 24a [Source:ZFIN;Acc:ZDB-GENE-061013-572]</t>
  </si>
  <si>
    <t>ENSDARG00000061205</t>
  </si>
  <si>
    <t>stag1a</t>
  </si>
  <si>
    <t>stromal antigen 1a [Source:ZFIN;Acc:ZDB-GENE-070912-448]</t>
  </si>
  <si>
    <t>ENSDARG00000068265</t>
  </si>
  <si>
    <t>tomm5</t>
  </si>
  <si>
    <t>translocase of outer mitochondrial membrane 5 homolog (yeast) [Source:ZFIN;Acc:ZDB-GENE-040724-90]</t>
  </si>
  <si>
    <t>ENSDARG00000030804</t>
  </si>
  <si>
    <t>fam120b</t>
  </si>
  <si>
    <t>family with sequence similarity 120B [Source:ZFIN;Acc:ZDB-GENE-040801-119]</t>
  </si>
  <si>
    <t>ENSDARG00000068264</t>
  </si>
  <si>
    <t>grhpra</t>
  </si>
  <si>
    <t>glyoxylate reductase/hydroxypyruvate reductase a [Source:ZFIN;Acc:ZDB-GENE-040724-230]</t>
  </si>
  <si>
    <t>ENSDARG00000070266</t>
  </si>
  <si>
    <t>spock3</t>
  </si>
  <si>
    <t>sparc/osteonectin, cwcv and kazal-like domains proteoglycan (testican) 3 [Source:ZFIN;Acc:ZDB-GENE-090311-24]</t>
  </si>
  <si>
    <t>ENSDARG00000062929</t>
  </si>
  <si>
    <t>FAM83G</t>
  </si>
  <si>
    <t>si:dkeyp-9d4.4 [Source:ZFIN;Acc:ZDB-GENE-121214-254]</t>
  </si>
  <si>
    <t>ENSDARG00000037560</t>
  </si>
  <si>
    <t>mtm1</t>
  </si>
  <si>
    <t>myotubularin 1 [Source:ZFIN;Acc:ZDB-GENE-051113-128]</t>
  </si>
  <si>
    <t>ENSDARG00000022668</t>
  </si>
  <si>
    <t>grapb</t>
  </si>
  <si>
    <t>GRB2-related adaptor protein b [Source:ZFIN;Acc:ZDB-GENE-050913-4]</t>
  </si>
  <si>
    <t>ENSDARG00000022951</t>
  </si>
  <si>
    <t>pth2</t>
  </si>
  <si>
    <t>parathyroid hormone 2 [Source:ZFIN;Acc:ZDB-GENE-041102-1]</t>
  </si>
  <si>
    <t>ENSDARG00000011941</t>
  </si>
  <si>
    <t>bmpr2a</t>
  </si>
  <si>
    <t>bone morphogenetic protein receptor, type II a (serine/threonine kinase) [Source:ZFIN;Acc:ZDB-GENE-070618-1]</t>
  </si>
  <si>
    <t>ENSDARG00000038910</t>
  </si>
  <si>
    <t>pccb</t>
  </si>
  <si>
    <t>propionyl CoA carboxylase, beta polypeptide [Source:ZFIN;Acc:ZDB-GENE-040426-2467]</t>
  </si>
  <si>
    <t>ENSDARG00000100222</t>
  </si>
  <si>
    <t>utrn</t>
  </si>
  <si>
    <t>utrophin [Source:ZFIN;Acc:ZDB-GENE-070228-6]</t>
  </si>
  <si>
    <t>ENSDARG00000104256</t>
  </si>
  <si>
    <t>bco1</t>
  </si>
  <si>
    <t>beta-carotene oxygenase 1 [Source:ZFIN;Acc:ZDB-GENE-010508-1]</t>
  </si>
  <si>
    <t>ENSDARG00000060309</t>
  </si>
  <si>
    <t>srgap3</t>
  </si>
  <si>
    <t>SLIT-ROBO Rho GTPase activating protein 3 [Source:ZFIN;Acc:ZDB-GENE-060524-4]</t>
  </si>
  <si>
    <t>ENSDARG00000070792</t>
  </si>
  <si>
    <t>lrrc15</t>
  </si>
  <si>
    <t>leucine rich repeat containing 15 [Source:ZFIN;Acc:ZDB-GENE-031113-8]</t>
  </si>
  <si>
    <t>ENSDARG00000042590</t>
  </si>
  <si>
    <t>rbm19</t>
  </si>
  <si>
    <t>RNA binding motif protein 19 [Source:ZFIN;Acc:ZDB-GENE-031125-3]</t>
  </si>
  <si>
    <t>ENSDARG00000090342</t>
  </si>
  <si>
    <t>CFAP100</t>
  </si>
  <si>
    <t>cilia and flagella associated protein 100 [Source:HGNC Symbol;Acc:HGNC:26842]</t>
  </si>
  <si>
    <t>ENSDARG00000017835</t>
  </si>
  <si>
    <t>brf1a</t>
  </si>
  <si>
    <t>BRF1, RNA polymerase III transcription initiation factor a [Source:ZFIN;Acc:ZDB-GENE-030131-6334]</t>
  </si>
  <si>
    <t>ENSDARG00000076462</t>
  </si>
  <si>
    <t>ndnfl</t>
  </si>
  <si>
    <t>neuron-derived neurotrophic factor , like [Source:ZFIN;Acc:ZDB-GENE-131127-464]</t>
  </si>
  <si>
    <t>ENSDARG00000090803</t>
  </si>
  <si>
    <t>si:dkey-156n14.3</t>
  </si>
  <si>
    <t>ENSDARG00000093041</t>
  </si>
  <si>
    <t>si:ch211-234c11.2</t>
  </si>
  <si>
    <t>si:ch211-234c11.2 [Source:ZFIN;Acc:ZDB-GENE-110914-70]</t>
  </si>
  <si>
    <t>ENSDARG00000101526</t>
  </si>
  <si>
    <t>si:dkey-82o10.4</t>
  </si>
  <si>
    <t>si:dkey-82o10.4 [Source:ZFIN;Acc:ZDB-GENE-141222-46]</t>
  </si>
  <si>
    <t>ENSDARG00000068221</t>
  </si>
  <si>
    <t>hbl1</t>
  </si>
  <si>
    <t>hexose-binding lectin 1 [Source:ZFIN;Acc:ZDB-GENE-070912-285]</t>
  </si>
  <si>
    <t>ENSDARG00000020442</t>
  </si>
  <si>
    <t>snx5</t>
  </si>
  <si>
    <t>sorting nexin 5 [Source:ZFIN;Acc:ZDB-GENE-040426-2857]</t>
  </si>
  <si>
    <t>ENSDARG00000095283</t>
  </si>
  <si>
    <t>si:dkeyp-2e4.3.1</t>
  </si>
  <si>
    <t>ENSDARG00000094681</t>
  </si>
  <si>
    <t>hbl2</t>
  </si>
  <si>
    <t>hexose-binding lectin 2 [Source:ZFIN;Acc:ZDB-GENE-070912-286]</t>
  </si>
  <si>
    <t>ENSDARG00000088764</t>
  </si>
  <si>
    <t>lyplal1</t>
  </si>
  <si>
    <t>lysophospholipase-like 1 [Source:ZFIN;Acc:ZDB-GENE-050306-32]</t>
  </si>
  <si>
    <t>ENSDARG00000002217</t>
  </si>
  <si>
    <t>scocb</t>
  </si>
  <si>
    <t>short coiled-coil protein b [Source:ZFIN;Acc:ZDB-GENE-041010-41]</t>
  </si>
  <si>
    <t>ENSDARG00000023587</t>
  </si>
  <si>
    <t>kcnk5a</t>
  </si>
  <si>
    <t>potassium channel, subfamily K, member 5a [Source:ZFIN;Acc:ZDB-GENE-051113-112]</t>
  </si>
  <si>
    <t>ENSDARG00000076895</t>
  </si>
  <si>
    <t>flrt3</t>
  </si>
  <si>
    <t>fibronectin leucine rich transmembrane 3 [Source:ZFIN;Acc:ZDB-GENE-030131-1988]</t>
  </si>
  <si>
    <t>ENSDARG00000073709</t>
  </si>
  <si>
    <t>FAM149A</t>
  </si>
  <si>
    <t>si:ch211-51g4.5 [Source:ZFIN;Acc:ZDB-GENE-081107-36]</t>
  </si>
  <si>
    <t>ENSDARG00000099139</t>
  </si>
  <si>
    <t>fbxw5</t>
  </si>
  <si>
    <t>F-box and WD repeat domain containing 5 [Source:ZFIN;Acc:ZDB-GENE-040426-2571]</t>
  </si>
  <si>
    <t>ENSDARG00000032601</t>
  </si>
  <si>
    <t>macrod2</t>
  </si>
  <si>
    <t>MACRO domain containing 2 [Source:ZFIN;Acc:ZDB-GENE-040426-1490]</t>
  </si>
  <si>
    <t>ENSDARG00000036965</t>
  </si>
  <si>
    <t>rnf24</t>
  </si>
  <si>
    <t>ring finger protein 24 [Source:ZFIN;Acc:ZDB-GENE-041114-40]</t>
  </si>
  <si>
    <t>ENSDARG00000000943</t>
  </si>
  <si>
    <t>dzip1</t>
  </si>
  <si>
    <t>DAZ interacting zinc finger protein 1 [Source:ZFIN;Acc:ZDB-GENE-040526-1]</t>
  </si>
  <si>
    <t>ENSDARG00000026907</t>
  </si>
  <si>
    <t>slc48a1a</t>
  </si>
  <si>
    <t>solute carrier family 48 (heme transporter), member 1a [Source:ZFIN;Acc:ZDB-GENE-040718-121]</t>
  </si>
  <si>
    <t>ENSDARG00000054984</t>
  </si>
  <si>
    <t>zbtb41</t>
  </si>
  <si>
    <t>zinc finger and BTB domain containing 41 [Source:ZFIN;Acc:ZDB-GENE-130530-649]</t>
  </si>
  <si>
    <t>ENSDARG00000099445</t>
  </si>
  <si>
    <t>cc2d1b</t>
  </si>
  <si>
    <t>coiled-coil and C2 domain containing 1B [Source:ZFIN;Acc:ZDB-GENE-030131-1426]</t>
  </si>
  <si>
    <t>ENSDARG00000069192</t>
  </si>
  <si>
    <t>zgc:163030</t>
  </si>
  <si>
    <t>zgc:163030 [Source:ZFIN;Acc:ZDB-GENE-060810-77]</t>
  </si>
  <si>
    <t>ENSDARG00000011449</t>
  </si>
  <si>
    <t>fes</t>
  </si>
  <si>
    <t>FES proto-oncogene, tyrosine kinase [Source:ZFIN;Acc:ZDB-GENE-100812-10]</t>
  </si>
  <si>
    <t>ENSDARG00000075561</t>
  </si>
  <si>
    <t>si:dkey-76k16.5</t>
  </si>
  <si>
    <t>si:dkey-76k16.5 [Source:ZFIN;Acc:ZDB-GENE-090313-330]</t>
  </si>
  <si>
    <t>ENSDARG00000061066</t>
  </si>
  <si>
    <t>c2cd2l</t>
  </si>
  <si>
    <t>c2cd2-like [Source:ZFIN;Acc:ZDB-GENE-041019-1]</t>
  </si>
  <si>
    <t>ENSDARG00000012972</t>
  </si>
  <si>
    <t>cfl1l</t>
  </si>
  <si>
    <t>cofilin 1 (non-muscle), like [Source:ZFIN;Acc:ZDB-GENE-040426-2770]</t>
  </si>
  <si>
    <t>ENSDARG00000079784</t>
  </si>
  <si>
    <t>TMEM71</t>
  </si>
  <si>
    <t>si:ch211-235o23.1 [Source:ZFIN;Acc:ZDB-GENE-070912-222]</t>
  </si>
  <si>
    <t>ENSDARG00000036545</t>
  </si>
  <si>
    <t>TMPRSS3</t>
  </si>
  <si>
    <t>si:dkey-22n8.2 [Source:ZFIN;Acc:ZDB-GENE-090312-200]</t>
  </si>
  <si>
    <t>ENSDARG00000013763</t>
  </si>
  <si>
    <t>RRBP1</t>
  </si>
  <si>
    <t>zgc:171356 [Source:ZFIN;Acc:ZDB-GENE-080401-3]</t>
  </si>
  <si>
    <t>ENSDARG00000076272</t>
  </si>
  <si>
    <t>znf1041</t>
  </si>
  <si>
    <t>zinc finger protein 1041 [Source:ZFIN;Acc:ZDB-GENE-080213-11]</t>
  </si>
  <si>
    <t>ENSDARG00000075820</t>
  </si>
  <si>
    <t>si:ch73-289h5.1</t>
  </si>
  <si>
    <t>si:ch73-289h5.1 [Source:ZFIN;Acc:ZDB-GENE-110913-36]</t>
  </si>
  <si>
    <t>ENSDARG00000096007</t>
  </si>
  <si>
    <t>znf1067</t>
  </si>
  <si>
    <t>zinc finger protein 1067 [Source:ZFIN;Acc:ZDB-GENE-110913-170]</t>
  </si>
  <si>
    <t>ENSDARG00000092155</t>
  </si>
  <si>
    <t>apoc2</t>
  </si>
  <si>
    <t>apolipoprotein C-II [Source:ZFIN;Acc:ZDB-GENE-030131-2168]</t>
  </si>
  <si>
    <t>ENSDARG00000104537</t>
  </si>
  <si>
    <t>cox7c</t>
  </si>
  <si>
    <t>cytochrome c oxidase, subunit VIIc [Source:ZFIN;Acc:ZDB-GENE-030131-8062]</t>
  </si>
  <si>
    <t>ENSDARG00000102746</t>
  </si>
  <si>
    <t>tmem39a</t>
  </si>
  <si>
    <t>transmembrane protein 39A [Source:ZFIN;Acc:ZDB-GENE-030131-1928]</t>
  </si>
  <si>
    <t>ENSDARG00000025212</t>
  </si>
  <si>
    <t>cpsf3l</t>
  </si>
  <si>
    <t>cleavage and polyadenylation specific factor 3-like [Source:ZFIN;Acc:ZDB-GENE-050522-13]</t>
  </si>
  <si>
    <t>ENSDARG00000036038</t>
  </si>
  <si>
    <t>harbi1</t>
  </si>
  <si>
    <t>harbinger transposase derived 1 [Source:ZFIN;Acc:ZDB-GENE-040608-1]</t>
  </si>
  <si>
    <t>ENSDARG00000062991</t>
  </si>
  <si>
    <t>abi1b</t>
  </si>
  <si>
    <t>abl-interactor 1b [Source:ZFIN;Acc:ZDB-GENE-060929-1182]</t>
  </si>
  <si>
    <t>ENSDARG00000015722</t>
  </si>
  <si>
    <t>kctd5a</t>
  </si>
  <si>
    <t>potassium channel tetramerization domain containing 5a [Source:ZFIN;Acc:ZDB-GENE-030131-727]</t>
  </si>
  <si>
    <t>ENSDARG00000007795</t>
  </si>
  <si>
    <t>cst3</t>
  </si>
  <si>
    <t>cystatin C (amyloid angiopathy and cerebral hemorrhage) [Source:ZFIN;Acc:ZDB-GENE-030131-373]</t>
  </si>
  <si>
    <t>ENSDARG00000005943</t>
  </si>
  <si>
    <t>htra4</t>
  </si>
  <si>
    <t>HtrA serine peptidase 4 [Source:ZFIN;Acc:ZDB-GENE-131120-192]</t>
  </si>
  <si>
    <t>ENSDARG00000093615</t>
  </si>
  <si>
    <t>si:ch211-234c11.3</t>
  </si>
  <si>
    <t>si:ch211-234c11.3 [Source:ZFIN;Acc:ZDB-GENE-110914-93]</t>
  </si>
  <si>
    <t>ENSDARG00000016656</t>
  </si>
  <si>
    <t>mgme1</t>
  </si>
  <si>
    <t>mitochondrial genome maintenance exonuclease 1 [Source:ZFIN;Acc:ZDB-GENE-041212-68]</t>
  </si>
  <si>
    <t>ENSDARG00000070021</t>
  </si>
  <si>
    <t>cyp3c4</t>
  </si>
  <si>
    <t>cytochrome P450, family 3, subfamily C, polypeptide 4 [Source:ZFIN;Acc:ZDB-GENE-060929-96]</t>
  </si>
  <si>
    <t>ENSDARG00000022895</t>
  </si>
  <si>
    <t>mcf2a</t>
  </si>
  <si>
    <t>MCF.2 cell line derived transforming sequence a [Source:ZFIN;Acc:ZDB-GENE-030616-52]</t>
  </si>
  <si>
    <t>ENSDARG00000092281</t>
  </si>
  <si>
    <t>si:ch211-222g5.6</t>
  </si>
  <si>
    <t>si:ch211-222g5.6 [Source:ZFIN;Acc:ZDB-GENE-090313-85]</t>
  </si>
  <si>
    <t>ENSDARG00000007745</t>
  </si>
  <si>
    <t>uqcrfs1</t>
  </si>
  <si>
    <t>ubiquinol-cytochrome c reductase, Rieske iron-sulfur polypeptide 1 [Source:ZFIN;Acc:ZDB-GENE-040426-2060]</t>
  </si>
  <si>
    <t>ENSDARG00000006514</t>
  </si>
  <si>
    <t>her6</t>
  </si>
  <si>
    <t>hairy-related 6 [Source:ZFIN;Acc:ZDB-GENE-980526-144]</t>
  </si>
  <si>
    <t>ENSDARG00000059760</t>
  </si>
  <si>
    <t>wdtc1</t>
  </si>
  <si>
    <t>WD and tetratricopeptide repeats 1 [Source:ZFIN;Acc:ZDB-GENE-030131-3224]</t>
  </si>
  <si>
    <t>ENSDARG00000039522</t>
  </si>
  <si>
    <t>tubb2</t>
  </si>
  <si>
    <t>tubulin, beta 2A class IIa [Source:ZFIN;Acc:ZDB-GENE-050522-384]</t>
  </si>
  <si>
    <t>ENSDARG00000095821</t>
  </si>
  <si>
    <t>si:dkey-122a22.2</t>
  </si>
  <si>
    <t>si:dkey-122a22.2 [Source:ZFIN;Acc:ZDB-GENE-110411-93]</t>
  </si>
  <si>
    <t>ENSDARG00000076924</t>
  </si>
  <si>
    <t>als2b</t>
  </si>
  <si>
    <t>amyotrophic lateral sclerosis 2b (juvenile) [Source:ZFIN;Acc:ZDB-GENE-080929-1]</t>
  </si>
  <si>
    <t>ENSDARG00000088145</t>
  </si>
  <si>
    <t>atg4db</t>
  </si>
  <si>
    <t>autophagy related 4D, cysteine peptidase b [Source:ZFIN;Acc:ZDB-GENE-131025-1]</t>
  </si>
  <si>
    <t>ENSDARG00000086245</t>
  </si>
  <si>
    <t>si:dkeyp-121d2.7</t>
  </si>
  <si>
    <t>si:dkeyp-121d2.7 [Source:ZFIN;Acc:ZDB-GENE-141215-52]</t>
  </si>
  <si>
    <t>ENSDARG00000071336</t>
  </si>
  <si>
    <t>mif</t>
  </si>
  <si>
    <t>macrophage migration inhibitory factor [Source:ZFIN;Acc:ZDB-GENE-080708-1]</t>
  </si>
  <si>
    <t>ENSDARG00000069723</t>
  </si>
  <si>
    <t>zbbx</t>
  </si>
  <si>
    <t>zinc finger, B-box domain containing [Source:ZFIN;Acc:ZDB-GENE-061207-76]</t>
  </si>
  <si>
    <t>ENSDARG00000104187</t>
  </si>
  <si>
    <t>si:ch211-69m16.2</t>
  </si>
  <si>
    <t>si:ch211-69m16.2 [Source:ZFIN;Acc:ZDB-GENE-141216-289]</t>
  </si>
  <si>
    <t>ENSDARG00000001825</t>
  </si>
  <si>
    <t>cfap43</t>
  </si>
  <si>
    <t>cilia and flagella associated protein 43 [Source:ZFIN;Acc:ZDB-GENE-080815-3]</t>
  </si>
  <si>
    <t>ENSDARG00000055885</t>
  </si>
  <si>
    <t>tex10</t>
  </si>
  <si>
    <t>testis expressed 10 [Source:ZFIN;Acc:ZDB-GENE-040426-2827]</t>
  </si>
  <si>
    <t>ENSDARG00000036968</t>
  </si>
  <si>
    <t>SERPINA10</t>
  </si>
  <si>
    <t>si:ch1073-416d2.3 [Source:ZFIN;Acc:ZDB-GENE-131127-199]</t>
  </si>
  <si>
    <t>ENSDARG00000037932</t>
  </si>
  <si>
    <t>lin7b</t>
  </si>
  <si>
    <t>lin-7 homolog B (C. elegans) [Source:ZFIN;Acc:ZDB-GENE-041011-1]</t>
  </si>
  <si>
    <t>ENSDARG00000079263</t>
  </si>
  <si>
    <t>si:dkeyp-2e4.2</t>
  </si>
  <si>
    <t>si:dkeyp-2e4.2 [Source:ZFIN;Acc:ZDB-GENE-030131-9307]</t>
  </si>
  <si>
    <t>ENSDARG00000095288</t>
  </si>
  <si>
    <t>rusc2</t>
  </si>
  <si>
    <t>RUN and SH3 domain containing 2 [Source:ZFIN;Acc:ZDB-GENE-060526-131]</t>
  </si>
  <si>
    <t>ENSDARG00000091366</t>
  </si>
  <si>
    <t>si:dkey-84k17.2</t>
  </si>
  <si>
    <t>si:dkey-84k17.2 [Source:ZFIN;Acc:ZDB-GENE-131121-397]</t>
  </si>
  <si>
    <t>ENSDARG00000030514</t>
  </si>
  <si>
    <t>acsl1a</t>
  </si>
  <si>
    <t>acyl-CoA synthetase long-chain family member 1a [Source:ZFIN;Acc:ZDB-GENE-050809-115]</t>
  </si>
  <si>
    <t>ENSDARG00000021974</t>
  </si>
  <si>
    <t>sfr1</t>
  </si>
  <si>
    <t>SWI5-dependent homologous recombination repair protein 1 [Source:ZFIN;Acc:ZDB-GENE-070410-27]</t>
  </si>
  <si>
    <t>ENSDARG00000034042</t>
  </si>
  <si>
    <t>dnal1</t>
  </si>
  <si>
    <t>dynein, axonemal, light chain 1 [Source:ZFIN;Acc:ZDB-GENE-040801-178]</t>
  </si>
  <si>
    <t>ENSDARG00000087562</t>
  </si>
  <si>
    <t>znf1036</t>
  </si>
  <si>
    <t>zinc finger protein 1036 [Source:ZFIN;Acc:ZDB-GENE-110913-155]</t>
  </si>
  <si>
    <t>ENSDARG00000097253</t>
  </si>
  <si>
    <t>yeats2</t>
  </si>
  <si>
    <t>YEATS domain containing 2 [Source:ZFIN;Acc:ZDB-GENE-081104-292]</t>
  </si>
  <si>
    <t>ENSDARG00000096157</t>
  </si>
  <si>
    <t>si:dkey-40n15.1</t>
  </si>
  <si>
    <t>si:dkey-40n15.1 [Source:ZFIN;Acc:ZDB-GENE-110914-64]</t>
  </si>
  <si>
    <t>ENSDARG00000091031</t>
  </si>
  <si>
    <t>HAUS8</t>
  </si>
  <si>
    <t>si:ch211-153a8.4 [Source:ZFIN;Acc:ZDB-GENE-030131-6830]</t>
  </si>
  <si>
    <t>ENSDARG00000070644</t>
  </si>
  <si>
    <t>ttpal</t>
  </si>
  <si>
    <t>tocopherol (alpha) transfer protein-like [Source:ZFIN;Acc:ZDB-GENE-030131-296]</t>
  </si>
  <si>
    <t>ENSDARG00000071906</t>
  </si>
  <si>
    <t>sec24b</t>
  </si>
  <si>
    <t>SEC24 homolog B, COPII coat complex component [Source:ZFIN;Acc:ZDB-GENE-030131-6565]</t>
  </si>
  <si>
    <t>ENSDARG00000078767</t>
  </si>
  <si>
    <t>yeats2.1</t>
  </si>
  <si>
    <t>ENSDARG00000007916</t>
  </si>
  <si>
    <t>xpnpep3</t>
  </si>
  <si>
    <t>X-prolyl aminopeptidase 3, mitochondrial [Source:ZFIN;Acc:ZDB-GENE-040426-2076]</t>
  </si>
  <si>
    <t>ENSDARG00000079291</t>
  </si>
  <si>
    <t>rapgef3</t>
  </si>
  <si>
    <t>Rap guanine nucleotide exchange factor (GEF) 3 [Source:ZFIN;Acc:ZDB-GENE-090312-38]</t>
  </si>
  <si>
    <t>ENSDARG00000020623</t>
  </si>
  <si>
    <t>baxa</t>
  </si>
  <si>
    <t>baxa.1</t>
  </si>
  <si>
    <t>bcl2-associated X protein, a [Source:ZFIN;Acc:ZDB-GENE-000511-6]</t>
  </si>
  <si>
    <t>ENSDARG00000057830</t>
  </si>
  <si>
    <t>dnmt3bb.2</t>
  </si>
  <si>
    <t>DNA (cytosine-5-)-methyltransferase 3 beta, duplicate b.2 [Source:ZFIN;Acc:ZDB-GENE-990712-11]</t>
  </si>
  <si>
    <t>ENSDARG00000056924</t>
  </si>
  <si>
    <t>sap130a</t>
  </si>
  <si>
    <t>Sin3A-associated protein a [Source:ZFIN;Acc:ZDB-GENE-070615-5]</t>
  </si>
  <si>
    <t>ENSDARG00000105464</t>
  </si>
  <si>
    <t>si:ch211-285c6.6</t>
  </si>
  <si>
    <t>si:ch211-285c6.6 [Source:ZFIN;Acc:ZDB-GENE-160113-80]</t>
  </si>
  <si>
    <t>ENSDARG00000104708</t>
  </si>
  <si>
    <t>ddx24</t>
  </si>
  <si>
    <t>DEAD (Asp-Glu-Ala-Asp) box helicase 24 [Source:ZFIN;Acc:ZDB-GENE-100716-4]</t>
  </si>
  <si>
    <t>ENSDARG00000105453</t>
  </si>
  <si>
    <t>kcnk17</t>
  </si>
  <si>
    <t>potassium channel, subfamily K, member 17 [Source:ZFIN;Acc:ZDB-GENE-120113-3]</t>
  </si>
  <si>
    <t>ENSDARG00000057334</t>
  </si>
  <si>
    <t>cmasa</t>
  </si>
  <si>
    <t>cytidine monophosphate N-acetylneuraminic acid synthetase a [Source:ZFIN;Acc:ZDB-GENE-050420-277]</t>
  </si>
  <si>
    <t>ENSDARG00000101867</t>
  </si>
  <si>
    <t>si:ch1073-416d2.4</t>
  </si>
  <si>
    <t>si:ch1073-416d2.4 [Source:ZFIN;Acc:ZDB-GENE-131121-564]</t>
  </si>
  <si>
    <t>ENSDARG00000062248</t>
  </si>
  <si>
    <t>ptpn21</t>
  </si>
  <si>
    <t>protein tyrosine phosphatase, non-receptor type 21 [Source:ZFIN;Acc:ZDB-GENE-080102-4]</t>
  </si>
  <si>
    <t>ENSDARG00000028748</t>
  </si>
  <si>
    <t>tm9sf3</t>
  </si>
  <si>
    <t>transmembrane 9 superfamily member 3 [Source:ZFIN;Acc:ZDB-GENE-040426-2714]</t>
  </si>
  <si>
    <t>ENSDARG00000053240</t>
  </si>
  <si>
    <t>kif6</t>
  </si>
  <si>
    <t>kinesin family member 6 [Source:ZFIN;Acc:ZDB-GENE-061027-130]</t>
  </si>
  <si>
    <t>ENSDARG00000038713</t>
  </si>
  <si>
    <t>TEP1</t>
  </si>
  <si>
    <t>si:ch211-284o19.1 [Source:ZFIN;Acc:ZDB-GENE-070912-283]</t>
  </si>
  <si>
    <t>ENSDARG00000074012</t>
  </si>
  <si>
    <t>si:ch1073-159d7.7</t>
  </si>
  <si>
    <t>si:ch1073-159d7.7 [Source:ZFIN;Acc:ZDB-GENE-160113-58]</t>
  </si>
  <si>
    <t>ENSDARG00000016368</t>
  </si>
  <si>
    <t>zbtb8os</t>
  </si>
  <si>
    <t>zinc finger and BTB domain containing 8 opposite strand [Source:ZFIN;Acc:ZDB-GENE-050417-176]</t>
  </si>
  <si>
    <t>ENSDARG00000026801</t>
  </si>
  <si>
    <t>stau2</t>
  </si>
  <si>
    <t>staufen double-stranded RNA binding protein 2 [Source:ZFIN;Acc:ZDB-GENE-040426-687]</t>
  </si>
  <si>
    <t>ENSDARG00000075203</t>
  </si>
  <si>
    <t>zgc:195212</t>
  </si>
  <si>
    <t>zgc:195212 [Source:ZFIN;Acc:ZDB-GENE-081022-196]</t>
  </si>
  <si>
    <t>ENSDARG00000105393</t>
  </si>
  <si>
    <t>HIST1H2BA.4</t>
  </si>
  <si>
    <t>si:ch1073-159d7.6 [Source:ZFIN;Acc:ZDB-GENE-160113-114]</t>
  </si>
  <si>
    <t>ENSDARG00000105483</t>
  </si>
  <si>
    <t>HIST1H2BA.5</t>
  </si>
  <si>
    <t>si:ch1073-159d7.5 [Source:ZFIN;Acc:ZDB-GENE-160113-113]</t>
  </si>
  <si>
    <t>ENSDARG00000077143</t>
  </si>
  <si>
    <t>znf526</t>
  </si>
  <si>
    <t>zinc finger protein 526 [Source:ZFIN;Acc:ZDB-GENE-100922-260]</t>
  </si>
  <si>
    <t>ENSDARG00000009136</t>
  </si>
  <si>
    <t>tp53bp2a</t>
  </si>
  <si>
    <t>tumor protein p53 binding protein, 2a [Source:ZFIN;Acc:ZDB-GENE-040516-8]</t>
  </si>
  <si>
    <t>ENSDARG00000054250</t>
  </si>
  <si>
    <t>crbn</t>
  </si>
  <si>
    <t>cereblon [Source:ZFIN;Acc:ZDB-GENE-040822-43]</t>
  </si>
  <si>
    <t>ENSDARG00000095562</t>
  </si>
  <si>
    <t>si:ch73-138i16.1</t>
  </si>
  <si>
    <t>si:ch73-138i16.1 [Source:ZFIN;Acc:ZDB-GENE-070705-208]</t>
  </si>
  <si>
    <t>ENSDARG00000007175</t>
  </si>
  <si>
    <t>recql</t>
  </si>
  <si>
    <t>RecQ helicase-like [Source:ZFIN;Acc:ZDB-GENE-050809-134]</t>
  </si>
  <si>
    <t>ENSDARG00000105366</t>
  </si>
  <si>
    <t>si:ch1073-159d7.10</t>
  </si>
  <si>
    <t>si:ch1073-159d7.10 [Source:ZFIN;Acc:ZDB-GENE-160113-115]</t>
  </si>
  <si>
    <t>ENSDARG00000057863</t>
  </si>
  <si>
    <t>dnmt3bb.3</t>
  </si>
  <si>
    <t>DNA (cytosine-5-)-methyltransferase beta, duplicate b.3 [Source:ZFIN;Acc:ZDB-GENE-050314-2]</t>
  </si>
  <si>
    <t>ENSDARG00000103025</t>
  </si>
  <si>
    <t>hmgcs1</t>
  </si>
  <si>
    <t>3-hydroxy-3-methylglutaryl-CoA synthase 1 (soluble) [Source:ZFIN;Acc:ZDB-GENE-040426-1042]</t>
  </si>
  <si>
    <t>ENSDARG00000105350</t>
  </si>
  <si>
    <t>si:ch1073-153i20.4</t>
  </si>
  <si>
    <t>si:ch1073-153i20.4 [Source:ZFIN;Acc:ZDB-GENE-160113-41]</t>
  </si>
  <si>
    <t>ENSDARG00000105355</t>
  </si>
  <si>
    <t>HIST1H4I</t>
  </si>
  <si>
    <t>si:ch1073-159d7.1 [Source:ZFIN;Acc:ZDB-GENE-160113-74]</t>
  </si>
  <si>
    <t>ENSDARG00000105409</t>
  </si>
  <si>
    <t>si:ch1073-159d7.2</t>
  </si>
  <si>
    <t>si:ch1073-159d7.2 [Source:ZFIN;Acc:ZDB-GENE-160113-89]</t>
  </si>
  <si>
    <t>ENSDARG00000063229</t>
  </si>
  <si>
    <t>xpo1b</t>
  </si>
  <si>
    <t>exportin 1 (CRM1 homolog, yeast) b [Source:ZFIN;Acc:ZDB-GENE-070530-6]</t>
  </si>
  <si>
    <t>ENSDARG00000105340</t>
  </si>
  <si>
    <t>si:ch1073-153i20.3</t>
  </si>
  <si>
    <t>si:ch1073-153i20.3 [Source:ZFIN;Acc:ZDB-GENE-160113-111]</t>
  </si>
  <si>
    <t>ENSDARG00000037017</t>
  </si>
  <si>
    <t>ube4b</t>
  </si>
  <si>
    <t>ubiquitination factor E4B, UFD2 homolog (S. cerevisiae) [Source:ZFIN;Acc:ZDB-GENE-020205-1]</t>
  </si>
  <si>
    <t>ENSDARG00000061736</t>
  </si>
  <si>
    <t>ank3a</t>
  </si>
  <si>
    <t>ankyrin 3a [Source:ZFIN;Acc:ZDB-GENE-060621-1]</t>
  </si>
  <si>
    <t>ENSDARG00000105376</t>
  </si>
  <si>
    <t>si:ch73-368j24.4</t>
  </si>
  <si>
    <t>si:ch73-368j24.4 [Source:ZFIN;Acc:ZDB-GENE-160113-90]</t>
  </si>
  <si>
    <t>ENSDARG00000104485</t>
  </si>
  <si>
    <t>si:ch1073-224n8.1</t>
  </si>
  <si>
    <t>si:ch1073-224n8.1 [Source:ZFIN;Acc:ZDB-GENE-030131-5649]</t>
  </si>
  <si>
    <t>ENSDARG00000098595</t>
  </si>
  <si>
    <t>HIST2H2AB.4</t>
  </si>
  <si>
    <t>ENSDARG00000090369</t>
  </si>
  <si>
    <t>zgc:86896</t>
  </si>
  <si>
    <t>zgc:86896 [Source:ZFIN;Acc:ZDB-GENE-040625-80]</t>
  </si>
  <si>
    <t>ENSDARG00000070127</t>
  </si>
  <si>
    <t>nfxl1</t>
  </si>
  <si>
    <t>nuclear transcription factor, X-box binding-like 1 [Source:ZFIN;Acc:ZDB-GENE-110411-178]</t>
  </si>
  <si>
    <t>ENSDARG00000100024</t>
  </si>
  <si>
    <t>HIST2H2AB.5</t>
  </si>
  <si>
    <t>ENSDARG00000100372</t>
  </si>
  <si>
    <t>alad</t>
  </si>
  <si>
    <t>aminolevulinate dehydratase [Source:ZFIN;Acc:ZDB-GENE-050417-123]</t>
  </si>
  <si>
    <t>ENSDARG00000069703</t>
  </si>
  <si>
    <t>efhb</t>
  </si>
  <si>
    <t>EF-hand domain family, member B [Source:ZFIN;Acc:ZDB-GENE-091001-1]</t>
  </si>
  <si>
    <t>ENSDARG00000032056</t>
  </si>
  <si>
    <t>arl6</t>
  </si>
  <si>
    <t>ADP-ribosylation factor-like 6 [Source:ZFIN;Acc:ZDB-GENE-041219-2]</t>
  </si>
  <si>
    <t>ENSDARG00000058479</t>
  </si>
  <si>
    <t>zgc:110425</t>
  </si>
  <si>
    <t>zgc:110425 [Source:ZFIN;Acc:ZDB-GENE-050522-103]</t>
  </si>
  <si>
    <t>ENSDARG00000061215</t>
  </si>
  <si>
    <t>fam149b1</t>
  </si>
  <si>
    <t>family with sequence similarity 149, member B1 [Source:ZFIN;Acc:ZDB-GENE-070112-2102]</t>
  </si>
  <si>
    <t>ENSDARG00000105502</t>
  </si>
  <si>
    <t>si:ch73-368j24.12</t>
  </si>
  <si>
    <t>si:ch73-368j24.12 [Source:ZFIN;Acc:ZDB-GENE-160113-38]</t>
  </si>
  <si>
    <t>ENSDARG00000105478</t>
  </si>
  <si>
    <t>si:ch1073-153i20.5</t>
  </si>
  <si>
    <t>si:ch1073-153i20.5 [Source:ZFIN;Acc:ZDB-GENE-160113-104]</t>
  </si>
  <si>
    <t>ENSDARG00000091271</t>
  </si>
  <si>
    <t>CENPT</t>
  </si>
  <si>
    <t>si:ch211-225g23.1 [Source:ZFIN;Acc:ZDB-GENE-030131-3256]</t>
  </si>
  <si>
    <t>ENSDARG00000095946</t>
  </si>
  <si>
    <t>si:ch73-341k19.1</t>
  </si>
  <si>
    <t>si:ch73-341k19.1 [Source:ZFIN;Acc:ZDB-GENE-110411-201]</t>
  </si>
  <si>
    <t>ENSDARG00000036542</t>
  </si>
  <si>
    <t>pknox1.2</t>
  </si>
  <si>
    <t>pbx/knotted 1 homeobox 1.2 [Source:ZFIN;Acc:ZDB-GENE-020123-1]</t>
  </si>
  <si>
    <t>ENSDARG00000004306</t>
  </si>
  <si>
    <t>klhl18</t>
  </si>
  <si>
    <t>kelch-like family member 18 [Source:ZFIN;Acc:ZDB-GENE-030131-5785]</t>
  </si>
  <si>
    <t>ENSDARG00000045910</t>
  </si>
  <si>
    <t>tmem181</t>
  </si>
  <si>
    <t>transmembrane protein 181 [Source:ZFIN;Acc:ZDB-GENE-060503-309]</t>
  </si>
  <si>
    <t>ENSDARG00000099695</t>
  </si>
  <si>
    <t>si:dkey-61n16.5</t>
  </si>
  <si>
    <t>si:dkey-61n16.5 [Source:ZFIN;Acc:ZDB-GENE-100922-235]</t>
  </si>
  <si>
    <t>ENSDARG00000069397</t>
  </si>
  <si>
    <t>zswim8</t>
  </si>
  <si>
    <t>zinc finger, SWIM-type containing 8 [Source:ZFIN;Acc:ZDB-GENE-050320-59]</t>
  </si>
  <si>
    <t>ENSDARG00000039365</t>
  </si>
  <si>
    <t>cuedc2</t>
  </si>
  <si>
    <t>CUE domain containing 2 [Source:ZFIN;Acc:ZDB-GENE-030131-6283]</t>
  </si>
  <si>
    <t>ENSDARG00000090190</t>
  </si>
  <si>
    <t>bcam</t>
  </si>
  <si>
    <t>basal cell adhesion molecule (Lutheran blood group) [Source:ZFIN;Acc:ZDB-GENE-060929-620]</t>
  </si>
  <si>
    <t>ENSDARG00000052537</t>
  </si>
  <si>
    <t>cptp</t>
  </si>
  <si>
    <t>ceramide-1-phosphate transfer protein [Source:ZFIN;Acc:ZDB-GENE-040801-240]</t>
  </si>
  <si>
    <t>ENSDARG00000102153</t>
  </si>
  <si>
    <t>nrp1a</t>
  </si>
  <si>
    <t>neuropilin 1a [Source:ZFIN;Acc:ZDB-GENE-030519-2]</t>
  </si>
  <si>
    <t>ENSDARG00000062304</t>
  </si>
  <si>
    <t>pdpk1a</t>
  </si>
  <si>
    <t>3-phosphoinositide dependent protein kinase 1a [Source:ZFIN;Acc:ZDB-GENE-061013-109]</t>
  </si>
  <si>
    <t>ENSDARG00000052535</t>
  </si>
  <si>
    <t>ubxn10</t>
  </si>
  <si>
    <t>UBX domain protein 10 [Source:ZFIN;Acc:ZDB-GENE-060825-319]</t>
  </si>
  <si>
    <t>ENSDARG00000036427</t>
  </si>
  <si>
    <t>slc3a2a</t>
  </si>
  <si>
    <t>solute carrier family 3 (amino acid transporter heavy chain), member 2a [Source:ZFIN;Acc:ZDB-GENE-000831-3]</t>
  </si>
  <si>
    <t>ENSDARG00000045870</t>
  </si>
  <si>
    <t>plekha5</t>
  </si>
  <si>
    <t>pleckstrin homology domain containing, family A member 5 [Source:ZFIN;Acc:ZDB-GENE-041210-25]</t>
  </si>
  <si>
    <t>ENSDARG00000078856</t>
  </si>
  <si>
    <t>slc22a23</t>
  </si>
  <si>
    <t>solute carrier family 22, member 23 [Source:ZFIN;Acc:ZDB-GENE-030131-3564]</t>
  </si>
  <si>
    <t>ENSDARG00000053713</t>
  </si>
  <si>
    <t>ccdc88c</t>
  </si>
  <si>
    <t>coiled-coil domain containing 88C [Source:ZFIN;Acc:ZDB-GENE-100419-3]</t>
  </si>
  <si>
    <t>ENSDARG00000044982</t>
  </si>
  <si>
    <t>dhrs3a</t>
  </si>
  <si>
    <t>dehydrogenase/reductase (SDR family) member 3a [Source:ZFIN;Acc:ZDB-GENE-040801-217]</t>
  </si>
  <si>
    <t>ENSDARG00000002830</t>
  </si>
  <si>
    <t>trmt2a</t>
  </si>
  <si>
    <t>tRNA methyltransferase 2 homolog A [Source:ZFIN;Acc:ZDB-GENE-030131-6876]</t>
  </si>
  <si>
    <t>ENSDARG00000061994</t>
  </si>
  <si>
    <t>acacb</t>
  </si>
  <si>
    <t>acetyl-CoA carboxylase beta [Source:ZFIN;Acc:ZDB-GENE-060526-132]</t>
  </si>
  <si>
    <t>ENSDARG00000079222</t>
  </si>
  <si>
    <t>zgc:174315</t>
  </si>
  <si>
    <t>zgc:174315 [Source:ZFIN;Acc:ZDB-GENE-080219-29]</t>
  </si>
  <si>
    <t>ENSDARG00000063167</t>
  </si>
  <si>
    <t>chkb</t>
  </si>
  <si>
    <t>choline kinase beta [Source:ZFIN;Acc:ZDB-GENE-030131-2928]</t>
  </si>
  <si>
    <t>ENSDARG00000006878</t>
  </si>
  <si>
    <t>phf21aa</t>
  </si>
  <si>
    <t>PHD finger protein 21Aa [Source:ZFIN;Acc:ZDB-GENE-050208-99]</t>
  </si>
  <si>
    <t>ENSDARG00000074009</t>
  </si>
  <si>
    <t>znf1059</t>
  </si>
  <si>
    <t>zinc finger protein 1059 [Source:ZFIN;Acc:ZDB-GENE-030131-8437]</t>
  </si>
  <si>
    <t>ENSDARG00000026505</t>
  </si>
  <si>
    <t>si:ch211-285c6.3</t>
  </si>
  <si>
    <t>si:ch211-285c6.3 [Source:ZFIN;Acc:ZDB-GENE-040724-148]</t>
  </si>
  <si>
    <t>ENSDARG00000088214</t>
  </si>
  <si>
    <t>si:dkey-23a23.3</t>
  </si>
  <si>
    <t>si:dkey-23a23.3 [Source:ZFIN;Acc:ZDB-GENE-110913-89]</t>
  </si>
  <si>
    <t>ENSDARG00000093054</t>
  </si>
  <si>
    <t>si:ch211-207c6.5</t>
  </si>
  <si>
    <t>si:ch211-207c6.5 [Source:ZFIN;Acc:ZDB-GENE-060526-92]</t>
  </si>
  <si>
    <t>ENSDARG00000089318</t>
  </si>
  <si>
    <t>si:dkey-69c19.1</t>
  </si>
  <si>
    <t>si:dkey-69c19.1 [Source:ZFIN;Acc:ZDB-GENE-070424-247]</t>
  </si>
  <si>
    <t>ENSDARG00000014550</t>
  </si>
  <si>
    <t>rfx3</t>
  </si>
  <si>
    <t>regulatory factor X, 3 (influences HLA class II expression) [Source:ZFIN;Acc:ZDB-GENE-061103-253]</t>
  </si>
  <si>
    <t>ENSDARG00000091619</t>
  </si>
  <si>
    <t>mvb12ba</t>
  </si>
  <si>
    <t>multivesicular body subunit 12Ba [Source:ZFIN;Acc:ZDB-GENE-060929-372]</t>
  </si>
  <si>
    <t>ENSDARG00000086471</t>
  </si>
  <si>
    <t>pkig</t>
  </si>
  <si>
    <t>protein kinase (cAMP-dependent, catalytic) inhibitor gamma [Source:ZFIN;Acc:ZDB-GENE-050302-97]</t>
  </si>
  <si>
    <t>ENSDARG00000060596</t>
  </si>
  <si>
    <t>prkaa1</t>
  </si>
  <si>
    <t>protein kinase, AMP-activated, alpha 1 catalytic subunit [Source:ZFIN;Acc:ZDB-GENE-030325-1]</t>
  </si>
  <si>
    <t>ENSDARG00000040123</t>
  </si>
  <si>
    <t>zfpm2a</t>
  </si>
  <si>
    <t>zinc finger protein, FOG family member 2a [Source:ZFIN;Acc:ZDB-GENE-060130-4]</t>
  </si>
  <si>
    <t>ENSDARG00000029230</t>
  </si>
  <si>
    <t>pnp4b</t>
  </si>
  <si>
    <t>purine nucleoside phosphorylase 4b [Source:ZFIN;Acc:ZDB-GENE-040426-1887]</t>
  </si>
  <si>
    <t>ENSDARG00000001447</t>
  </si>
  <si>
    <t>mier1b</t>
  </si>
  <si>
    <t>mesoderm induction early response 1b, transcriptional regulator [Source:ZFIN;Acc:ZDB-GENE-070705-170]</t>
  </si>
  <si>
    <t>ENSDARG00000026875</t>
  </si>
  <si>
    <t>fam57ba</t>
  </si>
  <si>
    <t>family with sequence similarity 57, member Ba [Source:ZFIN;Acc:ZDB-GENE-030131-2046]</t>
  </si>
  <si>
    <t>ENSDARG00000093289</t>
  </si>
  <si>
    <t>ASPG</t>
  </si>
  <si>
    <t>si:dkey-9i23.14 [Source:ZFIN;Acc:ZDB-GENE-090313-360]</t>
  </si>
  <si>
    <t>ENSDARG00000015563</t>
  </si>
  <si>
    <t>LPIN3</t>
  </si>
  <si>
    <t>zgc:123305 [Source:ZFIN;Acc:ZDB-GENE-051120-171]</t>
  </si>
  <si>
    <t>ENSDARG00000058730</t>
  </si>
  <si>
    <t>rdh10a</t>
  </si>
  <si>
    <t>retinol dehydrogenase 10a [Source:ZFIN;Acc:ZDB-GENE-070112-2242]</t>
  </si>
  <si>
    <t>ENSDARG00000053463</t>
  </si>
  <si>
    <t>poglut1</t>
  </si>
  <si>
    <t>protein O-glucosyltransferase 1 [Source:ZFIN;Acc:ZDB-GENE-051120-24]</t>
  </si>
  <si>
    <t>ENSDARG00000040890</t>
  </si>
  <si>
    <t>fdps</t>
  </si>
  <si>
    <t>farnesyl diphosphate synthase (farnesyl pyrophosphate synthetase, dimethylallyltranstransferase, geranyltranstransferase) [Source:ZFIN;Acc:ZDB-GENE-050506-78]</t>
  </si>
  <si>
    <t>ENSDARG00000091176</t>
  </si>
  <si>
    <t>znf995</t>
  </si>
  <si>
    <t>zinc finger protein 995 [Source:ZFIN;Acc:ZDB-GENE-080215-13]</t>
  </si>
  <si>
    <t>ENSDARG00000076838</t>
  </si>
  <si>
    <t>apom</t>
  </si>
  <si>
    <t>apolipoprotein M [Source:ZFIN;Acc:ZDB-GENE-010605-5]</t>
  </si>
  <si>
    <t>ENSDARG00000053058</t>
  </si>
  <si>
    <t>rps11</t>
  </si>
  <si>
    <t>ribosomal protein S11 [Source:ZFIN;Acc:ZDB-GENE-040426-2701]</t>
  </si>
  <si>
    <t>ENSDARG00000104996</t>
  </si>
  <si>
    <t>tmem203</t>
  </si>
  <si>
    <t>transmembrane protein 203 [Source:ZFIN;Acc:ZDB-GENE-040718-225]</t>
  </si>
  <si>
    <t>ENSDARG00000061585</t>
  </si>
  <si>
    <t>cyp4v7</t>
  </si>
  <si>
    <t>cytochrome P450, family 4, subfamily V, polypeptide 7 [Source:ZFIN;Acc:ZDB-GENE-061103-88]</t>
  </si>
  <si>
    <t>ENSDARG00000004246</t>
  </si>
  <si>
    <t>slit2</t>
  </si>
  <si>
    <t>slit homolog 2 (Drosophila) [Source:ZFIN;Acc:ZDB-GENE-010306-3]</t>
  </si>
  <si>
    <t>ENSDARG00000059044</t>
  </si>
  <si>
    <t>epm2a</t>
  </si>
  <si>
    <t>epilepsy, progressive myoclonus type 2A, Lafora disease (laforin) [Source:ZFIN;Acc:ZDB-GENE-100922-143]</t>
  </si>
  <si>
    <t>ENSDARG00000089853</t>
  </si>
  <si>
    <t>ATP5J</t>
  </si>
  <si>
    <t>si:dkey-22n8.3 [Source:ZFIN;Acc:ZDB-GENE-110914-188]</t>
  </si>
  <si>
    <t>ENSDARG00000102068</t>
  </si>
  <si>
    <t>shcbp1</t>
  </si>
  <si>
    <t>SHC SH2-domain binding protein 1 [Source:ZFIN;Acc:ZDB-GENE-030131-5865]</t>
  </si>
  <si>
    <t>ENSDARG00000087564</t>
  </si>
  <si>
    <t>nek11</t>
  </si>
  <si>
    <t>NIMA-related kinase 11 [Source:ZFIN;Acc:ZDB-GENE-100922-73]</t>
  </si>
  <si>
    <t>ENSDARG00000029292</t>
  </si>
  <si>
    <t>zgc:55943</t>
  </si>
  <si>
    <t>zgc:55943 [Source:ZFIN;Acc:ZDB-GENE-040426-2013]</t>
  </si>
  <si>
    <t>ENSDARG00000094794</t>
  </si>
  <si>
    <t>si:ch211-171b20.3</t>
  </si>
  <si>
    <t>si:ch211-171b20.3 [Source:ZFIN;Acc:ZDB-GENE-091204-278]</t>
  </si>
  <si>
    <t>ENSDARG00000079777</t>
  </si>
  <si>
    <t>map6d1</t>
  </si>
  <si>
    <t>MAP6 domain containing 1 [Source:ZFIN;Acc:ZDB-GENE-081104-293]</t>
  </si>
  <si>
    <t>ENSDARG00000006353</t>
  </si>
  <si>
    <t>itga5</t>
  </si>
  <si>
    <t>integrin, alpha 5 (fibronectin receptor, alpha polypeptide) [Source:ZFIN;Acc:ZDB-GENE-031116-52]</t>
  </si>
  <si>
    <t>ENSDARG00000105206</t>
  </si>
  <si>
    <t>hmgcrb</t>
  </si>
  <si>
    <t>3-hydroxy-3-methylglutaryl-CoA reductase b [Source:ZFIN;Acc:ZDB-GENE-051108-1]</t>
  </si>
  <si>
    <t>ENSDARG00000030108</t>
  </si>
  <si>
    <t>sec22ba</t>
  </si>
  <si>
    <t>SEC22 homolog B, vesicle trafficking protein a [Source:ZFIN;Acc:ZDB-GENE-010724-3]</t>
  </si>
  <si>
    <t>ENSDARG00000004726</t>
  </si>
  <si>
    <t>trappc11</t>
  </si>
  <si>
    <t>trafficking protein particle complex 11 [Source:ZFIN;Acc:ZDB-GENE-030131-1723]</t>
  </si>
  <si>
    <t>ENSDARG00000069583</t>
  </si>
  <si>
    <t>CNDP1</t>
  </si>
  <si>
    <t>zgc:114181 [Source:ZFIN;Acc:ZDB-GENE-050913-105]</t>
  </si>
  <si>
    <t>ENSDARG00000052856</t>
  </si>
  <si>
    <t>khdrbs1a</t>
  </si>
  <si>
    <t>KH domain containing, RNA binding, signal transduction associated 1a [Source:ZFIN;Acc:ZDB-GENE-000210-25]</t>
  </si>
  <si>
    <t>ENSDARG00000058030</t>
  </si>
  <si>
    <t>hspa14</t>
  </si>
  <si>
    <t>heat shock protein 14 [Source:ZFIN;Acc:ZDB-GENE-041210-73]</t>
  </si>
  <si>
    <t>ENSDARG00000069280</t>
  </si>
  <si>
    <t>tsen15</t>
  </si>
  <si>
    <t>TSEN15 tRNA splicing endonuclease subunit [Source:ZFIN;Acc:ZDB-GENE-041008-211]</t>
  </si>
  <si>
    <t>ENSDARG00000103313</t>
  </si>
  <si>
    <t>rhot1b</t>
  </si>
  <si>
    <t>ras homolog family member T1 [Source:ZFIN;Acc:ZDB-GENE-061009-52]</t>
  </si>
  <si>
    <t>ENSDARG00000056725</t>
  </si>
  <si>
    <t>hmgb3a</t>
  </si>
  <si>
    <t>high mobility group box 3a [Source:ZFIN;Acc:ZDB-GENE-050428-1]</t>
  </si>
  <si>
    <t>ENSDARG00000019484</t>
  </si>
  <si>
    <t>zdhhc7</t>
  </si>
  <si>
    <t>zinc finger, DHHC-type containing 7 [Source:ZFIN;Acc:ZDB-GENE-040718-346]</t>
  </si>
  <si>
    <t>ENSDARG00000003113</t>
  </si>
  <si>
    <t>ada</t>
  </si>
  <si>
    <t>adenosine deaminase [Source:ZFIN;Acc:ZDB-GENE-040718-393]</t>
  </si>
  <si>
    <t>ENSDARG00000036967</t>
  </si>
  <si>
    <t>smox</t>
  </si>
  <si>
    <t>spermine oxidase [Source:ZFIN;Acc:ZDB-GENE-031201-3]</t>
  </si>
  <si>
    <t>ENSDARG00000017354</t>
  </si>
  <si>
    <t>epha2a</t>
  </si>
  <si>
    <t>eph receptor A2 a [Source:ZFIN;Acc:ZDB-GENE-990415-63]</t>
  </si>
  <si>
    <t>ENSDARG00000002609</t>
  </si>
  <si>
    <t>rnf145a</t>
  </si>
  <si>
    <t>ring finger protein 145a [Source:ZFIN;Acc:ZDB-GENE-111012-3]</t>
  </si>
  <si>
    <t>ENSDARG00000015681</t>
  </si>
  <si>
    <t>gsk3ab</t>
  </si>
  <si>
    <t>glycogen synthase kinase 3 alpha b [Source:ZFIN;Acc:ZDB-GENE-990714-3]</t>
  </si>
  <si>
    <t>ENSDARG00000076745</t>
  </si>
  <si>
    <t>zgc:193811</t>
  </si>
  <si>
    <t>zgc:193811 [Source:ZFIN;Acc:ZDB-GENE-081022-43]</t>
  </si>
  <si>
    <t>ENSDARG00000045594</t>
  </si>
  <si>
    <t>si:dkey-14k9.2</t>
  </si>
  <si>
    <t>si:dkey-14k9.2 [Source:ZFIN;Acc:ZDB-GENE-041210-130]</t>
  </si>
  <si>
    <t>ENSDARG00000004851</t>
  </si>
  <si>
    <t>hinfp</t>
  </si>
  <si>
    <t>histone H4 transcription factor [Source:ZFIN;Acc:ZDB-GENE-040426-2764]</t>
  </si>
  <si>
    <t>ENSDARG00000004880</t>
  </si>
  <si>
    <t>acsm3</t>
  </si>
  <si>
    <t>acyl-CoA synthetase medium-chain family member 3 [Source:ZFIN;Acc:ZDB-GENE-080220-22]</t>
  </si>
  <si>
    <t>ENSDARG00000027689</t>
  </si>
  <si>
    <t>pold1</t>
  </si>
  <si>
    <t>polymerase (DNA directed), delta 1, catalytic subunit [Source:ZFIN;Acc:ZDB-GENE-060429-1]</t>
  </si>
  <si>
    <t>ENSDARG00000020301</t>
  </si>
  <si>
    <t>os9</t>
  </si>
  <si>
    <t>osteosarcoma amplified 9, endoplasmic reticulum lectin [Source:ZFIN;Acc:ZDB-GENE-060929-32]</t>
  </si>
  <si>
    <t>ENSDARG00000007425</t>
  </si>
  <si>
    <t>apol1</t>
  </si>
  <si>
    <t>apolipoprotein L, 1 [Source:ZFIN;Acc:ZDB-GENE-030131-3217]</t>
  </si>
  <si>
    <t>ENSDARG00000007657</t>
  </si>
  <si>
    <t>ccnh</t>
  </si>
  <si>
    <t>cyclin H [Source:ZFIN;Acc:ZDB-GENE-050320-13]</t>
  </si>
  <si>
    <t>ENSDARG00000054973</t>
  </si>
  <si>
    <t>itsn2b</t>
  </si>
  <si>
    <t>intersectin 2b [Source:ZFIN;Acc:ZDB-GENE-050309-102]</t>
  </si>
  <si>
    <t>ENSDARG00000077530</t>
  </si>
  <si>
    <t>ahctf1</t>
  </si>
  <si>
    <t>AT hook containing transcription factor 1 [Source:ZFIN;Acc:ZDB-GENE-070521-2]</t>
  </si>
  <si>
    <t>ENSDARG00000035535</t>
  </si>
  <si>
    <t>rasa1a</t>
  </si>
  <si>
    <t>RAS p21 protein activator (GTPase activating protein) 1a [Source:ZFIN;Acc:ZDB-GENE-030131-4694]</t>
  </si>
  <si>
    <t>ENSDARG00000017661</t>
  </si>
  <si>
    <t>braf</t>
  </si>
  <si>
    <t>B-Raf proto-oncogene, serine/threonine kinase [Source:ZFIN;Acc:ZDB-GENE-040805-1]</t>
  </si>
  <si>
    <t>ENSDARG00000096105</t>
  </si>
  <si>
    <t>si:ch211-197e7.8</t>
  </si>
  <si>
    <t>si:ch211-197e7.8 [Source:ZFIN;Acc:ZDB-GENE-110913-87]</t>
  </si>
  <si>
    <t>ENSDARG00000007285</t>
  </si>
  <si>
    <t>mrpl57</t>
  </si>
  <si>
    <t>mitochondrial ribosomal protein L57 [Source:ZFIN;Acc:ZDB-GENE-040426-1745]</t>
  </si>
  <si>
    <t>ENSDARG00000002174</t>
  </si>
  <si>
    <t>itfg2</t>
  </si>
  <si>
    <t>integrin alpha FG-GAP repeat containing 2 [Source:ZFIN;Acc:ZDB-GENE-041008-161]</t>
  </si>
  <si>
    <t>ENSDARG00000098130</t>
  </si>
  <si>
    <t>bola3</t>
  </si>
  <si>
    <t>bolA family member 3 [Source:ZFIN;Acc:ZDB-GENE-040801-32]</t>
  </si>
  <si>
    <t>ENSDARG00000102488</t>
  </si>
  <si>
    <t>si:ch73-200d4.2</t>
  </si>
  <si>
    <t>si:ch73-200d4.2 [Source:ZFIN;Acc:ZDB-GENE-141216-165]</t>
  </si>
  <si>
    <t>ENSDARG00000057272</t>
  </si>
  <si>
    <t>slc30a9</t>
  </si>
  <si>
    <t>solute carrier family 30 (zinc transporter), member 9 [Source:ZFIN;Acc:ZDB-GENE-040724-254]</t>
  </si>
  <si>
    <t>ENSDARG00000103187</t>
  </si>
  <si>
    <t>syce2</t>
  </si>
  <si>
    <t>synaptonemal complex central element protein 2 [Source:ZFIN;Acc:ZDB-GENE-050512-1]</t>
  </si>
  <si>
    <t>ENSDARG00000031915</t>
  </si>
  <si>
    <t>hif1an</t>
  </si>
  <si>
    <t>hypoxia inducible factor 1, alpha subunit inhibitor [Source:ZFIN;Acc:ZDB-GENE-030826-19]</t>
  </si>
  <si>
    <t>ENSDARG00000055855</t>
  </si>
  <si>
    <t>kcnc3a</t>
  </si>
  <si>
    <t>potassium voltage-gated channel, Shaw-related subfamily, member 3a [Source:ZFIN;Acc:ZDB-GENE-100901-1]</t>
  </si>
  <si>
    <t>ENSDARG00000063663</t>
  </si>
  <si>
    <t>clp1</t>
  </si>
  <si>
    <t>cleavage and polyadenylation factor I subunit 1 [Source:ZFIN;Acc:ZDB-GENE-030131-5306]</t>
  </si>
  <si>
    <t>ENSDARG00000098831</t>
  </si>
  <si>
    <t>gcdhb</t>
  </si>
  <si>
    <t>glutaryl-CoA dehydrogenase b [Source:ZFIN;Acc:ZDB-GENE-041010-117]</t>
  </si>
  <si>
    <t>ENSDARG00000056978</t>
  </si>
  <si>
    <t>letm1</t>
  </si>
  <si>
    <t>leucine zipper-EF-hand containing transmembrane protein 1 [Source:ZFIN;Acc:ZDB-GENE-050522-154]</t>
  </si>
  <si>
    <t>ENSDARG00000061541</t>
  </si>
  <si>
    <t>unc5db</t>
  </si>
  <si>
    <t>unc-5 netrin receptor Db [Source:ZFIN;Acc:ZDB-GENE-060531-162]</t>
  </si>
  <si>
    <t>ENSDARG00000044056</t>
  </si>
  <si>
    <t>ahi1</t>
  </si>
  <si>
    <t>Abelson helper integration site 1 [Source:ZFIN;Acc:ZDB-GENE-060803-1]</t>
  </si>
  <si>
    <t>ENSDARG00000071868</t>
  </si>
  <si>
    <t>znf711</t>
  </si>
  <si>
    <t>zinc finger protein 711 [Source:ZFIN;Acc:ZDB-GENE-081107-49]</t>
  </si>
  <si>
    <t>ENSDARG00000079412</t>
  </si>
  <si>
    <t>ftr02</t>
  </si>
  <si>
    <t>finTRIM family, member 2 [Source:ZFIN;Acc:ZDB-GENE-070424-5]</t>
  </si>
  <si>
    <t>ENSDARG00000101903</t>
  </si>
  <si>
    <t>zfyve9a</t>
  </si>
  <si>
    <t>zinc finger, FYVE domain containing 9a [Source:ZFIN;Acc:ZDB-GENE-070705-182]</t>
  </si>
  <si>
    <t>ENSDARG00000055893</t>
  </si>
  <si>
    <t>nmnat1</t>
  </si>
  <si>
    <t>nicotinamide nucleotide adenylyltransferase 1 [Source:ZFIN;Acc:ZDB-GENE-050417-101]</t>
  </si>
  <si>
    <t>ENSDARG00000036036</t>
  </si>
  <si>
    <t>mdka</t>
  </si>
  <si>
    <t>midkine a [Source:ZFIN;Acc:ZDB-GENE-990621-1]</t>
  </si>
  <si>
    <t>ENSDARG00000003203</t>
  </si>
  <si>
    <t>rhcga</t>
  </si>
  <si>
    <t>Rh family, C glycoprotein a [Source:ZFIN;Acc:ZDB-GENE-070424-81]</t>
  </si>
  <si>
    <t>ENSDARG00000087554</t>
  </si>
  <si>
    <t>cdk1</t>
  </si>
  <si>
    <t>cyclin-dependent kinase 1 [Source:ZFIN;Acc:ZDB-GENE-010320-1]</t>
  </si>
  <si>
    <t>ENSDARG00000038909</t>
  </si>
  <si>
    <t>msl2a</t>
  </si>
  <si>
    <t>male-specific lethal 2 homolog a (Drosophila) [Source:ZFIN;Acc:ZDB-GENE-070912-449]</t>
  </si>
  <si>
    <t>ENSDARG00000030602</t>
  </si>
  <si>
    <t>rps19</t>
  </si>
  <si>
    <t>ribosomal protein S19 [Source:ZFIN;Acc:ZDB-GENE-040426-1716]</t>
  </si>
  <si>
    <t>ENSDARG00000097237</t>
  </si>
  <si>
    <t>si:dkey-11p23.13</t>
  </si>
  <si>
    <t>si:dkey-11p23.13 [Source:ZFIN;Acc:ZDB-GENE-131127-441]</t>
  </si>
  <si>
    <t>ENSDARG00000099631</t>
  </si>
  <si>
    <t>cmtm6</t>
  </si>
  <si>
    <t>CKLF-like MARVEL transmembrane domain containing 6 [Source:ZFIN;Acc:ZDB-GENE-030729-15]</t>
  </si>
  <si>
    <t>ENSDARG00000101095</t>
  </si>
  <si>
    <t>cpne4a</t>
  </si>
  <si>
    <t>copine IVa [Source:ZFIN;Acc:ZDB-GENE-060503-427]</t>
  </si>
  <si>
    <t>ENSDARG00000037109</t>
  </si>
  <si>
    <t>pwp2h</t>
  </si>
  <si>
    <t>PWP2 periodic tryptophan protein homolog (yeast) [Source:ZFIN;Acc:ZDB-GENE-021031-3]</t>
  </si>
  <si>
    <t>ENSDARG00000026902</t>
  </si>
  <si>
    <t>cryzl1</t>
  </si>
  <si>
    <t>crystallin, zeta (quinone reductase)-like 1 [Source:ZFIN;Acc:ZDB-GENE-040718-378]</t>
  </si>
  <si>
    <t>ENSDARG00000021973</t>
  </si>
  <si>
    <t>st13</t>
  </si>
  <si>
    <t>suppression of tumorigenicity 13 (colon carcinoma) (Hsp70 interacting protein) [Source:ZFIN;Acc:ZDB-GENE-030131-5395]</t>
  </si>
  <si>
    <t>ENSDARG00000035565</t>
  </si>
  <si>
    <t>atp6v0a2b</t>
  </si>
  <si>
    <t>ATPase, H+ transporting, lysosomal V0 subunit a2b [Source:ZFIN;Acc:ZDB-GENE-060526-4]</t>
  </si>
  <si>
    <t>ENSDARG00000071271</t>
  </si>
  <si>
    <t>SAC3D1</t>
  </si>
  <si>
    <t>si:zfos-452g4.1 [Source:ZFIN;Acc:ZDB-GENE-030131-4791]</t>
  </si>
  <si>
    <t>ENSDARG00000091640</t>
  </si>
  <si>
    <t>si:ch73-352p4.5</t>
  </si>
  <si>
    <t>si:ch73-352p4.5 [Source:ZFIN;Acc:ZDB-GENE-141219-42]</t>
  </si>
  <si>
    <t>ENSDARG00000000086</t>
  </si>
  <si>
    <t>itsn1</t>
  </si>
  <si>
    <t>intersectin 1 (SH3 domain protein) [Source:ZFIN;Acc:ZDB-GENE-030616-226]</t>
  </si>
  <si>
    <t>ENSDARG00000091631</t>
  </si>
  <si>
    <t>si:ch211-197h24.6</t>
  </si>
  <si>
    <t>si:ch211-197h24.6 [Source:ZFIN;Acc:ZDB-GENE-030131-1361]</t>
  </si>
  <si>
    <t>ENSDARG00000030881</t>
  </si>
  <si>
    <t>baxb</t>
  </si>
  <si>
    <t>bcl2-associated X protein, b [Source:ZFIN;Acc:ZDB-GENE-050227-21]</t>
  </si>
  <si>
    <t>ENSDARG00000007257</t>
  </si>
  <si>
    <t>rab5ab</t>
  </si>
  <si>
    <t>RAB5A, member RAS oncogene family, b [Source:ZFIN;Acc:ZDB-GENE-040122-3]</t>
  </si>
  <si>
    <t>ENSDARG00000025577</t>
  </si>
  <si>
    <t>zgc:66447</t>
  </si>
  <si>
    <t>zgc:66447 [Source:ZFIN;Acc:ZDB-GENE-030131-4748]</t>
  </si>
  <si>
    <t>ENSDARG00000011545</t>
  </si>
  <si>
    <t>arrb2b</t>
  </si>
  <si>
    <t>arrestin, beta 2b [Source:ZFIN;Acc:ZDB-GENE-040426-1332]</t>
  </si>
  <si>
    <t>ENSDARG00000053956</t>
  </si>
  <si>
    <t>sptbn2</t>
  </si>
  <si>
    <t>spectrin, beta, non-erythrocytic 2 [Source:ZFIN;Acc:ZDB-GENE-030131-787]</t>
  </si>
  <si>
    <t>ENSDARG00000045598</t>
  </si>
  <si>
    <t>si:dkey-180p18.9</t>
  </si>
  <si>
    <t>si:dkey-180p18.9 [Source:ZFIN;Acc:ZDB-GENE-041210-132]</t>
  </si>
  <si>
    <t>ENSDARG00000001470</t>
  </si>
  <si>
    <t>mhc1zea</t>
  </si>
  <si>
    <t>major histocompatibility complex class I ZEA [Source:ZFIN;Acc:ZDB-GENE-070705-176]</t>
  </si>
  <si>
    <t>ENSDARG00000059075</t>
  </si>
  <si>
    <t>nip7</t>
  </si>
  <si>
    <t>NIP7, nucleolar pre-rRNA processing protein [Source:ZFIN;Acc:ZDB-GENE-050522-256]</t>
  </si>
  <si>
    <t>ENSDARG00000040158</t>
  </si>
  <si>
    <t>cdc42l</t>
  </si>
  <si>
    <t>cell division cycle 42, like [Source:ZFIN;Acc:ZDB-GENE-030131-6069]</t>
  </si>
  <si>
    <t>ENSDARG00000006215</t>
  </si>
  <si>
    <t>akr1b1</t>
  </si>
  <si>
    <t>aldo-keto reductase family 1, member B1 (aldose reductase) [Source:ZFIN;Acc:ZDB-GENE-040625-7]</t>
  </si>
  <si>
    <t>ENSDARG00000058597</t>
  </si>
  <si>
    <t>nt5c3a</t>
  </si>
  <si>
    <t>5'-nucleotidase, cytosolic IIIA [Source:ZFIN;Acc:ZDB-GENE-030131-439]</t>
  </si>
  <si>
    <t>ENSDARG00000023703</t>
  </si>
  <si>
    <t>kctd6b</t>
  </si>
  <si>
    <t>potassium channel tetramerization domain containing 6b [Source:ZFIN;Acc:ZDB-GENE-040718-14]</t>
  </si>
  <si>
    <t>ENSDARG00000040159</t>
  </si>
  <si>
    <t>wnt4b</t>
  </si>
  <si>
    <t>wingless-type MMTV integration site family, member 4b [Source:ZFIN;Acc:ZDB-GENE-000411-1]</t>
  </si>
  <si>
    <t>ENSDARG00000036592</t>
  </si>
  <si>
    <t>setd4</t>
  </si>
  <si>
    <t>SET domain containing 4 [Source:ZFIN;Acc:ZDB-GENE-050808-2]</t>
  </si>
  <si>
    <t>ENSDARG00000087074</t>
  </si>
  <si>
    <t>znf574</t>
  </si>
  <si>
    <t>zinc finger protein 574 [Source:ZFIN;Acc:ZDB-GENE-100922-259]</t>
  </si>
  <si>
    <t>ENSDARG00000104181</t>
  </si>
  <si>
    <t>si:dkey-152p16.6</t>
  </si>
  <si>
    <t>si:dkey-152p16.6 [Source:ZFIN;Acc:ZDB-GENE-030131-8575]</t>
  </si>
  <si>
    <t>ENSDARG00000015449</t>
  </si>
  <si>
    <t>fut8a</t>
  </si>
  <si>
    <t>fucosyltransferase 8a (alpha (1,6) fucosyltransferase) [Source:ZFIN;Acc:ZDB-GENE-031118-20]</t>
  </si>
  <si>
    <t>ENSDARG00000057688</t>
  </si>
  <si>
    <t>ical1</t>
  </si>
  <si>
    <t>islet cell autoantigen 1-like [Source:ZFIN;Acc:ZDB-GENE-030910-4]</t>
  </si>
  <si>
    <t>ENSDARG00000097033</t>
  </si>
  <si>
    <t>si:ch73-341k19.4</t>
  </si>
  <si>
    <t>si:ch73-341k19.4 [Source:ZFIN;Acc:ZDB-GENE-131121-354]</t>
  </si>
  <si>
    <t>ENSDARG00000058593</t>
  </si>
  <si>
    <t>sri</t>
  </si>
  <si>
    <t>sorcin [Source:ZFIN;Acc:ZDB-GENE-040426-1356]</t>
  </si>
  <si>
    <t>ENSDARG00000061207</t>
  </si>
  <si>
    <t>ttc7b</t>
  </si>
  <si>
    <t>tetratricopeptide repeat domain 7B [Source:ZFIN;Acc:ZDB-GENE-070105-3]</t>
  </si>
  <si>
    <t>ENSDARG00000099849</t>
  </si>
  <si>
    <t>ebf1a</t>
  </si>
  <si>
    <t>early B-cell factor 1a [Source:ZFIN;Acc:ZDB-GENE-081028-51]</t>
  </si>
  <si>
    <t>ENSDARG00000040657</t>
  </si>
  <si>
    <t>wipi1</t>
  </si>
  <si>
    <t>WD repeat domain, phosphoinositide interacting 1 [Source:ZFIN;Acc:ZDB-GENE-040426-1404]</t>
  </si>
  <si>
    <t>ENSDARG00000012593</t>
  </si>
  <si>
    <t>col5a1</t>
  </si>
  <si>
    <t>procollagen, type V, alpha 1 [Source:ZFIN;Acc:ZDB-GENE-041105-6]</t>
  </si>
  <si>
    <t>ENSDARG00000026767</t>
  </si>
  <si>
    <t>nol11</t>
  </si>
  <si>
    <t>nucleolar protein 11 [Source:ZFIN;Acc:ZDB-GENE-030131-419]</t>
  </si>
  <si>
    <t>ENSDARG00000002267</t>
  </si>
  <si>
    <t>dcaf13</t>
  </si>
  <si>
    <t>ddb1 and cul4 associated factor 13 [Source:ZFIN;Acc:ZDB-GENE-040426-703]</t>
  </si>
  <si>
    <t>ENSDARG00000075559</t>
  </si>
  <si>
    <t>ppm1g</t>
  </si>
  <si>
    <t>protein phosphatase, Mg2+/Mn2+ dependent, 1G [Source:ZFIN;Acc:ZDB-GENE-030425-4]</t>
  </si>
  <si>
    <t>ENSDARG00000088136</t>
  </si>
  <si>
    <t>pcdh2aa15</t>
  </si>
  <si>
    <t>protocadherin 2 alpha a 15 [Source:ZFIN;Acc:ZDB-GENE-041118-15]</t>
  </si>
  <si>
    <t>ENSDARG00000103867</t>
  </si>
  <si>
    <t>si:dkey-209n16.3</t>
  </si>
  <si>
    <t>si:dkey-209n16.3 [Source:ZFIN;Acc:ZDB-GENE-141216-454]</t>
  </si>
  <si>
    <t>ENSDARG00000019063</t>
  </si>
  <si>
    <t>fat1b</t>
  </si>
  <si>
    <t>FAT atypical cadherin 1b [Source:ZFIN;Acc:ZDB-GENE-130530-563]</t>
  </si>
  <si>
    <t>ENSDARG00000101606</t>
  </si>
  <si>
    <t>rims2a</t>
  </si>
  <si>
    <t>regulating synaptic membrane exocytosis 2a [Source:ZFIN;Acc:ZDB-GENE-040426-1656]</t>
  </si>
  <si>
    <t>ENSDARG00000019549</t>
  </si>
  <si>
    <t>cds1</t>
  </si>
  <si>
    <t>CDP-diacylglycerol synthase (phosphatidate cytidylyltransferase) 1 [Source:ZFIN;Acc:ZDB-GENE-070705-78]</t>
  </si>
  <si>
    <t>ENSDARG00000095914</t>
  </si>
  <si>
    <t>si:dkey-209n16.2</t>
  </si>
  <si>
    <t>si:dkey-209n16.2 [Source:ZFIN;Acc:ZDB-GENE-110408-44]</t>
  </si>
  <si>
    <t>ENSDARG00000006011</t>
  </si>
  <si>
    <t>klhl42</t>
  </si>
  <si>
    <t>kelch-like family, member 42 [Source:ZFIN;Acc:ZDB-GENE-041210-190]</t>
  </si>
  <si>
    <t>ENSDARG00000101449</t>
  </si>
  <si>
    <t>grik5</t>
  </si>
  <si>
    <t>glutamate receptor, ionotropic, kainate 5 [Source:ZFIN;Acc:ZDB-GENE-070821-6]</t>
  </si>
  <si>
    <t>ENSDARG00000102223</t>
  </si>
  <si>
    <t>si:ch211-57g18.3</t>
  </si>
  <si>
    <t>si:ch211-57g18.3 [Source:ZFIN;Acc:ZDB-GENE-131127-86]</t>
  </si>
  <si>
    <t>ENSDARG00000037935</t>
  </si>
  <si>
    <t>aldh16a1</t>
  </si>
  <si>
    <t>aldehyde dehydrogenase 16 family, member A1 [Source:ZFIN;Acc:ZDB-GENE-070112-2062]</t>
  </si>
  <si>
    <t>ENSDARG00000010738</t>
  </si>
  <si>
    <t>zgc:101716</t>
  </si>
  <si>
    <t>zgc:101716 [Source:ZFIN;Acc:ZDB-GENE-041114-135]</t>
  </si>
  <si>
    <t>ENSDARG00000070801</t>
  </si>
  <si>
    <t>opa1</t>
  </si>
  <si>
    <t>optic atrophy 1 (autosomal dominant) [Source:ZFIN;Acc:ZDB-GENE-041114-7]</t>
  </si>
  <si>
    <t>ENSDARG00000086269</t>
  </si>
  <si>
    <t>ndst2a</t>
  </si>
  <si>
    <t>N-deacetylase/N-sulfotransferase (heparan glucosaminyl) 2a [Source:ZFIN;Acc:ZDB-GENE-060810-182]</t>
  </si>
  <si>
    <t>ENSDARG00000052859</t>
  </si>
  <si>
    <t>chp1</t>
  </si>
  <si>
    <t>calcineurin-like EF-hand protein 1 [Source:ZFIN;Acc:ZDB-GENE-030131-4086]</t>
  </si>
  <si>
    <t>ENSDARG00000027938</t>
  </si>
  <si>
    <t>rad18</t>
  </si>
  <si>
    <t>RAD18 E3 ubiquitin protein ligase [Source:ZFIN;Acc:ZDB-GENE-040426-745]</t>
  </si>
  <si>
    <t>ENSDARG00000021866</t>
  </si>
  <si>
    <t>upk1a</t>
  </si>
  <si>
    <t>uroplakin 1a [Source:ZFIN;Acc:ZDB-GENE-060421-2603]</t>
  </si>
  <si>
    <t>ENSDARG00000101300</t>
  </si>
  <si>
    <t>ssna1</t>
  </si>
  <si>
    <t>Sjogren syndrome nuclear autoantigen 1 [Source:ZFIN;Acc:ZDB-GENE-081104-255]</t>
  </si>
  <si>
    <t>ENSDARG00000055874</t>
  </si>
  <si>
    <t>cpe</t>
  </si>
  <si>
    <t>carboxypeptidase E [Source:ZFIN;Acc:ZDB-GENE-090313-68]</t>
  </si>
  <si>
    <t>ENSDARG00000028367</t>
  </si>
  <si>
    <t>sult2st3</t>
  </si>
  <si>
    <t>sulfotransferase family 2, cytosolic sulfotransferase 3 [Source:ZFIN;Acc:ZDB-GENE-061117-4]</t>
  </si>
  <si>
    <t>ENSDARG00000023645</t>
  </si>
  <si>
    <t>ccbl1</t>
  </si>
  <si>
    <t>cysteine conjugate-beta lyase, cytoplasmic [Source:ZFIN;Acc:ZDB-GENE-040426-2676]</t>
  </si>
  <si>
    <t>ENSDARG00000087417</t>
  </si>
  <si>
    <t>zdhhc5b</t>
  </si>
  <si>
    <t>zinc finger, DHHC-type containing 5b [Source:ZFIN;Acc:ZDB-GENE-101117-1]</t>
  </si>
  <si>
    <t>ENSDARG00000058710</t>
  </si>
  <si>
    <t>terf1</t>
  </si>
  <si>
    <t>telomeric repeat binding factor (NIMA-interacting) 1 [Source:ZFIN;Acc:ZDB-GENE-090612-2]</t>
  </si>
  <si>
    <t>ENSDARG00000030703</t>
  </si>
  <si>
    <t>otx1a</t>
  </si>
  <si>
    <t>orthodenticle homeobox 1a [Source:ZFIN;Acc:ZDB-GENE-980526-27]</t>
  </si>
  <si>
    <t>ENSDARG00000079543</t>
  </si>
  <si>
    <t>dpys</t>
  </si>
  <si>
    <t>dihydropyrimidinase [Source:ZFIN;Acc:ZDB-GENE-070508-1]</t>
  </si>
  <si>
    <t>ENSDARG00000055360</t>
  </si>
  <si>
    <t>llph</t>
  </si>
  <si>
    <t>LLP homolog, long-term synaptic facilitation (Aplysia) [Source:ZFIN;Acc:ZDB-GENE-051030-30]</t>
  </si>
  <si>
    <t>ENSDARG00000058088</t>
  </si>
  <si>
    <t>aifm1</t>
  </si>
  <si>
    <t>apoptosis-inducing factor, mitochondrion-associated 1 [Source:ZFIN;Acc:ZDB-GENE-030826-11]</t>
  </si>
  <si>
    <t>ENSDARG00000018902</t>
  </si>
  <si>
    <t>pes</t>
  </si>
  <si>
    <t>pescadillo [Source:ZFIN;Acc:ZDB-GENE-990415-206]</t>
  </si>
  <si>
    <t>ENSDARG00000015863</t>
  </si>
  <si>
    <t>socs6b</t>
  </si>
  <si>
    <t>suppressor of cytokine signaling 6b [Source:ZFIN;Acc:ZDB-GENE-030131-1670]</t>
  </si>
  <si>
    <t>ENSDARG00000075714</t>
  </si>
  <si>
    <t>si:dkey-27p23.3</t>
  </si>
  <si>
    <t>si:dkey-27p23.3 [Source:ZFIN;Acc:ZDB-GENE-070705-453]</t>
  </si>
  <si>
    <t>ENSDARG00000039910</t>
  </si>
  <si>
    <t>rbm42</t>
  </si>
  <si>
    <t>RNA binding motif protein 42 [Source:ZFIN;Acc:ZDB-GENE-040809-2]</t>
  </si>
  <si>
    <t>ENSDARG00000103430</t>
  </si>
  <si>
    <t>si:ch73-226i7.1</t>
  </si>
  <si>
    <t>si:ch73-226i7.1 [Source:ZFIN;Acc:ZDB-GENE-141219-19]</t>
  </si>
  <si>
    <t>ENSDARG00000101277</t>
  </si>
  <si>
    <t>znf207b</t>
  </si>
  <si>
    <t>zinc finger protein 207, b [Source:ZFIN;Acc:ZDB-GENE-030131-7377]</t>
  </si>
  <si>
    <t>ENSDARG00000011333</t>
  </si>
  <si>
    <t>arhgap33</t>
  </si>
  <si>
    <t>Rho GTPase activating protein 33 [Source:ZFIN;Acc:ZDB-GENE-121105-12]</t>
  </si>
  <si>
    <t>ENSDARG00000095783</t>
  </si>
  <si>
    <t>si:dkey-249d8.1</t>
  </si>
  <si>
    <t>si:dkey-249d8.1 [Source:ZFIN;Acc:ZDB-GENE-110411-157]</t>
  </si>
  <si>
    <t>ENSDARG00000005179</t>
  </si>
  <si>
    <t>c17h14orf159</t>
  </si>
  <si>
    <t>c17h14orf159 homolog (H. sapiens) [Source:ZFIN;Acc:ZDB-GENE-070725-6]</t>
  </si>
  <si>
    <t>ENSDARG00000037874</t>
  </si>
  <si>
    <t>cyp3c2</t>
  </si>
  <si>
    <t>cytochrome P450, family 3, subfamily c, polypeptide 2 [Source:ZFIN;Acc:ZDB-GENE-081103-62]</t>
  </si>
  <si>
    <t>ENSDARG00000100174</t>
  </si>
  <si>
    <t>si:ch73-226i7.2</t>
  </si>
  <si>
    <t>si:ch73-226i7.2 [Source:ZFIN;Acc:ZDB-GENE-141219-37]</t>
  </si>
  <si>
    <t>ENSDARG00000041951</t>
  </si>
  <si>
    <t>selo</t>
  </si>
  <si>
    <t>selenoprotein O [Source:ZFIN;Acc:ZDB-GENE-030131-4485]</t>
  </si>
  <si>
    <t>ENSDARG00000005058</t>
  </si>
  <si>
    <t>ncapd2</t>
  </si>
  <si>
    <t>non-SMC condensin I complex, subunit D2 [Source:ZFIN;Acc:ZDB-GENE-050506-59]</t>
  </si>
  <si>
    <t>ENSDARG00000036442</t>
  </si>
  <si>
    <t>atp11c</t>
  </si>
  <si>
    <t>ATPase, Class VI, type 11C [Source:ZFIN;Acc:ZDB-GENE-030616-51]</t>
  </si>
  <si>
    <t>ENSDARG00000073858</t>
  </si>
  <si>
    <t>pex26</t>
  </si>
  <si>
    <t>peroxisomal biogenesis factor 26 [Source:ZFIN;Acc:ZDB-GENE-030131-6584]</t>
  </si>
  <si>
    <t>ENSDARG00000037873</t>
  </si>
  <si>
    <t>cyp3c3</t>
  </si>
  <si>
    <t>cytochrome P450, family 3, subfamily c, polypeptide 3 [Source:ZFIN;Acc:ZDB-GENE-041114-102]</t>
  </si>
  <si>
    <t>ENSDARG00000055899</t>
  </si>
  <si>
    <t>lzic</t>
  </si>
  <si>
    <t>leucine zipper and CTNNBIP1 domain containing [Source:ZFIN;Acc:ZDB-GENE-040718-342]</t>
  </si>
  <si>
    <t>ENSDARG00000033259</t>
  </si>
  <si>
    <t>dis3l2</t>
  </si>
  <si>
    <t>DIS3 like 3'-5' exoribonuclease 2 [Source:ZFIN;Acc:ZDB-GENE-070705-171]</t>
  </si>
  <si>
    <t>ENSDARG00000043781</t>
  </si>
  <si>
    <t>PSMB10</t>
  </si>
  <si>
    <t>zgc:92791 [Source:ZFIN;Acc:ZDB-GENE-040718-278]</t>
  </si>
  <si>
    <t>ENSDARG00000076544</t>
  </si>
  <si>
    <t>aldh5a1</t>
  </si>
  <si>
    <t>aldehyde dehydrogenase 5 family, member A1 (succinate-semialdehyde dehydrogenase) [Source:ZFIN;Acc:ZDB-GENE-070228-2]</t>
  </si>
  <si>
    <t>ENSDARG00000001898</t>
  </si>
  <si>
    <t>manea</t>
  </si>
  <si>
    <t>mannosidase, endo-alpha [Source:ZFIN;Acc:ZDB-GENE-040912-87]</t>
  </si>
  <si>
    <t>ENSDARG00000031776</t>
  </si>
  <si>
    <t>zgc:92066</t>
  </si>
  <si>
    <t>zgc:92066 [Source:ZFIN;Acc:ZDB-GENE-040718-72]</t>
  </si>
  <si>
    <t>ENSDARG00000101651</t>
  </si>
  <si>
    <t>si:zfos-1056e6.1</t>
  </si>
  <si>
    <t>si:zfos-1056e6.1 [Source:ZFIN;Acc:ZDB-GENE-141216-389]</t>
  </si>
  <si>
    <t>ENSDARG00000037506</t>
  </si>
  <si>
    <t>prps1b</t>
  </si>
  <si>
    <t>phosphoribosyl pyrophosphate synthetase 1B [Source:ZFIN;Acc:ZDB-GENE-030131-4011]</t>
  </si>
  <si>
    <t>ENSDARG00000055192</t>
  </si>
  <si>
    <t>zgc:136930</t>
  </si>
  <si>
    <t>zgc:136930 [Source:ZFIN;Acc:ZDB-GENE-060312-16]</t>
  </si>
  <si>
    <t>ENSDARG00000002798</t>
  </si>
  <si>
    <t>cog8</t>
  </si>
  <si>
    <t>component of oligomeric golgi complex 8 [Source:ZFIN;Acc:ZDB-GENE-050320-74]</t>
  </si>
  <si>
    <t>ENSDARG00000053542</t>
  </si>
  <si>
    <t>kctd12.2</t>
  </si>
  <si>
    <t>potassium channel tetramerisation domain containing 12.2 [Source:ZFIN;Acc:ZDB-GENE-060117-4]</t>
  </si>
  <si>
    <t>ENSDARG00000012729</t>
  </si>
  <si>
    <t>hcls1</t>
  </si>
  <si>
    <t>hematopoietic cell-specific Lyn substrate 1 [Source:ZFIN;Acc:ZDB-GENE-030131-7191]</t>
  </si>
  <si>
    <t>ENSDARG00000039959</t>
  </si>
  <si>
    <t>gdnfa</t>
  </si>
  <si>
    <t>glial cell derived neurotrophic factor a [Source:ZFIN;Acc:ZDB-GENE-010226-1]</t>
  </si>
  <si>
    <t>ENSDARG00000037140</t>
  </si>
  <si>
    <t>pfkfb1</t>
  </si>
  <si>
    <t>6-phosphofructo-2-kinase/fructose-2,6-biphosphatase 1 [Source:ZFIN;Acc:ZDB-GENE-030131-5664]</t>
  </si>
  <si>
    <t>ENSDARG00000075898</t>
  </si>
  <si>
    <t>spata7</t>
  </si>
  <si>
    <t>spermatogenesis associated 7 [Source:ZFIN;Acc:ZDB-GENE-050419-61]</t>
  </si>
  <si>
    <t>ENSDARG00000017986</t>
  </si>
  <si>
    <t>vps13d</t>
  </si>
  <si>
    <t>vacuolar protein sorting 13 homolog D (S. cerevisiae) [Source:ZFIN;Acc:ZDB-GENE-050912-1]</t>
  </si>
  <si>
    <t>ENSDARG00000105279</t>
  </si>
  <si>
    <t>si:ch211-108c17.2</t>
  </si>
  <si>
    <t>si:ch211-108c17.2 [Source:ZFIN;Acc:ZDB-GENE-131118-13]</t>
  </si>
  <si>
    <t>ENSDARG00000076541</t>
  </si>
  <si>
    <t>clec3ba</t>
  </si>
  <si>
    <t>C-type lectin domain family 3, member Ba [Source:ZFIN;Acc:ZDB-GENE-110411-71]</t>
  </si>
  <si>
    <t>ENSDARG00000105142</t>
  </si>
  <si>
    <t>tcirg1b</t>
  </si>
  <si>
    <t>T-cell, immune regulator 1, ATPase, H+ transporting, lysosomal V0 subunit A3b [Source:ZFIN;Acc:ZDB-GENE-040426-2022]</t>
  </si>
  <si>
    <t>ENSDARG00000100803</t>
  </si>
  <si>
    <t>zgc:113443</t>
  </si>
  <si>
    <t>zgc:113443 [Source:ZFIN;Acc:ZDB-GENE-050913-134]</t>
  </si>
  <si>
    <t>ENSDARG00000097615</t>
  </si>
  <si>
    <t>si:ch211-108d22.2</t>
  </si>
  <si>
    <t>si:ch211-108d22.2 [Source:ZFIN;Acc:ZDB-GENE-131127-97]</t>
  </si>
  <si>
    <t>ENSDARG00000068187</t>
  </si>
  <si>
    <t>spg7</t>
  </si>
  <si>
    <t>spastic paraplegia 7 [Source:ZFIN;Acc:ZDB-GENE-030131-5391]</t>
  </si>
  <si>
    <t>ENSDARG00000092617</t>
  </si>
  <si>
    <t>si:dkey-22h13.2</t>
  </si>
  <si>
    <t>si:dkey-22h13.2 [Source:ZFIN;Acc:ZDB-GENE-120703-42]</t>
  </si>
  <si>
    <t>ENSDARG00000101756</t>
  </si>
  <si>
    <t>im:7141269</t>
  </si>
  <si>
    <t>im:7141269 [Source:ZFIN;Acc:ZDB-GENE-041111-134]</t>
  </si>
  <si>
    <t>ENSDARG00000103530</t>
  </si>
  <si>
    <t>zgc:113102</t>
  </si>
  <si>
    <t>zgc:113102 [Source:ZFIN;Acc:ZDB-GENE-050306-35]</t>
  </si>
  <si>
    <t>ENSDARG00000098923</t>
  </si>
  <si>
    <t>zgc:173577</t>
  </si>
  <si>
    <t>zgc:173577 [Source:ZFIN;Acc:ZDB-GENE-071004-55]</t>
  </si>
  <si>
    <t>ENSDARG00000075676</t>
  </si>
  <si>
    <t>fndc7b</t>
  </si>
  <si>
    <t>fibronectin type III domain containing 7b [Source:ZFIN;Acc:ZDB-GENE-100922-114]</t>
  </si>
  <si>
    <t>ENSDARG00000069463</t>
  </si>
  <si>
    <t>alox12</t>
  </si>
  <si>
    <t>arachidonate 12-lipoxygenase [Source:ZFIN;Acc:ZDB-GENE-030131-1452]</t>
  </si>
  <si>
    <t>ENSDARG00000025535</t>
  </si>
  <si>
    <t>clint1a</t>
  </si>
  <si>
    <t>clathrin interactor 1a [Source:ZFIN;Acc:ZDB-GENE-030131-2590]</t>
  </si>
  <si>
    <t>ENSDARG00000077722</t>
  </si>
  <si>
    <t>ppp2r3a</t>
  </si>
  <si>
    <t>protein phosphatase 2, regulatory subunit B'', alpha [Source:ZFIN;Acc:ZDB-GENE-070912-646]</t>
  </si>
  <si>
    <t>ENSDARG00000017757</t>
  </si>
  <si>
    <t>pik3cg</t>
  </si>
  <si>
    <t>phosphatidylinositol-4,5-bisphosphate 3-kinase, catalytic subunit gamma [Source:ZFIN;Acc:ZDB-GENE-040426-2532]</t>
  </si>
  <si>
    <t>ENSDARG00000103929</t>
  </si>
  <si>
    <t>ildr1a</t>
  </si>
  <si>
    <t>immunoglobulin-like domain containing receptor 1a [Source:ZFIN;Acc:ZDB-GENE-040426-1412]</t>
  </si>
  <si>
    <t>ENSDARG00000038030</t>
  </si>
  <si>
    <t>rbx1</t>
  </si>
  <si>
    <t>ring-box 1, E3 ubiquitin protein ligase [Source:ZFIN;Acc:ZDB-GENE-041008-106]</t>
  </si>
  <si>
    <t>ENSDARG00000060153</t>
  </si>
  <si>
    <t>h6pd</t>
  </si>
  <si>
    <t>hexose-6-phosphate dehydrogenase (glucose 1-dehydrogenase) [Source:ZFIN;Acc:ZDB-GENE-110408-60]</t>
  </si>
  <si>
    <t>ENSDARG00000033099</t>
  </si>
  <si>
    <t>kif7</t>
  </si>
  <si>
    <t>kinesin family member 7 [Source:ZFIN;Acc:ZDB-GENE-050307-1]</t>
  </si>
  <si>
    <t>ENSDARG00000086838</t>
  </si>
  <si>
    <t>itga2.3</t>
  </si>
  <si>
    <t>integrin, alpha 2 (CD49B, alpha 2 subunit of VLA-2 receptor), tandem duplicate 3 [Source:ZFIN;Acc:ZDB-GENE-091204-176]</t>
  </si>
  <si>
    <t>ENSDARG00000091996</t>
  </si>
  <si>
    <t>si:ch211-117m20.5</t>
  </si>
  <si>
    <t>si:ch211-117m20.5 [Source:ZFIN;Acc:ZDB-GENE-030131-12]</t>
  </si>
  <si>
    <t>ENSDARG00000053222</t>
  </si>
  <si>
    <t>asb5b</t>
  </si>
  <si>
    <t>ankyrin repeat and SOCS box containing 5b [Source:ZFIN;Acc:ZDB-GENE-050417-271]</t>
  </si>
  <si>
    <t>ENSDARG00000093112</t>
  </si>
  <si>
    <t>espnlb</t>
  </si>
  <si>
    <t>espin-like b [Source:ZFIN;Acc:ZDB-GENE-070912-481]</t>
  </si>
  <si>
    <t>ENSDARG00000097086</t>
  </si>
  <si>
    <t>si:dkey-172k15.4</t>
  </si>
  <si>
    <t>si:dkey-172k15.4 [Source:ZFIN;Acc:ZDB-GENE-131127-210]</t>
  </si>
  <si>
    <t>ENSDARG00000016080</t>
  </si>
  <si>
    <t>nob1</t>
  </si>
  <si>
    <t>NIN1/RPN12 binding protein 1 homolog (S. cerevisiae) [Source:ZFIN;Acc:ZDB-GENE-030131-3112]</t>
  </si>
  <si>
    <t>ENSDARG00000033967</t>
  </si>
  <si>
    <t>trmt2b</t>
  </si>
  <si>
    <t>tRNA methyltransferase 2 homolog B [Source:ZFIN;Acc:ZDB-GENE-050809-101]</t>
  </si>
  <si>
    <t>ENSDARG00000088817</t>
  </si>
  <si>
    <t>wdr59</t>
  </si>
  <si>
    <t>WD repeat domain 59 [Source:ZFIN;Acc:ZDB-GENE-120215-187]</t>
  </si>
  <si>
    <t>ENSDARG00000078904</t>
  </si>
  <si>
    <t>brd4</t>
  </si>
  <si>
    <t>bromodomain containing 4 [Source:ZFIN;Acc:ZDB-GENE-030131-267]</t>
  </si>
  <si>
    <t>ENSDARG00000022309</t>
  </si>
  <si>
    <t>dspa</t>
  </si>
  <si>
    <t>desmoplakin a [Source:ZFIN;Acc:ZDB-GENE-030131-2743]</t>
  </si>
  <si>
    <t>ENSDARG00000078474</t>
  </si>
  <si>
    <t>myo15ab</t>
  </si>
  <si>
    <t>myosin XVAb [Source:ZFIN;Acc:ZDB-GENE-090312-149]</t>
  </si>
  <si>
    <t>ENSDARG00000097689</t>
  </si>
  <si>
    <t>si:ch211-79k12.3</t>
  </si>
  <si>
    <t>si:ch211-79k12.3 [Source:ZFIN;Acc:ZDB-GENE-030131-3332]</t>
  </si>
  <si>
    <t>ENSDARG00000020015</t>
  </si>
  <si>
    <t>mrps33</t>
  </si>
  <si>
    <t>mitochondrial ribosomal protein S33 [Source:ZFIN;Acc:ZDB-GENE-040715-6]</t>
  </si>
  <si>
    <t>ENSDARG00000017422</t>
  </si>
  <si>
    <t>apmap</t>
  </si>
  <si>
    <t>adipocyte plasma membrane associated protein [Source:ZFIN;Acc:ZDB-GENE-020919-1]</t>
  </si>
  <si>
    <t>ENSDARG00000040291</t>
  </si>
  <si>
    <t>cadm4</t>
  </si>
  <si>
    <t>cell adhesion molecule 4 [Source:ZFIN;Acc:ZDB-GENE-041114-138]</t>
  </si>
  <si>
    <t>ENSDARG00000097215</t>
  </si>
  <si>
    <t>si:dkey-172k15.7</t>
  </si>
  <si>
    <t>si:dkey-172k15.7 [Source:ZFIN;Acc:ZDB-GENE-131127-550]</t>
  </si>
  <si>
    <t>ENSDARG00000069461</t>
  </si>
  <si>
    <t>rnaseka</t>
  </si>
  <si>
    <t>ribonuclease, RNase K a [Source:ZFIN;Acc:ZDB-GENE-060825-301]</t>
  </si>
  <si>
    <t>ENSDARG00000063003</t>
  </si>
  <si>
    <t>alkbh5</t>
  </si>
  <si>
    <t>alkB homolog 5, RNA demethylase [Source:ZFIN;Acc:ZDB-GENE-061013-602]</t>
  </si>
  <si>
    <t>ENSDARG00000102240</t>
  </si>
  <si>
    <t>si:ch1073-210e22.1</t>
  </si>
  <si>
    <t>si:ch1073-210e22.1 [Source:ZFIN;Acc:ZDB-GENE-131120-178]</t>
  </si>
  <si>
    <t>ENSDARG00000097099</t>
  </si>
  <si>
    <t>si:ch211-108d22.1</t>
  </si>
  <si>
    <t>si:ch211-108d22.1 [Source:ZFIN;Acc:ZDB-GENE-131126-61]</t>
  </si>
  <si>
    <t>ENSDARG00000045705</t>
  </si>
  <si>
    <t>meig1</t>
  </si>
  <si>
    <t>meiosis/spermiogenesis associated 1 [Source:ZFIN;Acc:ZDB-GENE-050320-33]</t>
  </si>
  <si>
    <t>ENSDARG00000055876</t>
  </si>
  <si>
    <t>msmo1</t>
  </si>
  <si>
    <t>methylsterol monooxygenase 1 [Source:ZFIN;Acc:ZDB-GENE-040426-2670]</t>
  </si>
  <si>
    <t>ENSDARG00000019230</t>
  </si>
  <si>
    <t>rpl7a</t>
  </si>
  <si>
    <t>ribosomal protein L7a [Source:ZFIN;Acc:ZDB-GENE-031001-9]</t>
  </si>
  <si>
    <t>ENSDARG00000033179</t>
  </si>
  <si>
    <t>tmem243b</t>
  </si>
  <si>
    <t>transmembrane protein 243, mitochondrial b [Source:ZFIN;Acc:ZDB-GENE-040426-2205]</t>
  </si>
  <si>
    <t>ENSDARG00000078890</t>
  </si>
  <si>
    <t>wdfy3</t>
  </si>
  <si>
    <t>WD repeat and FYVE domain containing 3 [Source:ZFIN;Acc:ZDB-GENE-070705-153]</t>
  </si>
  <si>
    <t>ENSDARG00000045909</t>
  </si>
  <si>
    <t>dynlt1</t>
  </si>
  <si>
    <t>dynein, light chain, Tctex-type 1 [Source:ZFIN;Acc:ZDB-GENE-041210-9]</t>
  </si>
  <si>
    <t>ENSDARG00000086256</t>
  </si>
  <si>
    <t>si:ch211-236p5.2</t>
  </si>
  <si>
    <t>si:ch211-236p5.2 [Source:ZFIN;Acc:ZDB-GENE-081028-33]</t>
  </si>
  <si>
    <t>ENSDARG00000021097</t>
  </si>
  <si>
    <t>nelfcd</t>
  </si>
  <si>
    <t>negative elongation factor complex member C/D [Source:ZFIN;Acc:ZDB-GENE-040426-720]</t>
  </si>
  <si>
    <t>ENSDARG00000092776</t>
  </si>
  <si>
    <t>si:ch73-209l12.1</t>
  </si>
  <si>
    <t>si:ch73-209l12.1 [Source:ZFIN;Acc:ZDB-GENE-091204-92]</t>
  </si>
  <si>
    <t>ENSDARG00000074726</t>
  </si>
  <si>
    <t>nrde2</t>
  </si>
  <si>
    <t>NRDE-2, necessary for RNA interference, domain containing [Source:ZFIN;Acc:ZDB-GENE-111117-3]</t>
  </si>
  <si>
    <t>ENSDARG00000035427</t>
  </si>
  <si>
    <t>surf6</t>
  </si>
  <si>
    <t>surfeit 6 [Source:ZFIN;Acc:ZDB-GENE-040426-1333]</t>
  </si>
  <si>
    <t>ENSDARG00000088078</t>
  </si>
  <si>
    <t>usp18</t>
  </si>
  <si>
    <t>ubiquitin specific peptidase 18 [Source:ZFIN;Acc:ZDB-GENE-100210-2]</t>
  </si>
  <si>
    <t>ENSDARG00000058943</t>
  </si>
  <si>
    <t>cdcp1a</t>
  </si>
  <si>
    <t>CUB domain containing protein 1a [Source:ZFIN;Acc:ZDB-GENE-050327-55]</t>
  </si>
  <si>
    <t>ENSDARG00000015161</t>
  </si>
  <si>
    <t>zgc:92664</t>
  </si>
  <si>
    <t>zgc:92664 [Source:ZFIN;Acc:ZDB-GENE-040718-119]</t>
  </si>
  <si>
    <t>ENSDARG00000014148</t>
  </si>
  <si>
    <t>med22</t>
  </si>
  <si>
    <t>mediator complex subunit 22 [Source:ZFIN;Acc:ZDB-GENE-040625-156]</t>
  </si>
  <si>
    <t>ENSDARG00000045704</t>
  </si>
  <si>
    <t>dclre1c</t>
  </si>
  <si>
    <t>DNA cross-link repair 1C, PSO2 homolog (S. cerevisiae) [Source:ZFIN;Acc:ZDB-GENE-041210-72]</t>
  </si>
  <si>
    <t>ENSDARG00000021811</t>
  </si>
  <si>
    <t>calm1a</t>
  </si>
  <si>
    <t>calmodulin 1a [Source:ZFIN;Acc:ZDB-GENE-030131-8308]</t>
  </si>
  <si>
    <t>ENSDARG00000003592</t>
  </si>
  <si>
    <t>surf1</t>
  </si>
  <si>
    <t>surfeit 1 [Source:ZFIN;Acc:ZDB-GENE-041108-2]</t>
  </si>
  <si>
    <t>ENSDARG00000043081</t>
  </si>
  <si>
    <t>ctsz</t>
  </si>
  <si>
    <t>cathepsin Z [Source:ZFIN;Acc:ZDB-GENE-041010-139]</t>
  </si>
  <si>
    <t>ENSDARG00000076981</t>
  </si>
  <si>
    <t>zgc:198329</t>
  </si>
  <si>
    <t>zgc:198329 [Source:ZFIN;Acc:ZDB-GENE-080226-6]</t>
  </si>
  <si>
    <t>ENSDARG00000058953</t>
  </si>
  <si>
    <t>abcc4</t>
  </si>
  <si>
    <t>ATP-binding cassette, sub-family C (CFTR/MRP), member 4 [Source:ZFIN;Acc:ZDB-GENE-030616-511]</t>
  </si>
  <si>
    <t>ENSDARG00000094000</t>
  </si>
  <si>
    <t>si:dkey-153k10.6</t>
  </si>
  <si>
    <t>si:dkey-153k10.6 [Source:ZFIN;Acc:ZDB-GENE-041210-76]</t>
  </si>
  <si>
    <t>ENSDARG00000021787</t>
  </si>
  <si>
    <t>abcb5</t>
  </si>
  <si>
    <t>ATP-binding cassette, sub-family B (MDR/TAP), member 5 [Source:ZFIN;Acc:ZDB-GENE-030131-6414]</t>
  </si>
  <si>
    <t>ENSDARG00000089262</t>
  </si>
  <si>
    <t>pbx3a</t>
  </si>
  <si>
    <t>pre-B-cell leukemia homeobox 3a [Source:ZFIN;Acc:ZDB-GENE-031218-1]</t>
  </si>
  <si>
    <t>ENSDARG00000033451</t>
  </si>
  <si>
    <t>fam173b</t>
  </si>
  <si>
    <t>family with sequence similarity 173, member B [Source:ZFIN;Acc:ZDB-GENE-041114-90]</t>
  </si>
  <si>
    <t>ENSDARG00000034670</t>
  </si>
  <si>
    <t>ube2e2</t>
  </si>
  <si>
    <t>ubiquitin-conjugating enzyme E2E 2 [Source:ZFIN;Acc:ZDB-GENE-040801-237]</t>
  </si>
  <si>
    <t>ENSDARG00000079011</t>
  </si>
  <si>
    <t>col17a1b</t>
  </si>
  <si>
    <t>collagen, type XVII, alpha 1b [Source:ZFIN;Acc:ZDB-GENE-030131-7145]</t>
  </si>
  <si>
    <t>ENSDARG00000074248</t>
  </si>
  <si>
    <t>tmem237b</t>
  </si>
  <si>
    <t>transmembrane protein 237b [Source:ZFIN;Acc:ZDB-GENE-040912-63]</t>
  </si>
  <si>
    <t>ENSDARG00000039363</t>
  </si>
  <si>
    <t>dnajb12a</t>
  </si>
  <si>
    <t>DnaJ (Hsp40) homolog, subfamily B, member 12a [Source:ZFIN;Acc:ZDB-GENE-030131-2725]</t>
  </si>
  <si>
    <t>ENSDARG00000010032</t>
  </si>
  <si>
    <t>cmtm7</t>
  </si>
  <si>
    <t>CKLF-like MARVEL transmembrane domain containing 7 [Source:ZFIN;Acc:ZDB-GENE-041111-174]</t>
  </si>
  <si>
    <t>ENSDARG00000013561</t>
  </si>
  <si>
    <t>pgm1</t>
  </si>
  <si>
    <t>phosphoglucomutase 1 [Source:ZFIN;Acc:ZDB-GENE-040426-1245]</t>
  </si>
  <si>
    <t>ENSDARG00000043770</t>
  </si>
  <si>
    <t>si:dkey-192d15.2</t>
  </si>
  <si>
    <t>si:dkey-192d15.2 [Source:ZFIN;Acc:ZDB-GENE-040724-74]</t>
  </si>
  <si>
    <t>ENSDARG00000018698</t>
  </si>
  <si>
    <t>carm1</t>
  </si>
  <si>
    <t>coactivator-associated arginine methyltransferase 1 [Source:ZFIN;Acc:ZDB-GENE-040724-77]</t>
  </si>
  <si>
    <t>ENSDARG00000104888</t>
  </si>
  <si>
    <t>si:dkey-28i19.1</t>
  </si>
  <si>
    <t>si:dkey-28i19.1 [Source:ZFIN;Acc:ZDB-GENE-110914-21]</t>
  </si>
  <si>
    <t>ENSDARG00000006747</t>
  </si>
  <si>
    <t>tmem178b</t>
  </si>
  <si>
    <t>transmembrane protein 178B [Source:ZFIN;Acc:ZDB-GENE-040718-92]</t>
  </si>
  <si>
    <t>ENSDARG00000088711</t>
  </si>
  <si>
    <t>lgals1l1</t>
  </si>
  <si>
    <t>lectin, galactoside-binding, soluble, 1 (galectin 1)-like 1 [Source:ZFIN;Acc:ZDB-GENE-030131-4905]</t>
  </si>
  <si>
    <t>ENSDARG00000016875</t>
  </si>
  <si>
    <t>gys1</t>
  </si>
  <si>
    <t>glycogen synthase 1 (muscle) [Source:ZFIN;Acc:ZDB-GENE-040426-1243]</t>
  </si>
  <si>
    <t>ENSDARG00000058818</t>
  </si>
  <si>
    <t>rbm38</t>
  </si>
  <si>
    <t>RNA binding motif protein 38 [Source:ZFIN;Acc:ZDB-GENE-030131-5923]</t>
  </si>
  <si>
    <t>ENSDARG00000034616</t>
  </si>
  <si>
    <t>mlf2</t>
  </si>
  <si>
    <t>myeloid leukemia factor 2 [Source:ZFIN;Acc:ZDB-GENE-050913-67]</t>
  </si>
  <si>
    <t>ENSDARG00000054942</t>
  </si>
  <si>
    <t>lgals2a</t>
  </si>
  <si>
    <t>lectin, galactoside-binding, soluble, 2a [Source:ZFIN;Acc:ZDB-GENE-050318-2]</t>
  </si>
  <si>
    <t>ENSDARG00000015538</t>
  </si>
  <si>
    <t>znf207a</t>
  </si>
  <si>
    <t>zinc finger protein 207, a [Source:ZFIN;Acc:ZDB-GENE-040426-2273]</t>
  </si>
  <si>
    <t>ENSDARG00000097127</t>
  </si>
  <si>
    <t>si:dkey-172k15.3</t>
  </si>
  <si>
    <t>si:dkey-172k15.3 [Source:ZFIN;Acc:ZDB-GENE-131121-97]</t>
  </si>
  <si>
    <t>ENSDARG00000025073</t>
  </si>
  <si>
    <t>rpl18a</t>
  </si>
  <si>
    <t>ribosomal protein L18a [Source:ZFIN;Acc:ZDB-GENE-040426-1071]</t>
  </si>
  <si>
    <t>ENSDARG00000031836</t>
  </si>
  <si>
    <t>vps37c</t>
  </si>
  <si>
    <t>vacuolar protein sorting 37 homolog C (S. cerevisiae) [Source:ZFIN;Acc:ZDB-GENE-061110-126]</t>
  </si>
  <si>
    <t>ENSDARG00000021399</t>
  </si>
  <si>
    <t>yipf2</t>
  </si>
  <si>
    <t>Yip1 domain family, member 2 [Source:ZFIN;Acc:ZDB-GENE-040724-124]</t>
  </si>
  <si>
    <t>ENSDARG00000098224</t>
  </si>
  <si>
    <t>tmem56b</t>
  </si>
  <si>
    <t>transmembrane protein 56b [Source:ZFIN;Acc:ZDB-GENE-041010-90]</t>
  </si>
  <si>
    <t>ENSDARG00000002128</t>
  </si>
  <si>
    <t>cwf19l1</t>
  </si>
  <si>
    <t>CWF19-like 1, cell cycle control [Source:ZFIN;Acc:ZDB-GENE-031204-5]</t>
  </si>
  <si>
    <t>ENSDARG00000079353</t>
  </si>
  <si>
    <t>si:ch211-165d12.4</t>
  </si>
  <si>
    <t>si:ch211-165d12.4 [Source:ZFIN;Acc:ZDB-GENE-080303-7]</t>
  </si>
  <si>
    <t>ENSDARG00000031796</t>
  </si>
  <si>
    <t>ache</t>
  </si>
  <si>
    <t>acetylcholinesterase [Source:ZFIN;Acc:ZDB-GENE-010906-1]</t>
  </si>
  <si>
    <t>ENSDARG00000018461</t>
  </si>
  <si>
    <t>FTL</t>
  </si>
  <si>
    <t>zgc:56095 [Source:ZFIN;Acc:ZDB-GENE-040426-1948]</t>
  </si>
  <si>
    <t>ENSDARG00000010445</t>
  </si>
  <si>
    <t>trabd</t>
  </si>
  <si>
    <t>TraB domain containing [Source:ZFIN;Acc:ZDB-GENE-030131-1301]</t>
  </si>
  <si>
    <t>ENSDARG00000052826</t>
  </si>
  <si>
    <t>runx3</t>
  </si>
  <si>
    <t>runt-related transcription factor 3 [Source:ZFIN;Acc:ZDB-GENE-000605-2]</t>
  </si>
  <si>
    <t>ENSDARG00000075129</t>
  </si>
  <si>
    <t>mrps11</t>
  </si>
  <si>
    <t>mitochondrial ribosomal protein S11 [Source:ZFIN;Acc:ZDB-GENE-040724-84]</t>
  </si>
  <si>
    <t>ENSDARG00000094210</t>
  </si>
  <si>
    <t>zgc:109934</t>
  </si>
  <si>
    <t>zgc:109934 [Source:ZFIN;Acc:ZDB-GENE-050522-428]</t>
  </si>
  <si>
    <t>ENSDARG00000057633</t>
  </si>
  <si>
    <t>cxcr4a</t>
  </si>
  <si>
    <t>chemokine (C-X-C motif) receptor 4a [Source:ZFIN;Acc:ZDB-GENE-020102-1]</t>
  </si>
  <si>
    <t>ENSDARG00000020679</t>
  </si>
  <si>
    <t>clpp</t>
  </si>
  <si>
    <t>caseinolytic mitochondrial matrix peptidase proteolytic subunit [Source:ZFIN;Acc:ZDB-GENE-030131-7860]</t>
  </si>
  <si>
    <t>ENSDARG00000031343</t>
  </si>
  <si>
    <t>rab6bb</t>
  </si>
  <si>
    <t>RAB6B, member RAS oncogene family b [Source:ZFIN;Acc:ZDB-GENE-050320-28]</t>
  </si>
  <si>
    <t>ENSDARG00000094695</t>
  </si>
  <si>
    <t>si:dkey-204f11.64</t>
  </si>
  <si>
    <t>si:dkey-204f11.64 [Source:ZFIN;Acc:ZDB-GENE-030131-8332]</t>
  </si>
  <si>
    <t>ENSDARG00000097937</t>
  </si>
  <si>
    <t>si:dkey-172k15.5</t>
  </si>
  <si>
    <t>si:dkey-172k15.5 [Source:ZFIN;Acc:ZDB-GENE-131127-219]</t>
  </si>
  <si>
    <t>ENSDARG00000020235</t>
  </si>
  <si>
    <t>sept9a</t>
  </si>
  <si>
    <t>septin 9a [Source:ZFIN;Acc:ZDB-GENE-030131-9187]</t>
  </si>
  <si>
    <t>ENSDARG00000086418</t>
  </si>
  <si>
    <t>si:ch211-236p5.3</t>
  </si>
  <si>
    <t>si:ch211-236p5.3 [Source:ZFIN;Acc:ZDB-GENE-081028-31]</t>
  </si>
  <si>
    <t>ENSDARG00000054537</t>
  </si>
  <si>
    <t>nhsl1a</t>
  </si>
  <si>
    <t>NHS-like 1a [Source:ZFIN;Acc:ZDB-GENE-050411-25]</t>
  </si>
  <si>
    <t>ENSDARG00000067992</t>
  </si>
  <si>
    <t>si:dkey-31e10.5</t>
  </si>
  <si>
    <t>si:dkey-31e10.5 [Source:ZFIN;Acc:ZDB-GENE-121214-76]</t>
  </si>
  <si>
    <t>ENSDARG00000058693</t>
  </si>
  <si>
    <t>cast</t>
  </si>
  <si>
    <t>calpastatin [Source:ZFIN;Acc:ZDB-GENE-050810-2]</t>
  </si>
  <si>
    <t>ENSDARG00000098017</t>
  </si>
  <si>
    <t>pet100</t>
  </si>
  <si>
    <t>PET100 homolog [Source:ZFIN;Acc:ZDB-GENE-131121-608]</t>
  </si>
  <si>
    <t>ENSDARG00000003035</t>
  </si>
  <si>
    <t>hspa9</t>
  </si>
  <si>
    <t>heat shock protein 9 [Source:ZFIN;Acc:ZDB-GENE-030828-12]</t>
  </si>
  <si>
    <t>ENSDARG00000056206</t>
  </si>
  <si>
    <t>camk2g2</t>
  </si>
  <si>
    <t>calcium/calmodulin-dependent protein kinase (CaM kinase) II gamma 2 [Source:ZFIN;Acc:ZDB-GENE-070323-2]</t>
  </si>
  <si>
    <t>ENSDARG00000003820</t>
  </si>
  <si>
    <t>nr1d2a</t>
  </si>
  <si>
    <t>nuclear receptor subfamily 1, group D, member 2a [Source:ZFIN;Acc:ZDB-GENE-040504-1]</t>
  </si>
  <si>
    <t>ENSDARG00000103545</t>
  </si>
  <si>
    <t>tctex1d1</t>
  </si>
  <si>
    <t>Tctex1 domain containing 1 [Source:ZFIN;Acc:ZDB-GENE-040912-49]</t>
  </si>
  <si>
    <t>ENSDARG00000030598</t>
  </si>
  <si>
    <t>nampta</t>
  </si>
  <si>
    <t>nicotinamide phosphoribosyltransferase a [Source:ZFIN;Acc:ZDB-GENE-110420-1]</t>
  </si>
  <si>
    <t>ENSDARG00000055889</t>
  </si>
  <si>
    <t>zgc:153215</t>
  </si>
  <si>
    <t>zgc:153215 [Source:ZFIN;Acc:ZDB-GENE-061103-58]</t>
  </si>
  <si>
    <t>ENSDARG00000061951</t>
  </si>
  <si>
    <t>golgb1</t>
  </si>
  <si>
    <t>golgin B1 [Source:ZFIN;Acc:ZDB-GENE-030429-9]</t>
  </si>
  <si>
    <t>ENSDARG00000059370</t>
  </si>
  <si>
    <t>nr1d4b</t>
  </si>
  <si>
    <t>nuclear receptor subfamily 1, group D, member 4b [Source:ZFIN;Acc:ZDB-GENE-080403-6]</t>
  </si>
  <si>
    <t>ENSDARG00000076752</t>
  </si>
  <si>
    <t>tmem67</t>
  </si>
  <si>
    <t>transmembrane protein 67 [Source:ZFIN;Acc:ZDB-GENE-080716-1]</t>
  </si>
  <si>
    <t>ENSDARG00000102372</t>
  </si>
  <si>
    <t>col4a3bpb</t>
  </si>
  <si>
    <t>collagen, type IV, alpha 3 (Goodpasture antigen) binding protein b [Source:ZFIN;Acc:ZDB-GENE-110125-5]</t>
  </si>
  <si>
    <t>ENSDARG00000013839</t>
  </si>
  <si>
    <t>aldh3b1</t>
  </si>
  <si>
    <t>aldehyde dehydrogenase 3 family, member B1 [Source:ZFIN;Acc:ZDB-GENE-021120-3]</t>
  </si>
  <si>
    <t>ENSDARG00000004392</t>
  </si>
  <si>
    <t>hdr</t>
  </si>
  <si>
    <t>hematopoietic death receptor [Source:ZFIN;Acc:ZDB-GENE-030826-5]</t>
  </si>
  <si>
    <t>ENSDARG00000037909</t>
  </si>
  <si>
    <t>zgc:110046</t>
  </si>
  <si>
    <t>zgc:110046 [Source:ZFIN;Acc:ZDB-GENE-050522-380]</t>
  </si>
  <si>
    <t>ENSDARG00000008142</t>
  </si>
  <si>
    <t>stxbp3</t>
  </si>
  <si>
    <t>syntaxin binding protein 3 [Source:ZFIN;Acc:ZDB-GENE-040426-2833]</t>
  </si>
  <si>
    <t>ENSDARG00000099560</t>
  </si>
  <si>
    <t>lyrm5a</t>
  </si>
  <si>
    <t>LYR motif containing 5a [Source:ZFIN;Acc:ZDB-GENE-050522-203]</t>
  </si>
  <si>
    <t>ENSDARG00000076847</t>
  </si>
  <si>
    <t>tnrc6c1</t>
  </si>
  <si>
    <t>trinucleotide repeat containing 6C1 [Source:ZFIN;Acc:ZDB-GENE-030131-7440]</t>
  </si>
  <si>
    <t>ENSDARG00000034222</t>
  </si>
  <si>
    <t>hs1bp3</t>
  </si>
  <si>
    <t>HCLS1 binding protein 3 [Source:ZFIN;Acc:ZDB-GENE-131121-391]</t>
  </si>
  <si>
    <t>ENSDARG00000062711</t>
  </si>
  <si>
    <t>gal3st1a</t>
  </si>
  <si>
    <t>galactose-3-O-sulfotransferase 1a [Source:ZFIN;Acc:ZDB-GENE-060526-375]</t>
  </si>
  <si>
    <t>ENSDARG00000075826</t>
  </si>
  <si>
    <t>msh4</t>
  </si>
  <si>
    <t>mutS homolog 4 [Source:ZFIN;Acc:ZDB-GENE-131121-643]</t>
  </si>
  <si>
    <t>ENSDARG00000105434</t>
  </si>
  <si>
    <t>GRXCR1</t>
  </si>
  <si>
    <t>si:dkey-109l4.6 [Source:ZFIN;Acc:ZDB-GENE-160113-42]</t>
  </si>
  <si>
    <t>ENSDARG00000031720</t>
  </si>
  <si>
    <t>clstn1</t>
  </si>
  <si>
    <t>calsyntenin 1 [Source:ZFIN;Acc:ZDB-GENE-040426-1064]</t>
  </si>
  <si>
    <t>ENSDARG00000094514</t>
  </si>
  <si>
    <t>si:dkey-7l6.3</t>
  </si>
  <si>
    <t>si:dkey-7l6.3 [Source:ZFIN;Acc:ZDB-GENE-070912-586]</t>
  </si>
  <si>
    <t>ENSDARG00000053959</t>
  </si>
  <si>
    <t>cdc42ep2</t>
  </si>
  <si>
    <t>CDC42 effector protein (Rho GTPase binding) 2 [Source:ZFIN;Acc:ZDB-GENE-050320-104]</t>
  </si>
  <si>
    <t>ENSDARG00000104773</t>
  </si>
  <si>
    <t>junbb</t>
  </si>
  <si>
    <t>jun B proto-oncogene b [Source:ZFIN;Acc:ZDB-GENE-040426-2666]</t>
  </si>
  <si>
    <t>ENSDARG00000017772</t>
  </si>
  <si>
    <t>mdh1aa</t>
  </si>
  <si>
    <t>malate dehydrogenase 1Aa, NAD (soluble) [Source:ZFIN;Acc:ZDB-GENE-040204-1]</t>
  </si>
  <si>
    <t>ENSDARG00000041237</t>
  </si>
  <si>
    <t>med18</t>
  </si>
  <si>
    <t>mediator of RNA polymerase II transcription, subunit 18 homolog (yeast) [Source:ZFIN;Acc:ZDB-GENE-040426-1276]</t>
  </si>
  <si>
    <t>ENSDARG00000074933</t>
  </si>
  <si>
    <t>polg2</t>
  </si>
  <si>
    <t>polymerase (DNA directed), gamma 2, accessory subunit [Source:ZFIN;Acc:ZDB-GENE-060810-116]</t>
  </si>
  <si>
    <t>ENSDARG00000008784</t>
  </si>
  <si>
    <t>prpf4ba</t>
  </si>
  <si>
    <t>pre-mRNA processing factor 4Ba [Source:ZFIN;Acc:ZDB-GENE-040426-947]</t>
  </si>
  <si>
    <t>ENSDARG00000068175</t>
  </si>
  <si>
    <t>ing5b</t>
  </si>
  <si>
    <t>inhibitor of growth family, member 5b [Source:ZFIN;Acc:ZDB-GENE-030616-462]</t>
  </si>
  <si>
    <t>ENSDARG00000012823</t>
  </si>
  <si>
    <t>dlgap4b</t>
  </si>
  <si>
    <t>discs, large (Drosophila) homolog-associated protein 4b [Source:ZFIN;Acc:ZDB-GENE-101215-2]</t>
  </si>
  <si>
    <t>ENSDARG00000092542</t>
  </si>
  <si>
    <t>si:dkey-40h17.5</t>
  </si>
  <si>
    <t>si:dkey-40h17.5 [Source:ZFIN;Acc:ZDB-GENE-090312-6]</t>
  </si>
  <si>
    <t>ENSDARG00000031664</t>
  </si>
  <si>
    <t>sox21a</t>
  </si>
  <si>
    <t>SRY (sex determining region Y)-box 21a [Source:ZFIN;Acc:ZDB-GENE-990715-6]</t>
  </si>
  <si>
    <t>ENSDARG00000096684</t>
  </si>
  <si>
    <t>si:dkeyp-122d12.1</t>
  </si>
  <si>
    <t>si:dkeyp-122d12.1 [Source:ZFIN;Acc:ZDB-GENE-131126-80]</t>
  </si>
  <si>
    <t>ENSDARG00000031108</t>
  </si>
  <si>
    <t>lrba</t>
  </si>
  <si>
    <t>LPS-responsive vesicle trafficking, beach and anchor containing [Source:ZFIN;Acc:ZDB-GENE-090311-19]</t>
  </si>
  <si>
    <t>ENSDARG00000004782</t>
  </si>
  <si>
    <t>fgfr3</t>
  </si>
  <si>
    <t>fibroblast growth factor receptor 3 [Source:ZFIN;Acc:ZDB-GENE-000816-1]</t>
  </si>
  <si>
    <t>ENSDARG00000075972</t>
  </si>
  <si>
    <t>csrnp2</t>
  </si>
  <si>
    <t>cysteine-serine-rich nuclear protein 2 [Source:ZFIN;Acc:ZDB-GENE-090312-137]</t>
  </si>
  <si>
    <t>ENSDARG00000100015</t>
  </si>
  <si>
    <t>si:ch211-248k15.2</t>
  </si>
  <si>
    <t>si:ch211-248k15.2 [Source:ZFIN;Acc:ZDB-GENE-070705-142]</t>
  </si>
  <si>
    <t>ENSDARG00000093687</t>
  </si>
  <si>
    <t>si:dkey-193c22.1</t>
  </si>
  <si>
    <t>si:dkey-193c22.1 [Source:ZFIN;Acc:ZDB-GENE-030131-7957]</t>
  </si>
  <si>
    <t>ENSDARG00000095840</t>
  </si>
  <si>
    <t>si:ch211-163f10.4</t>
  </si>
  <si>
    <t>si:ch211-163f10.4 [Source:ZFIN;Acc:ZDB-GENE-061207-10]</t>
  </si>
  <si>
    <t>ENSDARG00000006566</t>
  </si>
  <si>
    <t>nlk1</t>
  </si>
  <si>
    <t>nemo-like kinase, type 1 [Source:ZFIN;Acc:ZDB-GENE-040701-1]</t>
  </si>
  <si>
    <t>ENSDARG00000022303</t>
  </si>
  <si>
    <t>higd1a</t>
  </si>
  <si>
    <t>HIG1 hypoxia inducible domain family, member 1A [Source:ZFIN;Acc:ZDB-GENE-030826-15]</t>
  </si>
  <si>
    <t>ENSDARG00000058203</t>
  </si>
  <si>
    <t>smc1al</t>
  </si>
  <si>
    <t>structural maintenance of chromosomes 1A, like [Source:ZFIN;Acc:ZDB-GENE-040426-57]</t>
  </si>
  <si>
    <t>ENSDARG00000036235</t>
  </si>
  <si>
    <t>zbtb3</t>
  </si>
  <si>
    <t>zinc finger and BTB domain containing 3 [Source:ZFIN;Acc:ZDB-GENE-050506-105]</t>
  </si>
  <si>
    <t>ENSDARG00000063187</t>
  </si>
  <si>
    <t>agpat5</t>
  </si>
  <si>
    <t>1-acylglycerol-3-phosphate O-acyltransferase 5 (lysophosphatidic acid acyltransferase, epsilon) [Source:ZFIN;Acc:ZDB-GENE-060929-914]</t>
  </si>
  <si>
    <t>ENSDARG00000076054</t>
  </si>
  <si>
    <t>znf1140</t>
  </si>
  <si>
    <t>zinc finger protein 1140 [Source:ZFIN;Acc:ZDB-GENE-080218-12]</t>
  </si>
  <si>
    <t>ENSDARG00000090854</t>
  </si>
  <si>
    <t>lsm11</t>
  </si>
  <si>
    <t>LSM11, U7 small nuclear RNA associated [Source:ZFIN;Acc:ZDB-GENE-050309-124]</t>
  </si>
  <si>
    <t>ENSDARG00000037097</t>
  </si>
  <si>
    <t>slc7a2</t>
  </si>
  <si>
    <t>solute carrier family 7 (cationic amino acid transporter, y+ system), member 2 [Source:ZFIN;Acc:ZDB-GENE-041212-5]</t>
  </si>
  <si>
    <t>ENSDARG00000060246</t>
  </si>
  <si>
    <t>slc16a6b</t>
  </si>
  <si>
    <t>solute carrier family 16, member 6b [Source:ZFIN;Acc:ZDB-GENE-110208-3]</t>
  </si>
  <si>
    <t>ENSDARG00000001777</t>
  </si>
  <si>
    <t>nup155</t>
  </si>
  <si>
    <t>nucleoporin 155 [Source:ZFIN;Acc:ZDB-GENE-040426-711]</t>
  </si>
  <si>
    <t>ENSDARG00000078179</t>
  </si>
  <si>
    <t>fndc3ba</t>
  </si>
  <si>
    <t>fibronectin type III domain containing 3Ba [Source:ZFIN;Acc:ZDB-GENE-070510-1]</t>
  </si>
  <si>
    <t>ENSDARG00000091777</t>
  </si>
  <si>
    <t>mapkap1</t>
  </si>
  <si>
    <t>mitogen-activated protein kinase associated protein 1 [Source:ZFIN;Acc:ZDB-GENE-041111-178]</t>
  </si>
  <si>
    <t>ENSDARG00000056803</t>
  </si>
  <si>
    <t>ap1s1</t>
  </si>
  <si>
    <t>adaptor-related protein complex 1, sigma 1 subunit [Source:ZFIN;Acc:ZDB-GENE-040426-1119]</t>
  </si>
  <si>
    <t>ENSDARG00000095432</t>
  </si>
  <si>
    <t>si:rp71-26b20.1</t>
  </si>
  <si>
    <t>si:rp71-26b20.1 [Source:ZFIN;Acc:ZDB-GENE-091116-47]</t>
  </si>
  <si>
    <t>ENSDARG00000053496</t>
  </si>
  <si>
    <t>gemin8</t>
  </si>
  <si>
    <t>gem (nuclear organelle) associated protein 8 [Source:ZFIN;Acc:ZDB-GENE-041114-189]</t>
  </si>
  <si>
    <t>ENSDARG00000104223</t>
  </si>
  <si>
    <t>lmbrd1</t>
  </si>
  <si>
    <t>LMBR1 domain containing 1 [Source:ZFIN;Acc:ZDB-GENE-041212-36]</t>
  </si>
  <si>
    <t>ENSDARG00000000324</t>
  </si>
  <si>
    <t>dcaf8</t>
  </si>
  <si>
    <t>DDB1 and CUL4 associated factor 8 [Source:ZFIN;Acc:ZDB-GENE-070912-578]</t>
  </si>
  <si>
    <t>ENSDARG00000016307</t>
  </si>
  <si>
    <t>mrpl46</t>
  </si>
  <si>
    <t>mitochondrial ribosomal protein L46 [Source:ZFIN;Acc:ZDB-GENE-040718-224]</t>
  </si>
  <si>
    <t>ENSDARG00000104982</t>
  </si>
  <si>
    <t>si:ch211-248k15.5</t>
  </si>
  <si>
    <t>si:ch211-248k15.5 [Source:ZFIN;Acc:ZDB-GENE-141216-105]</t>
  </si>
  <si>
    <t>ENSDARG00000037091</t>
  </si>
  <si>
    <t>asah1a</t>
  </si>
  <si>
    <t>N-acylsphingosine amidohydrolase (acid ceramidase) 1a [Source:ZFIN;Acc:ZDB-GENE-041010-191]</t>
  </si>
  <si>
    <t>ENSDARG00000037924</t>
  </si>
  <si>
    <t>gna13b</t>
  </si>
  <si>
    <t>guanine nucleotide binding protein (G protein), alpha 13b [Source:ZFIN;Acc:ZDB-GENE-030131-8277]</t>
  </si>
  <si>
    <t>ENSDARG00000099658</t>
  </si>
  <si>
    <t>si:ch211-248k15.3</t>
  </si>
  <si>
    <t>si:ch211-248k15.3 [Source:ZFIN;Acc:ZDB-GENE-070705-143]</t>
  </si>
  <si>
    <t>ENSDARG00000056381</t>
  </si>
  <si>
    <t>cfap97</t>
  </si>
  <si>
    <t>cilia and flagella associated protein 97 [Source:ZFIN;Acc:ZDB-GENE-030131-9405]</t>
  </si>
  <si>
    <t>ENSDARG00000036569</t>
  </si>
  <si>
    <t>bach2a</t>
  </si>
  <si>
    <t>BTB and CNC homology 1, basic leucine zipper transcription factor 2a [Source:ZFIN;Acc:ZDB-GENE-120525-2]</t>
  </si>
  <si>
    <t>ENSDARG00000003693</t>
  </si>
  <si>
    <t>hars</t>
  </si>
  <si>
    <t>histidyl-tRNA synthetase [Source:ZFIN;Acc:ZDB-GENE-040912-152]</t>
  </si>
  <si>
    <t>ENSDARG00000070131</t>
  </si>
  <si>
    <t>rpp25l</t>
  </si>
  <si>
    <t>ribonuclease P/MRP 25 subunit-like [Source:ZFIN;Acc:ZDB-GENE-040718-275]</t>
  </si>
  <si>
    <t>ENSDARG00000030972</t>
  </si>
  <si>
    <t>dnaja1</t>
  </si>
  <si>
    <t>DnaJ (Hsp40) homolog, subfamily A, member 1 [Source:ZFIN;Acc:ZDB-GENE-030131-2642]</t>
  </si>
  <si>
    <t>ENSDARG00000007639</t>
  </si>
  <si>
    <t>cnot4b</t>
  </si>
  <si>
    <t>CCR4-NOT transcription complex, subunit 4b [Source:ZFIN;Acc:ZDB-GENE-040426-1164]</t>
  </si>
  <si>
    <t>ENSDARG00000100223</t>
  </si>
  <si>
    <t>GPA33</t>
  </si>
  <si>
    <t>si:zfos-1011f11.1 [Source:ZFIN;Acc:ZDB-GENE-080229-4]</t>
  </si>
  <si>
    <t>ENSDARG00000088082</t>
  </si>
  <si>
    <t>si:ch211-214c20.1</t>
  </si>
  <si>
    <t>si:ch211-214c20.1 [Source:ZFIN;Acc:ZDB-GENE-081103-49]</t>
  </si>
  <si>
    <t>ENSDARG00000071562</t>
  </si>
  <si>
    <t>mtus1a</t>
  </si>
  <si>
    <t>microtubule associated tumor suppressor 1a [Source:ZFIN;Acc:ZDB-GENE-061103-409]</t>
  </si>
  <si>
    <t>ENSDARG00000006040</t>
  </si>
  <si>
    <t>cyp20a1</t>
  </si>
  <si>
    <t>cytochrome P450, family 20, subfamily A, polypeptide 1 [Source:ZFIN;Acc:ZDB-GENE-040426-2646]</t>
  </si>
  <si>
    <t>ENSDARG00000045567</t>
  </si>
  <si>
    <t>phpt1</t>
  </si>
  <si>
    <t>phosphohistidine phosphatase 1 [Source:ZFIN;Acc:ZDB-GENE-040801-85]</t>
  </si>
  <si>
    <t>ENSDARG00000035958</t>
  </si>
  <si>
    <t>tnni2b.1</t>
  </si>
  <si>
    <t>troponin I type 2b (skeletal, fast), tandem duplicate 1 [Source:ZFIN;Acc:ZDB-GENE-050417-49]</t>
  </si>
  <si>
    <t>ENSDARG00000091381</t>
  </si>
  <si>
    <t>si:dkey-191j3.2</t>
  </si>
  <si>
    <t>si:dkey-191j3.2 [Source:ZFIN;Acc:ZDB-GENE-081103-55]</t>
  </si>
  <si>
    <t>ENSDARG00000045565</t>
  </si>
  <si>
    <t>noc4l</t>
  </si>
  <si>
    <t>nucleolar complex associated 4 homolog [Source:ZFIN;Acc:ZDB-GENE-050522-98]</t>
  </si>
  <si>
    <t>ENSDARG00000093489</t>
  </si>
  <si>
    <t>znf1119</t>
  </si>
  <si>
    <t>zinc finger protein 1119 [Source:ZFIN;Acc:ZDB-GENE-110914-42]</t>
  </si>
  <si>
    <t>ENSDARG00000055989</t>
  </si>
  <si>
    <t>tmem161b</t>
  </si>
  <si>
    <t>transmembrane protein 161B [Source:ZFIN;Acc:ZDB-GENE-040426-2693]</t>
  </si>
  <si>
    <t>ENSDARG00000074393</t>
  </si>
  <si>
    <t>sh3yl1</t>
  </si>
  <si>
    <t>SH3 and SYLF domain containing 1 [Source:ZFIN;Acc:ZDB-GENE-040128-16]</t>
  </si>
  <si>
    <t>ENSDARG00000088616</t>
  </si>
  <si>
    <t>si:ch211-197e7.3</t>
  </si>
  <si>
    <t>si:ch211-197e7.3 [Source:ZFIN;Acc:ZDB-GENE-131122-50]</t>
  </si>
  <si>
    <t>ENSDARG00000090532</t>
  </si>
  <si>
    <t>znf974</t>
  </si>
  <si>
    <t>zinc finger protein 974 [Source:ZFIN;Acc:ZDB-GENE-131119-54]</t>
  </si>
  <si>
    <t>ENSDARG00000103628</t>
  </si>
  <si>
    <t>si:ch1073-80i24.1</t>
  </si>
  <si>
    <t>si:ch1073-80i24.1 [Source:ZFIN;Acc:ZDB-GENE-131121-169]</t>
  </si>
  <si>
    <t>ENSDARG00000079175</t>
  </si>
  <si>
    <t>si:ch211-79k12.1</t>
  </si>
  <si>
    <t>si:ch211-79k12.1 [Source:ZFIN;Acc:ZDB-GENE-080303-9]</t>
  </si>
  <si>
    <t>ENSDARG00000091222</t>
  </si>
  <si>
    <t>SLC22A14</t>
  </si>
  <si>
    <t>si:dkey-190l8.2 [Source:ZFIN;Acc:ZDB-GENE-030131-9103]</t>
  </si>
  <si>
    <t>ENSDARG00000075393</t>
  </si>
  <si>
    <t>spock2</t>
  </si>
  <si>
    <t>sparc/osteonectin, cwcv and kazal-like domains proteoglycan (testican) 2 [Source:ZFIN;Acc:ZDB-GENE-090312-170]</t>
  </si>
  <si>
    <t>ENSDARG00000068177</t>
  </si>
  <si>
    <t>pak2a</t>
  </si>
  <si>
    <t>p21 protein (Cdc42/Rac)-activated kinase 2a [Source:ZFIN;Acc:ZDB-GENE-021011-2]</t>
  </si>
  <si>
    <t>ENSDARG00000099453</t>
  </si>
  <si>
    <t>elof1</t>
  </si>
  <si>
    <t>ELF1 homolog, elongation factor 1 [Source:ZFIN;Acc:ZDB-GENE-040426-1385]</t>
  </si>
  <si>
    <t>ENSDARG00000025581</t>
  </si>
  <si>
    <t>rpl10</t>
  </si>
  <si>
    <t>ribosomal protein L10 [Source:ZFIN;Acc:ZDB-GENE-030131-8656]</t>
  </si>
  <si>
    <t>ENSDARG00000067950</t>
  </si>
  <si>
    <t>zcchc2</t>
  </si>
  <si>
    <t>zinc finger, CCHC domain containing 2 [Source:ZFIN;Acc:ZDB-GENE-070912-269]</t>
  </si>
  <si>
    <t>ENSDARG00000094202</t>
  </si>
  <si>
    <t>si:dkeyp-72g6.2</t>
  </si>
  <si>
    <t>si:dkeyp-72g6.2 [Source:ZFIN;Acc:ZDB-GENE-090312-41]</t>
  </si>
  <si>
    <t>ENSDARG00000009208</t>
  </si>
  <si>
    <t>prkcda</t>
  </si>
  <si>
    <t>protein kinase C, delta a [Source:ZFIN;Acc:ZDB-GENE-030131-6503]</t>
  </si>
  <si>
    <t>ENSDARG00000037679</t>
  </si>
  <si>
    <t>MPC2</t>
  </si>
  <si>
    <t>zgc:103678 [Source:ZFIN;Acc:ZDB-GENE-040912-107]</t>
  </si>
  <si>
    <t>ENSDARG00000011841</t>
  </si>
  <si>
    <t>atp5l</t>
  </si>
  <si>
    <t>ATP synthase, H+ transporting, mitochondrial F0 complex, subunit g [Source:ZFIN;Acc:ZDB-GENE-030131-5177]</t>
  </si>
  <si>
    <t>ENSDARG00000014053</t>
  </si>
  <si>
    <t>olfm1b</t>
  </si>
  <si>
    <t>olfactomedin 1b [Source:ZFIN;Acc:ZDB-GENE-040801-228]</t>
  </si>
  <si>
    <t>ENSDARG00000070231</t>
  </si>
  <si>
    <t>polh</t>
  </si>
  <si>
    <t>polymerase (DNA directed), eta [Source:ZFIN;Acc:ZDB-GENE-060421-4949]</t>
  </si>
  <si>
    <t>ENSDARG00000099235</t>
  </si>
  <si>
    <t>hook2</t>
  </si>
  <si>
    <t>hook microtubule-tethering protein 2 [Source:ZFIN;Acc:ZDB-GENE-040426-1636]</t>
  </si>
  <si>
    <t>ENSDARG00000020822</t>
  </si>
  <si>
    <t>ift22</t>
  </si>
  <si>
    <t>intraflagellar transport 22 homolog (Chlamydomonas) [Source:ZFIN;Acc:ZDB-GENE-050417-439]</t>
  </si>
  <si>
    <t>ENSDARG00000103624</t>
  </si>
  <si>
    <t>si:ch73-226i7.5</t>
  </si>
  <si>
    <t>si:ch73-226i7.5 [Source:ZFIN;Acc:ZDB-GENE-141222-72]</t>
  </si>
  <si>
    <t>ENSDARG00000016858</t>
  </si>
  <si>
    <t>smad7</t>
  </si>
  <si>
    <t>SMAD family member 7 [Source:ZFIN;Acc:ZDB-GENE-030128-3]</t>
  </si>
  <si>
    <t>ENSDARG00000005464</t>
  </si>
  <si>
    <t>dnase1l3</t>
  </si>
  <si>
    <t>deoxyribonuclease I-like 3 [Source:ZFIN;Acc:ZDB-GENE-040426-2170]</t>
  </si>
  <si>
    <t>ENSDARG00000030608</t>
  </si>
  <si>
    <t>rhogd</t>
  </si>
  <si>
    <t>ras homolog gene family, member Gd [Source:ZFIN;Acc:ZDB-GENE-040426-1504]</t>
  </si>
  <si>
    <t>ENSDARG00000100729</t>
  </si>
  <si>
    <t>tln1</t>
  </si>
  <si>
    <t>talin 1 [Source:ZFIN;Acc:ZDB-GENE-031002-48]</t>
  </si>
  <si>
    <t>ENSDARG00000105190</t>
  </si>
  <si>
    <t>rhbdl3</t>
  </si>
  <si>
    <t>rhomboid, veinlet-like 3 (Drosophila) [Source:ZFIN;Acc:ZDB-GENE-050417-2]</t>
  </si>
  <si>
    <t>ENSDARG00000056122</t>
  </si>
  <si>
    <t>gdi1</t>
  </si>
  <si>
    <t>GDP dissociation inhibitor 1 [Source:ZFIN;Acc:ZDB-GENE-050522-504]</t>
  </si>
  <si>
    <t>ENSDARG00000097696</t>
  </si>
  <si>
    <t>si:ch73-71c20.5</t>
  </si>
  <si>
    <t>si:ch73-71c20.5 [Source:ZFIN;Acc:ZDB-GENE-060810-58]</t>
  </si>
  <si>
    <t>ENSDARG00000042555</t>
  </si>
  <si>
    <t>dym</t>
  </si>
  <si>
    <t>dymeclin [Source:ZFIN;Acc:ZDB-GENE-091204-348]</t>
  </si>
  <si>
    <t>ENSDARG00000089076</t>
  </si>
  <si>
    <t>gphna</t>
  </si>
  <si>
    <t>gephyrin a [Source:ZFIN;Acc:ZDB-GENE-110127-3]</t>
  </si>
  <si>
    <t>ENSDARG00000057683</t>
  </si>
  <si>
    <t>mcm6</t>
  </si>
  <si>
    <t>minichromosome maintenance complex component 6 [Source:ZFIN;Acc:ZDB-GENE-030909-6]</t>
  </si>
  <si>
    <t>ENSDARG00000076066</t>
  </si>
  <si>
    <t>march6</t>
  </si>
  <si>
    <t>membrane-associated ring finger (C3HC4) 6 [Source:ZFIN;Acc:ZDB-GENE-070912-530]</t>
  </si>
  <si>
    <t>ENSDARG00000020820</t>
  </si>
  <si>
    <t>srp68</t>
  </si>
  <si>
    <t>signal recognition particle 68 [Source:ZFIN;Acc:ZDB-GENE-040831-3]</t>
  </si>
  <si>
    <t>ENSDARG00000032005</t>
  </si>
  <si>
    <t>ccdc65</t>
  </si>
  <si>
    <t>coiled-coil domain containing 65 [Source:ZFIN;Acc:ZDB-GENE-030616-358]</t>
  </si>
  <si>
    <t>ENSDARG00000105452</t>
  </si>
  <si>
    <t>plxna1a</t>
  </si>
  <si>
    <t>plexin A1a [Source:ZFIN;Acc:ZDB-GENE-140106-137]</t>
  </si>
  <si>
    <t>ENSDARG00000091902</t>
  </si>
  <si>
    <t>b3gnt2b</t>
  </si>
  <si>
    <t>UDP-GlcNAc:betaGal beta-1,3-N-acetylglucosaminyltransferase 2b [Source:ZFIN;Acc:ZDB-GENE-050913-158]</t>
  </si>
  <si>
    <t>ENSDARG00000003961</t>
  </si>
  <si>
    <t>parp3</t>
  </si>
  <si>
    <t>poly (ADP-ribose) polymerase family, member 3 [Source:ZFIN;Acc:ZDB-GENE-030131-7435]</t>
  </si>
  <si>
    <t>ENSDARG00000040717</t>
  </si>
  <si>
    <t>macc1</t>
  </si>
  <si>
    <t>metastasis associated in colon cancer 1 [Source:ZFIN;Acc:ZDB-GENE-091006-3]</t>
  </si>
  <si>
    <t>ENSDARG00000004706</t>
  </si>
  <si>
    <t>syf2</t>
  </si>
  <si>
    <t>SYF2 pre-mRNA-splicing factor [Source:ZFIN;Acc:ZDB-GENE-040801-170]</t>
  </si>
  <si>
    <t>ENSDARG00000092855</t>
  </si>
  <si>
    <t>SRBD1</t>
  </si>
  <si>
    <t>si:ch211-117n7.8 [Source:ZFIN;Acc:ZDB-GENE-060503-663]</t>
  </si>
  <si>
    <t>ENSDARG00000070522</t>
  </si>
  <si>
    <t>cacna1i</t>
  </si>
  <si>
    <t>calcium channel, voltage-dependent, T type, alpha 1I subunit [Source:ZFIN;Acc:ZDB-GENE-060503-324]</t>
  </si>
  <si>
    <t>ENSDARG00000101308</t>
  </si>
  <si>
    <t>smug1</t>
  </si>
  <si>
    <t>single-strand-selective monofunctional uracil-DNA glycosylase 1 [Source:ZFIN;Acc:ZDB-GENE-030131-9473]</t>
  </si>
  <si>
    <t>ENSDARG00000087330</t>
  </si>
  <si>
    <t>maza</t>
  </si>
  <si>
    <t>MYC-associated zinc finger protein a (purine-binding transcription factor) [Source:ZFIN;Acc:ZDB-GENE-110603-4]</t>
  </si>
  <si>
    <t>ENSDARG00000088590</t>
  </si>
  <si>
    <t>pxna</t>
  </si>
  <si>
    <t>paxillin a [Source:ZFIN;Acc:ZDB-GENE-040105-1]</t>
  </si>
  <si>
    <t>ENSDARG00000011091</t>
  </si>
  <si>
    <t>drd2b</t>
  </si>
  <si>
    <t>dopamine receptor D2b [Source:ZFIN;Acc:ZDB-GENE-030910-2]</t>
  </si>
  <si>
    <t>ENSDARG00000020279</t>
  </si>
  <si>
    <t>efcab7</t>
  </si>
  <si>
    <t>EF-hand calcium binding domain 7 [Source:ZFIN;Acc:ZDB-GENE-040625-115]</t>
  </si>
  <si>
    <t>ENSDARG00000002377</t>
  </si>
  <si>
    <t>mief2</t>
  </si>
  <si>
    <t>mitochondrial elongation factor 2 [Source:ZFIN;Acc:ZDB-GENE-060929-864]</t>
  </si>
  <si>
    <t>ENSDARG00000099630</t>
  </si>
  <si>
    <t>si:dkey-24m12.2</t>
  </si>
  <si>
    <t>si:dkey-24m12.2 [Source:ZFIN;Acc:ZDB-GENE-090716-1]</t>
  </si>
  <si>
    <t>ENSDARG00000023396</t>
  </si>
  <si>
    <t>atg5</t>
  </si>
  <si>
    <t>ATG5 autophagy related 5 homolog (S. cerevisiae) [Source:ZFIN;Acc:ZDB-GENE-040801-149]</t>
  </si>
  <si>
    <t>ENSDARG00000058068</t>
  </si>
  <si>
    <t>tnfsf10l4</t>
  </si>
  <si>
    <t>tumor necrosis factor (ligand) superfamily, member 10 like 4 [Source:ZFIN;Acc:ZDB-GENE-050227-6]</t>
  </si>
  <si>
    <t>ENSDARG00000007603</t>
  </si>
  <si>
    <t>stxbp2</t>
  </si>
  <si>
    <t>syntaxin binding protein 2 [Source:ZFIN;Acc:ZDB-GENE-040426-2482]</t>
  </si>
  <si>
    <t>ENSDARG00000089637</t>
  </si>
  <si>
    <t>rnaseh2c</t>
  </si>
  <si>
    <t>ribonuclease H2, subunit C [Source:ZFIN;Acc:ZDB-GENE-030131-2469]</t>
  </si>
  <si>
    <t>ENSDARG00000099652</t>
  </si>
  <si>
    <t>xpot</t>
  </si>
  <si>
    <t>exportin, tRNA (nuclear export receptor for tRNAs) [Source:ZFIN;Acc:ZDB-GENE-041210-4]</t>
  </si>
  <si>
    <t>ENSDARG00000056369</t>
  </si>
  <si>
    <t>ufsp2</t>
  </si>
  <si>
    <t>ufm1-specific peptidase 2 [Source:ZFIN;Acc:ZDB-GENE-030131-8726]</t>
  </si>
  <si>
    <t>ENSDARG00000067713</t>
  </si>
  <si>
    <t>snx18a</t>
  </si>
  <si>
    <t>sorting nexin 18a [Source:ZFIN;Acc:ZDB-GENE-070705-339]</t>
  </si>
  <si>
    <t>ENSDARG00000015184</t>
  </si>
  <si>
    <t>mpp3a</t>
  </si>
  <si>
    <t>membrane protein, palmitoylated 3a (MAGUK p55 subfamily member 3) [Source:ZFIN;Acc:ZDB-GENE-130530-555]</t>
  </si>
  <si>
    <t>ENSDARG00000101210</t>
  </si>
  <si>
    <t>glg1b</t>
  </si>
  <si>
    <t>golgi glycoprotein 1b [Source:ZFIN;Acc:ZDB-GENE-060825-255]</t>
  </si>
  <si>
    <t>ENSDARG00000099752</t>
  </si>
  <si>
    <t>si:dkey-19b23.7</t>
  </si>
  <si>
    <t>si:dkey-19b23.7 [Source:ZFIN;Acc:ZDB-GENE-141216-311]</t>
  </si>
  <si>
    <t>ENSDARG00000052649</t>
  </si>
  <si>
    <t>ube2ia</t>
  </si>
  <si>
    <t>ubiquitin-conjugating enzyme E2Ia [Source:ZFIN;Acc:ZDB-GENE-010607-1]</t>
  </si>
  <si>
    <t>ENSDARG00000009313</t>
  </si>
  <si>
    <t>NAPSA</t>
  </si>
  <si>
    <t>zgc:63831 [Source:ZFIN;Acc:ZDB-GENE-030131-8690]</t>
  </si>
  <si>
    <t>ENSDARG00000045563</t>
  </si>
  <si>
    <t>ccdc53</t>
  </si>
  <si>
    <t>coiled-coil domain containing 53 [Source:ZFIN;Acc:ZDB-GENE-040426-783]</t>
  </si>
  <si>
    <t>ENSDARG00000100677</t>
  </si>
  <si>
    <t>tmem205</t>
  </si>
  <si>
    <t>transmembrane protein 205 [Source:ZFIN;Acc:ZDB-GENE-070112-1692]</t>
  </si>
  <si>
    <t>ENSDARG00000104283</t>
  </si>
  <si>
    <t>cdc42bpaa</t>
  </si>
  <si>
    <t>CDC42 binding protein kinase alpha (DMPK-like) a [Source:ZFIN;Acc:ZDB-GENE-120727-12]</t>
  </si>
  <si>
    <t>ENSDARG00000021579</t>
  </si>
  <si>
    <t>orc5</t>
  </si>
  <si>
    <t>origin recognition complex, subunit 5 [Source:ZFIN;Acc:ZDB-GENE-040426-2275]</t>
  </si>
  <si>
    <t>ENSDARG00000063451</t>
  </si>
  <si>
    <t>ccdc13</t>
  </si>
  <si>
    <t>coiled-coil domain containing 13 [Source:ZFIN;Acc:ZDB-GENE-061207-11]</t>
  </si>
  <si>
    <t>ENSDARG00000012219</t>
  </si>
  <si>
    <t>dpf2</t>
  </si>
  <si>
    <t>D4, zinc and double PHD fingers family 2 [Source:ZFIN;Acc:ZDB-GENE-041024-2]</t>
  </si>
  <si>
    <t>ENSDARG00000088187</t>
  </si>
  <si>
    <t>sowah1</t>
  </si>
  <si>
    <t>sosondowah ankyrin repeat domain family 1 [Source:ZFIN;Acc:ZDB-GENE-090313-96]</t>
  </si>
  <si>
    <t>ENSDARG00000053569</t>
  </si>
  <si>
    <t>sox3</t>
  </si>
  <si>
    <t>SRY (sex determining region Y)-box 3 [Source:ZFIN;Acc:ZDB-GENE-980526-333]</t>
  </si>
  <si>
    <t>ENSDARG00000102844</t>
  </si>
  <si>
    <t>si:ch211-143l19.2</t>
  </si>
  <si>
    <t>si:ch211-143l19.2 [Source:ZFIN;Acc:ZDB-GENE-141216-306]</t>
  </si>
  <si>
    <t>ENSDARG00000099054</t>
  </si>
  <si>
    <t>si:ch211-143l19.3</t>
  </si>
  <si>
    <t>si:ch211-143l19.3 [Source:ZFIN;Acc:ZDB-GENE-141222-102]</t>
  </si>
  <si>
    <t>ENSDARG00000105035</t>
  </si>
  <si>
    <t>anapc2</t>
  </si>
  <si>
    <t>anaphase promoting complex subunit 2 [Source:ZFIN;Acc:ZDB-GENE-081104-256]</t>
  </si>
  <si>
    <t>ENSDARG00000097493</t>
  </si>
  <si>
    <t>si:dkey-148h10.5</t>
  </si>
  <si>
    <t>si:dkey-148h10.5 [Source:ZFIN;Acc:ZDB-GENE-131127-260]</t>
  </si>
  <si>
    <t>ENSDARG00000102439</t>
  </si>
  <si>
    <t>znf1149</t>
  </si>
  <si>
    <t>zinc finger protein 1149 [Source:ZFIN;Acc:ZDB-GENE-141212-229]</t>
  </si>
  <si>
    <t>ENSDARG00000029107</t>
  </si>
  <si>
    <t>ube2d1a</t>
  </si>
  <si>
    <t>ubiquitin-conjugating enzyme E2D 1a [Source:ZFIN;Acc:ZDB-GENE-040426-1609]</t>
  </si>
  <si>
    <t>ENSDARG00000097673</t>
  </si>
  <si>
    <t>si:ch73-267i21.1</t>
  </si>
  <si>
    <t>si:ch73-267i21.1 [Source:ZFIN;Acc:ZDB-GENE-131127-622]</t>
  </si>
  <si>
    <t>ENSDARG00000074895</t>
  </si>
  <si>
    <t>tysnd1</t>
  </si>
  <si>
    <t>trypsin domain containing 1 [Source:ZFIN;Acc:ZDB-GENE-030131-8525]</t>
  </si>
  <si>
    <t>ENSDARG00000059483</t>
  </si>
  <si>
    <t>tead1b</t>
  </si>
  <si>
    <t>TEA domain family member 1b [Source:ZFIN;Acc:ZDB-GENE-091013-5]</t>
  </si>
  <si>
    <t>ENSDARG00000037514</t>
  </si>
  <si>
    <t>hdac3</t>
  </si>
  <si>
    <t>histone deacetylase 3 [Source:ZFIN;Acc:ZDB-GENE-040426-847]</t>
  </si>
  <si>
    <t>ENSDARG00000098669</t>
  </si>
  <si>
    <t>exd1</t>
  </si>
  <si>
    <t>exonuclease 3'-5' domain containing 1 [Source:ZFIN;Acc:ZDB-GENE-060825-267]</t>
  </si>
  <si>
    <t>ENSDARG00000042467</t>
  </si>
  <si>
    <t>tlk1a</t>
  </si>
  <si>
    <t>tousled-like kinase 1a [Source:ZFIN;Acc:ZDB-GENE-071008-2]</t>
  </si>
  <si>
    <t>ENSDARG00000059386</t>
  </si>
  <si>
    <t>dtwd1</t>
  </si>
  <si>
    <t>DTW domain containing 1 [Source:ZFIN;Acc:ZDB-GENE-041010-23]</t>
  </si>
  <si>
    <t>ENSDARG00000091555</t>
  </si>
  <si>
    <t>ostf1</t>
  </si>
  <si>
    <t>osteoclast stimulating factor 1 [Source:ZFIN;Acc:ZDB-GENE-040625-157]</t>
  </si>
  <si>
    <t>ENSDARG00000053500</t>
  </si>
  <si>
    <t>cbsa</t>
  </si>
  <si>
    <t>cystathionine-beta-synthase a [Source:ZFIN;Acc:ZDB-GENE-050417-367]</t>
  </si>
  <si>
    <t>ENSDARG00000056795</t>
  </si>
  <si>
    <t>serpine1</t>
  </si>
  <si>
    <t>serpin peptidase inhibitor, clade E (nexin, plasminogen activator inhibitor type 1), member 1 [Source:ZFIN;Acc:ZDB-GENE-070912-60]</t>
  </si>
  <si>
    <t>ENSDARG00000095765</t>
  </si>
  <si>
    <t>si:ch1073-221c23.2</t>
  </si>
  <si>
    <t>si:ch1073-221c23.2 [Source:ZFIN;Acc:ZDB-GENE-081104-78]</t>
  </si>
  <si>
    <t>ENSDARG00000068021</t>
  </si>
  <si>
    <t>ece2a</t>
  </si>
  <si>
    <t>endothelin converting enzyme 2a [Source:ZFIN;Acc:ZDB-GENE-070912-214]</t>
  </si>
  <si>
    <t>ENSDARG00000098525</t>
  </si>
  <si>
    <t>si:ch73-49h18.3</t>
  </si>
  <si>
    <t>si:ch73-49h18.3 [Source:ZFIN;Acc:ZDB-GENE-141216-486]</t>
  </si>
  <si>
    <t>ENSDARG00000102974</t>
  </si>
  <si>
    <t>baz2a</t>
  </si>
  <si>
    <t>bromodomain adjacent to zinc finger domain, 2A [Source:ZFIN;Acc:ZDB-GENE-041010-202]</t>
  </si>
  <si>
    <t>ENSDARG00000070485</t>
  </si>
  <si>
    <t>apitd1</t>
  </si>
  <si>
    <t>apoptosis-inducing, TAF9-like domain 1 [Source:ZFIN;Acc:ZDB-GENE-080723-52]</t>
  </si>
  <si>
    <t>ENSDARG00000061169</t>
  </si>
  <si>
    <t>larp1b</t>
  </si>
  <si>
    <t>La ribonucleoprotein domain family, member 1B [Source:ZFIN;Acc:ZDB-GENE-030131-4154]</t>
  </si>
  <si>
    <t>ENSDARG00000076040</t>
  </si>
  <si>
    <t>arl15a</t>
  </si>
  <si>
    <t>ADP-ribosylation factor-like 15a [Source:ZFIN;Acc:ZDB-GENE-070209-3]</t>
  </si>
  <si>
    <t>ENSDARG00000077307</t>
  </si>
  <si>
    <t>tmem201</t>
  </si>
  <si>
    <t>transmembrane protein 201 [Source:ZFIN;Acc:ZDB-GENE-070410-61]</t>
  </si>
  <si>
    <t>ENSDARG00000077948</t>
  </si>
  <si>
    <t>usp54a</t>
  </si>
  <si>
    <t>ubiquitin specific peptidase 54a [Source:ZFIN;Acc:ZDB-GENE-090828-2]</t>
  </si>
  <si>
    <t>ENSDARG00000103774</t>
  </si>
  <si>
    <t>limch1b</t>
  </si>
  <si>
    <t>LIM and calponin homology domains 1b [Source:ZFIN;Acc:ZDB-GENE-030131-9210]</t>
  </si>
  <si>
    <t>ENSDARG00000025855</t>
  </si>
  <si>
    <t>camk2n1a</t>
  </si>
  <si>
    <t>calcium/calmodulin-dependent protein kinase II inhibitor 1a [Source:ZFIN;Acc:ZDB-GENE-050522-319]</t>
  </si>
  <si>
    <t>ENSDARG00000053535</t>
  </si>
  <si>
    <t>lmo7b</t>
  </si>
  <si>
    <t>LIM domain 7b [Source:ZFIN;Acc:ZDB-GENE-060825-242]</t>
  </si>
  <si>
    <t>ENSDARG00000100857</t>
  </si>
  <si>
    <t>si:ch1073-155h19.1</t>
  </si>
  <si>
    <t>si:ch1073-155h19.1 [Source:ZFIN;Acc:ZDB-GENE-141216-178]</t>
  </si>
  <si>
    <t>ENSDARG00000061024</t>
  </si>
  <si>
    <t>rabggta</t>
  </si>
  <si>
    <t>Rab geranylgeranyltransferase, alpha subunit [Source:ZFIN;Acc:ZDB-GENE-060929-1042]</t>
  </si>
  <si>
    <t>ENSDARG00000002601</t>
  </si>
  <si>
    <t>irx7</t>
  </si>
  <si>
    <t>iroquois homeobox 7 [Source:ZFIN;Acc:ZDB-GENE-020103-1]</t>
  </si>
  <si>
    <t>ENSDARG00000011615</t>
  </si>
  <si>
    <t>mybpc3</t>
  </si>
  <si>
    <t>myosin binding protein C, cardiac [Source:ZFIN;Acc:ZDB-GENE-070112-2362]</t>
  </si>
  <si>
    <t>ENSDARG00000015803</t>
  </si>
  <si>
    <t>smcr8b</t>
  </si>
  <si>
    <t>Smith-Magenis syndrome chromosome region, candidate 8b [Source:ZFIN;Acc:ZDB-GENE-061122-1]</t>
  </si>
  <si>
    <t>ENSDARG00000037739</t>
  </si>
  <si>
    <t>zgc:112980</t>
  </si>
  <si>
    <t>zgc:112980 [Source:ZFIN;Acc:ZDB-GENE-050306-1]</t>
  </si>
  <si>
    <t>ENSDARG00000018961</t>
  </si>
  <si>
    <t>gtpbp4</t>
  </si>
  <si>
    <t>GTP binding protein 4 [Source:ZFIN;Acc:ZDB-GENE-030131-5982]</t>
  </si>
  <si>
    <t>ENSDARG00000021398</t>
  </si>
  <si>
    <t>mul1a</t>
  </si>
  <si>
    <t>mitochondrial E3 ubiquitin protein ligase 1a [Source:ZFIN;Acc:ZDB-GENE-050102-5]</t>
  </si>
  <si>
    <t>ENSDARG00000089976</t>
  </si>
  <si>
    <t>spcs3</t>
  </si>
  <si>
    <t>signal peptidase complex subunit 3 [Source:ZFIN;Acc:ZDB-GENE-040426-2206]</t>
  </si>
  <si>
    <t>ENSDARG00000070686</t>
  </si>
  <si>
    <t>cdipt</t>
  </si>
  <si>
    <t>CDP-diacylglycerol--inositol 3-phosphatidyltransferase (phosphatidylinositol synthase) [Source:ZFIN;Acc:ZDB-GENE-040426-2536]</t>
  </si>
  <si>
    <t>ENSDARG00000035692</t>
  </si>
  <si>
    <t>rps3a</t>
  </si>
  <si>
    <t>ribosomal protein S3A [Source:ZFIN;Acc:ZDB-GENE-030131-9184]</t>
  </si>
  <si>
    <t>ENSDARG00000045562</t>
  </si>
  <si>
    <t>pus1</t>
  </si>
  <si>
    <t>pseudouridylate synthase 1 [Source:ZFIN;Acc:ZDB-GENE-041212-26]</t>
  </si>
  <si>
    <t>ENSDARG00000101472</t>
  </si>
  <si>
    <t>pop4</t>
  </si>
  <si>
    <t>POP4 homolog, ribonuclease P/MRP subunit [Source:ZFIN;Acc:ZDB-GENE-050522-505]</t>
  </si>
  <si>
    <t>ENSDARG00000019924</t>
  </si>
  <si>
    <t>cmpk</t>
  </si>
  <si>
    <t>cytidylate kinase [Source:ZFIN;Acc:ZDB-GENE-040426-2113]</t>
  </si>
  <si>
    <t>ENSDARG00000041665</t>
  </si>
  <si>
    <t>mkrn1</t>
  </si>
  <si>
    <t>makorin, ring finger protein, 1 [Source:ZFIN;Acc:ZDB-GENE-020213-1]</t>
  </si>
  <si>
    <t>ENSDARG00000053810</t>
  </si>
  <si>
    <t>hnrnpc</t>
  </si>
  <si>
    <t>heterogeneous nuclear ribonucleoprotein C [Source:ZFIN;Acc:ZDB-GENE-040426-2043]</t>
  </si>
  <si>
    <t>ENSDARG00000037153</t>
  </si>
  <si>
    <t>atp6ap1b</t>
  </si>
  <si>
    <t>ATPase, H+ transporting, lysosomal accessory protein 1b [Source:ZFIN;Acc:ZDB-GENE-020423-2]</t>
  </si>
  <si>
    <t>ENSDARG00000091001</t>
  </si>
  <si>
    <t>mycbp</t>
  </si>
  <si>
    <t>c-myc binding protein [Source:ZFIN;Acc:ZDB-GENE-060331-97]</t>
  </si>
  <si>
    <t>ENSDARG00000014582</t>
  </si>
  <si>
    <t>exoc3</t>
  </si>
  <si>
    <t>exocyst complex component 3 [Source:ZFIN;Acc:ZDB-GENE-030131-5947]</t>
  </si>
  <si>
    <t>ENSDARG00000017366</t>
  </si>
  <si>
    <t>prdm4</t>
  </si>
  <si>
    <t>PR domain containing 4 [Source:ZFIN;Acc:ZDB-GENE-041210-131]</t>
  </si>
  <si>
    <t>ENSDARG00000019808</t>
  </si>
  <si>
    <t>evpla</t>
  </si>
  <si>
    <t>envoplakin a [Source:ZFIN;Acc:ZDB-GENE-030829-19]</t>
  </si>
  <si>
    <t>ENSDARG00000097314</t>
  </si>
  <si>
    <t>si:zfos-1714f5.3</t>
  </si>
  <si>
    <t>si:zfos-1714f5.3 [Source:ZFIN;Acc:ZDB-GENE-131127-148]</t>
  </si>
  <si>
    <t>ENSDARG00000079560</t>
  </si>
  <si>
    <t>ptprh</t>
  </si>
  <si>
    <t>ptprh.1</t>
  </si>
  <si>
    <t>protein tyrosine phosphatase, receptor type, h [Source:ZFIN;Acc:ZDB-GENE-091118-90]</t>
  </si>
  <si>
    <t>ENSDARG00000060338</t>
  </si>
  <si>
    <t>trmt12</t>
  </si>
  <si>
    <t>tRNA methyltransferase 12 homolog (S. cerevisiae) [Source:ZFIN;Acc:ZDB-GENE-060825-182]</t>
  </si>
  <si>
    <t>ENSDARG00000076833</t>
  </si>
  <si>
    <t>atp1b1b</t>
  </si>
  <si>
    <t>ATPase, Na+/K+ transporting, beta 1b polypeptide [Source:ZFIN;Acc:ZDB-GENE-001127-4]</t>
  </si>
  <si>
    <t>ENSDARG00000086453</t>
  </si>
  <si>
    <t>cx52.9</t>
  </si>
  <si>
    <t>connexin 52.9 [Source:ZFIN;Acc:ZDB-GENE-040426-2421]</t>
  </si>
  <si>
    <t>ENSDARG00000086411</t>
  </si>
  <si>
    <t>srsf10b</t>
  </si>
  <si>
    <t>serine/arginine-rich splicing factor 10b [Source:ZFIN;Acc:ZDB-GENE-040426-1415]</t>
  </si>
  <si>
    <t>ENSDARG00000073684</t>
  </si>
  <si>
    <t>quo</t>
  </si>
  <si>
    <t>quattro [Source:ZFIN;Acc:ZDB-GENE-030131-9944]</t>
  </si>
  <si>
    <t>ENSDARG00000097110</t>
  </si>
  <si>
    <t>si:dkey-56f14.4</t>
  </si>
  <si>
    <t>si:dkey-56f14.4 [Source:ZFIN;Acc:ZDB-GENE-131121-272]</t>
  </si>
  <si>
    <t>ENSDARG00000053570</t>
  </si>
  <si>
    <t>si:rp71-46j2.6</t>
  </si>
  <si>
    <t>si:rp71-46j2.6 [Source:ZFIN;Acc:ZDB-GENE-160114-48]</t>
  </si>
  <si>
    <t>ENSDARG00000097904</t>
  </si>
  <si>
    <t>si:dkey-125i20.2</t>
  </si>
  <si>
    <t>si:dkey-125i20.2 [Source:ZFIN;Acc:ZDB-GENE-060526-62]</t>
  </si>
  <si>
    <t>ENSDARG00000079401</t>
  </si>
  <si>
    <t>si:dkey-197c15.6</t>
  </si>
  <si>
    <t>si:dkey-197c15.6 [Source:ZFIN;Acc:ZDB-GENE-060810-147]</t>
  </si>
  <si>
    <t>ENSDARG00000058212</t>
  </si>
  <si>
    <t>ndnl2</t>
  </si>
  <si>
    <t>necdin-like 2 [Source:ZFIN;Acc:ZDB-GENE-031107-3]</t>
  </si>
  <si>
    <t>ENSDARG00000102435</t>
  </si>
  <si>
    <t>plekhf1</t>
  </si>
  <si>
    <t>pleckstrin homology domain containing, family F (with FYVE domain) member 1 [Source:ZFIN;Acc:ZDB-GENE-040426-1289]</t>
  </si>
  <si>
    <t>ENSDARG00000104108</t>
  </si>
  <si>
    <t>slco1d1</t>
  </si>
  <si>
    <t>solute carrier organic anion transporter family, member 1D1 [Source:ZFIN;Acc:ZDB-GENE-030131-5044]</t>
  </si>
  <si>
    <t>ENSDARG00000104856</t>
  </si>
  <si>
    <t>si:ch211-260e23.7</t>
  </si>
  <si>
    <t>si:ch211-260e23.7 [Source:ZFIN;Acc:ZDB-GENE-141216-158]</t>
  </si>
  <si>
    <t>ENSDARG00000051923</t>
  </si>
  <si>
    <t>ccnb1</t>
  </si>
  <si>
    <t>cyclin B1 [Source:ZFIN;Acc:ZDB-GENE-000406-10]</t>
  </si>
  <si>
    <t>ENSDARG00000020136</t>
  </si>
  <si>
    <t>ptges</t>
  </si>
  <si>
    <t>prostaglandin E synthase [Source:ZFIN;Acc:ZDB-GENE-050407-2]</t>
  </si>
  <si>
    <t>ENSDARG00000056281</t>
  </si>
  <si>
    <t>cyb561a3a</t>
  </si>
  <si>
    <t>cytochrome b561 family, member A3a [Source:ZFIN;Acc:ZDB-GENE-060526-374]</t>
  </si>
  <si>
    <t>ENSDARG00000060980</t>
  </si>
  <si>
    <t>atp8b1</t>
  </si>
  <si>
    <t>ATPase, aminophospholipid transporter, class I, type 8B, member 1 [Source:ZFIN;Acc:ZDB-GENE-091116-14]</t>
  </si>
  <si>
    <t>ENSDARG00000058372</t>
  </si>
  <si>
    <t>mcph1</t>
  </si>
  <si>
    <t>microcephalin 1 [Source:ZFIN;Acc:ZDB-GENE-060421-6122]</t>
  </si>
  <si>
    <t>ENSDARG00000051888</t>
  </si>
  <si>
    <t>ist1</t>
  </si>
  <si>
    <t>increased sodium tolerance 1 homolog (yeast) [Source:ZFIN;Acc:ZDB-GENE-030131-179]</t>
  </si>
  <si>
    <t>ENSDARG00000030224</t>
  </si>
  <si>
    <t>ppp2ca</t>
  </si>
  <si>
    <t>protein phosphatase 2, catalytic subunit, alpha isozyme [Source:ZFIN;Acc:ZDB-GENE-050417-441]</t>
  </si>
  <si>
    <t>ENSDARG00000039931</t>
  </si>
  <si>
    <t>slc25a33</t>
  </si>
  <si>
    <t>solute carrier family 25 (pyrimidine nucleotide carrier), member 33 [Source:ZFIN;Acc:ZDB-GENE-040426-2183]</t>
  </si>
  <si>
    <t>ENSDARG00000100782</t>
  </si>
  <si>
    <t>F7</t>
  </si>
  <si>
    <t>zgc:163025 [Source:ZFIN;Acc:ZDB-GENE-070424-102]</t>
  </si>
  <si>
    <t>ENSDARG00000087780</t>
  </si>
  <si>
    <t>tiam2a</t>
  </si>
  <si>
    <t>T-cell lymphoma invasion and metastasis 2a [Source:ZFIN;Acc:ZDB-GENE-030219-98]</t>
  </si>
  <si>
    <t>ENSDARG00000099385</t>
  </si>
  <si>
    <t>LSP1</t>
  </si>
  <si>
    <t>lymphocyte-specific protein 1 [Source:HGNC Symbol;Acc:HGNC:6707]</t>
  </si>
  <si>
    <t>ENSDARG00000051889</t>
  </si>
  <si>
    <t>dhodh</t>
  </si>
  <si>
    <t>dihydroorotate dehydrogenase [Source:ZFIN;Acc:ZDB-GENE-030131-3157]</t>
  </si>
  <si>
    <t>ENSDARG00000056642</t>
  </si>
  <si>
    <t>hdac9b</t>
  </si>
  <si>
    <t>histone deacetylase 9b [Source:ZFIN;Acc:ZDB-GENE-040109-7]</t>
  </si>
  <si>
    <t>ENSDARG00000102929</t>
  </si>
  <si>
    <t>zgc:101715</t>
  </si>
  <si>
    <t>zgc:101715 [Source:ZFIN;Acc:ZDB-GENE-040912-59]</t>
  </si>
  <si>
    <t>ENSDARG00000011583</t>
  </si>
  <si>
    <t>cry1ab</t>
  </si>
  <si>
    <t>cryptochrome circadian clock 1ab [Source:ZFIN;Acc:ZDB-GENE-010426-3]</t>
  </si>
  <si>
    <t>ENSDARG00000060306</t>
  </si>
  <si>
    <t>tfcp2</t>
  </si>
  <si>
    <t>transcription factor CP2 [Source:ZFIN;Acc:ZDB-GENE-030131-2523]</t>
  </si>
  <si>
    <t>ENSDARG00000030440</t>
  </si>
  <si>
    <t>rsrp1</t>
  </si>
  <si>
    <t>arginine/serine-rich protein 1 [Source:ZFIN;Acc:ZDB-GENE-060616-210]</t>
  </si>
  <si>
    <t>ENSDARG00000074985</t>
  </si>
  <si>
    <t>aurkaip1</t>
  </si>
  <si>
    <t>aurora kinase A interacting protein 1 [Source:ZFIN;Acc:ZDB-GENE-070928-24]</t>
  </si>
  <si>
    <t>ENSDARG00000089860</t>
  </si>
  <si>
    <t>atxn7l1</t>
  </si>
  <si>
    <t>ataxin 7-like 1 [Source:ZFIN;Acc:ZDB-GENE-131127-383]</t>
  </si>
  <si>
    <t>ENSDARG00000039843</t>
  </si>
  <si>
    <t>znf800b</t>
  </si>
  <si>
    <t>zinc finger protein 800b [Source:ZFIN;Acc:ZDB-GENE-040426-1166]</t>
  </si>
  <si>
    <t>ENSDARG00000043643</t>
  </si>
  <si>
    <t>ehbp1</t>
  </si>
  <si>
    <t>EH domain binding protein 1 [Source:ZFIN;Acc:ZDB-GENE-091006-4]</t>
  </si>
  <si>
    <t>ENSDARG00000006389</t>
  </si>
  <si>
    <t>smad2</t>
  </si>
  <si>
    <t>SMAD family member 2 [Source:ZFIN;Acc:ZDB-GENE-990603-7]</t>
  </si>
  <si>
    <t>ENSDARG00000102831</t>
  </si>
  <si>
    <t>fam193b</t>
  </si>
  <si>
    <t>family with sequence similarity 193, member B [Source:ZFIN;Acc:ZDB-GENE-111102-1]</t>
  </si>
  <si>
    <t>ENSDARG00000099091</t>
  </si>
  <si>
    <t>si:ch73-158n7.2</t>
  </si>
  <si>
    <t>si:ch73-158n7.2 [Source:ZFIN;Acc:ZDB-GENE-141216-477]</t>
  </si>
  <si>
    <t>ENSDARG00000091099</t>
  </si>
  <si>
    <t>MYOM2</t>
  </si>
  <si>
    <t>si:ch211-270c19.2 [Source:ZFIN;Acc:ZDB-GENE-141219-22]</t>
  </si>
  <si>
    <t>ENSDARG00000077697</t>
  </si>
  <si>
    <t>si:dkey-105i14.1</t>
  </si>
  <si>
    <t>si:dkey-105i14.1 [Source:ZFIN;Acc:ZDB-GENE-081103-64]</t>
  </si>
  <si>
    <t>ENSDARG00000024785</t>
  </si>
  <si>
    <t>ctnna2</t>
  </si>
  <si>
    <t>catenin (cadherin-associated protein), alpha 2 [Source:ZFIN;Acc:ZDB-GENE-060815-3]</t>
  </si>
  <si>
    <t>ENSDARG00000017617</t>
  </si>
  <si>
    <t>alg6</t>
  </si>
  <si>
    <t>asparagine-linked glycosylation 6 (alpha-1,3,-glucosyltransferase) [Source:ZFIN;Acc:ZDB-GENE-040808-45]</t>
  </si>
  <si>
    <t>ENSDARG00000096210</t>
  </si>
  <si>
    <t>znf1050</t>
  </si>
  <si>
    <t>zinc finger protein 1050 [Source:ZFIN;Acc:ZDB-GENE-110913-27]</t>
  </si>
  <si>
    <t>ENSDARG00000097585</t>
  </si>
  <si>
    <t>si:ch211-145d10.7</t>
  </si>
  <si>
    <t>si:ch211-145d10.7 [Source:ZFIN;Acc:ZDB-GENE-131121-246]</t>
  </si>
  <si>
    <t>ENSDARG00000075147</t>
  </si>
  <si>
    <t>lrrc38a</t>
  </si>
  <si>
    <t>leucine rich repeat containing 38a [Source:ZFIN;Acc:ZDB-GENE-080327-12]</t>
  </si>
  <si>
    <t>ENSDARG00000006279</t>
  </si>
  <si>
    <t>rragd</t>
  </si>
  <si>
    <t>ras-related GTP binding D [Source:ZFIN;Acc:ZDB-GENE-070620-6]</t>
  </si>
  <si>
    <t>ENSDARG00000036282</t>
  </si>
  <si>
    <t>rnaset2</t>
  </si>
  <si>
    <t>ribonuclease T2 [Source:ZFIN;Acc:ZDB-GENE-030131-2513]</t>
  </si>
  <si>
    <t>ENSDARG00000090228</t>
  </si>
  <si>
    <t>gsta.1</t>
  </si>
  <si>
    <t>glutathione S-transferase, alpha tandem duplicate 1 [Source:ZFIN;Acc:ZDB-GENE-040426-2720]</t>
  </si>
  <si>
    <t>ENSDARG00000014963</t>
  </si>
  <si>
    <t>triap1</t>
  </si>
  <si>
    <t>TP53 regulated inhibitor of apoptosis 1 [Source:ZFIN;Acc:ZDB-GENE-050417-161]</t>
  </si>
  <si>
    <t>ENSDARG00000095200</t>
  </si>
  <si>
    <t>si:ch211-197e7.1</t>
  </si>
  <si>
    <t>si:ch211-197e7.1 [Source:ZFIN;Acc:ZDB-GENE-081103-26]</t>
  </si>
  <si>
    <t>ENSDARG00000060991</t>
  </si>
  <si>
    <t>mief1</t>
  </si>
  <si>
    <t>mitochondrial elongation factor 1 [Source:ZFIN;Acc:ZDB-GENE-060810-64]</t>
  </si>
  <si>
    <t>ENSDARG00000023237</t>
  </si>
  <si>
    <t>syne3</t>
  </si>
  <si>
    <t>spectrin repeat containing, nuclear envelope family member 3 [Source:ZFIN;Acc:ZDB-GENE-070209-271]</t>
  </si>
  <si>
    <t>ENSDARG00000101961</t>
  </si>
  <si>
    <t>abhd18</t>
  </si>
  <si>
    <t>abhydrolase domain containing 18 [Source:ZFIN;Acc:ZDB-GENE-050306-53]</t>
  </si>
  <si>
    <t>ENSDARG00000039832</t>
  </si>
  <si>
    <t>gsta.2</t>
  </si>
  <si>
    <t>glutathione S-transferase, alpha tandem duplicate 2 [Source:ZFIN;Acc:ZDB-GENE-070822-30]</t>
  </si>
  <si>
    <t>ENSDARG00000074481</t>
  </si>
  <si>
    <t>ulk1b</t>
  </si>
  <si>
    <t>unc-51 like autophagy activating kinase 1 [Source:ZFIN;Acc:ZDB-GENE-071203-2]</t>
  </si>
  <si>
    <t>ENSDARG00000058692</t>
  </si>
  <si>
    <t>fzd3b</t>
  </si>
  <si>
    <t>frizzled class receptor 3b [Source:ZFIN;Acc:ZDB-GENE-070122-1]</t>
  </si>
  <si>
    <t>ENSDARG00000061547</t>
  </si>
  <si>
    <t>zgc:153409</t>
  </si>
  <si>
    <t>zgc:153409 [Source:ZFIN;Acc:ZDB-GENE-060929-224]</t>
  </si>
  <si>
    <t>ENSDARG00000056228</t>
  </si>
  <si>
    <t>pld1a</t>
  </si>
  <si>
    <t>phospholipase D1a [Source:ZFIN;Acc:ZDB-GENE-031002-2]</t>
  </si>
  <si>
    <t>ENSDARG00000095157</t>
  </si>
  <si>
    <t>TMEM14A</t>
  </si>
  <si>
    <t>zgc:163080 [Source:ZFIN;Acc:ZDB-GENE-070410-137]</t>
  </si>
  <si>
    <t>ENSDARG00000020924</t>
  </si>
  <si>
    <t>myo1ca</t>
  </si>
  <si>
    <t>myosin Ic, paralog a [Source:ZFIN;Acc:ZDB-GENE-070705-190]</t>
  </si>
  <si>
    <t>ENSDARG00000058292</t>
  </si>
  <si>
    <t>sephs1</t>
  </si>
  <si>
    <t>selenophosphate synthetase 1 [Source:ZFIN;Acc:ZDB-GENE-030131-3670]</t>
  </si>
  <si>
    <t>ENSDARG00000098112</t>
  </si>
  <si>
    <t>btc</t>
  </si>
  <si>
    <t>betacellulin, epidermal growth factor family member [Source:ZFIN;Acc:ZDB-GENE-050311-1]</t>
  </si>
  <si>
    <t>ENSDARG00000103851</t>
  </si>
  <si>
    <t>tnrc6c2</t>
  </si>
  <si>
    <t>trinucleotide repeat containing 6C2 [Source:ZFIN;Acc:ZDB-GENE-061207-48]</t>
  </si>
  <si>
    <t>ENSDARG00000104298</t>
  </si>
  <si>
    <t>si:ch211-241a17.7</t>
  </si>
  <si>
    <t>si:ch211-241a17.7 [Source:ZFIN;Acc:ZDB-GENE-141216-414]</t>
  </si>
  <si>
    <t>ENSDARG00000067517</t>
  </si>
  <si>
    <t>ccdc15</t>
  </si>
  <si>
    <t>coiled-coil domain containing 15 [Source:ZFIN;Acc:ZDB-GENE-120411-25]</t>
  </si>
  <si>
    <t>ENSDARG00000068366</t>
  </si>
  <si>
    <t>wu:fc19g04</t>
  </si>
  <si>
    <t>wu:fc19g04 [Source:ZFIN;Acc:ZDB-GENE-030131-2853]</t>
  </si>
  <si>
    <t>ENSDARG00000037000</t>
  </si>
  <si>
    <t>fkbp11</t>
  </si>
  <si>
    <t>FK506 binding protein 11 [Source:ZFIN;Acc:ZDB-GENE-030616-357]</t>
  </si>
  <si>
    <t>ENSDARG00000037955</t>
  </si>
  <si>
    <t>pih1d1</t>
  </si>
  <si>
    <t>PIH1 domain containing 1 [Source:ZFIN;Acc:ZDB-GENE-050309-147]</t>
  </si>
  <si>
    <t>ENSDARG00000094193</t>
  </si>
  <si>
    <t>si:ch211-197h24.7</t>
  </si>
  <si>
    <t>si:ch211-197h24.7 [Source:ZFIN;Acc:ZDB-GENE-100920-9]</t>
  </si>
  <si>
    <t>ENSDARG00000074899</t>
  </si>
  <si>
    <t>taok2a</t>
  </si>
  <si>
    <t>TAO kinase 2a [Source:ZFIN;Acc:ZDB-GENE-030131-9416]</t>
  </si>
  <si>
    <t>ENSDARG00000078383</t>
  </si>
  <si>
    <t>fam195b</t>
  </si>
  <si>
    <t>family with sequence similarity 195, member B [Source:ZFIN;Acc:ZDB-GENE-060825-259]</t>
  </si>
  <si>
    <t>ENSDARG00000035519</t>
  </si>
  <si>
    <t>histh1l</t>
  </si>
  <si>
    <t>histone H1 like [Source:ZFIN;Acc:ZDB-GENE-050417-145]</t>
  </si>
  <si>
    <t>ENSDARG00000095715</t>
  </si>
  <si>
    <t>si:ch211-202e12.3</t>
  </si>
  <si>
    <t>si:ch211-202e12.3 [Source:ZFIN;Acc:ZDB-GENE-060526-81]</t>
  </si>
  <si>
    <t>ENSDARG00000069423</t>
  </si>
  <si>
    <t>tmie</t>
  </si>
  <si>
    <t>transmembrane inner ear [Source:ZFIN;Acc:ZDB-GENE-061207-9]</t>
  </si>
  <si>
    <t>ENSDARG00000104178</t>
  </si>
  <si>
    <t>si:ch73-152o7.1</t>
  </si>
  <si>
    <t>si:ch73-152o7.1 [Source:ZFIN;Acc:ZDB-GENE-111123-3]</t>
  </si>
  <si>
    <t>ENSDARG00000037373</t>
  </si>
  <si>
    <t>ephb2a</t>
  </si>
  <si>
    <t>eph receptor B2a [Source:ZFIN;Acc:ZDB-GENE-070713-2]</t>
  </si>
  <si>
    <t>ENSDARG00000097346</t>
  </si>
  <si>
    <t>ten1</t>
  </si>
  <si>
    <t>TEN1 CST complex subunit [Source:ZFIN;Acc:ZDB-GENE-030131-8755]</t>
  </si>
  <si>
    <t>ENSDARG00000039989</t>
  </si>
  <si>
    <t>snrnp48</t>
  </si>
  <si>
    <t>small nuclear ribonucleoprotein 48 (U11/U12) [Source:ZFIN;Acc:ZDB-GENE-030131-4482]</t>
  </si>
  <si>
    <t>ENSDARG00000002445</t>
  </si>
  <si>
    <t>prdm1a</t>
  </si>
  <si>
    <t>PR domain containing 1a, with ZNF domain [Source:ZFIN;Acc:ZDB-GENE-030131-2193]</t>
  </si>
  <si>
    <t>ENSDARG00000007092</t>
  </si>
  <si>
    <t>xab2</t>
  </si>
  <si>
    <t>XPA binding protein 2 [Source:ZFIN;Acc:ZDB-GENE-040426-685]</t>
  </si>
  <si>
    <t>ENSDARG00000040031</t>
  </si>
  <si>
    <t>tardbp</t>
  </si>
  <si>
    <t>TAR DNA binding protein [Source:ZFIN;Acc:ZDB-GENE-030131-3777]</t>
  </si>
  <si>
    <t>ENSDARG00000092066</t>
  </si>
  <si>
    <t>si:dkey-228i19.34</t>
  </si>
  <si>
    <t>si:dkey-228i19.34 [Source:ZFIN;Acc:ZDB-GENE-070912-453]</t>
  </si>
  <si>
    <t>ENSDARG00000056075</t>
  </si>
  <si>
    <t>rca2.1</t>
  </si>
  <si>
    <t>regulator of complement activation group 2 gene 1 [Source:ZFIN;Acc:ZDB-GENE-050320-60]</t>
  </si>
  <si>
    <t>ENSDARG00000008097</t>
  </si>
  <si>
    <t>srsf9</t>
  </si>
  <si>
    <t>serine/arginine-rich splicing factor 9 [Source:ZFIN;Acc:ZDB-GENE-040426-2397]</t>
  </si>
  <si>
    <t>ENSDARG00000093831</t>
  </si>
  <si>
    <t>znf1121</t>
  </si>
  <si>
    <t>zinc finger protein 1121 [Source:ZFIN;Acc:ZDB-GENE-110914-9]</t>
  </si>
  <si>
    <t>ENSDARG00000102433</t>
  </si>
  <si>
    <t>sytl4</t>
  </si>
  <si>
    <t>synaptotagmin-like 4 [Source:ZFIN;Acc:ZDB-GENE-070209-217]</t>
  </si>
  <si>
    <t>ENSDARG00000060123</t>
  </si>
  <si>
    <t>ca16b</t>
  </si>
  <si>
    <t>carbonic anhydrase XVI b [Source:ZFIN;Acc:ZDB-GENE-080818-1]</t>
  </si>
  <si>
    <t>ENSDARG00000099281</t>
  </si>
  <si>
    <t>si:dkey-112e7.2</t>
  </si>
  <si>
    <t>si:dkey-112e7.2 [Source:ZFIN;Acc:ZDB-GENE-141216-229]</t>
  </si>
  <si>
    <t>ENSDARG00000039211</t>
  </si>
  <si>
    <t>zgc:77439</t>
  </si>
  <si>
    <t>zgc:77439 [Source:ZFIN;Acc:ZDB-GENE-031010-24]</t>
  </si>
  <si>
    <t>ENSDARG00000078619</t>
  </si>
  <si>
    <t>pnp5a</t>
  </si>
  <si>
    <t>purine nucleoside phosphorylase 5a [Source:ZFIN;Acc:ZDB-GENE-040426-2553]</t>
  </si>
  <si>
    <t>ENSDARG00000005453</t>
  </si>
  <si>
    <t>foxp2</t>
  </si>
  <si>
    <t>forkhead box P2 [Source:ZFIN;Acc:ZDB-GENE-041203-2]</t>
  </si>
  <si>
    <t>ENSDARG00000076163</t>
  </si>
  <si>
    <t>col19a1</t>
  </si>
  <si>
    <t>col19a1.1</t>
  </si>
  <si>
    <t>collagen, type XIX, alpha 1 [Source:ZFIN;Acc:ZDB-GENE-090312-196]</t>
  </si>
  <si>
    <t>ENSDARG00000019778</t>
  </si>
  <si>
    <t>rps6</t>
  </si>
  <si>
    <t>ribosomal protein S6 [Source:ZFIN;Acc:ZDB-GENE-040801-8]</t>
  </si>
  <si>
    <t>ENSDARG00000020101</t>
  </si>
  <si>
    <t>psmc2</t>
  </si>
  <si>
    <t>proteasome 26S subunit, ATPase 2 [Source:ZFIN;Acc:ZDB-GENE-040426-1327]</t>
  </si>
  <si>
    <t>ENSDARG00000017624</t>
  </si>
  <si>
    <t>krt4</t>
  </si>
  <si>
    <t>keratin 4 [Source:ZFIN;Acc:ZDB-GENE-000607-83]</t>
  </si>
  <si>
    <t>ENSDARG00000043094</t>
  </si>
  <si>
    <t>gnas</t>
  </si>
  <si>
    <t>GNAS complex locus [Source:ZFIN;Acc:ZDB-GENE-090417-2]</t>
  </si>
  <si>
    <t>ENSDARG00000033320</t>
  </si>
  <si>
    <t>sar1ab</t>
  </si>
  <si>
    <t>secretion associated, Ras related GTPase 1Ab [Source:ZFIN;Acc:ZDB-GENE-050417-437]</t>
  </si>
  <si>
    <t>ENSDARG00000100129</t>
  </si>
  <si>
    <t>brd3b</t>
  </si>
  <si>
    <t>bromodomain containing 3b [Source:ZFIN;Acc:ZDB-GENE-030131-5316]</t>
  </si>
  <si>
    <t>ENSDARG00000094147</t>
  </si>
  <si>
    <t>znf1111</t>
  </si>
  <si>
    <t>zinc finger protein 1111 [Source:ZFIN;Acc:ZDB-GENE-110913-113]</t>
  </si>
  <si>
    <t>ENSDARG00000052840</t>
  </si>
  <si>
    <t>ndufs4</t>
  </si>
  <si>
    <t>NADH dehydrogenase (ubiquinone) Fe-S protein 4, (NADH-coenzyme Q reductase) [Source:ZFIN;Acc:ZDB-GENE-050522-421]</t>
  </si>
  <si>
    <t>ENSDARG00000070939</t>
  </si>
  <si>
    <t>znf740a</t>
  </si>
  <si>
    <t>zinc finger protein 740a [Source:ZFIN;Acc:ZDB-GENE-030131-5064]</t>
  </si>
  <si>
    <t>ENSDARG00000053155</t>
  </si>
  <si>
    <t>alg3</t>
  </si>
  <si>
    <t>asparagine-linked glycosylation 3 (alpha-1,3-mannosyltransferase) [Source:ZFIN;Acc:ZDB-GENE-050522-334]</t>
  </si>
  <si>
    <t>ENSDARG00000008757</t>
  </si>
  <si>
    <t>entpd6</t>
  </si>
  <si>
    <t>ectonucleoside triphosphate diphosphohydrolase 6 (putative) [Source:ZFIN;Acc:ZDB-GENE-050417-412]</t>
  </si>
  <si>
    <t>ENSDARG00000070743</t>
  </si>
  <si>
    <t>tmem45a</t>
  </si>
  <si>
    <t>transmembrane protein 45a [Source:ZFIN;Acc:ZDB-GENE-050522-34]</t>
  </si>
  <si>
    <t>ENSDARG00000094992</t>
  </si>
  <si>
    <t>otx1b</t>
  </si>
  <si>
    <t>orthodenticle homeobox 1b [Source:ZFIN;Acc:ZDB-GENE-980526-400]</t>
  </si>
  <si>
    <t>ENSDARG00000015575</t>
  </si>
  <si>
    <t>cyp3c1</t>
  </si>
  <si>
    <t>cytochrome P450, family 3, subfamily c, polypeptide 1 [Source:ZFIN;Acc:ZDB-GENE-030131-3060]</t>
  </si>
  <si>
    <t>ENSDARG00000014910</t>
  </si>
  <si>
    <t>panx1b</t>
  </si>
  <si>
    <t>pannexin 1b [Source:ZFIN;Acc:ZDB-GENE-070705-192]</t>
  </si>
  <si>
    <t>ENSDARG00000090468</t>
  </si>
  <si>
    <t>ppp1r3aa</t>
  </si>
  <si>
    <t>protein phosphatase 1, regulatory subunit 3Aa [Source:ZFIN;Acc:ZDB-GENE-110914-122]</t>
  </si>
  <si>
    <t>ENSDARG00000093235</t>
  </si>
  <si>
    <t>TST</t>
  </si>
  <si>
    <t>zgc:162544 [Source:ZFIN;Acc:ZDB-GENE-030131-9020]</t>
  </si>
  <si>
    <t>ENSDARG00000058244</t>
  </si>
  <si>
    <t>il17ra1a</t>
  </si>
  <si>
    <t>interleukin 17 receptor A1a [Source:ZFIN;Acc:ZDB-GENE-070705-242]</t>
  </si>
  <si>
    <t>ENSDARG00000029668</t>
  </si>
  <si>
    <t>crim1</t>
  </si>
  <si>
    <t>cysteine rich transmembrane BMP regulator 1 (chordin-like) [Source:ZFIN;Acc:ZDB-GENE-040312-2]</t>
  </si>
  <si>
    <t>ENSDARG00000092154</t>
  </si>
  <si>
    <t>tex264a</t>
  </si>
  <si>
    <t>testis expressed 264a [Source:ZFIN;Acc:ZDB-GENE-040426-1885]</t>
  </si>
  <si>
    <t>ENSDARG00000002016</t>
  </si>
  <si>
    <t>ppil2</t>
  </si>
  <si>
    <t>peptidylprolyl isomerase (cyclophilin)-like 2 [Source:ZFIN;Acc:ZDB-GENE-040426-1096]</t>
  </si>
  <si>
    <t>ENSDARG00000075886</t>
  </si>
  <si>
    <t>vwa5b2</t>
  </si>
  <si>
    <t>von Willebrand factor A domain containing 5B2 [Source:ZFIN;Acc:ZDB-GENE-070912-216]</t>
  </si>
  <si>
    <t>ENSDARG00000005980</t>
  </si>
  <si>
    <t>sfswap</t>
  </si>
  <si>
    <t>splicing factor, suppressor of white-apricot family [Source:ZFIN;Acc:ZDB-GENE-040426-931]</t>
  </si>
  <si>
    <t>ENSDARG00000068582</t>
  </si>
  <si>
    <t>rnf44</t>
  </si>
  <si>
    <t>ring finger protein 44 [Source:ZFIN;Acc:ZDB-GENE-060929-604]</t>
  </si>
  <si>
    <t>ENSDARG00000017312</t>
  </si>
  <si>
    <t>lmbrd2b</t>
  </si>
  <si>
    <t>LMBR1 domain containing 2b [Source:ZFIN;Acc:ZDB-GENE-030131-7197]</t>
  </si>
  <si>
    <t>ENSDARG00000038876</t>
  </si>
  <si>
    <t>zgc:101569</t>
  </si>
  <si>
    <t>zgc:101569 [Source:ZFIN;Acc:ZDB-GENE-041010-72]</t>
  </si>
  <si>
    <t>ENSDARG00000014875</t>
  </si>
  <si>
    <t>abi2b</t>
  </si>
  <si>
    <t>abl-interactor 2b [Source:ZFIN;Acc:ZDB-GENE-060519-5]</t>
  </si>
  <si>
    <t>ENSDARG00000011570</t>
  </si>
  <si>
    <t>pou6f1</t>
  </si>
  <si>
    <t>POU class 6 homeobox 1 [Source:ZFIN;Acc:ZDB-GENE-980526-530]</t>
  </si>
  <si>
    <t>ENSDARG00000020621</t>
  </si>
  <si>
    <t>ap1b1</t>
  </si>
  <si>
    <t>adaptor-related protein complex 1, beta 1 subunit [Source:ZFIN;Acc:ZDB-GENE-061025-1]</t>
  </si>
  <si>
    <t>ENSDARG00000033364</t>
  </si>
  <si>
    <t>zgc:158387</t>
  </si>
  <si>
    <t>zgc:158387 [Source:ZFIN;Acc:ZDB-GENE-061215-48]</t>
  </si>
  <si>
    <t>ENSDARG00000100725</t>
  </si>
  <si>
    <t>ephb4a</t>
  </si>
  <si>
    <t>eph receptor B4a [Source:ZFIN;Acc:ZDB-GENE-990415-62]</t>
  </si>
  <si>
    <t>ENSDARG00000097057</t>
  </si>
  <si>
    <t>fxyd6l</t>
  </si>
  <si>
    <t>FXYD domain containing ion transport regulator 6 like [Source:ZFIN;Acc:ZDB-GENE-071205-8]</t>
  </si>
  <si>
    <t>ENSDARG00000092467</t>
  </si>
  <si>
    <t>si:ch73-46j18.5</t>
  </si>
  <si>
    <t>si:ch73-46j18.5 [Source:ZFIN;Acc:ZDB-GENE-030131-7892]</t>
  </si>
  <si>
    <t>ENSDARG00000069376</t>
  </si>
  <si>
    <t>tnfsf12</t>
  </si>
  <si>
    <t>tumor necrosis factor (ligand) superfamily, member 12 [Source:ZFIN;Acc:ZDB-GENE-060929-376]</t>
  </si>
  <si>
    <t>ENSDARG00000087403</t>
  </si>
  <si>
    <t>si:ch211-214p13.3</t>
  </si>
  <si>
    <t>si:ch211-214p13.3 [Source:ZFIN;Acc:ZDB-GENE-060503-779]</t>
  </si>
  <si>
    <t>ENSDARG00000057315</t>
  </si>
  <si>
    <t>rwdd3</t>
  </si>
  <si>
    <t>RWD domain containing 3 [Source:ZFIN;Acc:ZDB-GENE-040426-1723]</t>
  </si>
  <si>
    <t>ENSDARG00000088870</t>
  </si>
  <si>
    <t>si:dkey-265e15.5</t>
  </si>
  <si>
    <t>si:dkey-265e15.5 [Source:ZFIN;Acc:ZDB-GENE-081104-6]</t>
  </si>
  <si>
    <t>ENSDARG00000052846</t>
  </si>
  <si>
    <t>fsta</t>
  </si>
  <si>
    <t>follistatin a [Source:ZFIN;Acc:ZDB-GENE-990714-11]</t>
  </si>
  <si>
    <t>ENSDARG00000077428</t>
  </si>
  <si>
    <t>camta1a</t>
  </si>
  <si>
    <t>calmodulin binding transcription activator 1a [Source:ZFIN;Acc:ZDB-GENE-090312-183]</t>
  </si>
  <si>
    <t>ENSDARG00000101696</t>
  </si>
  <si>
    <t>FAM126B</t>
  </si>
  <si>
    <t>zgc:158316 [Source:ZFIN;Acc:ZDB-GENE-061215-98]</t>
  </si>
  <si>
    <t>ENSDARG00000057435</t>
  </si>
  <si>
    <t>amacr</t>
  </si>
  <si>
    <t>alpha-methylacyl-CoA racemase [Source:ZFIN;Acc:ZDB-GENE-050522-484]</t>
  </si>
  <si>
    <t>ENSDARG00000005972</t>
  </si>
  <si>
    <t>ric8b</t>
  </si>
  <si>
    <t>RIC8 guanine nucleotide exchange factor B [Source:ZFIN;Acc:ZDB-GENE-030131-6435]</t>
  </si>
  <si>
    <t>ENSDARG00000017874</t>
  </si>
  <si>
    <t>dnajc3b</t>
  </si>
  <si>
    <t>DnaJ (Hsp40) homolog, subfamily C, member 3b [Source:ZFIN;Acc:ZDB-GENE-000831-4]</t>
  </si>
  <si>
    <t>ENSDARG00000009250</t>
  </si>
  <si>
    <t>etfb</t>
  </si>
  <si>
    <t>electron-transfer-flavoprotein, beta polypeptide [Source:ZFIN;Acc:ZDB-GENE-040426-1931]</t>
  </si>
  <si>
    <t>ENSDARG00000075024</t>
  </si>
  <si>
    <t>KIF1C</t>
  </si>
  <si>
    <t>si:ch73-375g18.1 [Source:ZFIN;Acc:ZDB-GENE-110408-56]</t>
  </si>
  <si>
    <t>ENSDARG00000079062</t>
  </si>
  <si>
    <t>samd1b</t>
  </si>
  <si>
    <t>sterile alpha motif domain containing 1b [Source:ZFIN;Acc:ZDB-GENE-090313-2]</t>
  </si>
  <si>
    <t>ENSDARG00000095799</t>
  </si>
  <si>
    <t>si:ch1073-228j22.1</t>
  </si>
  <si>
    <t>si:ch1073-228j22.1 [Source:ZFIN;Acc:ZDB-GENE-110411-219]</t>
  </si>
  <si>
    <t>ENSDARG00000038789</t>
  </si>
  <si>
    <t>tmem53</t>
  </si>
  <si>
    <t>transmembrane protein 53 [Source:ZFIN;Acc:ZDB-GENE-040718-384]</t>
  </si>
  <si>
    <t>ENSDARG00000014727</t>
  </si>
  <si>
    <t>acox1</t>
  </si>
  <si>
    <t>acyl-CoA oxidase 1, palmitoyl [Source:ZFIN;Acc:ZDB-GENE-041010-219]</t>
  </si>
  <si>
    <t>ENSDARG00000002240</t>
  </si>
  <si>
    <t>psmb6</t>
  </si>
  <si>
    <t>proteasome subunit beta 6 [Source:ZFIN;Acc:ZDB-GENE-990415-216]</t>
  </si>
  <si>
    <t>ENSDARG00000053857</t>
  </si>
  <si>
    <t>ccdc187</t>
  </si>
  <si>
    <t>coiled-coil domain containing 187 [Source:ZFIN;Acc:ZDB-GENE-070410-81]</t>
  </si>
  <si>
    <t>ENSDARG00000087426</t>
  </si>
  <si>
    <t>si:ch211-151p13.8</t>
  </si>
  <si>
    <t>si:ch211-151p13.8 [Source:ZFIN;Acc:ZDB-GENE-141212-230]</t>
  </si>
  <si>
    <t>ENSDARG00000040942</t>
  </si>
  <si>
    <t>pnp6</t>
  </si>
  <si>
    <t>purine nucleoside phosphorylase 6 [Source:ZFIN;Acc:ZDB-GENE-040426-1800]</t>
  </si>
  <si>
    <t>ENSDARG00000098670</t>
  </si>
  <si>
    <t>MAP4K4</t>
  </si>
  <si>
    <t>si:zfos-433a6.1 [Source:ZFIN;Acc:ZDB-GENE-030131-6722]</t>
  </si>
  <si>
    <t>ENSDARG00000092799</t>
  </si>
  <si>
    <t>camta2</t>
  </si>
  <si>
    <t>calmodulin binding transcription activator 2 [Source:ZFIN;Acc:ZDB-GENE-090313-6]</t>
  </si>
  <si>
    <t>ENSDARG00000060197</t>
  </si>
  <si>
    <t>atp2c1</t>
  </si>
  <si>
    <t>ATPase, Ca++ transporting, type 2C, member 1 [Source:ZFIN;Acc:ZDB-GENE-060503-615]</t>
  </si>
  <si>
    <t>ENSDARG00000056007</t>
  </si>
  <si>
    <t>cyb5d1</t>
  </si>
  <si>
    <t>cytochrome b5 domain containing 1 [Source:ZFIN;Acc:ZDB-GENE-050417-173]</t>
  </si>
  <si>
    <t>ENSDARG00000029874</t>
  </si>
  <si>
    <t>khk</t>
  </si>
  <si>
    <t>ketohexokinase [Source:ZFIN;Acc:ZDB-GENE-040718-381]</t>
  </si>
  <si>
    <t>ENSDARG00000089626</t>
  </si>
  <si>
    <t>ptges3b</t>
  </si>
  <si>
    <t>prostaglandin E synthase 3b (cytosolic) [Source:ZFIN;Acc:ZDB-GENE-040625-144]</t>
  </si>
  <si>
    <t>ENSDARG00000039005</t>
  </si>
  <si>
    <t>trappc1</t>
  </si>
  <si>
    <t>trafficking protein particle complex 1 [Source:ZFIN;Acc:ZDB-GENE-040718-242]</t>
  </si>
  <si>
    <t>ENSDARG00000006272</t>
  </si>
  <si>
    <t>mpp5a</t>
  </si>
  <si>
    <t>membrane protein, palmitoylated 5a (MAGUK p55 subfamily member 5) [Source:ZFIN;Acc:ZDB-GENE-020712-1]</t>
  </si>
  <si>
    <t>ENSDARG00000021405</t>
  </si>
  <si>
    <t>chd3</t>
  </si>
  <si>
    <t>chromodomain helicase DNA binding protein 3 [Source:ZFIN;Acc:ZDB-GENE-121031-4]</t>
  </si>
  <si>
    <t>ENSDARG00000077732</t>
  </si>
  <si>
    <t>alyref</t>
  </si>
  <si>
    <t>Aly/REF export factor [Source:ZFIN;Acc:ZDB-GENE-070928-29]</t>
  </si>
  <si>
    <t>ENSDARG00000026701</t>
  </si>
  <si>
    <t>gtf2h1</t>
  </si>
  <si>
    <t>general transcription factor IIH, polypeptide 1 [Source:ZFIN;Acc:ZDB-GENE-040912-164]</t>
  </si>
  <si>
    <t>ENSDARG00000097197</t>
  </si>
  <si>
    <t>si:ch211-129i21.3</t>
  </si>
  <si>
    <t>si:ch211-129i21.3 [Source:ZFIN;Acc:ZDB-GENE-131118-25]</t>
  </si>
  <si>
    <t>ENSDARG00000101443</t>
  </si>
  <si>
    <t>zgc:66014</t>
  </si>
  <si>
    <t>zgc:66014 [Source:ZFIN;Acc:ZDB-GENE-040426-1507]</t>
  </si>
  <si>
    <t>ENSDARG00000088091</t>
  </si>
  <si>
    <t>pfn1</t>
  </si>
  <si>
    <t>profilin 1 [Source:ZFIN;Acc:ZDB-GENE-031002-33]</t>
  </si>
  <si>
    <t>ENSDARG00000070746</t>
  </si>
  <si>
    <t>SFT2D2.1</t>
  </si>
  <si>
    <t>zgc:110788 [Source:ZFIN;Acc:ZDB-GENE-050227-13]</t>
  </si>
  <si>
    <t>ENSDARG00000053854</t>
  </si>
  <si>
    <t>uts2a</t>
  </si>
  <si>
    <t>urotensin 2, alpha [Source:ZFIN;Acc:ZDB-GENE-040630-11]</t>
  </si>
  <si>
    <t>ENSDARG00000075996</t>
  </si>
  <si>
    <t>si:dkey-103d23.5</t>
  </si>
  <si>
    <t>si:dkey-103d23.5 [Source:ZFIN;Acc:ZDB-GENE-110131-6]</t>
  </si>
  <si>
    <t>ENSDARG00000074094</t>
  </si>
  <si>
    <t>tgm2b</t>
  </si>
  <si>
    <t>transglutaminase 2b [Source:ZFIN;Acc:ZDB-GENE-030131-2576]</t>
  </si>
  <si>
    <t>ENSDARG00000078245</t>
  </si>
  <si>
    <t>gal3st1b</t>
  </si>
  <si>
    <t>galactose-3-O-sulfotransferase 1b [Source:ZFIN;Acc:ZDB-GENE-091117-38]</t>
  </si>
  <si>
    <t>ENSDARG00000103543</t>
  </si>
  <si>
    <t>gngt2b</t>
  </si>
  <si>
    <t>guanine nucleotide binding protein (G protein), gamma transducing activity polypeptide 2b [Source:ZFIN;Acc:ZDB-GENE-091020-4]</t>
  </si>
  <si>
    <t>ENSDARG00000044074</t>
  </si>
  <si>
    <t>loxl2b</t>
  </si>
  <si>
    <t>lysyl oxidase-like 2b [Source:ZFIN;Acc:ZDB-GENE-050208-29]</t>
  </si>
  <si>
    <t>ENSDARG00000060498</t>
  </si>
  <si>
    <t>tnfrsf9a</t>
  </si>
  <si>
    <t>tumor necrosis factor receptor superfamily, member 9a [Source:ZFIN;Acc:ZDB-GENE-060421-8213]</t>
  </si>
  <si>
    <t>ENSDARG00000007867</t>
  </si>
  <si>
    <t>dazap2</t>
  </si>
  <si>
    <t>DAZ associated protein 2 [Source:ZFIN;Acc:ZDB-GENE-030131-3036]</t>
  </si>
  <si>
    <t>ENSDARG00000027112</t>
  </si>
  <si>
    <t>ephb4b</t>
  </si>
  <si>
    <t>eph receptor B4b [Source:ZFIN;Acc:ZDB-GENE-990415-65]</t>
  </si>
  <si>
    <t>ENSDARG00000036998</t>
  </si>
  <si>
    <t>arf3b</t>
  </si>
  <si>
    <t>ADP-ribosylation factor 3b [Source:ZFIN;Acc:ZDB-GENE-030616-356]</t>
  </si>
  <si>
    <t>ENSDARG00000043134</t>
  </si>
  <si>
    <t>cux1b</t>
  </si>
  <si>
    <t>cut-like homeobox 1b [Source:ZFIN;Acc:ZDB-GENE-040801-260]</t>
  </si>
  <si>
    <t>ENSDARG00000098495</t>
  </si>
  <si>
    <t>si:dkey-201i24.6</t>
  </si>
  <si>
    <t>si:dkey-201i24.6 [Source:ZFIN;Acc:ZDB-GENE-141216-392]</t>
  </si>
  <si>
    <t>ENSDARG00000010591</t>
  </si>
  <si>
    <t>foxn4</t>
  </si>
  <si>
    <t>forkhead box N4 [Source:ZFIN;Acc:ZDB-GENE-990415-277]</t>
  </si>
  <si>
    <t>ENSDARG00000040727</t>
  </si>
  <si>
    <t>tfb1m</t>
  </si>
  <si>
    <t>transcription factor B1, mitochondrial [Source:ZFIN;Acc:ZDB-GENE-060929-1010]</t>
  </si>
  <si>
    <t>ENSDARG00000052374</t>
  </si>
  <si>
    <t>faf2</t>
  </si>
  <si>
    <t>Fas associated factor family member 2 [Source:ZFIN;Acc:ZDB-GENE-050208-312]</t>
  </si>
  <si>
    <t>ENSDARG00000012140</t>
  </si>
  <si>
    <t>ccnl1b</t>
  </si>
  <si>
    <t>cyclin L1b [Source:ZFIN;Acc:ZDB-GENE-030131-4813]</t>
  </si>
  <si>
    <t>ENSDARG00000020482</t>
  </si>
  <si>
    <t>nono</t>
  </si>
  <si>
    <t>non-POU domain containing, octamer-binding [Source:ZFIN;Acc:ZDB-GENE-030131-713]</t>
  </si>
  <si>
    <t>ENSDARG00000016363</t>
  </si>
  <si>
    <t>her8a</t>
  </si>
  <si>
    <t>hairy-related 8a [Source:ZFIN;Acc:ZDB-GENE-030131-2376]</t>
  </si>
  <si>
    <t>ENSDARG00000058306</t>
  </si>
  <si>
    <t>prpf18</t>
  </si>
  <si>
    <t>PRP18 pre-mRNA processing factor 18 homolog (yeast) [Source:ZFIN;Acc:ZDB-GENE-040704-45]</t>
  </si>
  <si>
    <t>ENSDARG00000011405</t>
  </si>
  <si>
    <t>rps9</t>
  </si>
  <si>
    <t>ribosomal protein S9 [Source:ZFIN;Acc:ZDB-GENE-010724-15]</t>
  </si>
  <si>
    <t>ENSDARG00000061525</t>
  </si>
  <si>
    <t>slka</t>
  </si>
  <si>
    <t>STE20-like kinase a [Source:ZFIN;Acc:ZDB-GENE-050411-66]</t>
  </si>
  <si>
    <t>ENSDARG00000005827</t>
  </si>
  <si>
    <t>eif2s1a</t>
  </si>
  <si>
    <t>eukaryotic translation initiation factor 2, subunit 1 alpha a [Source:ZFIN;Acc:ZDB-GENE-030131-526]</t>
  </si>
  <si>
    <t>ENSDARG00000046140</t>
  </si>
  <si>
    <t>zgc:112038</t>
  </si>
  <si>
    <t>zgc:112038 [Source:ZFIN;Acc:ZDB-GENE-050522-271]</t>
  </si>
  <si>
    <t>ENSDARG00000035771</t>
  </si>
  <si>
    <t>MEPCE</t>
  </si>
  <si>
    <t>si:ch1073-157b13.1 [Source:ZFIN;Acc:ZDB-GENE-110411-13]</t>
  </si>
  <si>
    <t>ENSDARG00000093423</t>
  </si>
  <si>
    <t>swsap1</t>
  </si>
  <si>
    <t>SWIM-type zinc finger 7 associated protein 1 [Source:ZFIN;Acc:ZDB-GENE-071116-2]</t>
  </si>
  <si>
    <t>ENSDARG00000071233</t>
  </si>
  <si>
    <t>zgc:158254</t>
  </si>
  <si>
    <t>zgc:158254 [Source:ZFIN;Acc:ZDB-GENE-070112-2222]</t>
  </si>
  <si>
    <t>ENSDARG00000097774</t>
  </si>
  <si>
    <t>si:dkey-183n6.8</t>
  </si>
  <si>
    <t>si:dkey-183n6.8 [Source:ZFIN;Acc:ZDB-GENE-131122-100]</t>
  </si>
  <si>
    <t>ENSDARG00000098175</t>
  </si>
  <si>
    <t>dgkab</t>
  </si>
  <si>
    <t>diacylglycerol kinase, alpha b [Source:ZFIN;Acc:ZDB-GENE-121105-5]</t>
  </si>
  <si>
    <t>ENSDARG00000096026</t>
  </si>
  <si>
    <t>si:dkey-4e4.1</t>
  </si>
  <si>
    <t>si:dkey-4e4.1 [Source:ZFIN;Acc:ZDB-GENE-110914-73]</t>
  </si>
  <si>
    <t>ENSDARG00000101512</t>
  </si>
  <si>
    <t>tmx4</t>
  </si>
  <si>
    <t>thioredoxin-related transmembrane protein 4 [Source:ZFIN;Acc:ZDB-GENE-050706-155]</t>
  </si>
  <si>
    <t>ENSDARG00000016809</t>
  </si>
  <si>
    <t>prkacab</t>
  </si>
  <si>
    <t>protein kinase, cAMP-dependent, catalytic, alpha, genome duplicate b [Source:ZFIN;Acc:ZDB-GENE-040801-208]</t>
  </si>
  <si>
    <t>ENSDARG00000092842</t>
  </si>
  <si>
    <t>si:ch211-93g21.2</t>
  </si>
  <si>
    <t>si:ch211-93g21.2 [Source:ZFIN;Acc:ZDB-GENE-060503-799]</t>
  </si>
  <si>
    <t>ENSDARG00000051921</t>
  </si>
  <si>
    <t>slc30a5</t>
  </si>
  <si>
    <t>solute carrier family 30 (zinc transporter), member 5 [Source:ZFIN;Acc:ZDB-GENE-040718-6]</t>
  </si>
  <si>
    <t>ENSDARG00000060297</t>
  </si>
  <si>
    <t>arhgap35</t>
  </si>
  <si>
    <t>Rho GTPase activating protein 35b [Source:ZFIN;Acc:ZDB-GENE-060526-44]</t>
  </si>
  <si>
    <t>ENSDARG00000039007</t>
  </si>
  <si>
    <t>eno3</t>
  </si>
  <si>
    <t>enolase 3, (beta, muscle) [Source:ZFIN;Acc:ZDB-GENE-031006-5]</t>
  </si>
  <si>
    <t>ENSDARG00000076312</t>
  </si>
  <si>
    <t>myot</t>
  </si>
  <si>
    <t>myotilin [Source:ZFIN;Acc:ZDB-GENE-110411-129]</t>
  </si>
  <si>
    <t>ENSDARG00000015922</t>
  </si>
  <si>
    <t>zgc:153952</t>
  </si>
  <si>
    <t>zgc:153952 [Source:ZFIN;Acc:ZDB-GENE-061103-427]</t>
  </si>
  <si>
    <t>ENSDARG00000015901</t>
  </si>
  <si>
    <t>ptbp2b</t>
  </si>
  <si>
    <t>polypyrimidine tract binding protein 2b [Source:ZFIN;Acc:ZDB-GENE-060810-49]</t>
  </si>
  <si>
    <t>ENSDARG00000024933</t>
  </si>
  <si>
    <t>spast</t>
  </si>
  <si>
    <t>spastin [Source:ZFIN;Acc:ZDB-GENE-040426-2331]</t>
  </si>
  <si>
    <t>ENSDARG00000069640</t>
  </si>
  <si>
    <t>vegfc</t>
  </si>
  <si>
    <t>vascular endothelial growth factor c [Source:ZFIN;Acc:ZDB-GENE-040303-4]</t>
  </si>
  <si>
    <t>ENSDARG00000102572</t>
  </si>
  <si>
    <t>si:ch211-260e23.9</t>
  </si>
  <si>
    <t>si:ch211-260e23.9 [Source:ZFIN;Acc:ZDB-GENE-141222-48]</t>
  </si>
  <si>
    <t>ENSDARG00000018650</t>
  </si>
  <si>
    <t>gtpbp3</t>
  </si>
  <si>
    <t>GTP binding protein 3 [Source:ZFIN;Acc:ZDB-GENE-050522-335]</t>
  </si>
  <si>
    <t>ENSDARG00000095512</t>
  </si>
  <si>
    <t>rca2.2</t>
  </si>
  <si>
    <t>regulator of complement activation group 2 gene 2 [Source:ZFIN;Acc:ZDB-GENE-060503-646]</t>
  </si>
  <si>
    <t>ENSDARG00000100912</t>
  </si>
  <si>
    <t>zgc:162297</t>
  </si>
  <si>
    <t>zgc:162297 [Source:ZFIN;Acc:ZDB-GENE-070410-62]</t>
  </si>
  <si>
    <t>ENSDARG00000009418</t>
  </si>
  <si>
    <t>mef2cb</t>
  </si>
  <si>
    <t>myocyte enhancer factor 2cb [Source:ZFIN;Acc:ZDB-GENE-040901-7]</t>
  </si>
  <si>
    <t>ENSDARG00000030237</t>
  </si>
  <si>
    <t>pgrmc2</t>
  </si>
  <si>
    <t>progesterone receptor membrane component 2 [Source:ZFIN;Acc:ZDB-GENE-040426-2102]</t>
  </si>
  <si>
    <t>ENSDARG00000100508</t>
  </si>
  <si>
    <t>ubn2b</t>
  </si>
  <si>
    <t>ubinuclein 2b [Source:ZFIN;Acc:ZDB-GENE-060503-768]</t>
  </si>
  <si>
    <t>ENSDARG00000088741</t>
  </si>
  <si>
    <t>si:dkey-19n13.5</t>
  </si>
  <si>
    <t>si:dkey-19n13.5 [Source:ZFIN;Acc:ZDB-GENE-100922-90]</t>
  </si>
  <si>
    <t>ENSDARG00000097163</t>
  </si>
  <si>
    <t>si:dkey-182i1.1</t>
  </si>
  <si>
    <t>si:dkey-182i1.1 [Source:ZFIN;Acc:ZDB-GENE-131127-454]</t>
  </si>
  <si>
    <t>ENSDARG00000095038</t>
  </si>
  <si>
    <t>si:dkey-48k17.29</t>
  </si>
  <si>
    <t>si:dkey-48k17.29 [Source:ZFIN;Acc:ZDB-GENE-070912-540]</t>
  </si>
  <si>
    <t>ENSDARG00000071074</t>
  </si>
  <si>
    <t>rccd1</t>
  </si>
  <si>
    <t>RCC1 domain containing 1 [Source:ZFIN;Acc:ZDB-GENE-030131-3552]</t>
  </si>
  <si>
    <t>ENSDARG00000105131</t>
  </si>
  <si>
    <t>cog1</t>
  </si>
  <si>
    <t>component of oligomeric golgi complex 1 [Source:ZFIN;Acc:ZDB-GENE-050302-128]</t>
  </si>
  <si>
    <t>ENSDARG00000052371</t>
  </si>
  <si>
    <t>higd2a</t>
  </si>
  <si>
    <t>HIG1 hypoxia inducible domain family, member 2A [Source:ZFIN;Acc:ZDB-GENE-050417-119]</t>
  </si>
  <si>
    <t>ENSDARG00000039008</t>
  </si>
  <si>
    <t>zgc:85858</t>
  </si>
  <si>
    <t>zgc:85858 [Source:ZFIN;Acc:ZDB-GENE-040426-2333]</t>
  </si>
  <si>
    <t>ENSDARG00000070867</t>
  </si>
  <si>
    <t>smx5</t>
  </si>
  <si>
    <t>smx5 [Source:ZFIN;Acc:ZDB-GENE-000616-10]</t>
  </si>
  <si>
    <t>ENSDARG00000040265</t>
  </si>
  <si>
    <t>mpdu1b</t>
  </si>
  <si>
    <t>mannose-P-dolichol utilization defect 1b [Source:ZFIN;Acc:ZDB-GENE-040625-135]</t>
  </si>
  <si>
    <t>ENSDARG00000103118</t>
  </si>
  <si>
    <t>cib1</t>
  </si>
  <si>
    <t>calcium and integrin binding 1 (calmyrin) [Source:ZFIN;Acc:ZDB-GENE-050417-170]</t>
  </si>
  <si>
    <t>ENSDARG00000052368</t>
  </si>
  <si>
    <t>cltb</t>
  </si>
  <si>
    <t>clathrin, light chain B [Source:ZFIN;Acc:ZDB-GENE-101005-2]</t>
  </si>
  <si>
    <t>ENSDARG00000023868</t>
  </si>
  <si>
    <t>AKAP13</t>
  </si>
  <si>
    <t>si:dkey-172h23.2 [Source:ZFIN;Acc:ZDB-GENE-141212-258]</t>
  </si>
  <si>
    <t>ENSDARG00000069559</t>
  </si>
  <si>
    <t>muc13a</t>
  </si>
  <si>
    <t>mucin 13a, cell surface associated [Source:ZFIN;Acc:ZDB-GENE-061207-26]</t>
  </si>
  <si>
    <t>ENSDARG00000007523</t>
  </si>
  <si>
    <t>kmt2e</t>
  </si>
  <si>
    <t>lysine (K)-specific methyltransferase 2E [Source:ZFIN;Acc:ZDB-GENE-030131-4120]</t>
  </si>
  <si>
    <t>ENSDARG00000003414</t>
  </si>
  <si>
    <t>capslb</t>
  </si>
  <si>
    <t>calcyphosine-like b [Source:ZFIN;Acc:ZDB-GENE-050417-298]</t>
  </si>
  <si>
    <t>ENSDARG00000092856</t>
  </si>
  <si>
    <t>si:ch211-210c8.7</t>
  </si>
  <si>
    <t>si:ch211-210c8.7 [Source:ZFIN;Acc:ZDB-GENE-090313-81]</t>
  </si>
  <si>
    <t>ENSDARG00000103849</t>
  </si>
  <si>
    <t>mdh1ab</t>
  </si>
  <si>
    <t>malate dehydrogenase 1Ab, NAD (soluble) [Source:ZFIN;Acc:ZDB-GENE-030131-7655]</t>
  </si>
  <si>
    <t>ENSDARG00000002194</t>
  </si>
  <si>
    <t>rhd</t>
  </si>
  <si>
    <t>Rh blood group, D antigen [Source:ZFIN;Acc:ZDB-GENE-051213-1]</t>
  </si>
  <si>
    <t>ENSDARG00000074590</t>
  </si>
  <si>
    <t>wdpcp</t>
  </si>
  <si>
    <t>WD repeat containing planar cell polarity effector [Source:ZFIN;Acc:ZDB-GENE-100405-4]</t>
  </si>
  <si>
    <t>ENSDARG00000055283</t>
  </si>
  <si>
    <t>id2a</t>
  </si>
  <si>
    <t>inhibitor of DNA binding 2, dominant negative helix-loop-helix protein, a [Source:ZFIN;Acc:ZDB-GENE-020910-1]</t>
  </si>
  <si>
    <t>ENSDARG00000015757</t>
  </si>
  <si>
    <t>tmem50a</t>
  </si>
  <si>
    <t>transmembrane protein 50A [Source:ZFIN;Acc:ZDB-GENE-040426-2937]</t>
  </si>
  <si>
    <t>ENSDARG00000057644</t>
  </si>
  <si>
    <t>adam8b</t>
  </si>
  <si>
    <t>ADAM metallopeptidase domain 8b [Source:ZFIN;Acc:ZDB-GENE-070808-1]</t>
  </si>
  <si>
    <t>ENSDARG00000104197</t>
  </si>
  <si>
    <t>ptpn22</t>
  </si>
  <si>
    <t>protein tyrosine phosphatase, non-receptor type 22 [Source:ZFIN;Acc:ZDB-GENE-060503-458]</t>
  </si>
  <si>
    <t>ENSDARG00000069295</t>
  </si>
  <si>
    <t>bcl6ab</t>
  </si>
  <si>
    <t>B-cell CLL/lymphoma 6a, genome duplicate b [Source:ZFIN;Acc:ZDB-GENE-030131-7523]</t>
  </si>
  <si>
    <t>ENSDARG00000009023</t>
  </si>
  <si>
    <t>ankrd28b</t>
  </si>
  <si>
    <t>ankyrin repeat domain 28b [Source:ZFIN;Acc:ZDB-GENE-070622-4]</t>
  </si>
  <si>
    <t>ENSDARG00000100276</t>
  </si>
  <si>
    <t>tmem101</t>
  </si>
  <si>
    <t>transmembrane protein 101 [Source:ZFIN;Acc:ZDB-GENE-121214-289]</t>
  </si>
  <si>
    <t>ENSDARG00000009342</t>
  </si>
  <si>
    <t>txndc5</t>
  </si>
  <si>
    <t>thioredoxin domain containing 5 [Source:ZFIN;Acc:ZDB-GENE-040426-1951]</t>
  </si>
  <si>
    <t>ENSDARG00000058323</t>
  </si>
  <si>
    <t>tmbim1</t>
  </si>
  <si>
    <t>transmembrane BAX inhibitor motif containing 1 [Source:ZFIN;Acc:ZDB-GENE-041010-69]</t>
  </si>
  <si>
    <t>ENSDARG00000035521</t>
  </si>
  <si>
    <t>sfrp1a</t>
  </si>
  <si>
    <t>secreted frizzled-related protein 1a [Source:ZFIN;Acc:ZDB-GENE-040310-5]</t>
  </si>
  <si>
    <t>ENSDARG00000075133</t>
  </si>
  <si>
    <t>adgrb1a</t>
  </si>
  <si>
    <t>adhesion G protein-coupled receptor B1a [Source:ZFIN;Acc:ZDB-GENE-060607-12]</t>
  </si>
  <si>
    <t>ENSDARG00000006477</t>
  </si>
  <si>
    <t>ddi2</t>
  </si>
  <si>
    <t>DNA-damage inducible protein 2 [Source:ZFIN;Acc:ZDB-GENE-031030-15]</t>
  </si>
  <si>
    <t>ENSDARG00000003779</t>
  </si>
  <si>
    <t>ctnnd2b</t>
  </si>
  <si>
    <t>catenin (cadherin-associated protein), delta 2b [Source:ZFIN;Acc:ZDB-GENE-070912-532]</t>
  </si>
  <si>
    <t>ENSDARG00000093469</t>
  </si>
  <si>
    <t>znf653</t>
  </si>
  <si>
    <t>zinc finger protein 653 [Source:ZFIN;Acc:ZDB-GENE-071116-3]</t>
  </si>
  <si>
    <t>ENSDARG00000045200</t>
  </si>
  <si>
    <t>dusp19b</t>
  </si>
  <si>
    <t>dual specificity phosphatase 19b [Source:ZFIN;Acc:ZDB-GENE-040502-1]</t>
  </si>
  <si>
    <t>ENSDARG00000059461</t>
  </si>
  <si>
    <t>mepce</t>
  </si>
  <si>
    <t>methylphosphate capping enzyme [Source:ZFIN;Acc:ZDB-GENE-030131-3936]</t>
  </si>
  <si>
    <t>ENSDARG00000038012</t>
  </si>
  <si>
    <t>fam83fa</t>
  </si>
  <si>
    <t>family with sequence similarity 83, member Fa [Source:ZFIN;Acc:ZDB-GENE-090624-5]</t>
  </si>
  <si>
    <t>ENSDARG00000100718</t>
  </si>
  <si>
    <t>me2</t>
  </si>
  <si>
    <t>malic enzyme 2, NAD(+)-dependent, mitochondrial [Source:ZFIN;Acc:ZDB-GENE-040801-147]</t>
  </si>
  <si>
    <t>ENSDARG00000096819</t>
  </si>
  <si>
    <t>si:dkey-48o4.1</t>
  </si>
  <si>
    <t>si:dkey-48o4.1 [Source:ZFIN;Acc:ZDB-GENE-131125-25]</t>
  </si>
  <si>
    <t>ENSDARG00000086104</t>
  </si>
  <si>
    <t>slco5a2</t>
  </si>
  <si>
    <t>solute carrier organic anion transporter family, member 5A2 [Source:ZFIN;Acc:ZDB-GENE-070912-587]</t>
  </si>
  <si>
    <t>ENSDARG00000010250</t>
  </si>
  <si>
    <t>nqo1</t>
  </si>
  <si>
    <t>NAD(P)H dehydrogenase, quinone 1 [Source:ZFIN;Acc:ZDB-GENE-030131-1226]</t>
  </si>
  <si>
    <t>ENSDARG00000092106</t>
  </si>
  <si>
    <t>si:ch211-214p13.8</t>
  </si>
  <si>
    <t>si:ch211-214p13.8 [Source:ZFIN;Acc:ZDB-GENE-060503-120]</t>
  </si>
  <si>
    <t>ENSDARG00000068711</t>
  </si>
  <si>
    <t>crfb4</t>
  </si>
  <si>
    <t>cytokine receptor family member b4 [Source:ZFIN;Acc:ZDB-GENE-070905-3]</t>
  </si>
  <si>
    <t>ENSDARG00000077540</t>
  </si>
  <si>
    <t>f2rl1.2</t>
  </si>
  <si>
    <t>coagulation factor II (thrombin) receptor-like 1, tandem duplicate 2 [Source:ZFIN;Acc:ZDB-GENE-070615-24]</t>
  </si>
  <si>
    <t>ENSDARG00000035732</t>
  </si>
  <si>
    <t>arntl1b</t>
  </si>
  <si>
    <t>aryl hydrocarbon receptor nuclear translocator-like 1b [Source:ZFIN;Acc:ZDB-GENE-030408-1]</t>
  </si>
  <si>
    <t>ENSDARG00000059079</t>
  </si>
  <si>
    <t>vps25</t>
  </si>
  <si>
    <t>vacuolar protein sorting 25 homolog (S. cerevisiae) [Source:ZFIN;Acc:ZDB-GENE-050506-30]</t>
  </si>
  <si>
    <t>ENSDARG00000015506</t>
  </si>
  <si>
    <t>klf5a</t>
  </si>
  <si>
    <t>Kruppel-like factor 5a [Source:ZFIN;Acc:ZDB-GENE-090312-167]</t>
  </si>
  <si>
    <t>ENSDARG00000026166</t>
  </si>
  <si>
    <t>emilin1b</t>
  </si>
  <si>
    <t>elastin microfibril interfacer 1b [Source:ZFIN;Acc:ZDB-GENE-060818-36]</t>
  </si>
  <si>
    <t>ENSDARG00000026137</t>
  </si>
  <si>
    <t>sfxn5b</t>
  </si>
  <si>
    <t>sideroflexin 5b [Source:ZFIN;Acc:ZDB-GENE-050706-107]</t>
  </si>
  <si>
    <t>ENSDARG00000095294</t>
  </si>
  <si>
    <t>si:dkey-200l5.4</t>
  </si>
  <si>
    <t>si:dkey-200l5.4 [Source:ZFIN;Acc:ZDB-GENE-091204-393]</t>
  </si>
  <si>
    <t>ENSDARG00000012194</t>
  </si>
  <si>
    <t>scp2a</t>
  </si>
  <si>
    <t>sterol carrier protein 2a [Source:ZFIN;Acc:ZDB-GENE-040426-1846]</t>
  </si>
  <si>
    <t>ENSDARG00000092949</t>
  </si>
  <si>
    <t>si:ch73-366i20.1</t>
  </si>
  <si>
    <t>si:ch73-366i20.1 [Source:ZFIN;Acc:ZDB-GENE-070912-338]</t>
  </si>
  <si>
    <t>ENSDARG00000036588</t>
  </si>
  <si>
    <t>mhc1zba</t>
  </si>
  <si>
    <t>major histocompatibility complex class I ZBA [Source:ZFIN;Acc:ZDB-GENE-040426-2149]</t>
  </si>
  <si>
    <t>ENSDARG00000030153</t>
  </si>
  <si>
    <t>gnptab</t>
  </si>
  <si>
    <t>N-acetylglucosamine-1-phosphate transferase, alpha and beta subunits [Source:ZFIN;Acc:ZDB-GENE-030131-4714]</t>
  </si>
  <si>
    <t>ENSDARG00000037100</t>
  </si>
  <si>
    <t>ankrd10a</t>
  </si>
  <si>
    <t>ankyrin repeat domain 10a [Source:ZFIN;Acc:ZDB-GENE-040426-700]</t>
  </si>
  <si>
    <t>ENSDARG00000061968</t>
  </si>
  <si>
    <t>myo1ha</t>
  </si>
  <si>
    <t>myosin IHa [Source:ZFIN;Acc:ZDB-GENE-060531-78]</t>
  </si>
  <si>
    <t>ENSDARG00000040087</t>
  </si>
  <si>
    <t>epb41l4a</t>
  </si>
  <si>
    <t>erythrocyte membrane protein band 4.1 like 4A [Source:ZFIN;Acc:ZDB-GENE-990415-20]</t>
  </si>
  <si>
    <t>ENSDARG00000078500</t>
  </si>
  <si>
    <t>dap3</t>
  </si>
  <si>
    <t>death associated protein 3 [Source:ZFIN;Acc:ZDB-GENE-051129-2]</t>
  </si>
  <si>
    <t>ENSDARG00000090116</t>
  </si>
  <si>
    <t>znf1136</t>
  </si>
  <si>
    <t>zinc finger protein 1136 [Source:ZFIN;Acc:ZDB-GENE-120709-10]</t>
  </si>
  <si>
    <t>ENSDARG00000039974</t>
  </si>
  <si>
    <t>rai14</t>
  </si>
  <si>
    <t>retinoic acid induced 14 [Source:ZFIN;Acc:ZDB-GENE-040718-235]</t>
  </si>
  <si>
    <t>ENSDARG00000015471</t>
  </si>
  <si>
    <t>chd1l</t>
  </si>
  <si>
    <t>chromodomain helicase DNA binding protein 1-like [Source:ZFIN;Acc:ZDB-GENE-040426-892]</t>
  </si>
  <si>
    <t>ENSDARG00000093270</t>
  </si>
  <si>
    <t>si:ch211-219f7.2</t>
  </si>
  <si>
    <t>si:ch211-219f7.2 [Source:ZFIN;Acc:ZDB-GENE-060526-108]</t>
  </si>
  <si>
    <t>ENSDARG00000092131</t>
  </si>
  <si>
    <t>si:ch211-219f7.3</t>
  </si>
  <si>
    <t>si:ch211-219f7.3 [Source:ZFIN;Acc:ZDB-GENE-060531-38]</t>
  </si>
  <si>
    <t>ENSDARG00000043128</t>
  </si>
  <si>
    <t>cldne</t>
  </si>
  <si>
    <t>claudin e [Source:ZFIN;Acc:ZDB-GENE-010328-5]</t>
  </si>
  <si>
    <t>ENSDARG00000076176</t>
  </si>
  <si>
    <t>ptcd1</t>
  </si>
  <si>
    <t>pentatricopeptide repeat domain 1 [Source:ZFIN;Acc:ZDB-GENE-030131-6146]</t>
  </si>
  <si>
    <t>ENSDARG00000097665</t>
  </si>
  <si>
    <t>si:ch211-235m3.10</t>
  </si>
  <si>
    <t>si:ch211-235m3.10 [Source:ZFIN;Acc:ZDB-GENE-131127-468]</t>
  </si>
  <si>
    <t>ENSDARG00000088739</t>
  </si>
  <si>
    <t>si:ch211-235m3.9</t>
  </si>
  <si>
    <t>si:ch211-235m3.9 [Source:ZFIN;Acc:ZDB-GENE-131121-311]</t>
  </si>
  <si>
    <t>ENSDARG00000044605</t>
  </si>
  <si>
    <t>stx12l</t>
  </si>
  <si>
    <t>syntaxin 12, like [Source:ZFIN;Acc:ZDB-GENE-110715-1]</t>
  </si>
  <si>
    <t>ENSDARG00000079415</t>
  </si>
  <si>
    <t>dnajc30b</t>
  </si>
  <si>
    <t>DnaJ (Hsp40) homolog, subfamily C, member 30b [Source:ZFIN;Acc:ZDB-GENE-131121-532]</t>
  </si>
  <si>
    <t>ENSDARG00000030441</t>
  </si>
  <si>
    <t>ppa1b</t>
  </si>
  <si>
    <t>pyrophosphatase (inorganic) 1b [Source:ZFIN;Acc:ZDB-GENE-050417-375]</t>
  </si>
  <si>
    <t>ENSDARG00000022085</t>
  </si>
  <si>
    <t>si:dkey-34e4.1</t>
  </si>
  <si>
    <t>si:dkey-34e4.1 [Source:ZFIN;Acc:ZDB-GENE-070705-456]</t>
  </si>
  <si>
    <t>ENSDARG00000059610</t>
  </si>
  <si>
    <t>gpr146</t>
  </si>
  <si>
    <t>G protein-coupled receptor 146 [Source:ZFIN;Acc:ZDB-GENE-050823-3]</t>
  </si>
  <si>
    <t>ENSDARG00000087107</t>
  </si>
  <si>
    <t>CFAP221</t>
  </si>
  <si>
    <t>si:ch73-222h13.1 [Source:ZFIN;Acc:ZDB-GENE-090313-144]</t>
  </si>
  <si>
    <t>ENSDARG00000103900</t>
  </si>
  <si>
    <t>sept9b</t>
  </si>
  <si>
    <t>septin 9b [Source:ZFIN;Acc:ZDB-GENE-050327-17]</t>
  </si>
  <si>
    <t>ENSDARG00000002021</t>
  </si>
  <si>
    <t>pygb</t>
  </si>
  <si>
    <t>phosphorylase, glycogen; brain [Source:ZFIN;Acc:ZDB-GENE-040928-2]</t>
  </si>
  <si>
    <t>ENSDARG00000043713</t>
  </si>
  <si>
    <t>asf1bb</t>
  </si>
  <si>
    <t>anti-silencing function 1Bb histone chaperone [Source:ZFIN;Acc:ZDB-GENE-040426-2594]</t>
  </si>
  <si>
    <t>ENSDARG00000032802</t>
  </si>
  <si>
    <t>ktn1</t>
  </si>
  <si>
    <t>kinectin 1 [Source:ZFIN;Acc:ZDB-GENE-030408-4]</t>
  </si>
  <si>
    <t>ENSDARG00000025757</t>
  </si>
  <si>
    <t>tspan35</t>
  </si>
  <si>
    <t>tetraspanin 35 [Source:ZFIN;Acc:ZDB-GENE-040426-1362]</t>
  </si>
  <si>
    <t>ENSDARG00000094561</t>
  </si>
  <si>
    <t>si:ch211-139a5.9</t>
  </si>
  <si>
    <t>si:ch211-139a5.9 [Source:ZFIN;Acc:ZDB-GENE-141222-100]</t>
  </si>
  <si>
    <t>ENSDARG00000076634</t>
  </si>
  <si>
    <t>capn10</t>
  </si>
  <si>
    <t>calpain 10 [Source:ZFIN;Acc:ZDB-GENE-110411-137]</t>
  </si>
  <si>
    <t>ENSDARG00000060374</t>
  </si>
  <si>
    <t>ttll11</t>
  </si>
  <si>
    <t>tubulin tyrosine ligase-like family, member 11 [Source:ZFIN;Acc:ZDB-GENE-061013-747]</t>
  </si>
  <si>
    <t>ENSDARG00000103066</t>
  </si>
  <si>
    <t>si:ch73-14h10.2</t>
  </si>
  <si>
    <t>si:ch73-14h10.2 [Source:ZFIN;Acc:ZDB-GENE-141222-67]</t>
  </si>
  <si>
    <t>ENSDARG00000060016</t>
  </si>
  <si>
    <t>nsd1a</t>
  </si>
  <si>
    <t>nuclear receptor binding SET domain protein 1a [Source:ZFIN;Acc:ZDB-GENE-080519-3]</t>
  </si>
  <si>
    <t>ENSDARG00000078866</t>
  </si>
  <si>
    <t>sdk1a</t>
  </si>
  <si>
    <t>sidekick cell adhesion molecule 1a [Source:ZFIN;Acc:ZDB-GENE-081104-374]</t>
  </si>
  <si>
    <t>ENSDARG00000020504</t>
  </si>
  <si>
    <t>h3f3a</t>
  </si>
  <si>
    <t>H3 histone, family 3A [Source:ZFIN;Acc:ZDB-GENE-040426-1928]</t>
  </si>
  <si>
    <t>ENSDARG00000104999</t>
  </si>
  <si>
    <t>si:dkey-45k15.3</t>
  </si>
  <si>
    <t>si:dkey-45k15.3 [Source:ZFIN;Acc:ZDB-GENE-141216-344]</t>
  </si>
  <si>
    <t>ENSDARG00000036587</t>
  </si>
  <si>
    <t>cbr1</t>
  </si>
  <si>
    <t>carbonyl reductase 1 [Source:ZFIN;Acc:ZDB-GENE-030902-2]</t>
  </si>
  <si>
    <t>ENSDARG00000076966</t>
  </si>
  <si>
    <t>pagr1</t>
  </si>
  <si>
    <t>PAXIP1 associated glutamate-rich protein 1 [Source:ZFIN;Acc:ZDB-GENE-030131-4801]</t>
  </si>
  <si>
    <t>ENSDARG00000027322</t>
  </si>
  <si>
    <t>lin7c</t>
  </si>
  <si>
    <t>lin-7 homolog C (C. elegans) [Source:ZFIN;Acc:ZDB-GENE-041011-2]</t>
  </si>
  <si>
    <t>ENSDARG00000101569</t>
  </si>
  <si>
    <t>ppargc1b</t>
  </si>
  <si>
    <t>peroxisome proliferator-activated receptor gamma, coactivator 1 beta [Source:ZFIN;Acc:ZDB-GENE-030616-43]</t>
  </si>
  <si>
    <t>ENSDARG00000096767</t>
  </si>
  <si>
    <t>si:ch211-250m6.8</t>
  </si>
  <si>
    <t>si:ch211-250m6.8 [Source:ZFIN;Acc:ZDB-GENE-060503-130]</t>
  </si>
  <si>
    <t>ENSDARG00000007344</t>
  </si>
  <si>
    <t>tcap</t>
  </si>
  <si>
    <t>titin-cap (telethonin) [Source:ZFIN;Acc:ZDB-GENE-070501-5]</t>
  </si>
  <si>
    <t>ENSDARG00000042780</t>
  </si>
  <si>
    <t>apoba</t>
  </si>
  <si>
    <t>apolipoprotein Ba [Source:ZFIN;Acc:ZDB-GENE-070702-4]</t>
  </si>
  <si>
    <t>ENSDARG00000093760</t>
  </si>
  <si>
    <t>si:ch211-197h24.9</t>
  </si>
  <si>
    <t>si:ch211-197h24.9 [Source:ZFIN;Acc:ZDB-GENE-031116-15]</t>
  </si>
  <si>
    <t>ENSDARG00000060929</t>
  </si>
  <si>
    <t>rnf220a</t>
  </si>
  <si>
    <t>ring finger protein 220a [Source:ZFIN;Acc:ZDB-GENE-060929-1006]</t>
  </si>
  <si>
    <t>ENSDARG00000042249</t>
  </si>
  <si>
    <t>FRMD4A</t>
  </si>
  <si>
    <t>si:ch211-220f12.1 [Source:ZFIN;Acc:ZDB-GENE-050419-154]</t>
  </si>
  <si>
    <t>ENSDARG00000036791</t>
  </si>
  <si>
    <t>dnmt3bb.1</t>
  </si>
  <si>
    <t>DNA (cytosine-5-)-methyltransferase 3 beta, duplicate b.1 [Source:ZFIN;Acc:ZDB-GENE-050314-1]</t>
  </si>
  <si>
    <t>ENSDARG00000038069</t>
  </si>
  <si>
    <t>mgat3a</t>
  </si>
  <si>
    <t>mannosyl (beta-1,4-)-glycoprotein beta-1,4-N-acetylglucosaminyltransferase a [Source:ZFIN;Acc:ZDB-GENE-050522-249]</t>
  </si>
  <si>
    <t>ENSDARG00000096462</t>
  </si>
  <si>
    <t>si:dkeyp-82h4.2</t>
  </si>
  <si>
    <t>si:dkeyp-82h4.2 [Source:ZFIN;Acc:ZDB-GENE-120709-84]</t>
  </si>
  <si>
    <t>ENSDARG00000098623</t>
  </si>
  <si>
    <t>HYLS1</t>
  </si>
  <si>
    <t>si:dkey-23f9.4 [Source:ZFIN;Acc:ZDB-GENE-141222-88]</t>
  </si>
  <si>
    <t>ENSDARG00000105068</t>
  </si>
  <si>
    <t>SMIM22</t>
  </si>
  <si>
    <t>si:ch1073-443f11.2 [Source:ZFIN;Acc:ZDB-GENE-120215-185]</t>
  </si>
  <si>
    <t>ENSDARG00000092987</t>
  </si>
  <si>
    <t>zmat4a</t>
  </si>
  <si>
    <t>zinc finger, matrin-type 4a [Source:ZFIN;Acc:ZDB-GENE-081104-333]</t>
  </si>
  <si>
    <t>ENSDARG00000068865</t>
  </si>
  <si>
    <t>si:dkey-61p9.7</t>
  </si>
  <si>
    <t>si:dkey-61p9.7 [Source:ZFIN;Acc:ZDB-GENE-041210-241]</t>
  </si>
  <si>
    <t>ENSDARG00000101087</t>
  </si>
  <si>
    <t>si:dkeyp-80d11.1</t>
  </si>
  <si>
    <t>si:dkeyp-80d11.1 [Source:ZFIN;Acc:ZDB-GENE-030131-4126]</t>
  </si>
  <si>
    <t>ENSDARG00000033707</t>
  </si>
  <si>
    <t>jade1</t>
  </si>
  <si>
    <t>jade family PHD finger 1 [Source:ZFIN;Acc:ZDB-GENE-030131-5648]</t>
  </si>
  <si>
    <t>ENSDARG00000071774</t>
  </si>
  <si>
    <t>eef1e1</t>
  </si>
  <si>
    <t>eukaryotic translation elongation factor 1 epsilon 1 [Source:ZFIN;Acc:ZDB-GENE-030131-4949]</t>
  </si>
  <si>
    <t>ENSDARG00000096463</t>
  </si>
  <si>
    <t>si:dkeyp-82h4.1</t>
  </si>
  <si>
    <t>si:dkeyp-82h4.1 [Source:ZFIN;Acc:ZDB-GENE-120709-49]</t>
  </si>
  <si>
    <t>ENSDARG00000006202</t>
  </si>
  <si>
    <t>erbb3a</t>
  </si>
  <si>
    <t>erb-b2 receptor tyrosine kinase 3a [Source:ZFIN;Acc:ZDB-GENE-030916-3]</t>
  </si>
  <si>
    <t>ENSDARG00000058824</t>
  </si>
  <si>
    <t>mrpl4</t>
  </si>
  <si>
    <t>mitochondrial ribosomal protein L4 [Source:ZFIN;Acc:ZDB-GENE-050522-388]</t>
  </si>
  <si>
    <t>ENSDARG00000092759</t>
  </si>
  <si>
    <t>si:dkey-61p9.9</t>
  </si>
  <si>
    <t>si:dkey-61p9.9 [Source:ZFIN;Acc:ZDB-GENE-041210-240]</t>
  </si>
  <si>
    <t>ENSDARG00000043795</t>
  </si>
  <si>
    <t>arhgdia</t>
  </si>
  <si>
    <t>Rho GDP dissociation inhibitor (GDI) alpha [Source:ZFIN;Acc:ZDB-GENE-040426-2816]</t>
  </si>
  <si>
    <t>ENSDARG00000058062</t>
  </si>
  <si>
    <t>magt1</t>
  </si>
  <si>
    <t>magnesium transporter 1 [Source:ZFIN;Acc:ZDB-GENE-030131-3667]</t>
  </si>
  <si>
    <t>ENSDARG00000060977</t>
  </si>
  <si>
    <t>zgc:153018</t>
  </si>
  <si>
    <t>zgc:153018 [Source:ZFIN;Acc:ZDB-GENE-060929-752]</t>
  </si>
  <si>
    <t>ENSDARG00000079497</t>
  </si>
  <si>
    <t>zgc:110340</t>
  </si>
  <si>
    <t>zgc:110340 [Source:ZFIN;Acc:ZDB-GENE-050320-36]</t>
  </si>
  <si>
    <t>ENSDARG00000039579</t>
  </si>
  <si>
    <t>cfd</t>
  </si>
  <si>
    <t>complement factor D (adipsin) [Source:ZFIN;Acc:ZDB-GENE-050522-411]</t>
  </si>
  <si>
    <t>ENSDARG00000068856</t>
  </si>
  <si>
    <t>f2rl1.1</t>
  </si>
  <si>
    <t>coagulation factor II (thrombin) receptor-like 1, tandem duplicate 1 [Source:ZFIN;Acc:ZDB-GENE-061215-140]</t>
  </si>
  <si>
    <t>ENSDARG00000079591</t>
  </si>
  <si>
    <t>SSH3</t>
  </si>
  <si>
    <t>si:ch211-203d1.3 [Source:ZFIN;Acc:ZDB-GENE-160113-15]</t>
  </si>
  <si>
    <t>ENSDARG00000104682</t>
  </si>
  <si>
    <t>tpm2</t>
  </si>
  <si>
    <t>tropomyosin 2 (beta) [Source:ZFIN;Acc:ZDB-GENE-040625-114]</t>
  </si>
  <si>
    <t>ENSDARG00000069529</t>
  </si>
  <si>
    <t>zgc:153981</t>
  </si>
  <si>
    <t>zgc:153981 [Source:ZFIN;Acc:ZDB-GENE-061103-367]</t>
  </si>
  <si>
    <t>ENSDARG00000090821</t>
  </si>
  <si>
    <t>tp53rk</t>
  </si>
  <si>
    <t>TP53 regulating kinase [Source:ZFIN;Acc:ZDB-GENE-050522-123]</t>
  </si>
  <si>
    <t>ENSDARG00000000567</t>
  </si>
  <si>
    <t>znf281a</t>
  </si>
  <si>
    <t>zinc finger protein 281a [Source:ZFIN;Acc:ZDB-GENE-131126-34]</t>
  </si>
  <si>
    <t>ENSDARG00000007098</t>
  </si>
  <si>
    <t>itm2ba</t>
  </si>
  <si>
    <t>integral membrane protein 2Ba [Source:ZFIN;Acc:ZDB-GENE-030131-2352]</t>
  </si>
  <si>
    <t>ENSDARG00000045490</t>
  </si>
  <si>
    <t>ndufb2</t>
  </si>
  <si>
    <t>NADH dehydrogenase (ubiquinone) 1 beta subcomplex, 2 [Source:ZFIN;Acc:ZDB-GENE-040426-1762]</t>
  </si>
  <si>
    <t>ENSDARG00000003219</t>
  </si>
  <si>
    <t>bin2a</t>
  </si>
  <si>
    <t>bridging integrator 2a [Source:ZFIN;Acc:ZDB-GENE-041114-126]</t>
  </si>
  <si>
    <t>ENSDARG00000092115</t>
  </si>
  <si>
    <t>eif4a1a</t>
  </si>
  <si>
    <t>eukaryotic translation initiation factor 4A1A [Source:ZFIN;Acc:ZDB-GENE-031030-2]</t>
  </si>
  <si>
    <t>ENSDARG00000096152</t>
  </si>
  <si>
    <t>si:dkey-149m13.4</t>
  </si>
  <si>
    <t>si:dkey-149m13.4 [Source:ZFIN;Acc:ZDB-GENE-110914-34]</t>
  </si>
  <si>
    <t>ENSDARG00000018817</t>
  </si>
  <si>
    <t>bdnf</t>
  </si>
  <si>
    <t>brain-derived neurotrophic factor [Source:ZFIN;Acc:ZDB-GENE-000412-1]</t>
  </si>
  <si>
    <t>ENSDARG00000078728</t>
  </si>
  <si>
    <t>znf1068</t>
  </si>
  <si>
    <t>zinc finger protein 1068 [Source:ZFIN;Acc:ZDB-GENE-080215-12]</t>
  </si>
  <si>
    <t>ENSDARG00000017811</t>
  </si>
  <si>
    <t>si:ch211-210c8.6</t>
  </si>
  <si>
    <t>si:ch211-210c8.6 [Source:ZFIN;Acc:ZDB-GENE-030131-3630]</t>
  </si>
  <si>
    <t>ENSDARG00000061714</t>
  </si>
  <si>
    <t>EXOC3L4</t>
  </si>
  <si>
    <t>si:dkey-45k15.1 [Source:ZFIN;Acc:ZDB-GENE-081107-67]</t>
  </si>
  <si>
    <t>ENSDARG00000004023</t>
  </si>
  <si>
    <t>isl1</t>
  </si>
  <si>
    <t>ISL LIM homeobox 1 [Source:ZFIN;Acc:ZDB-GENE-980526-112]</t>
  </si>
  <si>
    <t>ENSDARG00000043928</t>
  </si>
  <si>
    <t>gpn1</t>
  </si>
  <si>
    <t>GPN-loop GTPase 1 [Source:ZFIN;Acc:ZDB-GENE-040801-154]</t>
  </si>
  <si>
    <t>ENSDARG00000096009</t>
  </si>
  <si>
    <t>si:dkey-153k10.14</t>
  </si>
  <si>
    <t>si:dkey-153k10.14 [Source:ZFIN;Acc:ZDB-GENE-110914-198]</t>
  </si>
  <si>
    <t>ENSDARG00000033296</t>
  </si>
  <si>
    <t>gpr37b</t>
  </si>
  <si>
    <t>G protein-coupled receptor 37b [Source:ZFIN;Acc:ZDB-GENE-041210-264]</t>
  </si>
  <si>
    <t>ENSDARG00000012818</t>
  </si>
  <si>
    <t>csnk2a2a</t>
  </si>
  <si>
    <t>casein kinase 2, alpha prime polypeptide a [Source:ZFIN;Acc:ZDB-GENE-990415-28]</t>
  </si>
  <si>
    <t>ENSDARG00000004830</t>
  </si>
  <si>
    <t>flot2a</t>
  </si>
  <si>
    <t>flotillin 2a [Source:ZFIN;Acc:ZDB-GENE-020430-3]</t>
  </si>
  <si>
    <t>ENSDARG00000098622</t>
  </si>
  <si>
    <t>ccne1</t>
  </si>
  <si>
    <t>cyclin E1 [Source:ZFIN;Acc:ZDB-GENE-980526-168]</t>
  </si>
  <si>
    <t>ENSDARG00000040487</t>
  </si>
  <si>
    <t>zgc:113176</t>
  </si>
  <si>
    <t>zgc:113176 [Source:ZFIN;Acc:ZDB-GENE-050327-60]</t>
  </si>
  <si>
    <t>ENSDARG00000007753</t>
  </si>
  <si>
    <t>cpne2</t>
  </si>
  <si>
    <t>copine II [Source:ZFIN;Acc:ZDB-GENE-030131-7896]</t>
  </si>
  <si>
    <t>ENSDARG00000025403</t>
  </si>
  <si>
    <t>ftr83</t>
  </si>
  <si>
    <t>finTRIM family, member 83 [Source:ZFIN;Acc:ZDB-GENE-031002-11]</t>
  </si>
  <si>
    <t>ENSDARG00000028618</t>
  </si>
  <si>
    <t>zgc:77517</t>
  </si>
  <si>
    <t>zgc:77517 [Source:ZFIN;Acc:ZDB-GENE-040426-1508]</t>
  </si>
  <si>
    <t>ENSDARG00000010267</t>
  </si>
  <si>
    <t>dpydb</t>
  </si>
  <si>
    <t>dihydropyrimidine dehydrogenase b [Source:ZFIN;Acc:ZDB-GENE-040426-2459]</t>
  </si>
  <si>
    <t>ENSDARG00000031819</t>
  </si>
  <si>
    <t>eif4ebp2</t>
  </si>
  <si>
    <t>eukaryotic translation initiation factor 4E binding protein 2 [Source:ZFIN;Acc:ZDB-GENE-031118-83]</t>
  </si>
  <si>
    <t>ENSDARG00000061459</t>
  </si>
  <si>
    <t>RAPGEF2</t>
  </si>
  <si>
    <t>si:dkey-253i9.4 [Source:ZFIN;Acc:ZDB-GENE-090313-280]</t>
  </si>
  <si>
    <t>ENSDARG00000020847</t>
  </si>
  <si>
    <t>atp6v0a1a</t>
  </si>
  <si>
    <t>ATPase, H+ transporting, lysosomal V0 subunit a1a [Source:ZFIN;Acc:ZDB-GENE-030131-3027]</t>
  </si>
  <si>
    <t>ENSDARG00000031240</t>
  </si>
  <si>
    <t>kidins220a</t>
  </si>
  <si>
    <t>kinase D-interacting substrate 220a [Source:ZFIN;Acc:ZDB-GENE-041014-170]</t>
  </si>
  <si>
    <t>ENSDARG00000013079</t>
  </si>
  <si>
    <t>tubgcp2</t>
  </si>
  <si>
    <t>tubulin, gamma complex associated protein 2 [Source:ZFIN;Acc:ZDB-GENE-031118-150]</t>
  </si>
  <si>
    <t>ENSDARG00000100913</t>
  </si>
  <si>
    <t>arhgef12b</t>
  </si>
  <si>
    <t>Rho guanine nucleotide exchange factor (GEF) 12b [Source:ZFIN;Acc:ZDB-GENE-070705-36]</t>
  </si>
  <si>
    <t>ENSDARG00000014259</t>
  </si>
  <si>
    <t>eya1</t>
  </si>
  <si>
    <t>EYA transcriptional coactivator and phosphatase 1 [Source:ZFIN;Acc:ZDB-GENE-990712-18]</t>
  </si>
  <si>
    <t>ENSDARG00000075110</t>
  </si>
  <si>
    <t>dab2ipb</t>
  </si>
  <si>
    <t>DAB2 interacting protein b [Source:ZFIN;Acc:ZDB-GENE-030131-2449]</t>
  </si>
  <si>
    <t>ENSDARG00000101869</t>
  </si>
  <si>
    <t>magi3a</t>
  </si>
  <si>
    <t>membrane associated guanylate kinase, WW and PDZ domain containing 3a [Source:ZFIN;Acc:ZDB-GENE-090312-48]</t>
  </si>
  <si>
    <t>ENSDARG00000013965</t>
  </si>
  <si>
    <t>cul2</t>
  </si>
  <si>
    <t>cullin 2 [Source:ZFIN;Acc:ZDB-GENE-030131-8032]</t>
  </si>
  <si>
    <t>ENSDARG00000043133</t>
  </si>
  <si>
    <t>cldnf</t>
  </si>
  <si>
    <t>claudin f [Source:ZFIN;Acc:ZDB-GENE-010328-6]</t>
  </si>
  <si>
    <t>ENSDARG00000096484</t>
  </si>
  <si>
    <t>si:ch211-73m21.3</t>
  </si>
  <si>
    <t>si:ch211-73m21.3 [Source:ZFIN;Acc:ZDB-GENE-120709-8]</t>
  </si>
  <si>
    <t>ENSDARG00000101460</t>
  </si>
  <si>
    <t>si:dkey-233e3.3</t>
  </si>
  <si>
    <t>si:dkey-233e3.3 [Source:ZFIN;Acc:ZDB-GENE-110914-41]</t>
  </si>
  <si>
    <t>ENSDARG00000096461</t>
  </si>
  <si>
    <t>si:ch211-73m21.2</t>
  </si>
  <si>
    <t>si:ch211-73m21.2 [Source:ZFIN;Acc:ZDB-GENE-120709-68]</t>
  </si>
  <si>
    <t>ENSDARG00000089477</t>
  </si>
  <si>
    <t>si:ch211-132g1.3</t>
  </si>
  <si>
    <t>si:ch211-132g1.3 [Source:ZFIN;Acc:ZDB-GENE-090312-148]</t>
  </si>
  <si>
    <t>ENSDARG00000060580</t>
  </si>
  <si>
    <t>tasp1</t>
  </si>
  <si>
    <t>taspase, threonine aspartase, 1 [Source:ZFIN;Acc:ZDB-GENE-070424-242]</t>
  </si>
  <si>
    <t>ENSDARG00000075249</t>
  </si>
  <si>
    <t>fam171a2</t>
  </si>
  <si>
    <t>family with sequence similarity 171, member A2 [Source:ZFIN;Acc:ZDB-GENE-110606-5]</t>
  </si>
  <si>
    <t>ENSDARG00000105336</t>
  </si>
  <si>
    <t>pafah1b3</t>
  </si>
  <si>
    <t>pafah1b3.1</t>
  </si>
  <si>
    <t>platelet-activating factor acetylhydrolase, isoform Ib, gamma subunit [Source:ZFIN;Acc:ZDB-GENE-040426-1026]</t>
  </si>
  <si>
    <t>ENSDARG00000092159</t>
  </si>
  <si>
    <t>si:dkey-10f21.16</t>
  </si>
  <si>
    <t>si:dkey-10f21.16 [Source:ZFIN;Acc:ZDB-GENE-070912-348]</t>
  </si>
  <si>
    <t>ENSDARG00000091864</t>
  </si>
  <si>
    <t>zgc:158701</t>
  </si>
  <si>
    <t>zgc:158701 [Source:ZFIN;Acc:ZDB-GENE-070410-10]</t>
  </si>
  <si>
    <t>ENSDARG00000095149</t>
  </si>
  <si>
    <t>znf1062</t>
  </si>
  <si>
    <t>zinc finger protein 1062 [Source:ZFIN;Acc:ZDB-GENE-120709-37]</t>
  </si>
  <si>
    <t>ENSDARG00000036911</t>
  </si>
  <si>
    <t>scamp1</t>
  </si>
  <si>
    <t>secretory carrier membrane protein 1 [Source:ZFIN;Acc:ZDB-GENE-040426-1803]</t>
  </si>
  <si>
    <t>ENSDARG00000067718</t>
  </si>
  <si>
    <t>si:dkey-3h3.3</t>
  </si>
  <si>
    <t>si:dkey-3h3.3 [Source:ZFIN;Acc:ZDB-GENE-060526-299]</t>
  </si>
  <si>
    <t>ENSDARG00000090820</t>
  </si>
  <si>
    <t>slc2a10</t>
  </si>
  <si>
    <t>solute carrier family 2 (facilitated glucose transporter), member 10 [Source:ZFIN;Acc:ZDB-GENE-080204-6]</t>
  </si>
  <si>
    <t>ENSDARG00000022424</t>
  </si>
  <si>
    <t>slc26a5</t>
  </si>
  <si>
    <t>solute carrier family 26 (anion exchanger), member 5 [Source:ZFIN;Acc:ZDB-GENE-030131-1566]</t>
  </si>
  <si>
    <t>ENSDARG00000060199</t>
  </si>
  <si>
    <t>mrpl18</t>
  </si>
  <si>
    <t>mitochondrial ribosomal protein L18 [Source:ZFIN;Acc:ZDB-GENE-061013-632]</t>
  </si>
  <si>
    <t>ENSDARG00000017115</t>
  </si>
  <si>
    <t>kctd10</t>
  </si>
  <si>
    <t>potassium channel tetramerization domain containing 10 [Source:ZFIN;Acc:ZDB-GENE-040426-2843]</t>
  </si>
  <si>
    <t>ENSDARG00000099505</t>
  </si>
  <si>
    <t>si:ch73-267c23.9</t>
  </si>
  <si>
    <t>si:ch73-267c23.9 [Source:ZFIN;Acc:ZDB-GENE-141216-104]</t>
  </si>
  <si>
    <t>ENSDARG00000090160</t>
  </si>
  <si>
    <t>si:dkey-156k2.3</t>
  </si>
  <si>
    <t>si:dkey-156k2.3 [Source:ZFIN;Acc:ZDB-GENE-110913-19]</t>
  </si>
  <si>
    <t>ENSDARG00000037838</t>
  </si>
  <si>
    <t>unkl</t>
  </si>
  <si>
    <t>unkempt family zinc finger-like [Source:ZFIN;Acc:ZDB-GENE-131120-196]</t>
  </si>
  <si>
    <t>ENSDARG00000104413</t>
  </si>
  <si>
    <t>rogdi</t>
  </si>
  <si>
    <t>rogdi homolog (Drosophila) [Source:ZFIN;Acc:ZDB-GENE-030131-7582]</t>
  </si>
  <si>
    <t>ENSDARG00000102303</t>
  </si>
  <si>
    <t>trim35-21</t>
  </si>
  <si>
    <t>tripartite motif containing 35-21 [Source:ZFIN;Acc:ZDB-GENE-060503-673]</t>
  </si>
  <si>
    <t>ENSDARG00000101040</t>
  </si>
  <si>
    <t>ccl20a.3</t>
  </si>
  <si>
    <t>chemokine (C-C motif) ligand 20a, duplicate 3 [Source:ZFIN;Acc:ZDB-GENE-081022-193]</t>
  </si>
  <si>
    <t>ENSDARG00000035610</t>
  </si>
  <si>
    <t>zgc:113208</t>
  </si>
  <si>
    <t>zgc:113208 [Source:ZFIN;Acc:ZDB-GENE-050417-450]</t>
  </si>
  <si>
    <t>ENSDARG00000020465</t>
  </si>
  <si>
    <t>ewsr1b</t>
  </si>
  <si>
    <t>EWS RNA-binding protein 1b [Source:ZFIN;Acc:ZDB-GENE-030131-1600]</t>
  </si>
  <si>
    <t>ENSDARG00000053574</t>
  </si>
  <si>
    <t>fancd2</t>
  </si>
  <si>
    <t>Fanconi anemia, complementation group D2 [Source:ZFIN;Acc:ZDB-GENE-040116-5]</t>
  </si>
  <si>
    <t>ENSDARG00000063555</t>
  </si>
  <si>
    <t>MAZ</t>
  </si>
  <si>
    <t>si:ch211-166g5.4 [Source:ZFIN;Acc:ZDB-GENE-121214-319]</t>
  </si>
  <si>
    <t>ENSDARG00000018111</t>
  </si>
  <si>
    <t>kdm7aa</t>
  </si>
  <si>
    <t>lysine (K)-specific demethylase 7Aa [Source:ZFIN;Acc:ZDB-GENE-030131-9829]</t>
  </si>
  <si>
    <t>ENSDARG00000071055</t>
  </si>
  <si>
    <t>ZNF512B</t>
  </si>
  <si>
    <t>si:dkey-256k13.2 [Source:ZFIN;Acc:ZDB-GENE-090313-284]</t>
  </si>
  <si>
    <t>ENSDARG00000017014</t>
  </si>
  <si>
    <t>ywhae2</t>
  </si>
  <si>
    <t>tyrosine 3-monooxygenase/tryptophan 5-monooxygenase activation protein, epsilon polypeptide 2 [Source:ZFIN;Acc:ZDB-GENE-050306-44]</t>
  </si>
  <si>
    <t>ENSDARG00000058180</t>
  </si>
  <si>
    <t>exoc3l4</t>
  </si>
  <si>
    <t>exocyst complex component 3-like 4 [Source:ZFIN;Acc:ZDB-GENE-081028-71]</t>
  </si>
  <si>
    <t>ENSDARG00000043271</t>
  </si>
  <si>
    <t>morc3b</t>
  </si>
  <si>
    <t>MORC family CW-type zinc finger 3b [Source:ZFIN;Acc:ZDB-GENE-040801-98]</t>
  </si>
  <si>
    <t>ENSDARG00000095897</t>
  </si>
  <si>
    <t>atp5e</t>
  </si>
  <si>
    <t>ATP synthase, H+ transporting, mitochondrial F1 complex, epsilon subunit [Source:ZFIN;Acc:ZDB-GENE-110411-22]</t>
  </si>
  <si>
    <t>ENSDARG00000020252</t>
  </si>
  <si>
    <t>btbd10b</t>
  </si>
  <si>
    <t>BTB (POZ) domain containing 10b [Source:ZFIN;Acc:ZDB-GENE-080104-5]</t>
  </si>
  <si>
    <t>ENSDARG00000016255</t>
  </si>
  <si>
    <t>chmp4ba</t>
  </si>
  <si>
    <t>charged multivesicular body protein 4Ba [Source:ZFIN;Acc:ZDB-GENE-040426-906]</t>
  </si>
  <si>
    <t>ENSDARG00000056218</t>
  </si>
  <si>
    <t>tnika</t>
  </si>
  <si>
    <t>TRAF2 and NCK interacting kinase a [Source:ZFIN;Acc:ZDB-GENE-030131-3767]</t>
  </si>
  <si>
    <t>ENSDARG00000059747</t>
  </si>
  <si>
    <t>si:dkey-106c17.3</t>
  </si>
  <si>
    <t>si:dkey-106c17.3 [Source:ZFIN;Acc:ZDB-GENE-060503-706]</t>
  </si>
  <si>
    <t>ENSDARG00000035514</t>
  </si>
  <si>
    <t>adam28</t>
  </si>
  <si>
    <t>ADAM metallopeptidase domain 28 [Source:ZFIN;Acc:ZDB-GENE-060929-532]</t>
  </si>
  <si>
    <t>ENSDARG00000005191</t>
  </si>
  <si>
    <t>ahcy</t>
  </si>
  <si>
    <t>adenosylhomocysteinase [Source:ZFIN;Acc:ZDB-GENE-031219-6]</t>
  </si>
  <si>
    <t>ENSDARG00000091561</t>
  </si>
  <si>
    <t>si:dkey-156k2.4</t>
  </si>
  <si>
    <t>si:dkey-156k2.4 [Source:ZFIN;Acc:ZDB-GENE-110913-8]</t>
  </si>
  <si>
    <t>ENSDARG00000071235</t>
  </si>
  <si>
    <t>si:ch211-117c9.5</t>
  </si>
  <si>
    <t>si:ch211-117c9.5 [Source:ZFIN;Acc:ZDB-GENE-110408-2]</t>
  </si>
  <si>
    <t>ENSDARG00000056764</t>
  </si>
  <si>
    <t>hydin</t>
  </si>
  <si>
    <t>HYDIN, axonemal central pair apparatus protein [Source:ZFIN;Acc:ZDB-GENE-050419-219]</t>
  </si>
  <si>
    <t>ENSDARG00000087369</t>
  </si>
  <si>
    <t>cep162</t>
  </si>
  <si>
    <t>centrosomal protein 162 [Source:ZFIN;Acc:ZDB-GENE-100922-266]</t>
  </si>
  <si>
    <t>ENSDARG00000012741</t>
  </si>
  <si>
    <t>tmem57b</t>
  </si>
  <si>
    <t>transmembrane protein 57b [Source:ZFIN;Acc:ZDB-GENE-040426-1188]</t>
  </si>
  <si>
    <t>ENSDARG00000063649</t>
  </si>
  <si>
    <t>tead3b</t>
  </si>
  <si>
    <t>TEA domain family member 3 b [Source:ZFIN;Acc:ZDB-GENE-080103-3]</t>
  </si>
  <si>
    <t>ENSDARG00000004427</t>
  </si>
  <si>
    <t>dpy30</t>
  </si>
  <si>
    <t>dpy-30 histone methyltransferase complex regulatory subunit [Source:ZFIN;Acc:ZDB-GENE-040718-136]</t>
  </si>
  <si>
    <t>ENSDARG00000097114</t>
  </si>
  <si>
    <t>si:dkey-259g19.2</t>
  </si>
  <si>
    <t>si:dkey-259g19.2 [Source:ZFIN;Acc:ZDB-GENE-131119-25]</t>
  </si>
  <si>
    <t>ENSDARG00000007025</t>
  </si>
  <si>
    <t>ttc9c</t>
  </si>
  <si>
    <t>tetratricopeptide repeat domain 9C [Source:ZFIN;Acc:ZDB-GENE-040426-1053]</t>
  </si>
  <si>
    <t>ENSDARG00000025824</t>
  </si>
  <si>
    <t>dmtf1</t>
  </si>
  <si>
    <t>cyclin D binding myb-like transcription factor 1 [Source:ZFIN;Acc:ZDB-GENE-040718-413]</t>
  </si>
  <si>
    <t>ENSDARG00000069804</t>
  </si>
  <si>
    <t>si:ch211-198k9.6</t>
  </si>
  <si>
    <t>si:ch211-198k9.6 [Source:ZFIN;Acc:ZDB-GENE-090312-4]</t>
  </si>
  <si>
    <t>ENSDARG00000097797</t>
  </si>
  <si>
    <t>tomm6</t>
  </si>
  <si>
    <t>translocase of outer mitochondrial membrane 6 homolog (yeast) [Source:ZFIN;Acc:ZDB-GENE-131121-445]</t>
  </si>
  <si>
    <t>ENSDARG00000076571</t>
  </si>
  <si>
    <t>sp5a</t>
  </si>
  <si>
    <t>Sp5 transcription factor a [Source:ZFIN;Acc:ZDB-GENE-030430-2]</t>
  </si>
  <si>
    <t>ENSDARG00000006283</t>
  </si>
  <si>
    <t>waslb</t>
  </si>
  <si>
    <t>Wiskott-Aldrich syndrome-like b [Source:ZFIN;Acc:ZDB-GENE-040426-718]</t>
  </si>
  <si>
    <t>ENSDARG00000011272</t>
  </si>
  <si>
    <t>uqcc2</t>
  </si>
  <si>
    <t>ubiquinol-cytochrome c reductase complex assembly factor 2 [Source:ZFIN;Acc:ZDB-GENE-040426-1726]</t>
  </si>
  <si>
    <t>ENSDARG00000075193</t>
  </si>
  <si>
    <t>si:ch211-198k9.7</t>
  </si>
  <si>
    <t>si:ch211-198k9.7 [Source:ZFIN;Acc:ZDB-GENE-090312-64]</t>
  </si>
  <si>
    <t>ENSDARG00000012682</t>
  </si>
  <si>
    <t>pfn2l</t>
  </si>
  <si>
    <t>profilin 2 like [Source:ZFIN;Acc:ZDB-GENE-030131-34]</t>
  </si>
  <si>
    <t>ENSDARG00000042336</t>
  </si>
  <si>
    <t>impdh1a</t>
  </si>
  <si>
    <t>IMP (inosine 5'-monophosphate) dehydrogenase 1a [Source:ZFIN;Acc:ZDB-GENE-040704-15]</t>
  </si>
  <si>
    <t>ENSDARG00000078546</t>
  </si>
  <si>
    <t>cars2</t>
  </si>
  <si>
    <t>cysteinyl-tRNA synthetase 2, mitochondrial [Source:ZFIN;Acc:ZDB-GENE-030131-5564]</t>
  </si>
  <si>
    <t>ENSDARG00000077202</t>
  </si>
  <si>
    <t>mocs2</t>
  </si>
  <si>
    <t>molybdenum cofactor synthesis 2 [Source:ZFIN;Acc:ZDB-GENE-110411-53]</t>
  </si>
  <si>
    <t>ENSDARG00000056741</t>
  </si>
  <si>
    <t>senp3b</t>
  </si>
  <si>
    <t>SUMO1/sentrin/SMT3 specific peptidase 3b [Source:ZFIN;Acc:ZDB-GENE-030131-6714]</t>
  </si>
  <si>
    <t>ENSDARG00000013006</t>
  </si>
  <si>
    <t>pibf1</t>
  </si>
  <si>
    <t>progesterone immunomodulatory binding factor 1 [Source:ZFIN;Acc:ZDB-GENE-040801-94]</t>
  </si>
  <si>
    <t>ENSDARG00000077950</t>
  </si>
  <si>
    <t>tor1</t>
  </si>
  <si>
    <t>torsin family 1 [Source:ZFIN;Acc:ZDB-GENE-080917-50]</t>
  </si>
  <si>
    <t>ENSDARG00000007443</t>
  </si>
  <si>
    <t>fbxl18</t>
  </si>
  <si>
    <t>F-box and leucine-rich repeat protein 18 [Source:ZFIN;Acc:ZDB-GENE-050913-65]</t>
  </si>
  <si>
    <t>ENSDARG00000037099</t>
  </si>
  <si>
    <t>irs2a</t>
  </si>
  <si>
    <t>insulin receptor substrate 2a [Source:ZFIN;Acc:ZDB-GENE-040426-975]</t>
  </si>
  <si>
    <t>ENSDARG00000022176</t>
  </si>
  <si>
    <t>IGLON5</t>
  </si>
  <si>
    <t>zgc:110372 [Source:ZFIN;Acc:ZDB-GENE-050417-297]</t>
  </si>
  <si>
    <t>ENSDARG00000059789</t>
  </si>
  <si>
    <t>parp8</t>
  </si>
  <si>
    <t>poly (ADP-ribose) polymerase family, member 8 [Source:ZFIN;Acc:ZDB-GENE-060929-432]</t>
  </si>
  <si>
    <t>ENSDARG00000100236</t>
  </si>
  <si>
    <t>cspp1a</t>
  </si>
  <si>
    <t>centrosome and spindle pole associated protein 1a [Source:ZFIN;Acc:ZDB-GENE-120709-73]</t>
  </si>
  <si>
    <t>ENSDARG00000101423</t>
  </si>
  <si>
    <t>cyp2y3</t>
  </si>
  <si>
    <t>cytochrome P450, family 2, subfamily Y, polypeptide 3 [Source:ZFIN;Acc:ZDB-GENE-050522-490]</t>
  </si>
  <si>
    <t>ENSDARG00000038010</t>
  </si>
  <si>
    <t>rac2</t>
  </si>
  <si>
    <t>ras-related C3 botulinum toxin substrate 2 (rho family, small GTP binding protein Rac2) [Source:ZFIN;Acc:ZDB-GENE-040625-27]</t>
  </si>
  <si>
    <t>ENSDARG00000038068</t>
  </si>
  <si>
    <t>ddx5</t>
  </si>
  <si>
    <t>DEAD (Asp-Glu-Ala-Asp) box helicase 5 [Source:ZFIN;Acc:ZDB-GENE-030131-925]</t>
  </si>
  <si>
    <t>ENSDARG00000102571</t>
  </si>
  <si>
    <t>metap2b</t>
  </si>
  <si>
    <t>methionyl aminopeptidase 2b [Source:ZFIN;Acc:ZDB-GENE-030131-2172]</t>
  </si>
  <si>
    <t>ENSDARG00000076058</t>
  </si>
  <si>
    <t>gba</t>
  </si>
  <si>
    <t>glucosidase, beta, acid [Source:ZFIN;Acc:ZDB-GENE-100922-270]</t>
  </si>
  <si>
    <t>ENSDARG00000094994</t>
  </si>
  <si>
    <t>si:dkey-106c17.2</t>
  </si>
  <si>
    <t>si:dkey-106c17.2 [Source:ZFIN;Acc:ZDB-GENE-060503-612]</t>
  </si>
  <si>
    <t>ENSDARG00000044373</t>
  </si>
  <si>
    <t>atg4c</t>
  </si>
  <si>
    <t>autophagy related 4C, cysteine peptidase [Source:ZFIN;Acc:ZDB-GENE-040625-84]</t>
  </si>
  <si>
    <t>ENSDARG00000020529</t>
  </si>
  <si>
    <t>hacl1</t>
  </si>
  <si>
    <t>2-hydroxyacyl-CoA lyase 1 [Source:ZFIN;Acc:ZDB-GENE-040426-2058]</t>
  </si>
  <si>
    <t>ENSDARG00000041875</t>
  </si>
  <si>
    <t>ube2v1</t>
  </si>
  <si>
    <t>ubiquitin-conjugating enzyme E2 variant 1 [Source:ZFIN;Acc:ZDB-GENE-051030-102]</t>
  </si>
  <si>
    <t>ENSDARG00000005359</t>
  </si>
  <si>
    <t>sucla2</t>
  </si>
  <si>
    <t>succinate-CoA ligase, ADP-forming, beta subunit [Source:ZFIN;Acc:ZDB-GENE-040426-1963]</t>
  </si>
  <si>
    <t>ENSDARG00000097934</t>
  </si>
  <si>
    <t>si:dkey-221l4.10</t>
  </si>
  <si>
    <t>si:dkey-221l4.10 [Source:ZFIN;Acc:ZDB-GENE-131121-493]</t>
  </si>
  <si>
    <t>ENSDARG00000024693</t>
  </si>
  <si>
    <t>lysmd3</t>
  </si>
  <si>
    <t>LysM, putative peptidoglycan-binding, domain containing 3 [Source:ZFIN;Acc:ZDB-GENE-040625-88]</t>
  </si>
  <si>
    <t>ENSDARG00000069888</t>
  </si>
  <si>
    <t>cldna</t>
  </si>
  <si>
    <t>claudin a [Source:ZFIN;Acc:ZDB-GENE-010328-1]</t>
  </si>
  <si>
    <t>ENSDARG00000099342</t>
  </si>
  <si>
    <t>crfb15</t>
  </si>
  <si>
    <t>cytokine receptor family member B15 [Source:ZFIN;Acc:ZDB-GENE-071120-6]</t>
  </si>
  <si>
    <t>ENSDARG00000030932</t>
  </si>
  <si>
    <t>fgf10a</t>
  </si>
  <si>
    <t>fibroblast growth factor 10a [Source:ZFIN;Acc:ZDB-GENE-030715-1]</t>
  </si>
  <si>
    <t>ENSDARG00000070864</t>
  </si>
  <si>
    <t>bcl6a</t>
  </si>
  <si>
    <t>B-cell CLL/lymphoma 6a (zinc finger protein 51) [Source:ZFIN;Acc:ZDB-GENE-040426-1696]</t>
  </si>
  <si>
    <t>ENSDARG00000045199</t>
  </si>
  <si>
    <t>CAPN1</t>
  </si>
  <si>
    <t>zgc:55262 [Source:ZFIN;Acc:ZDB-GENE-040426-2814]</t>
  </si>
  <si>
    <t>ENSDARG00000052139</t>
  </si>
  <si>
    <t>notch3</t>
  </si>
  <si>
    <t>notch 3 [Source:ZFIN;Acc:ZDB-GENE-000329-5]</t>
  </si>
  <si>
    <t>ENSDARG00000053828</t>
  </si>
  <si>
    <t>ubxn11</t>
  </si>
  <si>
    <t>UBX domain protein 11 [Source:ZFIN;Acc:ZDB-GENE-100922-125]</t>
  </si>
  <si>
    <t>ENSDARG00000002971</t>
  </si>
  <si>
    <t>phc1</t>
  </si>
  <si>
    <t>polyhomeotic homolog 1 [Source:ZFIN;Acc:ZDB-GENE-081022-39]</t>
  </si>
  <si>
    <t>ENSDARG00000071032</t>
  </si>
  <si>
    <t>pnkd</t>
  </si>
  <si>
    <t>paroxysmal nonkinesigenic dyskinesia [Source:ZFIN;Acc:ZDB-GENE-050208-278]</t>
  </si>
  <si>
    <t>ENSDARG00000061960</t>
  </si>
  <si>
    <t>ube3b</t>
  </si>
  <si>
    <t>ubiquitin protein ligase E3B [Source:ZFIN;Acc:ZDB-GENE-060526-231]</t>
  </si>
  <si>
    <t>ENSDARG00000058868</t>
  </si>
  <si>
    <t>apc</t>
  </si>
  <si>
    <t>adenomatous polyposis coli [Source:ZFIN;Acc:ZDB-GENE-031112-7]</t>
  </si>
  <si>
    <t>ENSDARG00000097832</t>
  </si>
  <si>
    <t>si:ch211-235m3.6</t>
  </si>
  <si>
    <t>si:ch211-235m3.6 [Source:ZFIN;Acc:ZDB-GENE-131121-124]</t>
  </si>
  <si>
    <t>ENSDARG00000087835</t>
  </si>
  <si>
    <t>si:ch211-113p18.3</t>
  </si>
  <si>
    <t>si:ch211-113p18.3 [Source:ZFIN;Acc:ZDB-GENE-030131-4983]</t>
  </si>
  <si>
    <t>ENSDARG00000102799</t>
  </si>
  <si>
    <t>znf1114</t>
  </si>
  <si>
    <t>zinc finger protein 1114 [Source:ZFIN;Acc:ZDB-GENE-110914-54]</t>
  </si>
  <si>
    <t>ENSDARG00000074807</t>
  </si>
  <si>
    <t>tbrg4</t>
  </si>
  <si>
    <t>transforming growth factor beta regulator 4 [Source:ZFIN;Acc:ZDB-GENE-091020-8]</t>
  </si>
  <si>
    <t>ENSDARG00000104239</t>
  </si>
  <si>
    <t>znf1047</t>
  </si>
  <si>
    <t>znf1047.1</t>
  </si>
  <si>
    <t>ENSDARG00000098876</t>
  </si>
  <si>
    <t>si:dkey-199m13.5</t>
  </si>
  <si>
    <t>si:dkey-199m13.5 [Source:ZFIN;Acc:ZDB-GENE-110913-174]</t>
  </si>
  <si>
    <t>ENSDARG00000056877</t>
  </si>
  <si>
    <t>vamp2</t>
  </si>
  <si>
    <t>vesicle-associated membrane protein 2 [Source:ZFIN;Acc:ZDB-GENE-030131-8225]</t>
  </si>
  <si>
    <t>ENSDARG00000013476</t>
  </si>
  <si>
    <t>arhgef39</t>
  </si>
  <si>
    <t>Rho guanine nucleotide exchange factor (GEF) 39 [Source:ZFIN;Acc:ZDB-GENE-041114-28]</t>
  </si>
  <si>
    <t>ENSDARG00000099837</t>
  </si>
  <si>
    <t>si:dkey-199m13.7</t>
  </si>
  <si>
    <t>si:dkey-199m13.7 [Source:ZFIN;Acc:ZDB-GENE-110914-26]</t>
  </si>
  <si>
    <t>ENSDARG00000100142</t>
  </si>
  <si>
    <t>znf1083</t>
  </si>
  <si>
    <t>zinc finger protein 1083 [Source:ZFIN;Acc:ZDB-GENE-110914-15]</t>
  </si>
  <si>
    <t>ENSDARG00000009505</t>
  </si>
  <si>
    <t>prelid3b</t>
  </si>
  <si>
    <t>PRELI domain containing 3 [Source:ZFIN;Acc:ZDB-GENE-031002-13]</t>
  </si>
  <si>
    <t>ENSDARG00000103471</t>
  </si>
  <si>
    <t>si:dkey-199m13.4</t>
  </si>
  <si>
    <t>si:dkey-199m13.4 [Source:ZFIN;Acc:ZDB-GENE-110913-41]</t>
  </si>
  <si>
    <t>ENSDARG00000088961</t>
  </si>
  <si>
    <t>znf1128</t>
  </si>
  <si>
    <t>znf1128.1</t>
  </si>
  <si>
    <t>zinc finger protein 1128 [Source:ZFIN;Acc:ZDB-GENE-110913-167]</t>
  </si>
  <si>
    <t>ENSDARG00000102923</t>
  </si>
  <si>
    <t>senp6a</t>
  </si>
  <si>
    <t>SUMO1/sentrin specific peptidase 6a [Source:ZFIN;Acc:ZDB-GENE-080204-25]</t>
  </si>
  <si>
    <t>ENSDARG00000014572</t>
  </si>
  <si>
    <t>chpt1</t>
  </si>
  <si>
    <t>choline phosphotransferase 1 [Source:ZFIN;Acc:ZDB-GENE-030131-1325]</t>
  </si>
  <si>
    <t>ENSDARG00000055429</t>
  </si>
  <si>
    <t>kat6b</t>
  </si>
  <si>
    <t>K(lysine) acetyltransferase 6B [Source:ZFIN;Acc:ZDB-GENE-000607-52]</t>
  </si>
  <si>
    <t>ENSDARG00000089179</t>
  </si>
  <si>
    <t>si:dkey-16p6.1.3</t>
  </si>
  <si>
    <t>ENSDARG00000079385</t>
  </si>
  <si>
    <t>si:ch211-235m3.5</t>
  </si>
  <si>
    <t>si:ch211-235m3.5 [Source:ZFIN;Acc:ZDB-GENE-131121-233]</t>
  </si>
  <si>
    <t>ENSDARG00000043359</t>
  </si>
  <si>
    <t>rmnd5b</t>
  </si>
  <si>
    <t>required for meiotic nuclear division 5 homolog B [Source:ZFIN;Acc:ZDB-GENE-040426-1744]</t>
  </si>
  <si>
    <t>ENSDARG00000088195</t>
  </si>
  <si>
    <t>si:ch211-168f7.5</t>
  </si>
  <si>
    <t>si:ch211-168f7.5 [Source:ZFIN;Acc:ZDB-GENE-030131-897]</t>
  </si>
  <si>
    <t>ENSDARG00000087442</t>
  </si>
  <si>
    <t>znf1022</t>
  </si>
  <si>
    <t>zinc finger protein 1022 [Source:ZFIN;Acc:ZDB-GENE-110913-38]</t>
  </si>
  <si>
    <t>ENSDARG00000015540</t>
  </si>
  <si>
    <t>psen2</t>
  </si>
  <si>
    <t>presenilin 2 [Source:ZFIN;Acc:ZDB-GENE-000330-9]</t>
  </si>
  <si>
    <t>ENSDARG00000059459</t>
  </si>
  <si>
    <t>si:ch211-283h6.4</t>
  </si>
  <si>
    <t>si:ch211-283h6.4 [Source:ZFIN;Acc:ZDB-GENE-060526-154]</t>
  </si>
  <si>
    <t>ENSDARG00000098403</t>
  </si>
  <si>
    <t>si:rp71-81e14.6</t>
  </si>
  <si>
    <t>si:rp71-81e14.6 [Source:ZFIN;Acc:ZDB-GENE-060503-378]</t>
  </si>
  <si>
    <t>ENSDARG00000020541</t>
  </si>
  <si>
    <t>ism1</t>
  </si>
  <si>
    <t>isthmin 1 [Source:ZFIN;Acc:ZDB-GENE-050523-3]</t>
  </si>
  <si>
    <t>ENSDARG00000100620</t>
  </si>
  <si>
    <t>taok2b</t>
  </si>
  <si>
    <t>TAO kinase 2b [Source:ZFIN;Acc:ZDB-GENE-110603-3]</t>
  </si>
  <si>
    <t>ENSDARG00000055639</t>
  </si>
  <si>
    <t>ruvbl2</t>
  </si>
  <si>
    <t>RuvB-like AAA ATPase 2 [Source:ZFIN;Acc:ZDB-GENE-030109-1]</t>
  </si>
  <si>
    <t>ENSDARG00000019595</t>
  </si>
  <si>
    <t>senp8</t>
  </si>
  <si>
    <t>SUMO/sentrin peptidase family member, NEDD8 specific [Source:ZFIN;Acc:ZDB-GENE-060929-1186]</t>
  </si>
  <si>
    <t>ENSDARG00000093478</t>
  </si>
  <si>
    <t>si:ch211-152l15.2</t>
  </si>
  <si>
    <t>si:ch211-152l15.2 [Source:ZFIN;Acc:ZDB-GENE-110913-91]</t>
  </si>
  <si>
    <t>ENSDARG00000091477</t>
  </si>
  <si>
    <t>znf1066</t>
  </si>
  <si>
    <t>zinc finger protein 1066 [Source:ZFIN;Acc:ZDB-GENE-110913-60]</t>
  </si>
  <si>
    <t>ENSDARG00000098305</t>
  </si>
  <si>
    <t>si:ch211-76m11.8</t>
  </si>
  <si>
    <t>si:ch211-76m11.8 [Source:ZFIN;Acc:ZDB-GENE-041210-280]</t>
  </si>
  <si>
    <t>ENSDARG00000079056</t>
  </si>
  <si>
    <t>si:ch211-194c3.5</t>
  </si>
  <si>
    <t>si:ch211-194c3.5 [Source:ZFIN;Acc:ZDB-GENE-090313-63]</t>
  </si>
  <si>
    <t>ENSDARG00000011743</t>
  </si>
  <si>
    <t>pigo</t>
  </si>
  <si>
    <t>phosphatidylinositol glycan anchor biosynthesis, class O [Source:ZFIN;Acc:ZDB-GENE-091204-80]</t>
  </si>
  <si>
    <t>ENSDARG00000006588</t>
  </si>
  <si>
    <t>zgc:111983</t>
  </si>
  <si>
    <t>zgc:111983 [Source:ZFIN;Acc:ZDB-GENE-050417-335]</t>
  </si>
  <si>
    <t>ENSDARG00000103648</t>
  </si>
  <si>
    <t>znf536</t>
  </si>
  <si>
    <t>zinc finger protein 536 [Source:ZFIN;Acc:ZDB-GENE-030616-624]</t>
  </si>
  <si>
    <t>ENSDARG00000008022</t>
  </si>
  <si>
    <t>kif18a</t>
  </si>
  <si>
    <t>kinesin family member 18A [Source:ZFIN;Acc:ZDB-GENE-040426-862]</t>
  </si>
  <si>
    <t>ENSDARG00000101828</t>
  </si>
  <si>
    <t>si:dkey-16p6.1.4</t>
  </si>
  <si>
    <t>ENSDARG00000100536</t>
  </si>
  <si>
    <t>nkrf</t>
  </si>
  <si>
    <t>NFKB repressing factor [Source:ZFIN;Acc:ZDB-GENE-030616-73]</t>
  </si>
  <si>
    <t>ENSDARG00000102225</t>
  </si>
  <si>
    <t>si:ch211-205a14.7</t>
  </si>
  <si>
    <t>si:ch211-205a14.7 [Source:ZFIN;Acc:ZDB-GENE-050420-404]</t>
  </si>
  <si>
    <t>ENSDARG00000052712</t>
  </si>
  <si>
    <t>suclg1</t>
  </si>
  <si>
    <t>succinate-CoA ligase, alpha subunit [Source:ZFIN;Acc:ZDB-GENE-040912-101]</t>
  </si>
  <si>
    <t>ENSDARG00000056005</t>
  </si>
  <si>
    <t>dnajc18</t>
  </si>
  <si>
    <t>DnaJ (Hsp40) homolog, subfamily C, member 18 [Source:ZFIN;Acc:ZDB-GENE-030131-8019]</t>
  </si>
  <si>
    <t>ENSDARG00000026834</t>
  </si>
  <si>
    <t>cdr2l</t>
  </si>
  <si>
    <t>cerebellar degeneration-related protein 2-like [Source:ZFIN;Acc:ZDB-GENE-030131-8171]</t>
  </si>
  <si>
    <t>ENSDARG00000041381</t>
  </si>
  <si>
    <t>arntl2</t>
  </si>
  <si>
    <t>aryl hydrocarbon receptor nuclear translocator-like 2 [Source:ZFIN;Acc:ZDB-GENE-000509-2]</t>
  </si>
  <si>
    <t>ENSDARG00000100006</t>
  </si>
  <si>
    <t>si:ch211-76m11.5</t>
  </si>
  <si>
    <t>si:ch211-76m11.5 [Source:ZFIN;Acc:ZDB-GENE-041210-278]</t>
  </si>
  <si>
    <t>ENSDARG00000062562</t>
  </si>
  <si>
    <t>egln2</t>
  </si>
  <si>
    <t>egl-9 family hypoxia-inducible factor 2 [Source:ZFIN;Acc:ZDB-GENE-060503-757]</t>
  </si>
  <si>
    <t>ENSDARG00000086236</t>
  </si>
  <si>
    <t>si:dkey-163m14.7</t>
  </si>
  <si>
    <t>si:dkey-163m14.7 [Source:ZFIN;Acc:ZDB-GENE-120215-10]</t>
  </si>
  <si>
    <t>ENSDARG00000056873</t>
  </si>
  <si>
    <t>and3</t>
  </si>
  <si>
    <t>actinodin3 [Source:ZFIN;Acc:ZDB-GENE-040724-185]</t>
  </si>
  <si>
    <t>ENSDARG00000100240</t>
  </si>
  <si>
    <t>si:dkey-193i10.3</t>
  </si>
  <si>
    <t>si:dkey-193i10.3 [Source:ZFIN;Acc:ZDB-GENE-070705-342]</t>
  </si>
  <si>
    <t>ENSDARG00000061228</t>
  </si>
  <si>
    <t>pfdn4</t>
  </si>
  <si>
    <t>prefoldin subunit 4 [Source:ZFIN;Acc:ZDB-GENE-100922-122]</t>
  </si>
  <si>
    <t>ENSDARG00000026296</t>
  </si>
  <si>
    <t>zgc:112994</t>
  </si>
  <si>
    <t>zgc:112994 [Source:ZFIN;Acc:ZDB-GENE-050522-519]</t>
  </si>
  <si>
    <t>ENSDARG00000039578</t>
  </si>
  <si>
    <t>pa2g4a</t>
  </si>
  <si>
    <t>proliferation-associated 2G4, a [Source:ZFIN;Acc:ZDB-GENE-030616-161]</t>
  </si>
  <si>
    <t>ENSDARG00000030824</t>
  </si>
  <si>
    <t>esyt2a</t>
  </si>
  <si>
    <t>extended synaptotagmin-like protein 2a [Source:ZFIN;Acc:ZDB-GENE-070912-588]</t>
  </si>
  <si>
    <t>ENSDARG00000039347</t>
  </si>
  <si>
    <t>rps24</t>
  </si>
  <si>
    <t>ribosomal protein S24 [Source:ZFIN;Acc:ZDB-GENE-040109-5]</t>
  </si>
  <si>
    <t>ENSDARG00000098486</t>
  </si>
  <si>
    <t>tollip</t>
  </si>
  <si>
    <t>toll interacting protein [Source:ZFIN;Acc:ZDB-GENE-030131-8820]</t>
  </si>
  <si>
    <t>ENSDARG00000006892</t>
  </si>
  <si>
    <t>myo3b</t>
  </si>
  <si>
    <t>myosin IIIB [Source:ZFIN;Acc:ZDB-GENE-070706-2]</t>
  </si>
  <si>
    <t>ENSDARG00000077588</t>
  </si>
  <si>
    <t>pdgfc</t>
  </si>
  <si>
    <t>platelet derived growth factor c [Source:ZFIN;Acc:ZDB-GENE-071217-2]</t>
  </si>
  <si>
    <t>ENSDARG00000071374</t>
  </si>
  <si>
    <t>lrrtm2</t>
  </si>
  <si>
    <t>leucine rich repeat transmembrane neuronal 2 [Source:ZFIN;Acc:ZDB-GENE-080327-8]</t>
  </si>
  <si>
    <t>ENSDARG00000036784</t>
  </si>
  <si>
    <t>commd7</t>
  </si>
  <si>
    <t>COMM domain containing 7 [Source:ZFIN;Acc:ZDB-GENE-040801-96]</t>
  </si>
  <si>
    <t>ENSDARG00000016065</t>
  </si>
  <si>
    <t>tlr3</t>
  </si>
  <si>
    <t>toll-like receptor 3 [Source:ZFIN;Acc:ZDB-GENE-040219-7]</t>
  </si>
  <si>
    <t>ENSDARG00000098979</t>
  </si>
  <si>
    <t>si:ch211-76m11.15</t>
  </si>
  <si>
    <t>si:ch211-76m11.15 [Source:ZFIN;Acc:ZDB-GENE-110411-136]</t>
  </si>
  <si>
    <t>ENSDARG00000102441</t>
  </si>
  <si>
    <t>ctnna1</t>
  </si>
  <si>
    <t>catenin (cadherin-associated protein), alpha 1 [Source:ZFIN;Acc:ZDB-GENE-991207-24]</t>
  </si>
  <si>
    <t>ENSDARG00000078973</t>
  </si>
  <si>
    <t>uckl1b</t>
  </si>
  <si>
    <t>uridine-cytidine kinase 1-like 1b [Source:ZFIN;Acc:ZDB-GENE-090311-45]</t>
  </si>
  <si>
    <t>ENSDARG00000076473</t>
  </si>
  <si>
    <t>trim37</t>
  </si>
  <si>
    <t>tripartite motif containing 37 [Source:ZFIN;Acc:ZDB-GENE-030131-2957]</t>
  </si>
  <si>
    <t>ENSDARG00000008200</t>
  </si>
  <si>
    <t>ugp2b</t>
  </si>
  <si>
    <t>UDP-glucose pyrophosphorylase 2b [Source:ZFIN;Acc:ZDB-GENE-030131-6352]</t>
  </si>
  <si>
    <t>ENSDARG00000062003</t>
  </si>
  <si>
    <t>myo5b</t>
  </si>
  <si>
    <t>myosin VB [Source:ZFIN;Acc:ZDB-GENE-031219-7]</t>
  </si>
  <si>
    <t>ENSDARG00000053021</t>
  </si>
  <si>
    <t>grsf1</t>
  </si>
  <si>
    <t>G-rich RNA sequence binding factor 1 [Source:ZFIN;Acc:ZDB-GENE-060825-196]</t>
  </si>
  <si>
    <t>ENSDARG00000105292</t>
  </si>
  <si>
    <t>si:ch73-112j3.1</t>
  </si>
  <si>
    <t>si:ch73-112j3.1 [Source:ZFIN;Acc:ZDB-GENE-141219-39]</t>
  </si>
  <si>
    <t>ENSDARG00000045437</t>
  </si>
  <si>
    <t>slc35b3</t>
  </si>
  <si>
    <t>solute carrier family 35 (adenosine 3'-phospho 5'-phosphosulfate transporter), member B3 [Source:ZFIN;Acc:ZDB-GENE-060312-46]</t>
  </si>
  <si>
    <t>ENSDARG00000091734</t>
  </si>
  <si>
    <t>traf3ip2l</t>
  </si>
  <si>
    <t>TRAF3 interacting protein 2-like [Source:ZFIN;Acc:ZDB-GENE-110919-1]</t>
  </si>
  <si>
    <t>ENSDARG00000038524</t>
  </si>
  <si>
    <t>pik3r1</t>
  </si>
  <si>
    <t>phosphoinositide-3-kinase, regulatory subunit 1 (alpha) [Source:ZFIN;Acc:ZDB-GENE-030131-1280]</t>
  </si>
  <si>
    <t>ENSDARG00000077526</t>
  </si>
  <si>
    <t>babam1</t>
  </si>
  <si>
    <t>BRISC and BRCA1 A complex member 1 [Source:ZFIN;Acc:ZDB-GENE-040808-6]</t>
  </si>
  <si>
    <t>ENSDARG00000021324</t>
  </si>
  <si>
    <t>nsun4</t>
  </si>
  <si>
    <t>NOL1/NOP2/Sun domain family, member 4 [Source:ZFIN;Acc:ZDB-GENE-041212-77]</t>
  </si>
  <si>
    <t>ENSDARG00000028048</t>
  </si>
  <si>
    <t>rdh8a</t>
  </si>
  <si>
    <t>retinol dehydrogenase 8a [Source:ZFIN;Acc:ZDB-GENE-021115-3]</t>
  </si>
  <si>
    <t>ENSDARG00000005479</t>
  </si>
  <si>
    <t>tenm3</t>
  </si>
  <si>
    <t>teneurin transmembrane protein 3 [Source:ZFIN;Acc:ZDB-GENE-990714-19]</t>
  </si>
  <si>
    <t>ENSDARG00000098121</t>
  </si>
  <si>
    <t>si:ch73-14h10.4</t>
  </si>
  <si>
    <t>si:ch73-14h10.4 [Source:ZFIN;Acc:ZDB-GENE-141215-25]</t>
  </si>
  <si>
    <t>ENSDARG00000104771</t>
  </si>
  <si>
    <t>timm44</t>
  </si>
  <si>
    <t>translocase of inner mitochondrial membrane 44 homolog (yeast) [Source:ZFIN;Acc:ZDB-GENE-030131-145]</t>
  </si>
  <si>
    <t>ENSDARG00000015460</t>
  </si>
  <si>
    <t>racgap1</t>
  </si>
  <si>
    <t>Rac GTPase activating protein 1 [Source:ZFIN;Acc:ZDB-GENE-030131-1917]</t>
  </si>
  <si>
    <t>ENSDARG00000037495</t>
  </si>
  <si>
    <t>rtn4rl2b</t>
  </si>
  <si>
    <t>reticulon 4 receptor-like 2b [Source:ZFIN;Acc:ZDB-GENE-040310-2]</t>
  </si>
  <si>
    <t>ENSDARG00000039338</t>
  </si>
  <si>
    <t>gadd45gip1</t>
  </si>
  <si>
    <t>growth arrest and DNA-damage-inducible, gamma interacting protein 1 [Source:ZFIN;Acc:ZDB-GENE-091204-282]</t>
  </si>
  <si>
    <t>ENSDARG00000098466</t>
  </si>
  <si>
    <t>ube2a</t>
  </si>
  <si>
    <t>ubiquitin-conjugating enzyme E2A (RAD6 homolog) [Source:ZFIN;Acc:ZDB-GENE-030616-72]</t>
  </si>
  <si>
    <t>ENSDARG00000019707</t>
  </si>
  <si>
    <t>zgc:101748</t>
  </si>
  <si>
    <t>zgc:101748 [Source:ZFIN;Acc:ZDB-GENE-040912-53]</t>
  </si>
  <si>
    <t>ENSDARG00000099121</t>
  </si>
  <si>
    <t>si:dkey-6d5.1</t>
  </si>
  <si>
    <t>si:dkey-6d5.1 [Source:ZFIN;Acc:ZDB-GENE-141216-54]</t>
  </si>
  <si>
    <t>ENSDARG00000034313</t>
  </si>
  <si>
    <t>ppp5c</t>
  </si>
  <si>
    <t>protein phosphatase 5, catalytic subunit [Source:ZFIN;Acc:ZDB-GENE-050327-75]</t>
  </si>
  <si>
    <t>ENSDARG00000054288</t>
  </si>
  <si>
    <t>zgc:63972</t>
  </si>
  <si>
    <t>zgc:63972 [Source:ZFIN;Acc:ZDB-GENE-040426-1320]</t>
  </si>
  <si>
    <t>ENSDARG00000025071</t>
  </si>
  <si>
    <t>brd8</t>
  </si>
  <si>
    <t>bromodomain containing 8 [Source:ZFIN;Acc:ZDB-GENE-030722-10]</t>
  </si>
  <si>
    <t>ENSDARG00000062450</t>
  </si>
  <si>
    <t>rnf115</t>
  </si>
  <si>
    <t>ring finger protein 115 [Source:ZFIN;Acc:ZDB-GENE-061215-82]</t>
  </si>
  <si>
    <t>ENSDARG00000069649</t>
  </si>
  <si>
    <t>tmem160</t>
  </si>
  <si>
    <t>transmembrane protein 160 [Source:ZFIN;Acc:ZDB-GENE-060503-851]</t>
  </si>
  <si>
    <t>ENSDARG00000071004</t>
  </si>
  <si>
    <t>abhd12</t>
  </si>
  <si>
    <t>abhydrolase domain containing 12 [Source:ZFIN;Acc:ZDB-GENE-060929-268]</t>
  </si>
  <si>
    <t>ENSDARG00000019239</t>
  </si>
  <si>
    <t>cul1a</t>
  </si>
  <si>
    <t>cullin 1a [Source:ZFIN;Acc:ZDB-GENE-030131-2603]</t>
  </si>
  <si>
    <t>ENSDARG00000037746</t>
  </si>
  <si>
    <t>actb1</t>
  </si>
  <si>
    <t>actin, beta 1 [Source:ZFIN;Acc:ZDB-GENE-000329-1]</t>
  </si>
  <si>
    <t>ENSDARG00000045140</t>
  </si>
  <si>
    <t>lcmt1</t>
  </si>
  <si>
    <t>leucine carboxyl methyltransferase 1 [Source:ZFIN;Acc:ZDB-GENE-040912-75]</t>
  </si>
  <si>
    <t>ENSDARG00000008275</t>
  </si>
  <si>
    <t>klhl24b</t>
  </si>
  <si>
    <t>kelch-like family member 24b [Source:ZFIN;Acc:ZDB-GENE-040426-1185]</t>
  </si>
  <si>
    <t>ENSDARG00000055477</t>
  </si>
  <si>
    <t>pelo</t>
  </si>
  <si>
    <t>pelota homolog (Drosophila) [Source:ZFIN;Acc:ZDB-GENE-040426-1074]</t>
  </si>
  <si>
    <t>ENSDARG00000061017</t>
  </si>
  <si>
    <t>spns2</t>
  </si>
  <si>
    <t>spinster homolog 2 (Drosophila) [Source:ZFIN;Acc:ZDB-GENE-030131-5843]</t>
  </si>
  <si>
    <t>ENSDARG00000007708</t>
  </si>
  <si>
    <t>nsa2</t>
  </si>
  <si>
    <t>NSA2 ribosome biogenesis homolog (S. cerevisiae) [Source:ZFIN;Acc:ZDB-GENE-030131-488]</t>
  </si>
  <si>
    <t>ENSDARG00000045167</t>
  </si>
  <si>
    <t>dlgap5</t>
  </si>
  <si>
    <t>discs, large (Drosophila) homolog-associated protein 5 [Source:ZFIN;Acc:ZDB-GENE-040912-160]</t>
  </si>
  <si>
    <t>ENSDARG00000097825</t>
  </si>
  <si>
    <t>im:7154473</t>
  </si>
  <si>
    <t>im:7154473 [Source:ZFIN;Acc:ZDB-GENE-050309-277]</t>
  </si>
  <si>
    <t>ENSDARG00000028131</t>
  </si>
  <si>
    <t>hccsa.1</t>
  </si>
  <si>
    <t>holocytochrome c synthase a [Source:ZFIN;Acc:ZDB-GENE-040718-202]</t>
  </si>
  <si>
    <t>ENSDARG00000032496</t>
  </si>
  <si>
    <t>pon1</t>
  </si>
  <si>
    <t>paraoxonase 1 [Source:ZFIN;Acc:ZDB-GENE-040912-6]</t>
  </si>
  <si>
    <t>ENSDARG00000069339</t>
  </si>
  <si>
    <t>tbc1d24</t>
  </si>
  <si>
    <t>TBC1 domain family, member 24 [Source:ZFIN;Acc:ZDB-GENE-050809-65]</t>
  </si>
  <si>
    <t>ENSDARG00000078042</t>
  </si>
  <si>
    <t>il10rb</t>
  </si>
  <si>
    <t>interleukin 10 receptor, beta [Source:ZFIN;Acc:ZDB-GENE-050909-1]</t>
  </si>
  <si>
    <t>ENSDARG00000075727</t>
  </si>
  <si>
    <t>map1lc3cl</t>
  </si>
  <si>
    <t>microtubule-associated protein 1 light chain 3 gamma, like [Source:ZFIN;Acc:ZDB-GENE-140819-1]</t>
  </si>
  <si>
    <t>ENSDARG00000012485</t>
  </si>
  <si>
    <t>aurka</t>
  </si>
  <si>
    <t>aurora kinase A [Source:ZFIN;Acc:ZDB-GENE-040801-161]</t>
  </si>
  <si>
    <t>ENSDARG00000006292</t>
  </si>
  <si>
    <t>maats1</t>
  </si>
  <si>
    <t>MYCBP-associated, testis expressed 1 [Source:ZFIN;Acc:ZDB-GENE-070912-489]</t>
  </si>
  <si>
    <t>ENSDARG00000074546</t>
  </si>
  <si>
    <t>si:ch211-213a13.11</t>
  </si>
  <si>
    <t>si:ch211-213a13.11 [Source:ZFIN;Acc:ZDB-GENE-070912-189]</t>
  </si>
  <si>
    <t>ENSDARG00000012642</t>
  </si>
  <si>
    <t>si:ch211-266d19.4</t>
  </si>
  <si>
    <t>si:ch211-266d19.4 [Source:ZFIN;Acc:ZDB-GENE-091204-74]</t>
  </si>
  <si>
    <t>ENSDARG00000056871</t>
  </si>
  <si>
    <t>ap4m1</t>
  </si>
  <si>
    <t>adaptor-related protein complex 4, mu 1 subunit [Source:ZFIN;Acc:ZDB-GENE-040718-421]</t>
  </si>
  <si>
    <t>ENSDARG00000016856</t>
  </si>
  <si>
    <t>pon2</t>
  </si>
  <si>
    <t>paraoxonase 2 [Source:ZFIN;Acc:ZDB-GENE-030131-7116]</t>
  </si>
  <si>
    <t>ENSDARG00000051891</t>
  </si>
  <si>
    <t>rsph10b</t>
  </si>
  <si>
    <t>radial spoke head 10 homolog B (Chlamydomonas) [Source:ZFIN;Acc:ZDB-GENE-060929-300]</t>
  </si>
  <si>
    <t>ENSDARG00000017010</t>
  </si>
  <si>
    <t>scamp2l</t>
  </si>
  <si>
    <t>secretory carrier membrane protein 2, like [Source:ZFIN;Acc:ZDB-GENE-030131-6432]</t>
  </si>
  <si>
    <t>ENSDARG00000088202</t>
  </si>
  <si>
    <t>sh3d19</t>
  </si>
  <si>
    <t>SH3 domain containing 19 [Source:ZFIN;Acc:ZDB-GENE-050522-481]</t>
  </si>
  <si>
    <t>ENSDARG00000036687</t>
  </si>
  <si>
    <t>bcl9</t>
  </si>
  <si>
    <t>B-cell CLL/lymphoma 9 [Source:ZFIN;Acc:ZDB-GENE-090313-135]</t>
  </si>
  <si>
    <t>ENSDARG00000104472</t>
  </si>
  <si>
    <t>si:ch211-39i2.2</t>
  </si>
  <si>
    <t>si:ch211-39i2.2 [Source:ZFIN;Acc:ZDB-GENE-041008-126]</t>
  </si>
  <si>
    <t>ENSDARG00000052703</t>
  </si>
  <si>
    <t>cisd2</t>
  </si>
  <si>
    <t>CDGSH iron sulfur domain 2 [Source:ZFIN;Acc:ZDB-GENE-040426-1381]</t>
  </si>
  <si>
    <t>ENSDARG00000040290</t>
  </si>
  <si>
    <t>zgc:174637</t>
  </si>
  <si>
    <t>zgc:174637 [Source:ZFIN;Acc:ZDB-GENE-071004-70]</t>
  </si>
  <si>
    <t>ENSDARG00000060494</t>
  </si>
  <si>
    <t>eprs</t>
  </si>
  <si>
    <t>glutamyl-prolyl-tRNA synthetase [Source:ZFIN;Acc:ZDB-GENE-030131-638]</t>
  </si>
  <si>
    <t>ENSDARG00000059398</t>
  </si>
  <si>
    <t>myef2</t>
  </si>
  <si>
    <t>myelin expression factor 2 [Source:ZFIN;Acc:ZDB-GENE-051120-114]</t>
  </si>
  <si>
    <t>ENSDARG00000063009</t>
  </si>
  <si>
    <t>catip</t>
  </si>
  <si>
    <t>ciliogenesis associated TTC17 interacting protein [Source:ZFIN;Acc:ZDB-GENE-060929-1170]</t>
  </si>
  <si>
    <t>ENSDARG00000090976</t>
  </si>
  <si>
    <t>NABP2</t>
  </si>
  <si>
    <t>si:ch73-190f16.2 [Source:ZFIN;Acc:ZDB-GENE-160114-62]</t>
  </si>
  <si>
    <t>ENSDARG00000053404</t>
  </si>
  <si>
    <t>PPP2CA</t>
  </si>
  <si>
    <t>zgc:56064 [Source:ZFIN;Acc:ZDB-GENE-040426-877]</t>
  </si>
  <si>
    <t>ENSDARG00000041908</t>
  </si>
  <si>
    <t>usp39</t>
  </si>
  <si>
    <t>ubiquitin specific peptidase 39 [Source:ZFIN;Acc:ZDB-GENE-030131-966]</t>
  </si>
  <si>
    <t>ENSDARG00000098853</t>
  </si>
  <si>
    <t>ehd1a</t>
  </si>
  <si>
    <t>EH-domain containing 1a [Source:ZFIN;Acc:ZDB-GENE-040426-2518]</t>
  </si>
  <si>
    <t>ENSDARG00000079796</t>
  </si>
  <si>
    <t>ldah</t>
  </si>
  <si>
    <t>lipid droplet associated hydrolase [Source:ZFIN;Acc:ZDB-GENE-081022-178]</t>
  </si>
  <si>
    <t>ENSDARG00000060841</t>
  </si>
  <si>
    <t>pik3c2a</t>
  </si>
  <si>
    <t>phosphatidylinositol-4-phosphate 3-kinase, catalytic subunit type 2 alpha [Source:ZFIN;Acc:ZDB-GENE-030328-39]</t>
  </si>
  <si>
    <t>ENSDARG00000097789</t>
  </si>
  <si>
    <t>zgc:174637.1</t>
  </si>
  <si>
    <t>ENSDARG00000102319</t>
  </si>
  <si>
    <t>si:dkey-196h17.9</t>
  </si>
  <si>
    <t>si:dkey-196h17.9 [Source:ZFIN;Acc:ZDB-GENE-141216-317]</t>
  </si>
  <si>
    <t>ENSDARG00000079848</t>
  </si>
  <si>
    <t>gmps</t>
  </si>
  <si>
    <t>guanine monophosphate synthase [Source:ZFIN;Acc:ZDB-GENE-040426-1503]</t>
  </si>
  <si>
    <t>ENSDARG00000017036</t>
  </si>
  <si>
    <t>si:dkeyp-57f11.2</t>
  </si>
  <si>
    <t>si:dkeyp-57f11.2 [Source:ZFIN;Acc:ZDB-GENE-041008-237]</t>
  </si>
  <si>
    <t>ENSDARG00000096479</t>
  </si>
  <si>
    <t>si:dkey-4m13.3</t>
  </si>
  <si>
    <t>si:dkey-4m13.3 [Source:ZFIN;Acc:ZDB-GENE-120709-50]</t>
  </si>
  <si>
    <t>ENSDARG00000103361</t>
  </si>
  <si>
    <t>tshz3b</t>
  </si>
  <si>
    <t>teashirt zinc finger homeobox 3b [Source:ZFIN;Acc:ZDB-GENE-100319-2]</t>
  </si>
  <si>
    <t>ENSDARG00000045927</t>
  </si>
  <si>
    <t>slc25a44a</t>
  </si>
  <si>
    <t>solute carrier family 25, member 44 a [Source:ZFIN;Acc:ZDB-GENE-041114-38]</t>
  </si>
  <si>
    <t>ENSDARG00000004386</t>
  </si>
  <si>
    <t>si:dkey-153k10.9</t>
  </si>
  <si>
    <t>si:dkey-153k10.9 [Source:ZFIN;Acc:ZDB-GENE-030131-3893]</t>
  </si>
  <si>
    <t>ENSDARG00000088630</t>
  </si>
  <si>
    <t>arhgef10la</t>
  </si>
  <si>
    <t>Rho guanine nucleotide exchange factor (GEF) 10-like a [Source:ZFIN;Acc:ZDB-GENE-120814-1]</t>
  </si>
  <si>
    <t>ENSDARG00000063474</t>
  </si>
  <si>
    <t>arfgef1</t>
  </si>
  <si>
    <t>ADP-ribosylation factor guanine nucleotide-exchange factor 1 (brefeldin A-inhibited) [Source:ZFIN;Acc:ZDB-GENE-030131-108]</t>
  </si>
  <si>
    <t>ENSDARG00000038359</t>
  </si>
  <si>
    <t>enosf1</t>
  </si>
  <si>
    <t>enolase superfamily member 1 [Source:ZFIN;Acc:ZDB-GENE-060929-780]</t>
  </si>
  <si>
    <t>ENSDARG00000105503</t>
  </si>
  <si>
    <t>fndc3a</t>
  </si>
  <si>
    <t>fibronectin type III domain containing 3A [Source:ZFIN;Acc:ZDB-GENE-030131-7015]</t>
  </si>
  <si>
    <t>ENSDARG00000096954</t>
  </si>
  <si>
    <t>si:dkeyp-67f1.1</t>
  </si>
  <si>
    <t>si:dkeyp-67f1.1 [Source:ZFIN;Acc:ZDB-GENE-131127-559]</t>
  </si>
  <si>
    <t>ENSDARG00000069433</t>
  </si>
  <si>
    <t>tnk1</t>
  </si>
  <si>
    <t>tyrosine kinase, non-receptor, 1 [Source:ZFIN;Acc:ZDB-GENE-030131-7427]</t>
  </si>
  <si>
    <t>ENSDARG00000032623</t>
  </si>
  <si>
    <t>rcan3</t>
  </si>
  <si>
    <t>regulator of calcineurin 3 [Source:ZFIN;Acc:ZDB-GENE-040718-445]</t>
  </si>
  <si>
    <t>ENSDARG00000030743</t>
  </si>
  <si>
    <t>sptlc3</t>
  </si>
  <si>
    <t>serine palmitoyltransferase, long chain base subunit 3 [Source:ZFIN;Acc:ZDB-GENE-041210-281]</t>
  </si>
  <si>
    <t>ENSDARG00000026086</t>
  </si>
  <si>
    <t>zgc:162324</t>
  </si>
  <si>
    <t>zgc:162324 [Source:ZFIN;Acc:ZDB-GENE-070410-73]</t>
  </si>
  <si>
    <t>ENSDARG00000022978</t>
  </si>
  <si>
    <t>tmpob</t>
  </si>
  <si>
    <t>thymopoietin b [Source:ZFIN;Acc:ZDB-GENE-050522-8]</t>
  </si>
  <si>
    <t>ENSDARG00000097445</t>
  </si>
  <si>
    <t>si:dkey-195m11.8</t>
  </si>
  <si>
    <t>si:dkey-195m11.8 [Source:ZFIN;Acc:ZDB-GENE-030131-3092]</t>
  </si>
  <si>
    <t>ENSDARG00000029045</t>
  </si>
  <si>
    <t>peli2</t>
  </si>
  <si>
    <t>pellino E3 ubiquitin protein ligase family member 2 [Source:ZFIN;Acc:ZDB-GENE-040718-360]</t>
  </si>
  <si>
    <t>ENSDARG00000059556</t>
  </si>
  <si>
    <t>recql5</t>
  </si>
  <si>
    <t>RecQ helicase-like 5 [Source:ZFIN;Acc:ZDB-GENE-071214-1]</t>
  </si>
  <si>
    <t>ENSDARG00000038792</t>
  </si>
  <si>
    <t>klf17</t>
  </si>
  <si>
    <t>Kruppel-like factor 17 [Source:ZFIN;Acc:ZDB-GENE-010129-1]</t>
  </si>
  <si>
    <t>ENSDARG00000101744</t>
  </si>
  <si>
    <t>hug</t>
  </si>
  <si>
    <t>HuG [Source:ZFIN;Acc:ZDB-GENE-000210-17]</t>
  </si>
  <si>
    <t>ENSDARG00000039351</t>
  </si>
  <si>
    <t>ccl19b</t>
  </si>
  <si>
    <t>chemokine (C-C motif) ligand 19b [Source:ZFIN;Acc:ZDB-GENE-091204-19]</t>
  </si>
  <si>
    <t>ENSDARG00000045127</t>
  </si>
  <si>
    <t>FAM53C</t>
  </si>
  <si>
    <t>zgc:175066 [Source:ZFIN;Acc:ZDB-GENE-091027-2]</t>
  </si>
  <si>
    <t>ENSDARG00000063249</t>
  </si>
  <si>
    <t>mrpl9</t>
  </si>
  <si>
    <t>mitochondrial ribosomal protein L9 [Source:ZFIN;Acc:ZDB-GENE-070717-4]</t>
  </si>
  <si>
    <t>ENSDARG00000035609</t>
  </si>
  <si>
    <t>mtnr1c</t>
  </si>
  <si>
    <t>melatonin receptor 1C [Source:ZFIN;Acc:ZDB-GENE-990415-158]</t>
  </si>
  <si>
    <t>ENSDARG00000012591</t>
  </si>
  <si>
    <t>pdcd10b</t>
  </si>
  <si>
    <t>programmed cell death 10b [Source:ZFIN;Acc:ZDB-GENE-040426-2607]</t>
  </si>
  <si>
    <t>ENSDARG00000100633</t>
  </si>
  <si>
    <t>APH1A</t>
  </si>
  <si>
    <t>zgc:114200 [Source:ZFIN;Acc:ZDB-GENE-050913-96]</t>
  </si>
  <si>
    <t>ENSDARG00000063701</t>
  </si>
  <si>
    <t>rreb1a</t>
  </si>
  <si>
    <t>ras responsive element binding protein 1a [Source:ZFIN;Acc:ZDB-GENE-030219-137]</t>
  </si>
  <si>
    <t>ENSDARG00000089338</t>
  </si>
  <si>
    <t>si:ch211-110e21.3</t>
  </si>
  <si>
    <t>si:ch211-110e21.3 [Source:ZFIN;Acc:ZDB-GENE-131121-389]</t>
  </si>
  <si>
    <t>ENSDARG00000074331</t>
  </si>
  <si>
    <t>eif4g3b</t>
  </si>
  <si>
    <t>eukaryotic translation initiation factor 4 gamma, 3b [Source:ZFIN;Acc:ZDB-GENE-090312-49]</t>
  </si>
  <si>
    <t>ENSDARG00000089643</t>
  </si>
  <si>
    <t>mcama</t>
  </si>
  <si>
    <t>melanoma cell adhesion molecule a [Source:ZFIN;Acc:ZDB-GENE-090218-29]</t>
  </si>
  <si>
    <t>ENSDARG00000026655</t>
  </si>
  <si>
    <t>tspo</t>
  </si>
  <si>
    <t>translocator protein [Source:ZFIN;Acc:ZDB-GENE-041010-125]</t>
  </si>
  <si>
    <t>ENSDARG00000096867</t>
  </si>
  <si>
    <t>clmn</t>
  </si>
  <si>
    <t>calmin [Source:ZFIN;Acc:ZDB-GENE-131127-546]</t>
  </si>
  <si>
    <t>ENSDARG00000032161</t>
  </si>
  <si>
    <t>srgap2</t>
  </si>
  <si>
    <t>SLIT-ROBO Rho GTPase activating protein 2 [Source:ZFIN;Acc:ZDB-GENE-060915-2]</t>
  </si>
  <si>
    <t>ENSDARG00000058548</t>
  </si>
  <si>
    <t>bves</t>
  </si>
  <si>
    <t>blood vessel epicardial substance [Source:ZFIN;Acc:ZDB-GENE-040624-11]</t>
  </si>
  <si>
    <t>ENSDARG00000041947</t>
  </si>
  <si>
    <t>styk1</t>
  </si>
  <si>
    <t>serine/threonine/tyrosine kinase 1 [Source:ZFIN;Acc:ZDB-GENE-030131-3435]</t>
  </si>
  <si>
    <t>ENSDARG00000058345</t>
  </si>
  <si>
    <t>si:dkey-5i3.5</t>
  </si>
  <si>
    <t>si:dkey-5i3.5 [Source:ZFIN;Acc:ZDB-GENE-070424-162]</t>
  </si>
  <si>
    <t>ENSDARG00000077596</t>
  </si>
  <si>
    <t>phf24</t>
  </si>
  <si>
    <t>PHD finger protein 24 [Source:ZFIN;Acc:ZDB-GENE-091204-154]</t>
  </si>
  <si>
    <t>ENSDARG00000104604</t>
  </si>
  <si>
    <t>znf1099</t>
  </si>
  <si>
    <t>zinc finger protein 1099 [Source:ZFIN;Acc:ZDB-GENE-060503-829]</t>
  </si>
  <si>
    <t>ENSDARG00000104741</t>
  </si>
  <si>
    <t>zgc:173619</t>
  </si>
  <si>
    <t>zgc:173619 [Source:ZFIN;Acc:ZDB-GENE-071004-58]</t>
  </si>
  <si>
    <t>ENSDARG00000096481</t>
  </si>
  <si>
    <t>si:dkey-16p19.8</t>
  </si>
  <si>
    <t>si:dkey-16p19.8 [Source:ZFIN;Acc:ZDB-GENE-120709-67]</t>
  </si>
  <si>
    <t>ENSDARG00000103644</t>
  </si>
  <si>
    <t>si:ch211-215a9.36</t>
  </si>
  <si>
    <t>si:ch211-215a9.36 [Source:ZFIN;Acc:ZDB-GENE-141222-37]</t>
  </si>
  <si>
    <t>ENSDARG00000007755</t>
  </si>
  <si>
    <t>wdr61</t>
  </si>
  <si>
    <t>WD repeat domain 61 [Source:ZFIN;Acc:ZDB-GENE-040426-1851]</t>
  </si>
  <si>
    <t>ENSDARG00000099555</t>
  </si>
  <si>
    <t>foxo1a</t>
  </si>
  <si>
    <t>forkhead box O1 a [Source:ZFIN;Acc:ZDB-GENE-061013-59]</t>
  </si>
  <si>
    <t>ENSDARG00000044246</t>
  </si>
  <si>
    <t>snx18b</t>
  </si>
  <si>
    <t>sorting nexin 18b [Source:ZFIN;Acc:ZDB-GENE-080213-6]</t>
  </si>
  <si>
    <t>ENSDARG00000003531</t>
  </si>
  <si>
    <t>tcea1</t>
  </si>
  <si>
    <t>transcription elongation factor A (SII), 1 [Source:ZFIN;Acc:ZDB-GENE-030131-8049]</t>
  </si>
  <si>
    <t>ENSDARG00000059438</t>
  </si>
  <si>
    <t>galnt18b</t>
  </si>
  <si>
    <t>UDP-N-acetyl-alpha-D-galactosamine:polypeptide N-acetylgalactosaminyltransferase 18b [Source:ZFIN;Acc:ZDB-GENE-091014-1]</t>
  </si>
  <si>
    <t>ENSDARG00000093125</t>
  </si>
  <si>
    <t>RGPD2</t>
  </si>
  <si>
    <t>si:ch1073-55a19.2 [Source:ZFIN;Acc:ZDB-GENE-081104-93]</t>
  </si>
  <si>
    <t>ENSDARG00000036117</t>
  </si>
  <si>
    <t>mchr2</t>
  </si>
  <si>
    <t>melanin-concentrating hormone receptor 2 [Source:ZFIN;Acc:ZDB-GENE-030502-6]</t>
  </si>
  <si>
    <t>ENSDARG00000036577</t>
  </si>
  <si>
    <t>atp6v0cb</t>
  </si>
  <si>
    <t>ATPase, H+ transporting, lysosomal, V0 subunit cb [Source:ZFIN;Acc:ZDB-GENE-030131-4127]</t>
  </si>
  <si>
    <t>ENSDARG00000021607</t>
  </si>
  <si>
    <t>negr1</t>
  </si>
  <si>
    <t>neuronal growth regulator 1 [Source:ZFIN;Acc:ZDB-GENE-040822-27]</t>
  </si>
  <si>
    <t>ENSDARG00000009169</t>
  </si>
  <si>
    <t>mob1ba</t>
  </si>
  <si>
    <t>MOB kinase activator 1Ba [Source:ZFIN;Acc:ZDB-GENE-040426-919]</t>
  </si>
  <si>
    <t>ENSDARG00000091280</t>
  </si>
  <si>
    <t>si:ch211-66k16.27</t>
  </si>
  <si>
    <t>si:ch211-66k16.27 [Source:ZFIN;Acc:ZDB-GENE-120709-9]</t>
  </si>
  <si>
    <t>ENSDARG00000014962</t>
  </si>
  <si>
    <t>ppp3cca</t>
  </si>
  <si>
    <t>protein phosphatase 3, catalytic subunit, gamma isozyme, a [Source:ZFIN;Acc:ZDB-GENE-030829-36]</t>
  </si>
  <si>
    <t>ENSDARG00000043587</t>
  </si>
  <si>
    <t>srd5a2a</t>
  </si>
  <si>
    <t>steroid-5-alpha-reductase, alpha polypeptide 2a [Source:ZFIN;Acc:ZDB-GENE-050417-199]</t>
  </si>
  <si>
    <t>ENSDARG00000025566</t>
  </si>
  <si>
    <t>slc25a3b</t>
  </si>
  <si>
    <t>solute carrier family 25 (mitochondrial carrier; phosphate carrier), member 3b [Source:ZFIN;Acc:ZDB-GENE-040426-1916]</t>
  </si>
  <si>
    <t>ENSDARG00000101986</t>
  </si>
  <si>
    <t>irf6</t>
  </si>
  <si>
    <t>interferon regulatory factor 6 [Source:ZFIN;Acc:ZDB-GENE-040426-1137]</t>
  </si>
  <si>
    <t>ENSDARG00000094850</t>
  </si>
  <si>
    <t>si:dkey-88l16.5</t>
  </si>
  <si>
    <t>si:dkey-88l16.5 [Source:ZFIN;Acc:ZDB-GENE-091204-332]</t>
  </si>
  <si>
    <t>ENSDARG00000057562</t>
  </si>
  <si>
    <t>polr3c</t>
  </si>
  <si>
    <t>polymerase (RNA) III (DNA directed) polypeptide C [Source:ZFIN;Acc:ZDB-GENE-040426-992]</t>
  </si>
  <si>
    <t>ENSDARG00000041592</t>
  </si>
  <si>
    <t>dcun1d2b</t>
  </si>
  <si>
    <t>DCN1, defective in cullin neddylation 1, domain containing 2b [Source:ZFIN;Acc:ZDB-GENE-040625-171]</t>
  </si>
  <si>
    <t>ENSDARG00000076362</t>
  </si>
  <si>
    <t>tmem260</t>
  </si>
  <si>
    <t>transmembrane protein 260 [Source:ZFIN;Acc:ZDB-GENE-030131-4198]</t>
  </si>
  <si>
    <t>ENSDARG00000030954</t>
  </si>
  <si>
    <t>ftr56</t>
  </si>
  <si>
    <t>finTRIM family, member 56 [Source:ZFIN;Acc:ZDB-GENE-030131-2801]</t>
  </si>
  <si>
    <t>ENSDARG00000007207</t>
  </si>
  <si>
    <t>cnpy2</t>
  </si>
  <si>
    <t>canopy 2 [Source:ZFIN;Acc:ZDB-GENE-060315-4]</t>
  </si>
  <si>
    <t>ENSDARG00000102300</t>
  </si>
  <si>
    <t>ca9</t>
  </si>
  <si>
    <t>carbonic anhydrase IX [Source:ZFIN;Acc:ZDB-GENE-080818-5]</t>
  </si>
  <si>
    <t>ENSDARG00000094683</t>
  </si>
  <si>
    <t>si:ch211-253d24.2</t>
  </si>
  <si>
    <t>si:ch211-253d24.2 [Source:ZFIN;Acc:ZDB-GENE-070912-249]</t>
  </si>
  <si>
    <t>ENSDARG00000090309</t>
  </si>
  <si>
    <t>ubxn1</t>
  </si>
  <si>
    <t>UBX domain protein 1 [Source:ZFIN;Acc:ZDB-GENE-030131-792]</t>
  </si>
  <si>
    <t>ENSDARG00000074201</t>
  </si>
  <si>
    <t>flna</t>
  </si>
  <si>
    <t>filamin A, alpha (actin binding protein 280) [Source:ZFIN;Acc:ZDB-GENE-030131-2145]</t>
  </si>
  <si>
    <t>ENSDARG00000075853</t>
  </si>
  <si>
    <t>sh3kbp1</t>
  </si>
  <si>
    <t>SH3-domain kinase binding protein 1 [Source:ZFIN;Acc:ZDB-GENE-091204-186]</t>
  </si>
  <si>
    <t>ENSDARG00000037503</t>
  </si>
  <si>
    <t>thoc2</t>
  </si>
  <si>
    <t>THO complex 2 [Source:ZFIN;Acc:ZDB-GENE-030616-54]</t>
  </si>
  <si>
    <t>ENSDARG00000016304</t>
  </si>
  <si>
    <t>tfdp1b</t>
  </si>
  <si>
    <t>transcription factor Dp-1, b [Source:ZFIN;Acc:ZDB-GENE-040426-1746]</t>
  </si>
  <si>
    <t>ENSDARG00000057728</t>
  </si>
  <si>
    <t>slc17a8</t>
  </si>
  <si>
    <t>solute carrier family 17 (vesicular glutamate transporter), member 8 [Source:ZFIN;Acc:ZDB-GENE-060503-416]</t>
  </si>
  <si>
    <t>ENSDARG00000063341</t>
  </si>
  <si>
    <t>si:ch211-284b7.3</t>
  </si>
  <si>
    <t>si:ch211-284b7.3 [Source:ZFIN;Acc:ZDB-GENE-061207-34]</t>
  </si>
  <si>
    <t>ENSDARG00000004497</t>
  </si>
  <si>
    <t>tspan33a</t>
  </si>
  <si>
    <t>tetraspanin 33a [Source:ZFIN;Acc:ZDB-GENE-040718-361]</t>
  </si>
  <si>
    <t>ENSDARG00000056196</t>
  </si>
  <si>
    <t>slc2a2</t>
  </si>
  <si>
    <t>solute carrier family 2 (facilitated glucose transporter), member 2 [Source:ZFIN;Acc:ZDB-GENE-030131-1213]</t>
  </si>
  <si>
    <t>ENSDARG00000033370</t>
  </si>
  <si>
    <t>ppil3</t>
  </si>
  <si>
    <t>peptidylprolyl isomerase (cyclophilin)-like 3 [Source:ZFIN;Acc:ZDB-GENE-040625-159]</t>
  </si>
  <si>
    <t>ENSDARG00000026500</t>
  </si>
  <si>
    <t>xkr9</t>
  </si>
  <si>
    <t>XK, Kell blood group complex subunit-related family, member 9 [Source:ZFIN;Acc:ZDB-GENE-060421-6224]</t>
  </si>
  <si>
    <t>ENSDARG00000008407</t>
  </si>
  <si>
    <t>tspan7b</t>
  </si>
  <si>
    <t>tetraspanin 7b [Source:ZFIN;Acc:ZDB-GENE-040927-5]</t>
  </si>
  <si>
    <t>ENSDARG00000070161</t>
  </si>
  <si>
    <t>vamp3</t>
  </si>
  <si>
    <t>vesicle-associated membrane protein 3 (cellubrevin) [Source:ZFIN;Acc:ZDB-GENE-040625-45]</t>
  </si>
  <si>
    <t>ENSDARG00000079994</t>
  </si>
  <si>
    <t>AKAP13.1</t>
  </si>
  <si>
    <t>si:dkey-187e18.1 [Source:ZFIN;Acc:ZDB-GENE-030131-6253]</t>
  </si>
  <si>
    <t>ENSDARG00000078076</t>
  </si>
  <si>
    <t>nab2</t>
  </si>
  <si>
    <t>NGFI-A binding protein 2 (EGR1 binding protein 2) [Source:ZFIN;Acc:ZDB-GENE-080204-105]</t>
  </si>
  <si>
    <t>ENSDARG00000008805</t>
  </si>
  <si>
    <t>orc3</t>
  </si>
  <si>
    <t>origin recognition complex, subunit 3 [Source:ZFIN;Acc:ZDB-GENE-030131-6247]</t>
  </si>
  <si>
    <t>ENSDARG00000058287</t>
  </si>
  <si>
    <t>gpalpp1</t>
  </si>
  <si>
    <t>GPALPP motifs containing 1 [Source:ZFIN;Acc:ZDB-GENE-040801-212]</t>
  </si>
  <si>
    <t>ENSDARG00000098181</t>
  </si>
  <si>
    <t>zgc:113184</t>
  </si>
  <si>
    <t>zgc:113184 [Source:ZFIN;Acc:ZDB-GENE-050522-9]</t>
  </si>
  <si>
    <t>ENSDARG00000099065</t>
  </si>
  <si>
    <t>si:dkeyp-12a4.1</t>
  </si>
  <si>
    <t>si:dkeyp-12a4.1 [Source:ZFIN;Acc:ZDB-GENE-141216-437]</t>
  </si>
  <si>
    <t>ENSDARG00000052164</t>
  </si>
  <si>
    <t>znf507</t>
  </si>
  <si>
    <t>zinc finger protein 507 [Source:ZFIN;Acc:ZDB-GENE-040426-1233]</t>
  </si>
  <si>
    <t>ENSDARG00000093945</t>
  </si>
  <si>
    <t>vma21</t>
  </si>
  <si>
    <t>VMA21 vacuolar H+-ATPase homolog (S. cerevisiae) [Source:ZFIN;Acc:ZDB-GENE-081104-272]</t>
  </si>
  <si>
    <t>ENSDARG00000001210</t>
  </si>
  <si>
    <t>arl14ep</t>
  </si>
  <si>
    <t>ADP-ribosylation factor-like 14 effector protein [Source:ZFIN;Acc:ZDB-GENE-060825-216]</t>
  </si>
  <si>
    <t>ENSDARG00000056186</t>
  </si>
  <si>
    <t>eif5a2</t>
  </si>
  <si>
    <t>eukaryotic translation initiation factor 5A2 [Source:ZFIN;Acc:ZDB-GENE-040426-2405]</t>
  </si>
  <si>
    <t>ENSDARG00000023536</t>
  </si>
  <si>
    <t>nnt</t>
  </si>
  <si>
    <t>nicotinamide nucleotide transhydrogenase [Source:ZFIN;Acc:ZDB-GENE-040426-2592]</t>
  </si>
  <si>
    <t>ENSDARG00000018049</t>
  </si>
  <si>
    <t>sf3b2</t>
  </si>
  <si>
    <t>splicing factor 3b, subunit 2 [Source:ZFIN;Acc:ZDB-GENE-070928-1]</t>
  </si>
  <si>
    <t>ENSDARG00000074908</t>
  </si>
  <si>
    <t>col6a1</t>
  </si>
  <si>
    <t>collagen, type VI, alpha 1 [Source:ZFIN;Acc:ZDB-GENE-070501-6]</t>
  </si>
  <si>
    <t>ENSDARG00000024694</t>
  </si>
  <si>
    <t>myo1b</t>
  </si>
  <si>
    <t>myosin IB [Source:ZFIN;Acc:ZDB-GENE-030131-695]</t>
  </si>
  <si>
    <t>ENSDARG00000040046</t>
  </si>
  <si>
    <t>snai2</t>
  </si>
  <si>
    <t>snail family zinc finger 2 [Source:ZFIN;Acc:ZDB-GENE-030326-6]</t>
  </si>
  <si>
    <t>ENSDARG00000044016</t>
  </si>
  <si>
    <t>myo6a</t>
  </si>
  <si>
    <t>myosin VIa [Source:ZFIN;Acc:ZDB-GENE-040819-2]</t>
  </si>
  <si>
    <t>ENSDARG00000019223</t>
  </si>
  <si>
    <t>arglu1a</t>
  </si>
  <si>
    <t>arginine and glutamate rich 1a [Source:ZFIN;Acc:ZDB-GENE-040426-2914]</t>
  </si>
  <si>
    <t>ENSDARG00000033597</t>
  </si>
  <si>
    <t>api5</t>
  </si>
  <si>
    <t>apoptosis inhibitor 5 [Source:ZFIN;Acc:ZDB-GENE-030131-395]</t>
  </si>
  <si>
    <t>ENSDARG00000042793</t>
  </si>
  <si>
    <t>tpp1</t>
  </si>
  <si>
    <t>tripeptidyl peptidase I [Source:ZFIN;Acc:ZDB-GENE-030131-6654]</t>
  </si>
  <si>
    <t>ENSDARG00000099476</t>
  </si>
  <si>
    <t>zgc:174863</t>
  </si>
  <si>
    <t>zgc:174863 [Source:ZFIN;Acc:ZDB-GENE-080204-87]</t>
  </si>
  <si>
    <t>ENSDARG00000026035</t>
  </si>
  <si>
    <t>ube2b</t>
  </si>
  <si>
    <t>ubiquitin-conjugating enzyme E2B (RAD6 homolog) [Source:ZFIN;Acc:ZDB-GENE-040718-247]</t>
  </si>
  <si>
    <t>ENSDARG00000004939</t>
  </si>
  <si>
    <t>mtdhb</t>
  </si>
  <si>
    <t>metadherin b [Source:ZFIN;Acc:ZDB-GENE-090929-2]</t>
  </si>
  <si>
    <t>ENSDARG00000004956</t>
  </si>
  <si>
    <t>zmat2</t>
  </si>
  <si>
    <t>zinc finger, matrin-type 2 [Source:ZFIN;Acc:ZDB-GENE-030131-3197]</t>
  </si>
  <si>
    <t>ENSDARG00000029936</t>
  </si>
  <si>
    <t>grtp1a</t>
  </si>
  <si>
    <t>growth hormone regulated TBC protein 1a [Source:ZFIN;Acc:ZDB-GENE-040426-2733]</t>
  </si>
  <si>
    <t>ENSDARG00000097536</t>
  </si>
  <si>
    <t>si:dkey-197a4.1</t>
  </si>
  <si>
    <t>si:dkey-197a4.1 [Source:ZFIN;Acc:ZDB-GENE-131122-30]</t>
  </si>
  <si>
    <t>ENSDARG00000023578</t>
  </si>
  <si>
    <t>lpp</t>
  </si>
  <si>
    <t>LIM domain containing preferred translocation partner in lipoma [Source:ZFIN;Acc:ZDB-GENE-040426-918]</t>
  </si>
  <si>
    <t>ENSDARG00000076090</t>
  </si>
  <si>
    <t>jakmip1</t>
  </si>
  <si>
    <t>janus kinase and microtubule interacting protein 1 [Source:ZFIN;Acc:ZDB-GENE-110208-7]</t>
  </si>
  <si>
    <t>ENSDARG00000079397</t>
  </si>
  <si>
    <t>cerkl</t>
  </si>
  <si>
    <t>ceramide kinase-like [Source:ZFIN;Acc:ZDB-GENE-070410-38]</t>
  </si>
  <si>
    <t>ENSDARG00000094322</t>
  </si>
  <si>
    <t>si:dkey-178e17.2</t>
  </si>
  <si>
    <t>si:dkey-178e17.2 [Source:ZFIN;Acc:ZDB-GENE-081104-21]</t>
  </si>
  <si>
    <t>ENSDARG00000045249</t>
  </si>
  <si>
    <t>nif3l1</t>
  </si>
  <si>
    <t>NIF3 NGG1 interacting factor 3-like 1 (S. cerevisiae) [Source:ZFIN;Acc:ZDB-GENE-050706-80]</t>
  </si>
  <si>
    <t>ENSDARG00000018534</t>
  </si>
  <si>
    <t>slc6a9</t>
  </si>
  <si>
    <t>solute carrier family 6 (neurotransmitter transporter, glycine), member 9 [Source:ZFIN;Acc:ZDB-GENE-050105-3]</t>
  </si>
  <si>
    <t>ENSDARG00000093892</t>
  </si>
  <si>
    <t>si:ch211-11i5.3</t>
  </si>
  <si>
    <t>si:ch211-11i5.3.1</t>
  </si>
  <si>
    <t>si:ch211-11i5.3 [Source:ZFIN;Acc:ZDB-GENE-100922-11]</t>
  </si>
  <si>
    <t>ENSDARG00000060215</t>
  </si>
  <si>
    <t>cep85</t>
  </si>
  <si>
    <t>centrosomal protein 85 [Source:ZFIN;Acc:ZDB-GENE-030131-1998]</t>
  </si>
  <si>
    <t>ENSDARG00000088581</t>
  </si>
  <si>
    <t>f10</t>
  </si>
  <si>
    <t>coagulation factor X [Source:ZFIN;Acc:ZDB-GENE-021206-9]</t>
  </si>
  <si>
    <t>ENSDARG00000078974</t>
  </si>
  <si>
    <t>COA4</t>
  </si>
  <si>
    <t>si:ch211-215a9.5 [Source:ZFIN;Acc:ZDB-GENE-141216-219]</t>
  </si>
  <si>
    <t>ENSDARG00000101853</t>
  </si>
  <si>
    <t>znf977.1</t>
  </si>
  <si>
    <t>ENSDARG00000105424</t>
  </si>
  <si>
    <t>si:rp71-46j2.7</t>
  </si>
  <si>
    <t>si:rp71-46j2.7 [Source:ZFIN;Acc:ZDB-GENE-160113-120]</t>
  </si>
  <si>
    <t>ENSDARG00000035630</t>
  </si>
  <si>
    <t>ypel1</t>
  </si>
  <si>
    <t>yippee-like 1 [Source:ZFIN;Acc:ZDB-GENE-040808-41]</t>
  </si>
  <si>
    <t>ENSDARG00000042670</t>
  </si>
  <si>
    <t>eps15l1a</t>
  </si>
  <si>
    <t>epidermal growth factor receptor pathway substrate 15-like 1a [Source:ZFIN;Acc:ZDB-GENE-060503-274]</t>
  </si>
  <si>
    <t>ENSDARG00000052343</t>
  </si>
  <si>
    <t>spata18</t>
  </si>
  <si>
    <t>spermatogenesis associated 18 [Source:ZFIN;Acc:ZDB-GENE-050522-306]</t>
  </si>
  <si>
    <t>ENSDARG00000063014</t>
  </si>
  <si>
    <t>dbpa</t>
  </si>
  <si>
    <t>D site albumin promoter binding protein a [Source:ZFIN;Acc:ZDB-GENE-060503-802]</t>
  </si>
  <si>
    <t>ENSDARG00000017311</t>
  </si>
  <si>
    <t>gpsm2</t>
  </si>
  <si>
    <t>G-protein signaling modulator 2 [Source:ZFIN;Acc:ZDB-GENE-040426-1169]</t>
  </si>
  <si>
    <t>ENSDARG00000104656</t>
  </si>
  <si>
    <t>si:dkeyp-97a10.3</t>
  </si>
  <si>
    <t>si:dkeyp-97a10.3 [Source:ZFIN;Acc:ZDB-GENE-131127-642]</t>
  </si>
  <si>
    <t>ENSDARG00000055653</t>
  </si>
  <si>
    <t>nubp2</t>
  </si>
  <si>
    <t>nucleotide binding protein 2 (MinD homolog, E. coli) [Source:ZFIN;Acc:ZDB-GENE-051023-10]</t>
  </si>
  <si>
    <t>ENSDARG00000099595</t>
  </si>
  <si>
    <t>si:dkeyp-44d3.2</t>
  </si>
  <si>
    <t>si:dkeyp-44d3.2 [Source:ZFIN;Acc:ZDB-GENE-120709-41]</t>
  </si>
  <si>
    <t>ENSDARG00000105162</t>
  </si>
  <si>
    <t>si:dkey-224k5.13</t>
  </si>
  <si>
    <t>si:dkey-224k5.13 [Source:ZFIN;Acc:ZDB-GENE-141216-341]</t>
  </si>
  <si>
    <t>ENSDARG00000075132</t>
  </si>
  <si>
    <t>fh</t>
  </si>
  <si>
    <t>fumarate hydratase [Source:ZFIN;Acc:ZDB-GENE-010724-6]</t>
  </si>
  <si>
    <t>ENSDARG00000039429</t>
  </si>
  <si>
    <t>adka</t>
  </si>
  <si>
    <t>adenosine kinase a [Source:ZFIN;Acc:ZDB-GENE-030425-3]</t>
  </si>
  <si>
    <t>ENSDARG00000070621</t>
  </si>
  <si>
    <t>FAM72B</t>
  </si>
  <si>
    <t>zgc:101564 [Source:ZFIN;Acc:ZDB-GENE-050320-120]</t>
  </si>
  <si>
    <t>ENSDARG00000041631</t>
  </si>
  <si>
    <t>fam192a</t>
  </si>
  <si>
    <t>family with sequence similarity 192, member A [Source:ZFIN;Acc:ZDB-GENE-030131-6692]</t>
  </si>
  <si>
    <t>ENSDARG00000038793</t>
  </si>
  <si>
    <t>ccdc24</t>
  </si>
  <si>
    <t>coiled-coil domain containing 24 [Source:ZFIN;Acc:ZDB-GENE-050327-18]</t>
  </si>
  <si>
    <t>ENSDARG00000079307</t>
  </si>
  <si>
    <t>si:dkey-205h13.1</t>
  </si>
  <si>
    <t>si:dkey-205h13.1 [Source:ZFIN;Acc:ZDB-GENE-090313-227]</t>
  </si>
  <si>
    <t>ENSDARG00000052741</t>
  </si>
  <si>
    <t>card11</t>
  </si>
  <si>
    <t>caspase recruitment domain family, member 11 [Source:ZFIN;Acc:ZDB-GENE-100219-1]</t>
  </si>
  <si>
    <t>ENSDARG00000007624</t>
  </si>
  <si>
    <t>gins1</t>
  </si>
  <si>
    <t>GINS complex subunit 1 (Psf1 homolog) [Source:ZFIN;Acc:ZDB-GENE-041010-184]</t>
  </si>
  <si>
    <t>ENSDARG00000078751</t>
  </si>
  <si>
    <t>TPP2</t>
  </si>
  <si>
    <t>si:ch73-244f7.4 [Source:ZFIN;Acc:ZDB-GENE-121214-290]</t>
  </si>
  <si>
    <t>ENSDARG00000067566</t>
  </si>
  <si>
    <t>sftpbb</t>
  </si>
  <si>
    <t>surfactant protein Bb [Source:ZFIN;Acc:ZDB-GENE-060526-155]</t>
  </si>
  <si>
    <t>ENSDARG00000073765</t>
  </si>
  <si>
    <t>gna13a</t>
  </si>
  <si>
    <t>guanine nucleotide binding protein (G protein), alpha 13a [Source:ZFIN;Acc:ZDB-GENE-030131-5024]</t>
  </si>
  <si>
    <t>ENSDARG00000098954</t>
  </si>
  <si>
    <t>stard13b</t>
  </si>
  <si>
    <t>StAR-related lipid transfer (START) domain containing 13b [Source:ZFIN;Acc:ZDB-GENE-050506-146]</t>
  </si>
  <si>
    <t>ENSDARG00000096222</t>
  </si>
  <si>
    <t>si:ch211-245n8.4</t>
  </si>
  <si>
    <t>si:ch211-245n8.4 [Source:ZFIN;Acc:ZDB-GENE-110914-56]</t>
  </si>
  <si>
    <t>ENSDARG00000103149</t>
  </si>
  <si>
    <t>cog6</t>
  </si>
  <si>
    <t>component of oligomeric golgi complex 6 [Source:ZFIN;Acc:ZDB-GENE-040426-909]</t>
  </si>
  <si>
    <t>ENSDARG00000077499</t>
  </si>
  <si>
    <t>plekho1b</t>
  </si>
  <si>
    <t>pleckstrin homology domain containing, family O member 1b [Source:ZFIN;Acc:ZDB-GENE-100609-2]</t>
  </si>
  <si>
    <t>ENSDARG00000089480</t>
  </si>
  <si>
    <t>si:dkey-12j5.1</t>
  </si>
  <si>
    <t>si:dkey-12j5.1 [Source:ZFIN;Acc:ZDB-GENE-100922-71]</t>
  </si>
  <si>
    <t>ENSDARG00000063244</t>
  </si>
  <si>
    <t>lix1l</t>
  </si>
  <si>
    <t>limb and CNS expressed 1 like [Source:ZFIN;Acc:ZDB-GENE-060503-777]</t>
  </si>
  <si>
    <t>ENSDARG00000018032</t>
  </si>
  <si>
    <t>scn8ab</t>
  </si>
  <si>
    <t>sodium channel, voltage gated, type VIII, alpha subunit b [Source:ZFIN;Acc:ZDB-GENE-060906-2]</t>
  </si>
  <si>
    <t>ENSDARG00000094902</t>
  </si>
  <si>
    <t>znf1110</t>
  </si>
  <si>
    <t>zinc finger protein 1110 [Source:ZFIN;Acc:ZDB-GENE-110914-29]</t>
  </si>
  <si>
    <t>ENSDARG00000069314</t>
  </si>
  <si>
    <t>tmem199</t>
  </si>
  <si>
    <t>transmembrane protein 199 [Source:ZFIN;Acc:ZDB-GENE-050522-150]</t>
  </si>
  <si>
    <t>ENSDARG00000030789</t>
  </si>
  <si>
    <t>ddx18</t>
  </si>
  <si>
    <t>DEAD (Asp-Glu-Ala-Asp) box polypeptide 18 [Source:ZFIN;Acc:ZDB-GENE-030131-9685]</t>
  </si>
  <si>
    <t>ENSDARG00000013168</t>
  </si>
  <si>
    <t>jag1b</t>
  </si>
  <si>
    <t>jagged 1b [Source:ZFIN;Acc:ZDB-GENE-011128-4]</t>
  </si>
  <si>
    <t>ENSDARG00000042508</t>
  </si>
  <si>
    <t>ubr3</t>
  </si>
  <si>
    <t>ubiquitin protein ligase E3 component n-recognin 3 [Source:ZFIN;Acc:ZDB-GENE-030131-1473]</t>
  </si>
  <si>
    <t>ENSDARG00000029766</t>
  </si>
  <si>
    <t>nr1i2</t>
  </si>
  <si>
    <t>nuclear receptor subfamily 1, group I, member 2 [Source:ZFIN;Acc:ZDB-GENE-030903-3]</t>
  </si>
  <si>
    <t>ENSDARG00000055632</t>
  </si>
  <si>
    <t>smtnl</t>
  </si>
  <si>
    <t>smoothelin, like [Source:ZFIN;Acc:ZDB-GENE-040212-1]</t>
  </si>
  <si>
    <t>ENSDARG00000035819</t>
  </si>
  <si>
    <t>sirt3</t>
  </si>
  <si>
    <t>sirtuin 3 [Source:ZFIN;Acc:ZDB-GENE-070112-1762]</t>
  </si>
  <si>
    <t>ENSDARG00000021408</t>
  </si>
  <si>
    <t>kdelc2</t>
  </si>
  <si>
    <t>KDEL (Lys-Asp-Glu-Leu) containing 2 [Source:ZFIN;Acc:ZDB-GENE-060810-142]</t>
  </si>
  <si>
    <t>ENSDARG00000017337</t>
  </si>
  <si>
    <t>zgc:77929</t>
  </si>
  <si>
    <t>zgc:77929 [Source:ZFIN;Acc:ZDB-GENE-040426-1908]</t>
  </si>
  <si>
    <t>ENSDARG00000043394</t>
  </si>
  <si>
    <t>LDLRAP1</t>
  </si>
  <si>
    <t>si:dkey-71h2.2 [Source:ZFIN;Acc:ZDB-GENE-041014-145]</t>
  </si>
  <si>
    <t>ENSDARG00000037064</t>
  </si>
  <si>
    <t>galca</t>
  </si>
  <si>
    <t>galactosylceramidase a [Source:ZFIN;Acc:ZDB-GENE-040724-243]</t>
  </si>
  <si>
    <t>ENSDARG00000003808</t>
  </si>
  <si>
    <t>aqp3a</t>
  </si>
  <si>
    <t>aquaporin 3a [Source:ZFIN;Acc:ZDB-GENE-040426-2826]</t>
  </si>
  <si>
    <t>ENSDARG00000069262</t>
  </si>
  <si>
    <t>erich3</t>
  </si>
  <si>
    <t>glutamate-rich 3 [Source:ZFIN;Acc:ZDB-GENE-070209-295]</t>
  </si>
  <si>
    <t>ENSDARG00000100886</t>
  </si>
  <si>
    <t>si:dkeyp-97a10.1</t>
  </si>
  <si>
    <t>si:dkeyp-97a10.1 [Source:ZFIN;Acc:ZDB-GENE-131121-449]</t>
  </si>
  <si>
    <t>ENSDARG00000088423</t>
  </si>
  <si>
    <t>si:ch211-66k16.28</t>
  </si>
  <si>
    <t>si:ch211-66k16.28 [Source:ZFIN;Acc:ZDB-GENE-120709-59]</t>
  </si>
  <si>
    <t>ENSDARG00000044183</t>
  </si>
  <si>
    <t>prkab1a</t>
  </si>
  <si>
    <t>protein kinase, AMP-activated, beta 1 non-catalytic subunit, a [Source:ZFIN;Acc:ZDB-GENE-040718-377]</t>
  </si>
  <si>
    <t>ENSDARG00000077883</t>
  </si>
  <si>
    <t>fam83d</t>
  </si>
  <si>
    <t>family with sequence similarity 83, member D [Source:ZFIN;Acc:ZDB-GENE-041111-264]</t>
  </si>
  <si>
    <t>ENSDARG00000041041</t>
  </si>
  <si>
    <t>cxcr3.2</t>
  </si>
  <si>
    <t>chemokine (C-X-C motif) receptor 3, tandem duplicate 2 [Source:ZFIN;Acc:ZDB-GENE-041114-186]</t>
  </si>
  <si>
    <t>ENSDARG00000013802</t>
  </si>
  <si>
    <t>pcid2</t>
  </si>
  <si>
    <t>PCI domain containing 2 [Source:ZFIN;Acc:ZDB-GENE-041114-79]</t>
  </si>
  <si>
    <t>ENSDARG00000044332</t>
  </si>
  <si>
    <t>zranb2</t>
  </si>
  <si>
    <t>zinc finger, RAN-binding domain containing 2 [Source:ZFIN;Acc:ZDB-GENE-040426-2743]</t>
  </si>
  <si>
    <t>ENSDARG00000052851</t>
  </si>
  <si>
    <t>golph3</t>
  </si>
  <si>
    <t>golgi phosphoprotein 3 [Source:ZFIN;Acc:ZDB-GENE-041010-209]</t>
  </si>
  <si>
    <t>ENSDARG00000052701</t>
  </si>
  <si>
    <t>smpd2b</t>
  </si>
  <si>
    <t>sphingomyelin phosphodiesterase 2b, neutral membrane (neutral sphingomyelinase) [Source:ZFIN;Acc:ZDB-GENE-130530-640]</t>
  </si>
  <si>
    <t>ENSDARG00000097025</t>
  </si>
  <si>
    <t>si:ch211-123o7.6</t>
  </si>
  <si>
    <t>si:ch211-123o7.6 [Source:ZFIN;Acc:ZDB-GENE-131127-17]</t>
  </si>
  <si>
    <t>ENSDARG00000067824</t>
  </si>
  <si>
    <t>CNTNAP3</t>
  </si>
  <si>
    <t>si:ch211-122m3.1 [Source:ZFIN;Acc:ZDB-GENE-091113-51]</t>
  </si>
  <si>
    <t>ENSDARG00000022712</t>
  </si>
  <si>
    <t>stat3</t>
  </si>
  <si>
    <t>signal transducer and activator of transcription 3 (acute-phase response factor) [Source:ZFIN;Acc:ZDB-GENE-980526-68]</t>
  </si>
  <si>
    <t>ENSDARG00000012688</t>
  </si>
  <si>
    <t>eif1b</t>
  </si>
  <si>
    <t>eukaryotic translation initiation factor 1B [Source:ZFIN;Acc:ZDB-GENE-030131-956]</t>
  </si>
  <si>
    <t>ENSDARG00000078191</t>
  </si>
  <si>
    <t>zbtb46</t>
  </si>
  <si>
    <t>zinc finger and BTB domain containing 46 [Source:ZFIN;Acc:ZDB-GENE-090313-352]</t>
  </si>
  <si>
    <t>ENSDARG00000077860</t>
  </si>
  <si>
    <t>ankhd1</t>
  </si>
  <si>
    <t>ankyrin repeat and KH domain containing 1 [Source:ZFIN;Acc:ZDB-GENE-090421-1]</t>
  </si>
  <si>
    <t>ENSDARG00000000423</t>
  </si>
  <si>
    <t>si:ch73-314g15.3</t>
  </si>
  <si>
    <t>si:ch73-314g15.3 [Source:ZFIN;Acc:ZDB-GENE-030616-19]</t>
  </si>
  <si>
    <t>ENSDARG00000020164</t>
  </si>
  <si>
    <t>efnb2a</t>
  </si>
  <si>
    <t>ephrin-B2a [Source:ZFIN;Acc:ZDB-GENE-990415-67]</t>
  </si>
  <si>
    <t>ENSDARG00000053395</t>
  </si>
  <si>
    <t>cdkn2aipnl</t>
  </si>
  <si>
    <t>CDKN2A interacting protein N-terminal like [Source:ZFIN;Acc:ZDB-GENE-041010-154]</t>
  </si>
  <si>
    <t>ENSDARG00000099159</t>
  </si>
  <si>
    <t>si:ch211-186j3.3</t>
  </si>
  <si>
    <t>si:ch211-186j3.3 [Source:ZFIN;Acc:ZDB-GENE-141216-442]</t>
  </si>
  <si>
    <t>ENSDARG00000053792</t>
  </si>
  <si>
    <t>si:rp71-1g18.1</t>
  </si>
  <si>
    <t>si:rp71-1g18.1 [Source:ZFIN;Acc:ZDB-GENE-030131-5470]</t>
  </si>
  <si>
    <t>ENSDARG00000096874</t>
  </si>
  <si>
    <t>tmem176l.3b</t>
  </si>
  <si>
    <t>transmembrane protein 176l.3b [Source:ZFIN;Acc:ZDB-GENE-080829-14]</t>
  </si>
  <si>
    <t>ENSDARG00000102890</t>
  </si>
  <si>
    <t>clrn1</t>
  </si>
  <si>
    <t>clarin 1 [Source:ZFIN;Acc:ZDB-GENE-040718-420]</t>
  </si>
  <si>
    <t>ENSDARG00000079827</t>
  </si>
  <si>
    <t>srbd1</t>
  </si>
  <si>
    <t>S1 RNA binding domain 1 [Source:ZFIN;Acc:ZDB-GENE-081107-19]</t>
  </si>
  <si>
    <t>ENSDARG00000042796</t>
  </si>
  <si>
    <t>yy1a</t>
  </si>
  <si>
    <t>YY1 transcription factor a [Source:ZFIN;Acc:ZDB-GENE-030131-1117]</t>
  </si>
  <si>
    <t>ENSDARG00000068701</t>
  </si>
  <si>
    <t>gpr85</t>
  </si>
  <si>
    <t>G protein-coupled receptor 85 [Source:ZFIN;Acc:ZDB-GENE-000710-2]</t>
  </si>
  <si>
    <t>ENSDARG00000012044</t>
  </si>
  <si>
    <t>polr3gla</t>
  </si>
  <si>
    <t>polymerase (RNA) III (DNA directed) polypeptide G like a [Source:ZFIN;Acc:ZDB-GENE-040912-67]</t>
  </si>
  <si>
    <t>ENSDARG00000010181</t>
  </si>
  <si>
    <t>asap2a</t>
  </si>
  <si>
    <t>ArfGAP with SH3 domain, ankyrin repeat and PH domain 2a [Source:ZFIN;Acc:ZDB-GENE-041210-256]</t>
  </si>
  <si>
    <t>ENSDARG00000041570</t>
  </si>
  <si>
    <t>mrpl39</t>
  </si>
  <si>
    <t>mitochondrial ribosomal protein L39 [Source:ZFIN;Acc:ZDB-GENE-030131-6520]</t>
  </si>
  <si>
    <t>ENSDARG00000094177</t>
  </si>
  <si>
    <t>si:ch211-208f21.2</t>
  </si>
  <si>
    <t>si:ch211-208f21.2 [Source:ZFIN;Acc:ZDB-GENE-110914-134]</t>
  </si>
  <si>
    <t>ENSDARG00000014976</t>
  </si>
  <si>
    <t>lims2</t>
  </si>
  <si>
    <t>LIM and senescent cell antigen-like domains 2 [Source:ZFIN;Acc:ZDB-GENE-050522-56]</t>
  </si>
  <si>
    <t>ENSDARG00000035129</t>
  </si>
  <si>
    <t>zgc:101858</t>
  </si>
  <si>
    <t>zgc:101858 [Source:ZFIN;Acc:ZDB-GENE-040927-13]</t>
  </si>
  <si>
    <t>ENSDARG00000098440</t>
  </si>
  <si>
    <t>si:ch211-62a1.4</t>
  </si>
  <si>
    <t>si:ch211-62a1.4 [Source:ZFIN;Acc:ZDB-GENE-141222-41]</t>
  </si>
  <si>
    <t>ENSDARG00000099943</t>
  </si>
  <si>
    <t>mapre2</t>
  </si>
  <si>
    <t>microtubule-associated protein, RP/EB family, member 2 [Source:ZFIN;Acc:ZDB-GENE-071004-41]</t>
  </si>
  <si>
    <t>ENSDARG00000070669</t>
  </si>
  <si>
    <t>cxcr3.3</t>
  </si>
  <si>
    <t>chemokine (C-X-C motif) receptor 3, tandem duplicate 3 [Source:ZFIN;Acc:ZDB-GENE-100922-34]</t>
  </si>
  <si>
    <t>ENSDARG00000037101</t>
  </si>
  <si>
    <t>mtmr7a</t>
  </si>
  <si>
    <t>myotubularin related protein 7a [Source:ZFIN;Acc:ZDB-GENE-060421-7754]</t>
  </si>
  <si>
    <t>ENSDARG00000101960</t>
  </si>
  <si>
    <t>si:dkeyp-44d3.3</t>
  </si>
  <si>
    <t>si:dkeyp-44d3.3 [Source:ZFIN;Acc:ZDB-GENE-120703-45]</t>
  </si>
  <si>
    <t>ENSDARG00000089149</t>
  </si>
  <si>
    <t>si:ch73-199k24.2</t>
  </si>
  <si>
    <t>si:ch73-199k24.2 [Source:ZFIN;Acc:ZDB-GENE-131121-321]</t>
  </si>
  <si>
    <t>ENSDARG00000014430</t>
  </si>
  <si>
    <t>rabgef1</t>
  </si>
  <si>
    <t>RAB guanine nucleotide exchange factor (GEF) 1 [Source:ZFIN;Acc:ZDB-GENE-040426-1486]</t>
  </si>
  <si>
    <t>ENSDARG00000054929</t>
  </si>
  <si>
    <t>zgc:110540</t>
  </si>
  <si>
    <t>zgc:110540 [Source:ZFIN;Acc:ZDB-GENE-050327-77]</t>
  </si>
  <si>
    <t>ENSDARG00000079013</t>
  </si>
  <si>
    <t>dpy19l3</t>
  </si>
  <si>
    <t>dpy-19-like 3 (C. elegans) [Source:ZFIN;Acc:ZDB-GENE-100319-1]</t>
  </si>
  <si>
    <t>ENSDARG00000018600</t>
  </si>
  <si>
    <t>retsat</t>
  </si>
  <si>
    <t>retinol saturase (all-trans-retinol 13,14-reductase) [Source:ZFIN;Acc:ZDB-GENE-050320-11]</t>
  </si>
  <si>
    <t>ENSDARG00000098129</t>
  </si>
  <si>
    <t>si:dkeyp-97a10.2</t>
  </si>
  <si>
    <t>si:dkeyp-97a10.2 [Source:ZFIN;Acc:ZDB-GENE-090429-4]</t>
  </si>
  <si>
    <t>ENSDARG00000088390</t>
  </si>
  <si>
    <t>nme4</t>
  </si>
  <si>
    <t>NME/NM23 nucleoside diphosphate kinase 4 [Source:ZFIN;Acc:ZDB-GENE-040426-1043]</t>
  </si>
  <si>
    <t>ENSDARG00000032087</t>
  </si>
  <si>
    <t>sgsh</t>
  </si>
  <si>
    <t>N-sulfoglucosamine sulfohydrolase (sulfamidase) [Source:ZFIN;Acc:ZDB-GENE-030131-4958]</t>
  </si>
  <si>
    <t>ENSDARG00000019137</t>
  </si>
  <si>
    <t>tram1</t>
  </si>
  <si>
    <t>translocation associated membrane protein 1 [Source:ZFIN;Acc:ZDB-GENE-021011-1]</t>
  </si>
  <si>
    <t>ENSDARG00000105398</t>
  </si>
  <si>
    <t>dnajc14</t>
  </si>
  <si>
    <t>DnaJ (Hsp40) homolog, subfamily C, member 14 [Source:ZFIN;Acc:ZDB-GENE-121105-7]</t>
  </si>
  <si>
    <t>ENSDARG00000103703</t>
  </si>
  <si>
    <t>CLDN23</t>
  </si>
  <si>
    <t>CLDN23.1</t>
  </si>
  <si>
    <t>si:ch211-95j8.5 [Source:ZFIN;Acc:ZDB-GENE-141216-471]</t>
  </si>
  <si>
    <t>ENSDARG00000037618</t>
  </si>
  <si>
    <t>ddit4</t>
  </si>
  <si>
    <t>DNA-damage-inducible transcript 4 [Source:ZFIN;Acc:ZDB-GENE-031002-35]</t>
  </si>
  <si>
    <t>ENSDARG00000054911</t>
  </si>
  <si>
    <t>tmsb</t>
  </si>
  <si>
    <t>thymosin, beta [Source:ZFIN;Acc:ZDB-GENE-050307-5]</t>
  </si>
  <si>
    <t>ENSDARG00000043021</t>
  </si>
  <si>
    <t>slc26a11</t>
  </si>
  <si>
    <t>solute carrier family 26 (anion exchanger), member 11 [Source:ZFIN;Acc:ZDB-GENE-030131-5349]</t>
  </si>
  <si>
    <t>ENSDARG00000054916</t>
  </si>
  <si>
    <t>eif4ebp3</t>
  </si>
  <si>
    <t>eukaryotic translation initiation factor 4E binding protein 3 [Source:ZFIN;Acc:ZDB-GENE-041114-44]</t>
  </si>
  <si>
    <t>ENSDARG00000101374</t>
  </si>
  <si>
    <t>si:dkey-11n14.1</t>
  </si>
  <si>
    <t>si:dkey-11n14.1 [Source:ZFIN;Acc:ZDB-GENE-060503-332]</t>
  </si>
  <si>
    <t>ENSDARG00000053047</t>
  </si>
  <si>
    <t>eif2s2</t>
  </si>
  <si>
    <t>eukaryotic translation initiation factor 2, subunit 2 beta [Source:ZFIN;Acc:ZDB-GENE-030131-3085]</t>
  </si>
  <si>
    <t>ENSDARG00000008140</t>
  </si>
  <si>
    <t>kcnab1a</t>
  </si>
  <si>
    <t>potassium voltage-gated channel, shaker-related subfamily, beta member 1 a [Source:ZFIN;Acc:ZDB-GENE-050327-79]</t>
  </si>
  <si>
    <t>ENSDARG00000044083</t>
  </si>
  <si>
    <t>peli1b</t>
  </si>
  <si>
    <t>pellino E3 ubiquitin protein ligase 1b [Source:ZFIN;Acc:ZDB-GENE-061027-372]</t>
  </si>
  <si>
    <t>ENSDARG00000009336</t>
  </si>
  <si>
    <t>aif1l</t>
  </si>
  <si>
    <t>allograft inflammatory factor 1-like [Source:ZFIN;Acc:ZDB-GENE-030131-9646]</t>
  </si>
  <si>
    <t>ENSDARG00000038938</t>
  </si>
  <si>
    <t>ssfa2</t>
  </si>
  <si>
    <t>sperm specific antigen 2 [Source:ZFIN;Acc:ZDB-GENE-090824-1]</t>
  </si>
  <si>
    <t>ENSDARG00000068344</t>
  </si>
  <si>
    <t>mmab</t>
  </si>
  <si>
    <t>methylmalonic aciduria (cobalamin deficiency) cblB type [Source:ZFIN;Acc:ZDB-GENE-060526-232]</t>
  </si>
  <si>
    <t>ENSDARG00000041575</t>
  </si>
  <si>
    <t>trmt10c</t>
  </si>
  <si>
    <t>tRNA methyltransferase 10C, mitochondrial RNase P subunit [Source:ZFIN;Acc:ZDB-GENE-041114-12]</t>
  </si>
  <si>
    <t>ENSDARG00000102370</t>
  </si>
  <si>
    <t>znf1094</t>
  </si>
  <si>
    <t>zinc finger protein 1094 [Source:ZFIN;Acc:ZDB-GENE-120703-39]</t>
  </si>
  <si>
    <t>ENSDARG00000104242</t>
  </si>
  <si>
    <t>dcp2</t>
  </si>
  <si>
    <t>decapping mRNA 2 [Source:ZFIN;Acc:ZDB-GENE-040426-851]</t>
  </si>
  <si>
    <t>ENSDARG00000101048</t>
  </si>
  <si>
    <t>si:ch1073-154p7.1</t>
  </si>
  <si>
    <t>si:ch1073-154p7.1 [Source:ZFIN;Acc:ZDB-GENE-141216-136]</t>
  </si>
  <si>
    <t>ENSDARG00000071566</t>
  </si>
  <si>
    <t>ppp1cab</t>
  </si>
  <si>
    <t>protein phosphatase 1, catalytic subunit, alpha isozyme b [Source:ZFIN;Acc:ZDB-GENE-030131-5512]</t>
  </si>
  <si>
    <t>ENSDARG00000017803</t>
  </si>
  <si>
    <t>gsk3b</t>
  </si>
  <si>
    <t>glycogen synthase kinase 3 beta [Source:ZFIN;Acc:ZDB-GENE-990714-4]</t>
  </si>
  <si>
    <t>ENSDARG00000100892</t>
  </si>
  <si>
    <t>cfap53</t>
  </si>
  <si>
    <t>cilia and flagella associated protein 53 [Source:ZFIN;Acc:ZDB-GENE-060503-508]</t>
  </si>
  <si>
    <t>ENSDARG00000060620</t>
  </si>
  <si>
    <t>lig4</t>
  </si>
  <si>
    <t>ligase IV, DNA, ATP-dependent [Source:ZFIN;Acc:ZDB-GENE-070820-10]</t>
  </si>
  <si>
    <t>ENSDARG00000076811</t>
  </si>
  <si>
    <t>ganab</t>
  </si>
  <si>
    <t>glucosidase, alpha; neutral AB [Source:ZFIN;Acc:ZDB-GENE-110930-9]</t>
  </si>
  <si>
    <t>ENSDARG00000011299</t>
  </si>
  <si>
    <t>blzf1</t>
  </si>
  <si>
    <t>basic leucine zipper nuclear factor 1 [Source:ZFIN;Acc:ZDB-GENE-010724-1]</t>
  </si>
  <si>
    <t>ENSDARG00000037410</t>
  </si>
  <si>
    <t>med28</t>
  </si>
  <si>
    <t>mediator complex subunit 28 [Source:ZFIN;Acc:ZDB-GENE-041121-4]</t>
  </si>
  <si>
    <t>ENSDARG00000071113</t>
  </si>
  <si>
    <t>xirp2a</t>
  </si>
  <si>
    <t>xin actin binding repeat containing 2a [Source:ZFIN;Acc:ZDB-GENE-040108-7]</t>
  </si>
  <si>
    <t>ENSDARG00000078270</t>
  </si>
  <si>
    <t>mast4</t>
  </si>
  <si>
    <t>microtubule associated serine/threonine kinase family member 4 [Source:ZFIN;Acc:ZDB-GENE-070912-336]</t>
  </si>
  <si>
    <t>ENSDARG00000077943</t>
  </si>
  <si>
    <t>ints5</t>
  </si>
  <si>
    <t>integrator complex subunit 5 [Source:ZFIN;Acc:ZDB-GENE-090908-2]</t>
  </si>
  <si>
    <t>ENSDARG00000044251</t>
  </si>
  <si>
    <t>rasgef1bb</t>
  </si>
  <si>
    <t>RasGEF domain family, member 1Bb [Source:ZFIN;Acc:ZDB-GENE-040801-220]</t>
  </si>
  <si>
    <t>ENSDARG00000039319</t>
  </si>
  <si>
    <t>vps37b</t>
  </si>
  <si>
    <t>vacuolar protein sorting 37 homolog B (S. cerevisiae) [Source:ZFIN;Acc:ZDB-GENE-060526-254]</t>
  </si>
  <si>
    <t>ENSDARG00000056322</t>
  </si>
  <si>
    <t>ldb3a</t>
  </si>
  <si>
    <t>LIM domain binding 3a [Source:ZFIN;Acc:ZDB-GENE-040121-6]</t>
  </si>
  <si>
    <t>ENSDARG00000101110</t>
  </si>
  <si>
    <t>LYRM4</t>
  </si>
  <si>
    <t>si:ch211-152c8.4 [Source:ZFIN;Acc:ZDB-GENE-091204-235]</t>
  </si>
  <si>
    <t>ENSDARG00000061713</t>
  </si>
  <si>
    <t>tpd52</t>
  </si>
  <si>
    <t>tumor protein D52 [Source:ZFIN;Acc:ZDB-GENE-060503-680]</t>
  </si>
  <si>
    <t>ENSDARG00000103364</t>
  </si>
  <si>
    <t>cs</t>
  </si>
  <si>
    <t>citrate synthase [Source:ZFIN;Acc:ZDB-GENE-030131-1058]</t>
  </si>
  <si>
    <t>ENSDARG00000019564</t>
  </si>
  <si>
    <t>asap2b</t>
  </si>
  <si>
    <t>ArfGAP with SH3 domain, ankyrin repeat and PH domain 2b [Source:ZFIN;Acc:ZDB-GENE-030131-5060]</t>
  </si>
  <si>
    <t>ENSDARG00000091247</t>
  </si>
  <si>
    <t>fars2</t>
  </si>
  <si>
    <t>phenylalanyl-tRNA synthetase 2, mitochondrial [Source:ZFIN;Acc:ZDB-GENE-070928-38]</t>
  </si>
  <si>
    <t>ENSDARG00000087187</t>
  </si>
  <si>
    <t>grip2a</t>
  </si>
  <si>
    <t>glutamate receptor interacting protein 2a [Source:ZFIN;Acc:ZDB-GENE-081104-132]</t>
  </si>
  <si>
    <t>ENSDARG00000062837</t>
  </si>
  <si>
    <t>spata13</t>
  </si>
  <si>
    <t>spermatogenesis associated 13 [Source:ZFIN;Acc:ZDB-GENE-091116-25]</t>
  </si>
  <si>
    <t>ENSDARG00000002952</t>
  </si>
  <si>
    <t>smo</t>
  </si>
  <si>
    <t>smoothened, frizzled class receptor [Source:ZFIN;Acc:ZDB-GENE-980526-89]</t>
  </si>
  <si>
    <t>ENSDARG00000062577</t>
  </si>
  <si>
    <t>arhgap35a</t>
  </si>
  <si>
    <t>Rho GTPase activating protein 35a [Source:ZFIN;Acc:ZDB-GENE-120516-2]</t>
  </si>
  <si>
    <t>ENSDARG00000013335</t>
  </si>
  <si>
    <t>anxa6</t>
  </si>
  <si>
    <t>annexin A6 [Source:ZFIN;Acc:ZDB-GENE-030707-3]</t>
  </si>
  <si>
    <t>ENSDARG00000096715</t>
  </si>
  <si>
    <t>si:dkeyp-104f11.9</t>
  </si>
  <si>
    <t>si:dkeyp-104f11.9 [Source:ZFIN;Acc:ZDB-GENE-130603-41]</t>
  </si>
  <si>
    <t>ENSDARG00000058325</t>
  </si>
  <si>
    <t>casp8</t>
  </si>
  <si>
    <t>caspase 8, apoptosis-related cysteine peptidase [Source:ZFIN;Acc:ZDB-GENE-000713-1]</t>
  </si>
  <si>
    <t>ENSDARG00000002897</t>
  </si>
  <si>
    <t>INPP1</t>
  </si>
  <si>
    <t>si:ch211-160o17.2 [Source:ZFIN;Acc:ZDB-GENE-141219-3]</t>
  </si>
  <si>
    <t>ENSDARG00000091243</t>
  </si>
  <si>
    <t>znf975</t>
  </si>
  <si>
    <t>zinc finger protein 975 [Source:ZFIN;Acc:ZDB-GENE-130531-22]</t>
  </si>
  <si>
    <t>ENSDARG00000101715</t>
  </si>
  <si>
    <t>arsg</t>
  </si>
  <si>
    <t>arylsulfatase G [Source:ZFIN;Acc:ZDB-GENE-060503-154]</t>
  </si>
  <si>
    <t>ENSDARG00000071241</t>
  </si>
  <si>
    <t>trim35-39</t>
  </si>
  <si>
    <t>tripartite motif containing 35-39 [Source:ZFIN;Acc:ZDB-GENE-080219-13]</t>
  </si>
  <si>
    <t>ENSDARG00000068128</t>
  </si>
  <si>
    <t>ppp1r15b</t>
  </si>
  <si>
    <t>protein phosphatase 1, regulatory subunit 15B [Source:ZFIN;Acc:ZDB-GENE-030829-40]</t>
  </si>
  <si>
    <t>ENSDARG00000104491</t>
  </si>
  <si>
    <t>ampd2a</t>
  </si>
  <si>
    <t>adenosine monophosphate deaminase 2a [Source:ZFIN;Acc:ZDB-GENE-091204-4]</t>
  </si>
  <si>
    <t>ENSDARG00000103243</t>
  </si>
  <si>
    <t>si:dkey-145i3.2</t>
  </si>
  <si>
    <t>si:dkey-145i3.2 [Source:ZFIN;Acc:ZDB-GENE-141222-30]</t>
  </si>
  <si>
    <t>ENSDARG00000058962</t>
  </si>
  <si>
    <t>txnl4b</t>
  </si>
  <si>
    <t>thioredoxin-like 4B [Source:ZFIN;Acc:ZDB-GENE-051030-63]</t>
  </si>
  <si>
    <t>ENSDARG00000069910</t>
  </si>
  <si>
    <t>gtf2f2a</t>
  </si>
  <si>
    <t>general transcription factor IIF, polypeptide 2a [Source:ZFIN;Acc:ZDB-GENE-040625-131]</t>
  </si>
  <si>
    <t>ENSDARG00000104629</t>
  </si>
  <si>
    <t>SLC16A6</t>
  </si>
  <si>
    <t>solute carrier family 16 member 6 [Source:HGNC Symbol;Acc:HGNC:10927]</t>
  </si>
  <si>
    <t>ENSDARG00000022768</t>
  </si>
  <si>
    <t>gid8a</t>
  </si>
  <si>
    <t>GID complex subunit 8 homolog a (S. cerevisiae) [Source:ZFIN;Acc:ZDB-GENE-040426-1669]</t>
  </si>
  <si>
    <t>ENSDARG00000071076</t>
  </si>
  <si>
    <t>ldhbb</t>
  </si>
  <si>
    <t>lactate dehydrogenase Bb [Source:ZFIN;Acc:ZDB-GENE-040718-176]</t>
  </si>
  <si>
    <t>ENSDARG00000103862</t>
  </si>
  <si>
    <t>hoxa3a</t>
  </si>
  <si>
    <t>homeobox A3a [Source:ZFIN;Acc:ZDB-GENE-000823-3]</t>
  </si>
  <si>
    <t>ENSDARG00000021137</t>
  </si>
  <si>
    <t>adgrv1</t>
  </si>
  <si>
    <t>adhesion G protein-coupled receptor V1 [Source:ZFIN;Acc:ZDB-GENE-040624-6]</t>
  </si>
  <si>
    <t>ENSDARG00000091625</t>
  </si>
  <si>
    <t>si:dkeyp-67f1.2</t>
  </si>
  <si>
    <t>si:dkeyp-67f1.2 [Source:ZFIN;Acc:ZDB-GENE-050809-90]</t>
  </si>
  <si>
    <t>ENSDARG00000097013</t>
  </si>
  <si>
    <t>zgc:194282</t>
  </si>
  <si>
    <t>ENSDARG00000038067</t>
  </si>
  <si>
    <t>smurf2</t>
  </si>
  <si>
    <t>SMAD specific E3 ubiquitin protein ligase 2 [Source:ZFIN;Acc:ZDB-GENE-030131-1830]</t>
  </si>
  <si>
    <t>ENSDARG00000043938</t>
  </si>
  <si>
    <t>lrrc57</t>
  </si>
  <si>
    <t>leucine rich repeat containing 57 [Source:ZFIN;Acc:ZDB-GENE-040718-372]</t>
  </si>
  <si>
    <t>ENSDARG00000077783</t>
  </si>
  <si>
    <t>SRMS</t>
  </si>
  <si>
    <t>zgc:194282 [Source:ZFIN;Acc:ZDB-GENE-081022-95]</t>
  </si>
  <si>
    <t>ENSDARG00000014165</t>
  </si>
  <si>
    <t>ssr3</t>
  </si>
  <si>
    <t>signal sequence receptor, gamma [Source:ZFIN;Acc:ZDB-GENE-030131-9134]</t>
  </si>
  <si>
    <t>ENSDARG00000076900</t>
  </si>
  <si>
    <t>PROZ</t>
  </si>
  <si>
    <t>si:zfos-1962a1.5 [Source:ZFIN;Acc:ZDB-GENE-121214-320]</t>
  </si>
  <si>
    <t>ENSDARG00000086416</t>
  </si>
  <si>
    <t>med11</t>
  </si>
  <si>
    <t>mediator complex subunit 11 [Source:ZFIN;Acc:ZDB-GENE-091207-2]</t>
  </si>
  <si>
    <t>ENSDARG00000096708</t>
  </si>
  <si>
    <t>si:dkeyp-104f11.8</t>
  </si>
  <si>
    <t>si:dkeyp-104f11.8 [Source:ZFIN;Acc:ZDB-GENE-130531-24]</t>
  </si>
  <si>
    <t>ENSDARG00000028448</t>
  </si>
  <si>
    <t>edem2</t>
  </si>
  <si>
    <t>ER degradation enhancer, mannosidase alpha-like 2 [Source:ZFIN;Acc:ZDB-GENE-060519-1]</t>
  </si>
  <si>
    <t>ENSDARG00000060007</t>
  </si>
  <si>
    <t>n4bp3</t>
  </si>
  <si>
    <t>NEDD4 binding protein 3 [Source:ZFIN;Acc:ZDB-GENE-141216-2]</t>
  </si>
  <si>
    <t>ENSDARG00000039215</t>
  </si>
  <si>
    <t>arrb2a</t>
  </si>
  <si>
    <t>arrestin, beta 2a [Source:ZFIN;Acc:ZDB-GENE-030131-29]</t>
  </si>
  <si>
    <t>ENSDARG00000100742</t>
  </si>
  <si>
    <t>reep5</t>
  </si>
  <si>
    <t>receptor accessory protein 5 [Source:ZFIN;Acc:ZDB-GENE-030131-9181]</t>
  </si>
  <si>
    <t>ENSDARG00000099473</t>
  </si>
  <si>
    <t>si:ch73-25h12.2</t>
  </si>
  <si>
    <t>si:ch73-25h12.2 [Source:ZFIN;Acc:ZDB-GENE-131127-319]</t>
  </si>
  <si>
    <t>ENSDARG00000068705</t>
  </si>
  <si>
    <t>tmem168a</t>
  </si>
  <si>
    <t>transmembrane protein 168a [Source:ZFIN;Acc:ZDB-GENE-050419-97]</t>
  </si>
  <si>
    <t>ENSDARG00000099532</t>
  </si>
  <si>
    <t>ubl3a</t>
  </si>
  <si>
    <t>ubiquitin-like 3a [Source:ZFIN;Acc:ZDB-GENE-030131-3431]</t>
  </si>
  <si>
    <t>ENSDARG00000052696</t>
  </si>
  <si>
    <t>bdh2</t>
  </si>
  <si>
    <t>3-hydroxybutyrate dehydrogenase, type 2 [Source:ZFIN;Acc:ZDB-GENE-050417-343]</t>
  </si>
  <si>
    <t>ENSDARG00000063385</t>
  </si>
  <si>
    <t>cenpe</t>
  </si>
  <si>
    <t>centromere protein E [Source:ZFIN;Acc:ZDB-GENE-060929-860]</t>
  </si>
  <si>
    <t>ENSDARG00000059473</t>
  </si>
  <si>
    <t>kank4</t>
  </si>
  <si>
    <t>KN motif and ankyrin repeat domains 4 [Source:ZFIN;Acc:ZDB-GENE-120423-1]</t>
  </si>
  <si>
    <t>ENSDARG00000062002</t>
  </si>
  <si>
    <t>adnpa</t>
  </si>
  <si>
    <t>activity-dependent neuroprotector homeobox a [Source:ZFIN;Acc:ZDB-GENE-061215-112]</t>
  </si>
  <si>
    <t>ENSDARG00000003963</t>
  </si>
  <si>
    <t>traf4a</t>
  </si>
  <si>
    <t>tnf receptor-associated factor 4a [Source:ZFIN;Acc:ZDB-GENE-040308-1]</t>
  </si>
  <si>
    <t>ENSDARG00000103337</t>
  </si>
  <si>
    <t>rrp1</t>
  </si>
  <si>
    <t>ribosomal RNA processing 1 [Source:ZFIN;Acc:ZDB-GENE-030131-9837]</t>
  </si>
  <si>
    <t>ENSDARG00000004280</t>
  </si>
  <si>
    <t>seh1l</t>
  </si>
  <si>
    <t>SEH1-like (S. cerevisiae) [Source:ZFIN;Acc:ZDB-GENE-030131-6689]</t>
  </si>
  <si>
    <t>ENSDARG00000071396</t>
  </si>
  <si>
    <t>timm23a</t>
  </si>
  <si>
    <t>translocase of inner mitochondrial membrane 23 homolog a (yeast) [Source:ZFIN;Acc:ZDB-GENE-020419-17]</t>
  </si>
  <si>
    <t>ENSDARG00000094899</t>
  </si>
  <si>
    <t>si:ch1073-143l10.2</t>
  </si>
  <si>
    <t>si:ch1073-143l10.2 [Source:ZFIN;Acc:ZDB-GENE-030131-863]</t>
  </si>
  <si>
    <t>ENSDARG00000097733</t>
  </si>
  <si>
    <t>adnpa.1</t>
  </si>
  <si>
    <t>ENSDARG00000079352</t>
  </si>
  <si>
    <t>sap130b</t>
  </si>
  <si>
    <t>Sin3A-associated protein b [Source:ZFIN;Acc:ZDB-GENE-070912-570]</t>
  </si>
  <si>
    <t>ENSDARG00000043581</t>
  </si>
  <si>
    <t>gadd45aa</t>
  </si>
  <si>
    <t>growth arrest and DNA-damage-inducible, alpha, a [Source:ZFIN;Acc:ZDB-GENE-040426-1501]</t>
  </si>
  <si>
    <t>ENSDARG00000092003</t>
  </si>
  <si>
    <t>ccs</t>
  </si>
  <si>
    <t>copper chaperone for superoxide dismutase [Source:ZFIN;Acc:ZDB-GENE-050417-322]</t>
  </si>
  <si>
    <t>ENSDARG00000069109</t>
  </si>
  <si>
    <t>sssca1</t>
  </si>
  <si>
    <t>Sjogren syndrome/scleroderma autoantigen 1 [Source:ZFIN;Acc:ZDB-GENE-041010-102]</t>
  </si>
  <si>
    <t>ENSDARG00000071378</t>
  </si>
  <si>
    <t>si:dkey-78l4.14</t>
  </si>
  <si>
    <t>si:dkey-78l4.14 [Source:ZFIN;Acc:ZDB-GENE-050309-178]</t>
  </si>
  <si>
    <t>ENSDARG00000021664</t>
  </si>
  <si>
    <t>fzd3a</t>
  </si>
  <si>
    <t>frizzled class receptor 3a [Source:ZFIN;Acc:ZDB-GENE-990415-225]</t>
  </si>
  <si>
    <t>ENSDARG00000069184</t>
  </si>
  <si>
    <t>ubtd2</t>
  </si>
  <si>
    <t>ubiquitin domain containing 2 [Source:ZFIN;Acc:ZDB-GENE-040718-473]</t>
  </si>
  <si>
    <t>ENSDARG00000036698</t>
  </si>
  <si>
    <t>znf865</t>
  </si>
  <si>
    <t>zinc finger protein 865 [Source:ZFIN;Acc:ZDB-GENE-060503-896]</t>
  </si>
  <si>
    <t>ENSDARG00000017929</t>
  </si>
  <si>
    <t>ncoa2</t>
  </si>
  <si>
    <t>nuclear receptor coactivator 2 [Source:ZFIN;Acc:ZDB-GENE-010406-3]</t>
  </si>
  <si>
    <t>ENSDARG00000087473</t>
  </si>
  <si>
    <t>dnajb12b</t>
  </si>
  <si>
    <t>DnaJ (Hsp40) homolog, subfamily B, member 12b [Source:ZFIN;Acc:ZDB-GENE-070410-128]</t>
  </si>
  <si>
    <t>ENSDARG00000041217</t>
  </si>
  <si>
    <t>xpo6</t>
  </si>
  <si>
    <t>exportin 6 [Source:ZFIN;Acc:ZDB-GENE-030131-5912]</t>
  </si>
  <si>
    <t>ENSDARG00000010519</t>
  </si>
  <si>
    <t>per3</t>
  </si>
  <si>
    <t>period circadian clock 3 [Source:ZFIN;Acc:ZDB-GENE-000804-1]</t>
  </si>
  <si>
    <t>ENSDARG00000033949</t>
  </si>
  <si>
    <t>fbxo16</t>
  </si>
  <si>
    <t>F-box protein 16 [Source:ZFIN;Acc:ZDB-GENE-041015-747]</t>
  </si>
  <si>
    <t>ENSDARG00000077847</t>
  </si>
  <si>
    <t>olfm2a</t>
  </si>
  <si>
    <t>olfactomedin 2a [Source:ZFIN;Acc:ZDB-GENE-040426-2882]</t>
  </si>
  <si>
    <t>ENSDARG00000052623</t>
  </si>
  <si>
    <t>bsdc1</t>
  </si>
  <si>
    <t>BSD domain containing 1 [Source:ZFIN;Acc:ZDB-GENE-040905-1]</t>
  </si>
  <si>
    <t>ENSDARG00000075108</t>
  </si>
  <si>
    <t>tmco3</t>
  </si>
  <si>
    <t>transmembrane and coiled-coil domains 3 [Source:ZFIN;Acc:ZDB-GENE-071030-1]</t>
  </si>
  <si>
    <t>ENSDARG00000078675</t>
  </si>
  <si>
    <t>dock7</t>
  </si>
  <si>
    <t>dedicator of cytokinesis 7 [Source:ZFIN;Acc:ZDB-GENE-050302-15]</t>
  </si>
  <si>
    <t>ENSDARG00000009764</t>
  </si>
  <si>
    <t>srek1</t>
  </si>
  <si>
    <t>splicing regulatory glutamine/lysine-rich protein 1 [Source:ZFIN;Acc:ZDB-GENE-040801-132]</t>
  </si>
  <si>
    <t>ENSDARG00000094469</t>
  </si>
  <si>
    <t>si:ch211-148l7.4</t>
  </si>
  <si>
    <t>si:ch211-148l7.4 [Source:ZFIN;Acc:ZDB-GENE-090313-38]</t>
  </si>
  <si>
    <t>ENSDARG00000077694</t>
  </si>
  <si>
    <t>dtnba</t>
  </si>
  <si>
    <t>dystrobrevin, beta a [Source:ZFIN;Acc:ZDB-GENE-030131-3967]</t>
  </si>
  <si>
    <t>ENSDARG00000016868</t>
  </si>
  <si>
    <t>rhobtb2a</t>
  </si>
  <si>
    <t>Rho-related BTB domain containing 2a [Source:ZFIN;Acc:ZDB-GENE-060315-11]</t>
  </si>
  <si>
    <t>ENSDARG00000023678</t>
  </si>
  <si>
    <t>ercc5</t>
  </si>
  <si>
    <t>excision repair cross-complementation group 5 [Source:ZFIN;Acc:ZDB-GENE-050327-28]</t>
  </si>
  <si>
    <t>ENSDARG00000075532</t>
  </si>
  <si>
    <t>slc4a11</t>
  </si>
  <si>
    <t>solute carrier family 4, sodium borate transporter, member 11 [Source:ZFIN;Acc:ZDB-GENE-090313-183]</t>
  </si>
  <si>
    <t>ENSDARG00000029928</t>
  </si>
  <si>
    <t>ap3m1</t>
  </si>
  <si>
    <t>adaptor-related protein complex 3, mu 1 subunit [Source:ZFIN;Acc:ZDB-GENE-021015-2]</t>
  </si>
  <si>
    <t>ENSDARG00000021257</t>
  </si>
  <si>
    <t>eif3d</t>
  </si>
  <si>
    <t>eukaryotic translation initiation factor 3, subunit D [Source:ZFIN;Acc:ZDB-GENE-030131-8442]</t>
  </si>
  <si>
    <t>ENSDARG00000051915</t>
  </si>
  <si>
    <t>pde5ab</t>
  </si>
  <si>
    <t>phosphodiesterase 5A, cGMP-specific, b [Source:ZFIN;Acc:ZDB-GENE-060824-4]</t>
  </si>
  <si>
    <t>ENSDARG00000012013</t>
  </si>
  <si>
    <t>cpa6</t>
  </si>
  <si>
    <t>carboxypeptidase A6 [Source:ZFIN;Acc:ZDB-GENE-091204-331]</t>
  </si>
  <si>
    <t>ENSDARG00000056559</t>
  </si>
  <si>
    <t>ccz1</t>
  </si>
  <si>
    <t>CCZ1 homolog, vacuolar protein trafficking and biogenesis associated [Source:ZFIN;Acc:ZDB-GENE-040426-698]</t>
  </si>
  <si>
    <t>ENSDARG00000025826</t>
  </si>
  <si>
    <t>gna12a</t>
  </si>
  <si>
    <t>guanine nucleotide binding protein (G protein) alpha 12a [Source:ZFIN;Acc:ZDB-GENE-050221-1]</t>
  </si>
  <si>
    <t>ENSDARG00000058004</t>
  </si>
  <si>
    <t>six2a</t>
  </si>
  <si>
    <t>SIX homeobox 2a [Source:ZFIN;Acc:ZDB-GENE-010412-1]</t>
  </si>
  <si>
    <t>ENSDARG00000013310</t>
  </si>
  <si>
    <t>map3k15</t>
  </si>
  <si>
    <t>mitogen-activated protein kinase kinase kinase 15 [Source:ZFIN;Acc:ZDB-GENE-091204-246]</t>
  </si>
  <si>
    <t>ENSDARG00000096578</t>
  </si>
  <si>
    <t>cul4a</t>
  </si>
  <si>
    <t>cullin 4A [Source:ZFIN;Acc:ZDB-GENE-040426-1357]</t>
  </si>
  <si>
    <t>ENSDARG00000062147</t>
  </si>
  <si>
    <t>otc</t>
  </si>
  <si>
    <t>ornithine carbamoyltransferase [Source:ZFIN;Acc:ZDB-GENE-070912-422]</t>
  </si>
  <si>
    <t>ENSDARG00000071015</t>
  </si>
  <si>
    <t>pbxip1a</t>
  </si>
  <si>
    <t>pre-B-cell leukemia homeobox interacting protein 1a [Source:ZFIN;Acc:ZDB-GENE-060503-871]</t>
  </si>
  <si>
    <t>ENSDARG00000103787</t>
  </si>
  <si>
    <t>chd1</t>
  </si>
  <si>
    <t>chromodomain helicase DNA binding protein 1 [Source:ZFIN;Acc:ZDB-GENE-030131-7120]</t>
  </si>
  <si>
    <t>ENSDARG00000059956</t>
  </si>
  <si>
    <t>ptk6b</t>
  </si>
  <si>
    <t>PTK6 protein tyrosine kinase 6b [Source:ZFIN;Acc:ZDB-GENE-060929-1150]</t>
  </si>
  <si>
    <t>ENSDARG00000101851</t>
  </si>
  <si>
    <t>znf976</t>
  </si>
  <si>
    <t>zinc finger protein 976 [Source:ZFIN;Acc:ZDB-GENE-131119-69]</t>
  </si>
  <si>
    <t>ENSDARG00000056200</t>
  </si>
  <si>
    <t>abcb9</t>
  </si>
  <si>
    <t>ATP-binding cassette, sub-family B (MDR/TAP), member 9 [Source:ZFIN;Acc:ZDB-GENE-050517-12]</t>
  </si>
  <si>
    <t>ENSDARG00000053805</t>
  </si>
  <si>
    <t>trub1</t>
  </si>
  <si>
    <t>TruB pseudouridine (psi) synthase family member 1 [Source:ZFIN;Acc:ZDB-GENE-080723-73]</t>
  </si>
  <si>
    <t>ENSDARG00000095056</t>
  </si>
  <si>
    <t>si:dkey-105n5.3</t>
  </si>
  <si>
    <t>si:dkey-105n5.3 [Source:ZFIN;Acc:ZDB-GENE-070705-279]</t>
  </si>
  <si>
    <t>ENSDARG00000022213</t>
  </si>
  <si>
    <t>uck2b</t>
  </si>
  <si>
    <t>uridine-cytidine kinase 2b [Source:ZFIN;Acc:ZDB-GENE-030131-5265]</t>
  </si>
  <si>
    <t>ENSDARG00000068261</t>
  </si>
  <si>
    <t>pros1</t>
  </si>
  <si>
    <t>protein S (alpha) [Source:ZFIN;Acc:ZDB-GENE-061013-657]</t>
  </si>
  <si>
    <t>ENSDARG00000098281</t>
  </si>
  <si>
    <t>si:dkey-237m9.1</t>
  </si>
  <si>
    <t>si:dkey-237m9.1 [Source:ZFIN;Acc:ZDB-GENE-131118-30]</t>
  </si>
  <si>
    <t>ENSDARG00000068289</t>
  </si>
  <si>
    <t>eif3k</t>
  </si>
  <si>
    <t>eukaryotic translation initiation factor 3, subunit K [Source:ZFIN;Acc:ZDB-GENE-050417-45]</t>
  </si>
  <si>
    <t>ENSDARG00000060813</t>
  </si>
  <si>
    <t>plekha7a</t>
  </si>
  <si>
    <t>pleckstrin homology domain containing, family A member 7a [Source:ZFIN;Acc:ZDB-GENE-050419-75]</t>
  </si>
  <si>
    <t>ENSDARG00000093628</t>
  </si>
  <si>
    <t>s100a11</t>
  </si>
  <si>
    <t>S100 calcium binding protein A11 [Source:ZFIN;Acc:ZDB-GENE-070717-5]</t>
  </si>
  <si>
    <t>ENSDARG00000059843</t>
  </si>
  <si>
    <t>fam135a</t>
  </si>
  <si>
    <t>family with sequence similarity 135, member A [Source:ZFIN;Acc:ZDB-GENE-080130-1]</t>
  </si>
  <si>
    <t>ENSDARG00000020284</t>
  </si>
  <si>
    <t>RNF19B</t>
  </si>
  <si>
    <t>si:ch211-278j3.3 [Source:ZFIN;Acc:ZDB-GENE-041014-147]</t>
  </si>
  <si>
    <t>ENSDARG00000071014</t>
  </si>
  <si>
    <t>s100u</t>
  </si>
  <si>
    <t>S100 calcium binding protein U [Source:ZFIN;Acc:ZDB-GENE-030131-3121]</t>
  </si>
  <si>
    <t>ENSDARG00000010331</t>
  </si>
  <si>
    <t>si:ch211-26b3.2</t>
  </si>
  <si>
    <t>si:ch211-26b3.2 [Source:ZFIN;Acc:ZDB-GENE-081104-212]</t>
  </si>
  <si>
    <t>ENSDARG00000061841</t>
  </si>
  <si>
    <t>tiparp</t>
  </si>
  <si>
    <t>TCDD-inducible poly(ADP-ribose) polymerase [Source:ZFIN;Acc:ZDB-GENE-031002-47]</t>
  </si>
  <si>
    <t>ENSDARG00000092329</t>
  </si>
  <si>
    <t>si:dkey-156j15.1</t>
  </si>
  <si>
    <t>si:dkey-156j15.1 [Source:ZFIN;Acc:ZDB-GENE-110914-81]</t>
  </si>
  <si>
    <t>ENSDARG00000071341</t>
  </si>
  <si>
    <t>abch1</t>
  </si>
  <si>
    <t>ATP-binding cassette, sub-family H, member 1 [Source:ZFIN;Acc:ZDB-GENE-050517-42]</t>
  </si>
  <si>
    <t>ENSDARG00000021147</t>
  </si>
  <si>
    <t>nipal3</t>
  </si>
  <si>
    <t>NIPA-like domain containing 3 [Source:ZFIN;Acc:ZDB-GENE-040718-379]</t>
  </si>
  <si>
    <t>ENSDARG00000076867</t>
  </si>
  <si>
    <t>mkl2b</t>
  </si>
  <si>
    <t>MKL/myocardin-like 2b [Source:ZFIN;Acc:ZDB-GENE-030619-16]</t>
  </si>
  <si>
    <t>ENSDARG00000052705</t>
  </si>
  <si>
    <t>pkp1b</t>
  </si>
  <si>
    <t>plakophilin 1b [Source:ZFIN;Acc:ZDB-GENE-030131-417]</t>
  </si>
  <si>
    <t>ENSDARG00000061718</t>
  </si>
  <si>
    <t>znf704</t>
  </si>
  <si>
    <t>zinc finger protein 704 [Source:ZFIN;Acc:ZDB-GENE-060503-775]</t>
  </si>
  <si>
    <t>ENSDARG00000056414</t>
  </si>
  <si>
    <t>usp1</t>
  </si>
  <si>
    <t>ubiquitin specific peptidase 1 [Source:ZFIN;Acc:ZDB-GENE-030131-726]</t>
  </si>
  <si>
    <t>ENSDARG00000031387</t>
  </si>
  <si>
    <t>cers4a</t>
  </si>
  <si>
    <t>ceramide synthase 4a [Source:ZFIN;Acc:ZDB-GENE-020808-1]</t>
  </si>
  <si>
    <t>ENSDARG00000093106</t>
  </si>
  <si>
    <t>znf1026</t>
  </si>
  <si>
    <t>zinc finger protein 1026 [Source:ZFIN;Acc:ZDB-GENE-110913-157]</t>
  </si>
  <si>
    <t>ENSDARG00000045706</t>
  </si>
  <si>
    <t>tspan9b</t>
  </si>
  <si>
    <t>tetraspanin 9b [Source:ZFIN;Acc:ZDB-GENE-040704-25]</t>
  </si>
  <si>
    <t>ENSDARG00000053389</t>
  </si>
  <si>
    <t>jade2</t>
  </si>
  <si>
    <t>jade family PHD finger 2 [Source:ZFIN;Acc:ZDB-GENE-120215-66]</t>
  </si>
  <si>
    <t>ENSDARG00000102636</t>
  </si>
  <si>
    <t>zgc:73340</t>
  </si>
  <si>
    <t>zgc:73340 [Source:ZFIN;Acc:ZDB-GENE-030131-4851]</t>
  </si>
  <si>
    <t>ENSDARG00000004130</t>
  </si>
  <si>
    <t>mvk</t>
  </si>
  <si>
    <t>mevalonate kinase [Source:ZFIN;Acc:ZDB-GENE-041114-37]</t>
  </si>
  <si>
    <t>ENSDARG00000086215</t>
  </si>
  <si>
    <t>gpr156</t>
  </si>
  <si>
    <t>G protein-coupled receptor 156 [Source:ZFIN;Acc:ZDB-GENE-060201-2]</t>
  </si>
  <si>
    <t>ENSDARG00000060319</t>
  </si>
  <si>
    <t>scn4bb</t>
  </si>
  <si>
    <t>sodium channel, voltage-gated, type IV, beta b [Source:ZFIN;Acc:ZDB-GENE-031116-71]</t>
  </si>
  <si>
    <t>ENSDARG00000068436</t>
  </si>
  <si>
    <t>h3f3b.1</t>
  </si>
  <si>
    <t>H3 histone, family 3B.1 [Source:ZFIN;Acc:ZDB-GENE-050417-65]</t>
  </si>
  <si>
    <t>ENSDARG00000092553</t>
  </si>
  <si>
    <t>slc25a5</t>
  </si>
  <si>
    <t>solute carrier family 25 (mitochondrial carrier; adenine nucleotide translocator), member 5 [Source:ZFIN;Acc:ZDB-GENE-020419-9]</t>
  </si>
  <si>
    <t>ENSDARG00000025513</t>
  </si>
  <si>
    <t>dip2cb</t>
  </si>
  <si>
    <t>disco-interacting protein 2 homolog Cb [Source:ZFIN;Acc:ZDB-GENE-070912-589]</t>
  </si>
  <si>
    <t>ENSDARG00000007804</t>
  </si>
  <si>
    <t>gas6</t>
  </si>
  <si>
    <t>growth arrest-specific 6 [Source:ZFIN;Acc:ZDB-GENE-030131-7773]</t>
  </si>
  <si>
    <t>ENSDARG00000070140</t>
  </si>
  <si>
    <t>RETSAT</t>
  </si>
  <si>
    <t>zgc:154169 [Source:ZFIN;Acc:ZDB-GENE-061110-141]</t>
  </si>
  <si>
    <t>ENSDARG00000099213</t>
  </si>
  <si>
    <t>glyr1</t>
  </si>
  <si>
    <t>glyoxylate reductase 1 homolog (Arabidopsis) [Source:ZFIN;Acc:ZDB-GENE-041121-5]</t>
  </si>
  <si>
    <t>ENSDARG00000052341</t>
  </si>
  <si>
    <t>sgcb</t>
  </si>
  <si>
    <t>sarcoglycan, beta (dystrophin-associated glycoprotein) [Source:ZFIN;Acc:ZDB-GENE-030131-6695]</t>
  </si>
  <si>
    <t>ENSDARG00000101422</t>
  </si>
  <si>
    <t>hdac12</t>
  </si>
  <si>
    <t>histone deacetylase 12 [Source:ZFIN;Acc:ZDB-GENE-131121-613]</t>
  </si>
  <si>
    <t>ENSDARG00000074617</t>
  </si>
  <si>
    <t>wfs1b</t>
  </si>
  <si>
    <t>Wolfram syndrome 1b (wolframin) [Source:ZFIN;Acc:ZDB-GENE-050809-19]</t>
  </si>
  <si>
    <t>ENSDARG00000046143</t>
  </si>
  <si>
    <t>prkab1b</t>
  </si>
  <si>
    <t>protein kinase, AMP-activated, beta 1 non-catalytic subunit, b [Source:ZFIN;Acc:ZDB-GENE-030131-7172]</t>
  </si>
  <si>
    <t>ENSDARG00000068434</t>
  </si>
  <si>
    <t>h3f3b.1.1</t>
  </si>
  <si>
    <t>ENSDARG00000076120</t>
  </si>
  <si>
    <t>foxp4</t>
  </si>
  <si>
    <t>forkhead box P4 [Source:ZFIN;Acc:ZDB-GENE-101207-1]</t>
  </si>
  <si>
    <t>ENSDARG00000016691</t>
  </si>
  <si>
    <t>cd9b</t>
  </si>
  <si>
    <t>CD9 molecule b [Source:ZFIN;Acc:ZDB-GENE-040426-2768]</t>
  </si>
  <si>
    <t>ENSDARG00000037409</t>
  </si>
  <si>
    <t>tmem144a</t>
  </si>
  <si>
    <t>transmembrane protein 144a [Source:ZFIN;Acc:ZDB-GENE-040822-12]</t>
  </si>
  <si>
    <t>ENSDARG00000105201</t>
  </si>
  <si>
    <t>adcyap1r1a</t>
  </si>
  <si>
    <t>adenylate cyclase activating polypeptide 1a (pituitary) receptor type I [Source:ZFIN;Acc:ZDB-GENE-050315-1]</t>
  </si>
  <si>
    <t>ENSDARG00000035650</t>
  </si>
  <si>
    <t>evla</t>
  </si>
  <si>
    <t>Enah/Vasp-like a [Source:ZFIN;Acc:ZDB-GENE-000607-65]</t>
  </si>
  <si>
    <t>ENSDARG00000062558</t>
  </si>
  <si>
    <t>rspry1</t>
  </si>
  <si>
    <t>ring finger and SPRY domain containing 1 [Source:ZFIN;Acc:ZDB-GENE-061026-2]</t>
  </si>
  <si>
    <t>ENSDARG00000029856</t>
  </si>
  <si>
    <t>cnn3b</t>
  </si>
  <si>
    <t>calponin 3, acidic b [Source:ZFIN;Acc:ZDB-GENE-050522-263]</t>
  </si>
  <si>
    <t>ENSDARG00000040678</t>
  </si>
  <si>
    <t>ccdc93</t>
  </si>
  <si>
    <t>coiled-coil domain containing 93 [Source:ZFIN;Acc:ZDB-GENE-060421-8315]</t>
  </si>
  <si>
    <t>ENSDARG00000036915</t>
  </si>
  <si>
    <t>dolpp1</t>
  </si>
  <si>
    <t>dolichyldiphosphatase 1 [Source:ZFIN;Acc:ZDB-GENE-041024-11]</t>
  </si>
  <si>
    <t>ENSDARG00000014634</t>
  </si>
  <si>
    <t>mbtps1</t>
  </si>
  <si>
    <t>membrane-bound transcription factor peptidase, site 1 [Source:ZFIN;Acc:ZDB-GENE-030131-4909]</t>
  </si>
  <si>
    <t>ENSDARG00000069977</t>
  </si>
  <si>
    <t>myg1</t>
  </si>
  <si>
    <t>melanocyte proliferating gene 1 [Source:ZFIN;Acc:ZDB-GENE-060312-32]</t>
  </si>
  <si>
    <t>ENSDARG00000096603</t>
  </si>
  <si>
    <t>bmb</t>
  </si>
  <si>
    <t>brambleberry [Source:ZFIN;Acc:ZDB-GENE-030131-5577]</t>
  </si>
  <si>
    <t>ENSDARG00000045414</t>
  </si>
  <si>
    <t>elovl2</t>
  </si>
  <si>
    <t>ELOVL fatty acid elongase 2 [Source:ZFIN;Acc:ZDB-GENE-060421-5612]</t>
  </si>
  <si>
    <t>ENSDARG00000056204</t>
  </si>
  <si>
    <t>GIN1</t>
  </si>
  <si>
    <t>zgc:113436 [Source:ZFIN;Acc:ZDB-GENE-050220-6]</t>
  </si>
  <si>
    <t>ENSDARG00000075325</t>
  </si>
  <si>
    <t>mrpl16</t>
  </si>
  <si>
    <t>mitochondrial ribosomal protein L16 [Source:ZFIN;Acc:ZDB-GENE-041122-1]</t>
  </si>
  <si>
    <t>ENSDARG00000039913</t>
  </si>
  <si>
    <t>tmem147</t>
  </si>
  <si>
    <t>transmembrane protein 147 [Source:ZFIN;Acc:ZDB-GENE-040718-187]</t>
  </si>
  <si>
    <t>ENSDARG00000003375</t>
  </si>
  <si>
    <t>gng12a</t>
  </si>
  <si>
    <t>guanine nucleotide binding protein (G protein), gamma 12a [Source:ZFIN;Acc:ZDB-GENE-040426-2555]</t>
  </si>
  <si>
    <t>ENSDARG00000042544</t>
  </si>
  <si>
    <t>degs2</t>
  </si>
  <si>
    <t>delta(4)-desaturase, sphingolipid 2 [Source:ZFIN;Acc:ZDB-GENE-080228-1]</t>
  </si>
  <si>
    <t>ENSDARG00000041533</t>
  </si>
  <si>
    <t>ccdc130</t>
  </si>
  <si>
    <t>coiled-coil domain containing 130 [Source:ZFIN;Acc:ZDB-GENE-040912-36]</t>
  </si>
  <si>
    <t>ENSDARG00000098143</t>
  </si>
  <si>
    <t>si:dkey-57l19.1</t>
  </si>
  <si>
    <t>si:dkey-57l19.1 [Source:ZFIN;Acc:ZDB-GENE-060503-171]</t>
  </si>
  <si>
    <t>ENSDARG00000099444</t>
  </si>
  <si>
    <t>znf996</t>
  </si>
  <si>
    <t>zinc finger protein 996 [Source:ZFIN;Acc:ZDB-GENE-110913-147]</t>
  </si>
  <si>
    <t>ENSDARG00000089071</t>
  </si>
  <si>
    <t>ushbp1</t>
  </si>
  <si>
    <t>Usher syndrome 1C binding protein 1 [Source:ZFIN;Acc:ZDB-GENE-121024-2]</t>
  </si>
  <si>
    <t>ENSDARG00000100479</t>
  </si>
  <si>
    <t>si:dkey-43f9.4</t>
  </si>
  <si>
    <t>si:dkey-43f9.4 [Source:ZFIN;Acc:ZDB-GENE-110913-43]</t>
  </si>
  <si>
    <t>ENSDARG00000016754</t>
  </si>
  <si>
    <t>tbca</t>
  </si>
  <si>
    <t>tubulin cofactor a [Source:ZFIN;Acc:ZDB-GENE-040426-962]</t>
  </si>
  <si>
    <t>ENSDARG00000051731</t>
  </si>
  <si>
    <t>faap24</t>
  </si>
  <si>
    <t>Fanconi anemia core complex associated protein 24 [Source:ZFIN;Acc:ZDB-GENE-070410-53]</t>
  </si>
  <si>
    <t>ENSDARG00000032116</t>
  </si>
  <si>
    <t>cnot7</t>
  </si>
  <si>
    <t>CCR4-NOT transcription complex, subunit 7 [Source:ZFIN;Acc:ZDB-GENE-061013-29]</t>
  </si>
  <si>
    <t>ENSDARG00000078069</t>
  </si>
  <si>
    <t>rrm2</t>
  </si>
  <si>
    <t>ribonucleotide reductase M2 polypeptide [Source:ZFIN;Acc:ZDB-GENE-990415-25]</t>
  </si>
  <si>
    <t>ENSDARG00000020395</t>
  </si>
  <si>
    <t>mical2b</t>
  </si>
  <si>
    <t>microtubule associated monooxygenase, calponin and LIM domain containing 2b [Source:ZFIN;Acc:ZDB-GENE-061207-15]</t>
  </si>
  <si>
    <t>ENSDARG00000002031</t>
  </si>
  <si>
    <t>tox4a</t>
  </si>
  <si>
    <t>TOX high mobility group box family member 4 a [Source:ZFIN;Acc:ZDB-GENE-070912-576]</t>
  </si>
  <si>
    <t>ENSDARG00000028949</t>
  </si>
  <si>
    <t>ZBTB26</t>
  </si>
  <si>
    <t>si:ch211-236k19.4 [Source:ZFIN;Acc:ZDB-GENE-060526-122]</t>
  </si>
  <si>
    <t>ENSDARG00000071025</t>
  </si>
  <si>
    <t>dytn</t>
  </si>
  <si>
    <t>dystrotelin [Source:ZFIN;Acc:ZDB-GENE-070124-2]</t>
  </si>
  <si>
    <t>ENSDARG00000005800</t>
  </si>
  <si>
    <t>ampd3a</t>
  </si>
  <si>
    <t>adenosine monophosphate deaminase 3a [Source:ZFIN;Acc:ZDB-GENE-110407-2]</t>
  </si>
  <si>
    <t>ENSDARG00000105104</t>
  </si>
  <si>
    <t>si:dkey-223p19.1</t>
  </si>
  <si>
    <t>si:dkey-223p19.1 [Source:ZFIN;Acc:ZDB-GENE-120215-140]</t>
  </si>
  <si>
    <t>ENSDARG00000033104</t>
  </si>
  <si>
    <t>tmc2a</t>
  </si>
  <si>
    <t>transmembrane channel-like 2a [Source:ZFIN;Acc:ZDB-GENE-060526-280]</t>
  </si>
  <si>
    <t>ENSDARG00000071224</t>
  </si>
  <si>
    <t>si:ch211-133n4.4</t>
  </si>
  <si>
    <t>si:ch211-133n4.4 [Source:ZFIN;Acc:ZDB-GENE-030131-898]</t>
  </si>
  <si>
    <t>ENSDARG00000006370</t>
  </si>
  <si>
    <t>atp6v1h</t>
  </si>
  <si>
    <t>ATPase, H+ transporting, lysosomal V1 subunit H [Source:ZFIN;Acc:ZDB-GENE-021219-2]</t>
  </si>
  <si>
    <t>ENSDARG00000016886</t>
  </si>
  <si>
    <t>dnajb9b</t>
  </si>
  <si>
    <t>dnajb9b.1</t>
  </si>
  <si>
    <t>DnaJ (Hsp40) homolog, subfamily B, member 9b [Source:ZFIN;Acc:ZDB-GENE-050522-76]</t>
  </si>
  <si>
    <t>ENSDARG00000071377</t>
  </si>
  <si>
    <t>hsd11b1la</t>
  </si>
  <si>
    <t>hydroxysteroid (11-beta) dehydrogenase 1-like a [Source:ZFIN;Acc:ZDB-GENE-040426-1002]</t>
  </si>
  <si>
    <t>ENSDARG00000076542</t>
  </si>
  <si>
    <t>pogzb</t>
  </si>
  <si>
    <t>pogo transposable element with ZNF domain b [Source:ZFIN;Acc:ZDB-GENE-100609-3]</t>
  </si>
  <si>
    <t>ENSDARG00000014222</t>
  </si>
  <si>
    <t>zgc:86598</t>
  </si>
  <si>
    <t>zgc:86598 [Source:ZFIN;Acc:ZDB-GENE-040625-181]</t>
  </si>
  <si>
    <t>ENSDARG00000069377</t>
  </si>
  <si>
    <t>si:dkey-242g16.2</t>
  </si>
  <si>
    <t>si:dkey-242g16.2 [Source:ZFIN;Acc:ZDB-GENE-030131-8324]</t>
  </si>
  <si>
    <t>ENSDARG00000020363</t>
  </si>
  <si>
    <t>snrnp25</t>
  </si>
  <si>
    <t>small nuclear ribonucleoprotein 25 [Source:ZFIN;Acc:ZDB-GENE-050417-179]</t>
  </si>
  <si>
    <t>ENSDARG00000043006</t>
  </si>
  <si>
    <t>gnav1</t>
  </si>
  <si>
    <t>guanine nucleotide binding protein (G protein) alpha v1 [Source:ZFIN;Acc:ZDB-GENE-081031-92]</t>
  </si>
  <si>
    <t>ENSDARG00000042948</t>
  </si>
  <si>
    <t>dnajc5aa</t>
  </si>
  <si>
    <t>DnaJ (Hsp40) homolog, subfamily C, member 5aa [Source:ZFIN;Acc:ZDB-GENE-031113-20]</t>
  </si>
  <si>
    <t>ENSDARG00000076807</t>
  </si>
  <si>
    <t>si:ch211-110e21.4</t>
  </si>
  <si>
    <t>si:ch211-110e21.4 [Source:ZFIN;Acc:ZDB-GENE-131126-43]</t>
  </si>
  <si>
    <t>ENSDARG00000101047</t>
  </si>
  <si>
    <t>rtcb</t>
  </si>
  <si>
    <t>RNA 2',3'-cyclic phosphate and 5'-OH ligase [Source:ZFIN;Acc:ZDB-GENE-040426-2096]</t>
  </si>
  <si>
    <t>ENSDARG00000031317</t>
  </si>
  <si>
    <t>ppdpfb</t>
  </si>
  <si>
    <t>pancreatic progenitor cell differentiation and proliferation factor b [Source:ZFIN;Acc:ZDB-GENE-030131-8247]</t>
  </si>
  <si>
    <t>ENSDARG00000019596</t>
  </si>
  <si>
    <t>nrd1a</t>
  </si>
  <si>
    <t>nardilysin a (N-arginine dibasic convertase) [Source:ZFIN;Acc:ZDB-GENE-070912-417]</t>
  </si>
  <si>
    <t>ENSDARG00000007734</t>
  </si>
  <si>
    <t>obfc1</t>
  </si>
  <si>
    <t>oligonucleotide/oligosaccharide-binding fold containing 1 [Source:ZFIN;Acc:ZDB-GENE-040426-1390]</t>
  </si>
  <si>
    <t>ENSDARG00000000103</t>
  </si>
  <si>
    <t>myh10</t>
  </si>
  <si>
    <t>myosin, heavy chain 10, non-muscle [Source:ZFIN;Acc:ZDB-GENE-030616-162]</t>
  </si>
  <si>
    <t>ENSDARG00000078828</t>
  </si>
  <si>
    <t>npb</t>
  </si>
  <si>
    <t>neuropeptide B [Source:ZFIN;Acc:ZDB-GENE-040107-40]</t>
  </si>
  <si>
    <t>ENSDARG00000102735</t>
  </si>
  <si>
    <t>znf1141</t>
  </si>
  <si>
    <t>zinc finger protein 1141 [Source:ZFIN;Acc:ZDB-GENE-110913-35]</t>
  </si>
  <si>
    <t>ENSDARG00000026294</t>
  </si>
  <si>
    <t>erbb2</t>
  </si>
  <si>
    <t>erb-b2 receptor tyrosine kinase 2 [Source:ZFIN;Acc:ZDB-GENE-031118-121]</t>
  </si>
  <si>
    <t>ENSDARG00000042139</t>
  </si>
  <si>
    <t>fpgt</t>
  </si>
  <si>
    <t>fucose-1-phosphate guanylyltransferase [Source:ZFIN;Acc:ZDB-GENE-050522-489]</t>
  </si>
  <si>
    <t>ENSDARG00000056640</t>
  </si>
  <si>
    <t>rpia</t>
  </si>
  <si>
    <t>ribose 5-phosphate isomerase A (ribose 5-phosphate epimerase) [Source:ZFIN;Acc:ZDB-GENE-041114-24]</t>
  </si>
  <si>
    <t>ENSDARG00000032482</t>
  </si>
  <si>
    <t>si:dkey-40c11.2</t>
  </si>
  <si>
    <t>si:dkey-40c11.2 [Source:ZFIN;Acc:ZDB-GENE-060526-300]</t>
  </si>
  <si>
    <t>ENSDARG00000035694</t>
  </si>
  <si>
    <t>stm</t>
  </si>
  <si>
    <t>starmaker [Source:ZFIN;Acc:ZDB-GENE-031112-4]</t>
  </si>
  <si>
    <t>ENSDARG00000071060</t>
  </si>
  <si>
    <t>naa10</t>
  </si>
  <si>
    <t>N(alpha)-acetyltransferase 10, NatA catalytic subunit [Source:ZFIN;Acc:ZDB-GENE-040426-2648]</t>
  </si>
  <si>
    <t>ENSDARG00000092305</t>
  </si>
  <si>
    <t>poldip2</t>
  </si>
  <si>
    <t>polymerase (DNA-directed), delta interacting protein 2 [Source:ZFIN;Acc:ZDB-GENE-030131-5881]</t>
  </si>
  <si>
    <t>ENSDARG00000062397</t>
  </si>
  <si>
    <t>ndst1a</t>
  </si>
  <si>
    <t>N-deacetylase/N-sulfotransferase (heparan glucosaminyl) 1a [Source:ZFIN;Acc:ZDB-GENE-111012-2]</t>
  </si>
  <si>
    <t>ENSDARG00000038794</t>
  </si>
  <si>
    <t>zgc:113531</t>
  </si>
  <si>
    <t>zgc:113531 [Source:ZFIN;Acc:ZDB-GENE-050320-52]</t>
  </si>
  <si>
    <t>ENSDARG00000007764</t>
  </si>
  <si>
    <t>klhdc10</t>
  </si>
  <si>
    <t>kelch domain containing 10 [Source:ZFIN;Acc:ZDB-GENE-040426-776]</t>
  </si>
  <si>
    <t>ENSDARG00000057010</t>
  </si>
  <si>
    <t>si:dkey-154b15.1</t>
  </si>
  <si>
    <t>si:dkey-154b15.1 [Source:ZFIN;Acc:ZDB-GENE-060503-52]</t>
  </si>
  <si>
    <t>ENSDARG00000059817</t>
  </si>
  <si>
    <t>mtmr12</t>
  </si>
  <si>
    <t>myotubularin related protein 12 [Source:ZFIN;Acc:ZDB-GENE-050401-1]</t>
  </si>
  <si>
    <t>ENSDARG00000074955</t>
  </si>
  <si>
    <t>nup98</t>
  </si>
  <si>
    <t>nucleoporin 98 [Source:ZFIN;Acc:ZDB-GENE-040426-1180]</t>
  </si>
  <si>
    <t>ENSDARG00000015422</t>
  </si>
  <si>
    <t>ppil1</t>
  </si>
  <si>
    <t>peptidylprolyl isomerase (cyclophilin)-like 1 [Source:ZFIN;Acc:ZDB-GENE-051009-1]</t>
  </si>
  <si>
    <t>ENSDARG00000013804</t>
  </si>
  <si>
    <t>capns1b</t>
  </si>
  <si>
    <t>calpain, small subunit 1 b [Source:ZFIN;Acc:ZDB-GENE-030131-5206]</t>
  </si>
  <si>
    <t>ENSDARG00000095724</t>
  </si>
  <si>
    <t>si:ch211-196c10.15</t>
  </si>
  <si>
    <t>si:ch211-196c10.15 [Source:ZFIN;Acc:ZDB-GENE-141216-138]</t>
  </si>
  <si>
    <t>ENSDARG00000071272</t>
  </si>
  <si>
    <t>ncoa6</t>
  </si>
  <si>
    <t>nuclear receptor coactivator 6 [Source:ZFIN;Acc:ZDB-GENE-080403-12]</t>
  </si>
  <si>
    <t>ENSDARG00000027345</t>
  </si>
  <si>
    <t>mpzl2b</t>
  </si>
  <si>
    <t>myelin protein zero-like 2b [Source:ZFIN;Acc:ZDB-GENE-030131-8774]</t>
  </si>
  <si>
    <t>ENSDARG00000027154</t>
  </si>
  <si>
    <t>tpd52l2a</t>
  </si>
  <si>
    <t>tumor protein D52-like 2a [Source:ZFIN;Acc:ZDB-GENE-030131-7047]</t>
  </si>
  <si>
    <t>ENSDARG00000039374</t>
  </si>
  <si>
    <t>apool</t>
  </si>
  <si>
    <t>apolipoprotein O-like [Source:ZFIN;Acc:ZDB-GENE-050327-76]</t>
  </si>
  <si>
    <t>ENSDARG00000002916</t>
  </si>
  <si>
    <t>sec31b</t>
  </si>
  <si>
    <t>SEC31 homolog B, COPII coat complex component [Source:ZFIN;Acc:ZDB-GENE-060418-2]</t>
  </si>
  <si>
    <t>ENSDARG00000089088</t>
  </si>
  <si>
    <t>gig2n</t>
  </si>
  <si>
    <t>grass carp reovirus (GCRV)-induced gene 2n [Source:ZFIN;Acc:ZDB-GENE-091204-380]</t>
  </si>
  <si>
    <t>ENSDARG00000000442</t>
  </si>
  <si>
    <t>slc39a13</t>
  </si>
  <si>
    <t>solute carrier family 39 (zinc transporter), member 13 [Source:ZFIN;Acc:ZDB-GENE-030616-17]</t>
  </si>
  <si>
    <t>ENSDARG00000061580</t>
  </si>
  <si>
    <t>kctd7</t>
  </si>
  <si>
    <t>potassium channel tetramerization domain containing 7 [Source:ZFIN;Acc:ZDB-GENE-060804-2]</t>
  </si>
  <si>
    <t>ENSDARG00000006235</t>
  </si>
  <si>
    <t>brms1la</t>
  </si>
  <si>
    <t>breast cancer metastasis-suppressor 1-like a [Source:ZFIN;Acc:ZDB-GENE-050913-49]</t>
  </si>
  <si>
    <t>ENSDARG00000035352</t>
  </si>
  <si>
    <t>pafah1b2</t>
  </si>
  <si>
    <t>platelet-activating factor acetylhydrolase 1b, catalytic subunit 2 [Source:ZFIN;Acc:ZDB-GENE-060526-43]</t>
  </si>
  <si>
    <t>ENSDARG00000059308</t>
  </si>
  <si>
    <t>golt1bb</t>
  </si>
  <si>
    <t>golgi transport 1Bb [Source:ZFIN;Acc:ZDB-GENE-050913-94]</t>
  </si>
  <si>
    <t>ENSDARG00000101524</t>
  </si>
  <si>
    <t>znf1080</t>
  </si>
  <si>
    <t>zinc finger protein 1080 [Source:ZFIN;Acc:ZDB-GENE-131125-96]</t>
  </si>
  <si>
    <t>ENSDARG00000099109</t>
  </si>
  <si>
    <t>si:ch1073-82k10.1</t>
  </si>
  <si>
    <t>si:ch1073-82k10.1 [Source:ZFIN;Acc:ZDB-GENE-141216-183]</t>
  </si>
  <si>
    <t>ENSDARG00000061021</t>
  </si>
  <si>
    <t>fam160a1a</t>
  </si>
  <si>
    <t>family with sequence similarity 160, member A1a [Source:ZFIN;Acc:ZDB-GENE-090312-132]</t>
  </si>
  <si>
    <t>ENSDARG00000030092</t>
  </si>
  <si>
    <t>tram2</t>
  </si>
  <si>
    <t>translocation associated membrane protein 2 [Source:ZFIN;Acc:ZDB-GENE-040426-2024]</t>
  </si>
  <si>
    <t>ENSDARG00000075334</t>
  </si>
  <si>
    <t>arhgap32a</t>
  </si>
  <si>
    <t>Rho GTPase activating protein 32a [Source:ZFIN;Acc:ZDB-GENE-060503-918]</t>
  </si>
  <si>
    <t>ENSDARG00000051876</t>
  </si>
  <si>
    <t>ush1c</t>
  </si>
  <si>
    <t>Usher syndrome 1C [Source:ZFIN;Acc:ZDB-GENE-060312-41]</t>
  </si>
  <si>
    <t>ENSDARG00000102048</t>
  </si>
  <si>
    <t>slc25a43</t>
  </si>
  <si>
    <t>solute carrier family 25, member 43 [Source:ZFIN;Acc:ZDB-GENE-030616-69]</t>
  </si>
  <si>
    <t>ENSDARG00000068708</t>
  </si>
  <si>
    <t>ifrd1</t>
  </si>
  <si>
    <t>interferon-related developmental regulator 1 [Source:ZFIN;Acc:ZDB-GENE-030131-6132]</t>
  </si>
  <si>
    <t>ENSDARG00000027552</t>
  </si>
  <si>
    <t>mapk1</t>
  </si>
  <si>
    <t>mitogen-activated protein kinase 1 [Source:ZFIN;Acc:ZDB-GENE-030722-2]</t>
  </si>
  <si>
    <t>ENSDARG00000079816</t>
  </si>
  <si>
    <t>rhbdd3</t>
  </si>
  <si>
    <t>rhomboid domain containing 3 [Source:ZFIN;Acc:ZDB-GENE-070705-39]</t>
  </si>
  <si>
    <t>ENSDARG00000097902</t>
  </si>
  <si>
    <t>si:ch73-204p21.2</t>
  </si>
  <si>
    <t>si:ch73-204p21.2 [Source:ZFIN;Acc:ZDB-GENE-050208-49]</t>
  </si>
  <si>
    <t>ENSDARG00000032801</t>
  </si>
  <si>
    <t>grk5</t>
  </si>
  <si>
    <t>G protein-coupled receptor kinase 5 [Source:ZFIN;Acc:ZDB-GENE-091204-274]</t>
  </si>
  <si>
    <t>ENSDARG00000013409</t>
  </si>
  <si>
    <t>bmp2a</t>
  </si>
  <si>
    <t>bone morphogenetic protein 2a [Source:ZFIN;Acc:ZDB-GENE-980526-388]</t>
  </si>
  <si>
    <t>ENSDARG00000056510</t>
  </si>
  <si>
    <t>gstk1</t>
  </si>
  <si>
    <t>glutathione S-transferase kappa 1 [Source:ZFIN;Acc:ZDB-GENE-040718-298]</t>
  </si>
  <si>
    <t>ENSDARG00000012694</t>
  </si>
  <si>
    <t>c3a.1</t>
  </si>
  <si>
    <t>complement component c3a, duplicate 1 [Source:ZFIN;Acc:ZDB-GENE-990415-35]</t>
  </si>
  <si>
    <t>ENSDARG00000098589</t>
  </si>
  <si>
    <t>cyb5a</t>
  </si>
  <si>
    <t>cytochrome b5 type A (microsomal) [Source:ZFIN;Acc:ZDB-GENE-040426-2148]</t>
  </si>
  <si>
    <t>ENSDARG00000063509</t>
  </si>
  <si>
    <t>lrrc58b</t>
  </si>
  <si>
    <t>leucine rich repeat containing 58b [Source:ZFIN;Acc:ZDB-GENE-050309-29]</t>
  </si>
  <si>
    <t>ENSDARG00000042122</t>
  </si>
  <si>
    <t>acot11b</t>
  </si>
  <si>
    <t>acyl-CoA thioesterase 11b [Source:ZFIN;Acc:ZDB-GENE-051127-37]</t>
  </si>
  <si>
    <t>ENSDARG00000079716</t>
  </si>
  <si>
    <t>sin3aa</t>
  </si>
  <si>
    <t>SIN3 transcription regulator family member Aa [Source:ZFIN;Acc:ZDB-GENE-070620-3]</t>
  </si>
  <si>
    <t>ENSDARG00000028715</t>
  </si>
  <si>
    <t>fam188a</t>
  </si>
  <si>
    <t>family with sequence similarity 188, member A [Source:ZFIN;Acc:ZDB-GENE-061110-13]</t>
  </si>
  <si>
    <t>ENSDARG00000040698</t>
  </si>
  <si>
    <t>plekha8</t>
  </si>
  <si>
    <t>pleckstrin homology domain containing, family A (phosphoinositide binding specific) member 8 [Source:ZFIN;Acc:ZDB-GENE-041114-69]</t>
  </si>
  <si>
    <t>ENSDARG00000056695</t>
  </si>
  <si>
    <t>phc2a</t>
  </si>
  <si>
    <t>polyhomeotic homolog 2a (Drosophila) [Source:ZFIN;Acc:ZDB-GENE-020312-1]</t>
  </si>
  <si>
    <t>ENSDARG00000095948</t>
  </si>
  <si>
    <t>si:ch211-57m13.15</t>
  </si>
  <si>
    <t>si:ch211-57m13.15 [Source:ZFIN;Acc:ZDB-GENE-110411-8]</t>
  </si>
  <si>
    <t>ENSDARG00000105209</t>
  </si>
  <si>
    <t>si:ch73-103b11.2</t>
  </si>
  <si>
    <t>si:ch73-103b11.2 [Source:ZFIN;Acc:ZDB-GENE-080917-14]</t>
  </si>
  <si>
    <t>ENSDARG00000039914</t>
  </si>
  <si>
    <t>gapdhs</t>
  </si>
  <si>
    <t>glyceraldehyde-3-phosphate dehydrogenase, spermatogenic [Source:ZFIN;Acc:ZDB-GENE-020913-1]</t>
  </si>
  <si>
    <t>ENSDARG00000006207</t>
  </si>
  <si>
    <t>gpx1b</t>
  </si>
  <si>
    <t>glutathione peroxidase 1b [Source:ZFIN;Acc:ZDB-GENE-040912-60]</t>
  </si>
  <si>
    <t>ENSDARG00000056026</t>
  </si>
  <si>
    <t>tprg1</t>
  </si>
  <si>
    <t>tumor protein p63 regulated 1 [Source:ZFIN;Acc:ZDB-GENE-070410-113]</t>
  </si>
  <si>
    <t>ENSDARG00000097310</t>
  </si>
  <si>
    <t>zgc:193812</t>
  </si>
  <si>
    <t>zgc:193812 [Source:ZFIN;Acc:ZDB-GENE-081022-44]</t>
  </si>
  <si>
    <t>ENSDARG00000039069</t>
  </si>
  <si>
    <t>slx4ip</t>
  </si>
  <si>
    <t>SLX4 interacting protein [Source:ZFIN;Acc:ZDB-GENE-040426-1365]</t>
  </si>
  <si>
    <t>ENSDARG00000070555</t>
  </si>
  <si>
    <t>LDLRAD4</t>
  </si>
  <si>
    <t>si:ch211-105d11.1 [Source:ZFIN;Acc:ZDB-GENE-060503-850]</t>
  </si>
  <si>
    <t>ENSDARG00000026967</t>
  </si>
  <si>
    <t>ap2s1</t>
  </si>
  <si>
    <t>adaptor-related protein complex 2, sigma 1 subunit [Source:ZFIN;Acc:ZDB-GENE-040426-2174]</t>
  </si>
  <si>
    <t>ENSDARG00000058984</t>
  </si>
  <si>
    <t>rad23ab</t>
  </si>
  <si>
    <t>RAD23 homolog A, nucleotide excision repair protein b [Source:ZFIN;Acc:ZDB-GENE-051113-160]</t>
  </si>
  <si>
    <t>ENSDARG00000059654</t>
  </si>
  <si>
    <t>eif3ba</t>
  </si>
  <si>
    <t>eukaryotic translation initiation factor 3, subunit Ba [Source:ZFIN;Acc:ZDB-GENE-030131-2748]</t>
  </si>
  <si>
    <t>ENSDARG00000008920</t>
  </si>
  <si>
    <t>mrpl53</t>
  </si>
  <si>
    <t>mitochondrial ribosomal protein L53 [Source:ZFIN;Acc:ZDB-GENE-040912-93]</t>
  </si>
  <si>
    <t>ENSDARG00000058348</t>
  </si>
  <si>
    <t>scinlb</t>
  </si>
  <si>
    <t>scinderin like b [Source:ZFIN;Acc:ZDB-GENE-040426-2068]</t>
  </si>
  <si>
    <t>ENSDARG00000097187</t>
  </si>
  <si>
    <t>si:ch211-153l6.6</t>
  </si>
  <si>
    <t>si:ch211-153l6.6 [Source:ZFIN;Acc:ZDB-GENE-131121-98]</t>
  </si>
  <si>
    <t>ENSDARG00000012113</t>
  </si>
  <si>
    <t>c19h1orf109</t>
  </si>
  <si>
    <t>c19h1orf109 homolog (H. sapiens) [Source:ZFIN;Acc:ZDB-GENE-021219-1]</t>
  </si>
  <si>
    <t>ENSDARG00000094414</t>
  </si>
  <si>
    <t>aknad1</t>
  </si>
  <si>
    <t>AKNA domain containing 1 [Source:ZFIN;Acc:ZDB-GENE-070912-649]</t>
  </si>
  <si>
    <t>ENSDARG00000022996</t>
  </si>
  <si>
    <t>setx</t>
  </si>
  <si>
    <t>senataxin [Source:ZFIN;Acc:ZDB-GENE-070402-1]</t>
  </si>
  <si>
    <t>ENSDARG00000022564</t>
  </si>
  <si>
    <t>zgc:56106</t>
  </si>
  <si>
    <t>zgc:56106 [Source:ZFIN;Acc:ZDB-GENE-040426-904]</t>
  </si>
  <si>
    <t>ENSDARG00000017299</t>
  </si>
  <si>
    <t>fabp11a</t>
  </si>
  <si>
    <t>fatty acid binding protein 11a [Source:ZFIN;Acc:ZDB-GENE-040912-132]</t>
  </si>
  <si>
    <t>ENSDARG00000021647</t>
  </si>
  <si>
    <t>gnai1</t>
  </si>
  <si>
    <t>guanine nucleotide binding protein (G protein), alpha inhibiting activity polypeptide 1 [Source:ZFIN;Acc:ZDB-GENE-040426-1310]</t>
  </si>
  <si>
    <t>ENSDARG00000099970</t>
  </si>
  <si>
    <t>malat1</t>
  </si>
  <si>
    <t>metastasis associated lung adenocarcinoma transcript 1 [Source:ZFIN;Acc:ZDB-GENE-141216-248]</t>
  </si>
  <si>
    <t>ENSDARG00000105368</t>
  </si>
  <si>
    <t>si:ch211-276i12.12</t>
  </si>
  <si>
    <t>si:ch211-276i12.12 [Source:ZFIN;Acc:ZDB-GENE-160113-23]</t>
  </si>
  <si>
    <t>ENSDARG00000037835</t>
  </si>
  <si>
    <t>polr3k</t>
  </si>
  <si>
    <t>polymerase (RNA) III (DNA directed) polypeptide K [Source:ZFIN;Acc:ZDB-GENE-040718-291]</t>
  </si>
  <si>
    <t>ENSDARG00000097220</t>
  </si>
  <si>
    <t>si:ch211-176d9.4</t>
  </si>
  <si>
    <t>si:ch211-176d9.4 [Source:ZFIN;Acc:ZDB-GENE-131127-530]</t>
  </si>
  <si>
    <t>ENSDARG00000071478</t>
  </si>
  <si>
    <t>lnx2b</t>
  </si>
  <si>
    <t>ligand of numb-protein X 2b [Source:ZFIN;Acc:ZDB-GENE-040426-2500]</t>
  </si>
  <si>
    <t>ENSDARG00000062269</t>
  </si>
  <si>
    <t>fan1</t>
  </si>
  <si>
    <t>FANCD2/FANCI-associated nuclease 1 [Source:ZFIN;Acc:ZDB-GENE-030131-6225]</t>
  </si>
  <si>
    <t>ENSDARG00000105412</t>
  </si>
  <si>
    <t>zgc:194285</t>
  </si>
  <si>
    <t>ENSDARG00000078459</t>
  </si>
  <si>
    <t>cux1a</t>
  </si>
  <si>
    <t>cut-like homeobox 1a [Source:ZFIN;Acc:ZDB-GENE-030131-5868]</t>
  </si>
  <si>
    <t>ENSDARG00000043137</t>
  </si>
  <si>
    <t>cdca8</t>
  </si>
  <si>
    <t>cell division cycle associated 8 [Source:ZFIN;Acc:ZDB-GENE-041114-171]</t>
  </si>
  <si>
    <t>ENSDARG00000103358</t>
  </si>
  <si>
    <t>si:ch73-187p21.1</t>
  </si>
  <si>
    <t>si:ch73-187p21.1 [Source:ZFIN;Acc:ZDB-GENE-131127-453]</t>
  </si>
  <si>
    <t>ENSDARG00000100694</t>
  </si>
  <si>
    <t>tnnt2b</t>
  </si>
  <si>
    <t>troponin T type 2b (cardiac) [Source:ZFIN;Acc:ZDB-GENE-091106-2]</t>
  </si>
  <si>
    <t>ENSDARG00000009534</t>
  </si>
  <si>
    <t>wls</t>
  </si>
  <si>
    <t>wntless Wnt ligand secretion mediator [Source:ZFIN;Acc:ZDB-GENE-040426-2161]</t>
  </si>
  <si>
    <t>ENSDARG00000088030</t>
  </si>
  <si>
    <t>rpl35a</t>
  </si>
  <si>
    <t>ribosomal protein L35a [Source:ZFIN;Acc:ZDB-GENE-040718-190]</t>
  </si>
  <si>
    <t>ENSDARG00000040490</t>
  </si>
  <si>
    <t>dusp19a</t>
  </si>
  <si>
    <t>dual specificity phosphatase 19a [Source:ZFIN;Acc:ZDB-GENE-081104-382]</t>
  </si>
  <si>
    <t>ENSDARG00000092394</t>
  </si>
  <si>
    <t>dcun1d4</t>
  </si>
  <si>
    <t>DCN1, defective in cullin neddylation 1, domain containing 4 (S. cerevisiae) [Source:ZFIN;Acc:ZDB-GENE-041014-248]</t>
  </si>
  <si>
    <t>ENSDARG00000056726</t>
  </si>
  <si>
    <t>mettl7a</t>
  </si>
  <si>
    <t>methyltransferase like 7A [Source:ZFIN;Acc:ZDB-GENE-061027-239]</t>
  </si>
  <si>
    <t>ENSDARG00000103834</t>
  </si>
  <si>
    <t>rbm14b</t>
  </si>
  <si>
    <t>RNA binding motif protein 14b [Source:ZFIN;Acc:ZDB-GENE-040426-2455]</t>
  </si>
  <si>
    <t>ENSDARG00000079854</t>
  </si>
  <si>
    <t>scyl1</t>
  </si>
  <si>
    <t>SCY1-like, kinase-like 1 [Source:ZFIN;Acc:ZDB-GENE-030131-8915]</t>
  </si>
  <si>
    <t>ENSDARG00000094529</t>
  </si>
  <si>
    <t>si:ch211-201b11.3</t>
  </si>
  <si>
    <t>si:ch211-201b11.3 [Source:ZFIN;Acc:ZDB-GENE-050419-16]</t>
  </si>
  <si>
    <t>ENSDARG00000043899</t>
  </si>
  <si>
    <t>psma6l</t>
  </si>
  <si>
    <t>proteasome subunit alpha 6, like [Source:ZFIN;Acc:ZDB-GENE-010502-2]</t>
  </si>
  <si>
    <t>ENSDARG00000016139</t>
  </si>
  <si>
    <t>mkks</t>
  </si>
  <si>
    <t>McKusick-Kaufman syndrome [Source:ZFIN;Acc:ZDB-GENE-040426-757]</t>
  </si>
  <si>
    <t>ENSDARG00000055481</t>
  </si>
  <si>
    <t>atf7b</t>
  </si>
  <si>
    <t>activating transcription factor 7b [Source:ZFIN;Acc:ZDB-GENE-030131-3028]</t>
  </si>
  <si>
    <t>ENSDARG00000034013</t>
  </si>
  <si>
    <t>rgmd</t>
  </si>
  <si>
    <t>RGM domain family, member D [Source:ZFIN;Acc:ZDB-GENE-030131-561]</t>
  </si>
  <si>
    <t>ENSDARG00000035459</t>
  </si>
  <si>
    <t>spns3</t>
  </si>
  <si>
    <t>spinster homolog 3 (Drosophila) [Source:ZFIN;Acc:ZDB-GENE-060531-7]</t>
  </si>
  <si>
    <t>ENSDARG00000105172</t>
  </si>
  <si>
    <t>rnf168</t>
  </si>
  <si>
    <t>ring finger protein 168 [Source:ZFIN;Acc:ZDB-GENE-030131-6013]</t>
  </si>
  <si>
    <t>ENSDARG00000096651</t>
  </si>
  <si>
    <t>gpr108</t>
  </si>
  <si>
    <t>G protein-coupled receptor 108 [Source:ZFIN;Acc:ZDB-GENE-121214-129]</t>
  </si>
  <si>
    <t>ENSDARG00000019961</t>
  </si>
  <si>
    <t>znf513</t>
  </si>
  <si>
    <t>zinc finger protein 513 [Source:ZFIN;Acc:ZDB-GENE-030131-9895]</t>
  </si>
  <si>
    <t>ENSDARG00000089930</t>
  </si>
  <si>
    <t>iqce</t>
  </si>
  <si>
    <t>IQ motif containing E [Source:ZFIN;Acc:ZDB-GENE-090312-217]</t>
  </si>
  <si>
    <t>ENSDARG00000078423</t>
  </si>
  <si>
    <t>zgc:194285.1</t>
  </si>
  <si>
    <t>zgc:194285 [Source:ZFIN;Acc:ZDB-GENE-081022-97]</t>
  </si>
  <si>
    <t>ENSDARG00000044968</t>
  </si>
  <si>
    <t>vcla</t>
  </si>
  <si>
    <t>vinculin a [Source:ZFIN;Acc:ZDB-GENE-050506-61]</t>
  </si>
  <si>
    <t>ENSDARG00000002097</t>
  </si>
  <si>
    <t>si:dkeyp-52c3.7</t>
  </si>
  <si>
    <t>si:dkeyp-52c3.7 [Source:ZFIN;Acc:ZDB-GENE-110411-213]</t>
  </si>
  <si>
    <t>ENSDARG00000069030</t>
  </si>
  <si>
    <t>skor1a</t>
  </si>
  <si>
    <t>SKI family transcriptional corepressor 1a [Source:ZFIN;Acc:ZDB-GENE-080722-5]</t>
  </si>
  <si>
    <t>ENSDARG00000008720</t>
  </si>
  <si>
    <t>lmo3</t>
  </si>
  <si>
    <t>LIM domain only 3 [Source:ZFIN;Acc:ZDB-GENE-050522-201]</t>
  </si>
  <si>
    <t>ENSDARG00000089429</t>
  </si>
  <si>
    <t>si:dkey-205h13.2</t>
  </si>
  <si>
    <t>si:dkey-205h13.2 [Source:ZFIN;Acc:ZDB-GENE-080225-18]</t>
  </si>
  <si>
    <t>ENSDARG00000016623</t>
  </si>
  <si>
    <t>si:ch211-195b13.1</t>
  </si>
  <si>
    <t>si:ch211-195b13.1 [Source:ZFIN;Acc:ZDB-GENE-030131-7626]</t>
  </si>
  <si>
    <t>ENSDARG00000076563</t>
  </si>
  <si>
    <t>zgc:92249</t>
  </si>
  <si>
    <t>zgc:92249 [Source:ZFIN;Acc:ZDB-GENE-040718-368]</t>
  </si>
  <si>
    <t>ENSDARG00000009743</t>
  </si>
  <si>
    <t>efhc1</t>
  </si>
  <si>
    <t>EF-hand domain (C-terminal) containing 1 [Source:ZFIN;Acc:ZDB-GENE-040426-1300]</t>
  </si>
  <si>
    <t>ENSDARG00000012177</t>
  </si>
  <si>
    <t>rab4b</t>
  </si>
  <si>
    <t>RAB4B, member RAS oncogene family [Source:ZFIN;Acc:ZDB-GENE-040822-15]</t>
  </si>
  <si>
    <t>ENSDARG00000040492</t>
  </si>
  <si>
    <t>mthfd1b</t>
  </si>
  <si>
    <t>methylenetetrahydrofolate dehydrogenase (NADP+ dependent) 1b [Source:ZFIN;Acc:ZDB-GENE-020905-4]</t>
  </si>
  <si>
    <t>ENSDARG00000071618</t>
  </si>
  <si>
    <t>si:ch211-213a13.5</t>
  </si>
  <si>
    <t>si:ch211-213a13.5 [Source:ZFIN;Acc:ZDB-GENE-050208-711]</t>
  </si>
  <si>
    <t>ENSDARG00000012039</t>
  </si>
  <si>
    <t>ttc26</t>
  </si>
  <si>
    <t>tetratricopeptide repeat domain 26 [Source:ZFIN;Acc:ZDB-GENE-041212-41]</t>
  </si>
  <si>
    <t>ENSDARG00000094732</t>
  </si>
  <si>
    <t>mical3b</t>
  </si>
  <si>
    <t>microtubule associated monooxygenase, calponin and LIM domain containing 3b [Source:ZFIN;Acc:ZDB-GENE-050211-1]</t>
  </si>
  <si>
    <t>ENSDARG00000060889</t>
  </si>
  <si>
    <t>si:ch211-173n18.4</t>
  </si>
  <si>
    <t>si:ch211-173n18.4 [Source:ZFIN;Acc:ZDB-GENE-120215-64]</t>
  </si>
  <si>
    <t>ENSDARG00000003235</t>
  </si>
  <si>
    <t>nup88</t>
  </si>
  <si>
    <t>nucleoporin 88 [Source:ZFIN;Acc:ZDB-GENE-050522-297]</t>
  </si>
  <si>
    <t>ENSDARG00000040869</t>
  </si>
  <si>
    <t>upp1</t>
  </si>
  <si>
    <t>uridine phosphorylase 1 [Source:ZFIN;Acc:ZDB-GENE-050306-2]</t>
  </si>
  <si>
    <t>ENSDARG00000076118</t>
  </si>
  <si>
    <t>cdip1</t>
  </si>
  <si>
    <t>cell death-inducing p53 target 1 [Source:ZFIN;Acc:ZDB-GENE-070720-18]</t>
  </si>
  <si>
    <t>ENSDARG00000016348</t>
  </si>
  <si>
    <t>dip2bb</t>
  </si>
  <si>
    <t>disco-interacting protein 2 homolog Bb [Source:ZFIN;Acc:ZDB-GENE-100729-4]</t>
  </si>
  <si>
    <t>ENSDARG00000061941</t>
  </si>
  <si>
    <t>trpv4</t>
  </si>
  <si>
    <t>transient receptor potential cation channel, subfamily V, member 4 [Source:ZFIN;Acc:ZDB-GENE-030912-7]</t>
  </si>
  <si>
    <t>ENSDARG00000006666</t>
  </si>
  <si>
    <t>BUD13</t>
  </si>
  <si>
    <t>si:dkeyp-69c1.6 [Source:ZFIN;Acc:ZDB-GENE-030131-6333]</t>
  </si>
  <si>
    <t>ENSDARG00000037309</t>
  </si>
  <si>
    <t>gatb</t>
  </si>
  <si>
    <t>glutamyl-tRNA(Gln) amidotransferase, subunit B [Source:ZFIN;Acc:ZDB-GENE-040724-131]</t>
  </si>
  <si>
    <t>ENSDARG00000079150</t>
  </si>
  <si>
    <t>si:ch211-276i12.9</t>
  </si>
  <si>
    <t>si:ch211-276i12.9 [Source:ZFIN;Acc:ZDB-GENE-141216-132]</t>
  </si>
  <si>
    <t>ENSDARG00000015709</t>
  </si>
  <si>
    <t>hsd17b12a</t>
  </si>
  <si>
    <t>hydroxysteroid (17-beta) dehydrogenase 12a [Source:ZFIN;Acc:ZDB-GENE-030131-5628]</t>
  </si>
  <si>
    <t>ENSDARG00000077096</t>
  </si>
  <si>
    <t>fndc7a</t>
  </si>
  <si>
    <t>fibronectin type III domain containing 7a [Source:ZFIN;Acc:ZDB-GENE-070216-2]</t>
  </si>
  <si>
    <t>ENSDARG00000006672</t>
  </si>
  <si>
    <t>znf395</t>
  </si>
  <si>
    <t>zinc finger protein 395 [Source:ZFIN;Acc:ZDB-GENE-031002-50]</t>
  </si>
  <si>
    <t>ENSDARG00000101777</t>
  </si>
  <si>
    <t>pdlim5a</t>
  </si>
  <si>
    <t>PDZ and LIM domain 5a [Source:ZFIN;Acc:ZDB-GENE-040718-401]</t>
  </si>
  <si>
    <t>ENSDARG00000092659</t>
  </si>
  <si>
    <t>ppp3r1a</t>
  </si>
  <si>
    <t>protein phosphatase 3, regulatory subunit B, alpha a [Source:ZFIN;Acc:ZDB-GENE-081113-3]</t>
  </si>
  <si>
    <t>ENSDARG00000076889</t>
  </si>
  <si>
    <t>ralgapa1</t>
  </si>
  <si>
    <t>Ral GTPase activating protein, alpha subunit 1 (catalytic) [Source:ZFIN;Acc:ZDB-GENE-080806-1]</t>
  </si>
  <si>
    <t>ENSDARG00000017741</t>
  </si>
  <si>
    <t>g3bp1</t>
  </si>
  <si>
    <t>GTPase activating protein (SH3 domain) binding protein 1 [Source:ZFIN;Acc:ZDB-GENE-030131-7452]</t>
  </si>
  <si>
    <t>ENSDARG00000034368</t>
  </si>
  <si>
    <t>hexb</t>
  </si>
  <si>
    <t>hexosaminidase B (beta polypeptide) [Source:ZFIN;Acc:ZDB-GENE-030131-2333]</t>
  </si>
  <si>
    <t>ENSDARG00000093006</t>
  </si>
  <si>
    <t>zgc:154040</t>
  </si>
  <si>
    <t>zgc:154040 [Source:ZFIN;Acc:ZDB-GENE-060929-616]</t>
  </si>
  <si>
    <t>ENSDARG00000069438</t>
  </si>
  <si>
    <t>neurl1aa</t>
  </si>
  <si>
    <t>neuralized E3 ubiquitin protein ligase 1Aa [Source:ZFIN;Acc:ZDB-GENE-090311-3]</t>
  </si>
  <si>
    <t>ENSDARG00000044301</t>
  </si>
  <si>
    <t>atf1</t>
  </si>
  <si>
    <t>activating transcription factor 1 [Source:ZFIN;Acc:ZDB-GENE-030131-4334]</t>
  </si>
  <si>
    <t>ENSDARG00000005673</t>
  </si>
  <si>
    <t>f3b</t>
  </si>
  <si>
    <t>coagulation factor IIIb [Source:ZFIN;Acc:ZDB-GENE-050417-234]</t>
  </si>
  <si>
    <t>ENSDARG00000008119</t>
  </si>
  <si>
    <t>E2F6</t>
  </si>
  <si>
    <t>si:ch211-195d17.2 [Source:ZFIN;Acc:ZDB-GENE-030131-513]</t>
  </si>
  <si>
    <t>ENSDARG00000071087</t>
  </si>
  <si>
    <t>slc35b4</t>
  </si>
  <si>
    <t>solute carrier family 35, member B4 [Source:ZFIN;Acc:ZDB-GENE-030131-2457]</t>
  </si>
  <si>
    <t>ENSDARG00000039697</t>
  </si>
  <si>
    <t>shtn1</t>
  </si>
  <si>
    <t>shootin 1 [Source:ZFIN;Acc:ZDB-GENE-121127-1]</t>
  </si>
  <si>
    <t>ENSDARG00000044253</t>
  </si>
  <si>
    <t>paqr3b</t>
  </si>
  <si>
    <t>progestin and adipoQ receptor family member IIIb [Source:ZFIN;Acc:ZDB-GENE-050913-128]</t>
  </si>
  <si>
    <t>ENSDARG00000063572</t>
  </si>
  <si>
    <t>perp</t>
  </si>
  <si>
    <t>PERP, TP53 apoptosis effector [Source:ZFIN;Acc:ZDB-GENE-050104-1]</t>
  </si>
  <si>
    <t>ENSDARG00000054334</t>
  </si>
  <si>
    <t>dctpp1</t>
  </si>
  <si>
    <t>dCTP pyrophosphatase 1 [Source:ZFIN;Acc:ZDB-GENE-040426-1741]</t>
  </si>
  <si>
    <t>ENSDARG00000044492</t>
  </si>
  <si>
    <t>ublcp1</t>
  </si>
  <si>
    <t>ubiquitin-like domain containing CTD phosphatase 1 [Source:ZFIN;Acc:ZDB-GENE-040718-3]</t>
  </si>
  <si>
    <t>ENSDARG00000029443</t>
  </si>
  <si>
    <t>zgc:92242</t>
  </si>
  <si>
    <t>zgc:92242 [Source:ZFIN;Acc:ZDB-GENE-040718-371]</t>
  </si>
  <si>
    <t>ENSDARG00000097217</t>
  </si>
  <si>
    <t>si:dkey-229e3.2</t>
  </si>
  <si>
    <t>si:dkey-229e3.2 [Source:ZFIN;Acc:ZDB-GENE-131121-296]</t>
  </si>
  <si>
    <t>ENSDARG00000035985</t>
  </si>
  <si>
    <t>FAM210A</t>
  </si>
  <si>
    <t>si:ch211-105d11.2 [Source:ZFIN;Acc:ZDB-GENE-030131-5627]</t>
  </si>
  <si>
    <t>ENSDARG00000101729</t>
  </si>
  <si>
    <t>si:dkey-82i20.5</t>
  </si>
  <si>
    <t>si:dkey-82i20.5 [Source:ZFIN;Acc:ZDB-GENE-110914-101]</t>
  </si>
  <si>
    <t>ENSDARG00000076939</t>
  </si>
  <si>
    <t>znf451</t>
  </si>
  <si>
    <t>zinc finger protein 451 [Source:ZFIN;Acc:ZDB-GENE-081107-14]</t>
  </si>
  <si>
    <t>ENSDARG00000041223</t>
  </si>
  <si>
    <t>fam173a</t>
  </si>
  <si>
    <t>family with sequence similarity 173, member A [Source:ZFIN;Acc:ZDB-GENE-040625-59]</t>
  </si>
  <si>
    <t>ENSDARG00000007169</t>
  </si>
  <si>
    <t>itgb1bp1</t>
  </si>
  <si>
    <t>integrin beta 1 binding protein 1 [Source:ZFIN;Acc:ZDB-GENE-051113-264]</t>
  </si>
  <si>
    <t>ENSDARG00000069752</t>
  </si>
  <si>
    <t>ckba</t>
  </si>
  <si>
    <t>creatine kinase, brain a [Source:ZFIN;Acc:ZDB-GENE-060929-902]</t>
  </si>
  <si>
    <t>ENSDARG00000076798</t>
  </si>
  <si>
    <t>si:ch211-261p9.4</t>
  </si>
  <si>
    <t>si:ch211-261p9.4 [Source:ZFIN;Acc:ZDB-GENE-081104-205]</t>
  </si>
  <si>
    <t>ENSDARG00000094135</t>
  </si>
  <si>
    <t>si:ch211-51n3.1</t>
  </si>
  <si>
    <t>si:ch211-51n3.1 [Source:ZFIN;Acc:ZDB-GENE-061207-38]</t>
  </si>
  <si>
    <t>ENSDARG00000026979</t>
  </si>
  <si>
    <t>krt1-c5</t>
  </si>
  <si>
    <t>keratin, type 1, gene c5 [Source:ZFIN;Acc:ZDB-GENE-060316-3]</t>
  </si>
  <si>
    <t>ENSDARG00000056713</t>
  </si>
  <si>
    <t>pskh1</t>
  </si>
  <si>
    <t>protein serine kinase H1 [Source:ZFIN;Acc:ZDB-GENE-050119-1]</t>
  </si>
  <si>
    <t>ENSDARG00000061233</t>
  </si>
  <si>
    <t>abcc5</t>
  </si>
  <si>
    <t>ATP-binding cassette, sub-family C (CFTR/MRP), member 5 [Source:ZFIN;Acc:ZDB-GENE-050517-17]</t>
  </si>
  <si>
    <t>ENSDARG00000087032</t>
  </si>
  <si>
    <t>RBBP8NL</t>
  </si>
  <si>
    <t>si:ch211-200e2.1 [Source:ZFIN;Acc:ZDB-GENE-030131-3078]</t>
  </si>
  <si>
    <t>ENSDARG00000039034</t>
  </si>
  <si>
    <t>marcksl1a</t>
  </si>
  <si>
    <t>MARCKS-like 1a [Source:ZFIN;Acc:ZDB-GENE-040426-2146]</t>
  </si>
  <si>
    <t>ENSDARG00000102878</t>
  </si>
  <si>
    <t>mapre3b</t>
  </si>
  <si>
    <t>microtubule-associated protein, RP/EB family, member 3b [Source:ZFIN;Acc:ZDB-GENE-040704-6]</t>
  </si>
  <si>
    <t>ENSDARG00000060323</t>
  </si>
  <si>
    <t>exoc5</t>
  </si>
  <si>
    <t>exocyst complex component 5 [Source:ZFIN;Acc:ZDB-GENE-080204-126]</t>
  </si>
  <si>
    <t>ENSDARG00000099667</t>
  </si>
  <si>
    <t>snrpg</t>
  </si>
  <si>
    <t>small nuclear ribonucleoprotein polypeptide G [Source:ZFIN;Acc:ZDB-GENE-040912-105]</t>
  </si>
  <si>
    <t>ENSDARG00000038066</t>
  </si>
  <si>
    <t>kpna2</t>
  </si>
  <si>
    <t>karyopherin alpha 2 (RAG cohort 1, importin alpha 1) [Source:ZFIN;Acc:ZDB-GENE-040718-22]</t>
  </si>
  <si>
    <t>ENSDARG00000096797</t>
  </si>
  <si>
    <t>si:ch73-127m5.2</t>
  </si>
  <si>
    <t>si:ch73-127m5.2 [Source:ZFIN;Acc:ZDB-GENE-030131-1052]</t>
  </si>
  <si>
    <t>ENSDARG00000070598</t>
  </si>
  <si>
    <t>eno4</t>
  </si>
  <si>
    <t>enolase family member 4 [Source:ZFIN;Acc:ZDB-GENE-061013-677]</t>
  </si>
  <si>
    <t>ENSDARG00000102406</t>
  </si>
  <si>
    <t>DST</t>
  </si>
  <si>
    <t>si:ch211-165e15.1 [Source:ZFIN;Acc:ZDB-GENE-081028-59]</t>
  </si>
  <si>
    <t>ENSDARG00000086216</t>
  </si>
  <si>
    <t>prr13</t>
  </si>
  <si>
    <t>proline rich 13 [Source:ZFIN;Acc:ZDB-GENE-080709-1]</t>
  </si>
  <si>
    <t>ENSDARG00000078717</t>
  </si>
  <si>
    <t>itga8</t>
  </si>
  <si>
    <t>integrin, alpha 8 [Source:ZFIN;Acc:ZDB-GENE-080220-48]</t>
  </si>
  <si>
    <t>ENSDARG00000076622</t>
  </si>
  <si>
    <t>atp13a3</t>
  </si>
  <si>
    <t>ATPase type 13A3 [Source:ZFIN;Acc:ZDB-GENE-120521-1]</t>
  </si>
  <si>
    <t>ENSDARG00000037334</t>
  </si>
  <si>
    <t>wdr92</t>
  </si>
  <si>
    <t>WD repeat domain 92 [Source:ZFIN;Acc:ZDB-GENE-050417-93]</t>
  </si>
  <si>
    <t>ENSDARG00000089489</t>
  </si>
  <si>
    <t>fam83e</t>
  </si>
  <si>
    <t>family with sequence similarity 83, member E [Source:ZFIN;Acc:ZDB-GENE-141215-21]</t>
  </si>
  <si>
    <t>ENSDARG00000010113</t>
  </si>
  <si>
    <t>ndufb8</t>
  </si>
  <si>
    <t>NADH dehydrogenase (ubiquinone) 1 beta subcomplex, 8 [Source:ZFIN;Acc:ZDB-GENE-040426-1858]</t>
  </si>
  <si>
    <t>ENSDARG00000034189</t>
  </si>
  <si>
    <t>oxsr1a</t>
  </si>
  <si>
    <t>oxidative stress responsive 1a [Source:ZFIN;Acc:ZDB-GENE-070620-25]</t>
  </si>
  <si>
    <t>ENSDARG00000039142</t>
  </si>
  <si>
    <t>arpc5a</t>
  </si>
  <si>
    <t>actin related protein 2/3 complex, subunit 5A [Source:ZFIN;Acc:ZDB-GENE-030131-8448]</t>
  </si>
  <si>
    <t>ENSDARG00000022438</t>
  </si>
  <si>
    <t>cox6a1</t>
  </si>
  <si>
    <t>cytochrome c oxidase subunit VIa polypeptide 1 [Source:ZFIN;Acc:ZDB-GENE-030131-7715]</t>
  </si>
  <si>
    <t>ENSDARG00000045415</t>
  </si>
  <si>
    <t>gnal</t>
  </si>
  <si>
    <t>guanine nucleotide binding protein (G protein), alpha activating activity polypeptide, olfactory type [Source:ZFIN;Acc:ZDB-GENE-041114-26]</t>
  </si>
  <si>
    <t>ENSDARG00000016457</t>
  </si>
  <si>
    <t>irf9</t>
  </si>
  <si>
    <t>interferon regulatory factor 9 [Source:ZFIN;Acc:ZDB-GENE-040912-165]</t>
  </si>
  <si>
    <t>ENSDARG00000094511</t>
  </si>
  <si>
    <t>ccl20b</t>
  </si>
  <si>
    <t>chemokine (C-C motif) ligand 20b [Source:ZFIN;Acc:ZDB-GENE-091204-95]</t>
  </si>
  <si>
    <t>ENSDARG00000009640</t>
  </si>
  <si>
    <t>psmb1</t>
  </si>
  <si>
    <t>proteasome subunit beta 1 [Source:ZFIN;Acc:ZDB-GENE-040618-2]</t>
  </si>
  <si>
    <t>ENSDARG00000071601</t>
  </si>
  <si>
    <t>pvalb9</t>
  </si>
  <si>
    <t>parvalbumin 9 [Source:ZFIN;Acc:ZDB-GENE-030805-4]</t>
  </si>
  <si>
    <t>ENSDARG00000006251</t>
  </si>
  <si>
    <t>ell2</t>
  </si>
  <si>
    <t>elongation factor, RNA polymerase II, 2 [Source:ZFIN;Acc:ZDB-GENE-030131-1717]</t>
  </si>
  <si>
    <t>ENSDARG00000061687</t>
  </si>
  <si>
    <t>atxn1a</t>
  </si>
  <si>
    <t>ataxin 1a [Source:ZFIN;Acc:ZDB-GENE-060503-759]</t>
  </si>
  <si>
    <t>ENSDARG00000004713</t>
  </si>
  <si>
    <t>mad2l1</t>
  </si>
  <si>
    <t>MAD2 mitotic arrest deficient-like 1 (yeast) [Source:ZFIN;Acc:ZDB-GENE-030515-3]</t>
  </si>
  <si>
    <t>ENSDARG00000036990</t>
  </si>
  <si>
    <t>dctd</t>
  </si>
  <si>
    <t>dCMP deaminase [Source:ZFIN;Acc:ZDB-GENE-050417-116]</t>
  </si>
  <si>
    <t>ENSDARG00000089823</t>
  </si>
  <si>
    <t>si:ch211-113a14.6</t>
  </si>
  <si>
    <t>si:ch211-113a14.6 [Source:ZFIN;Acc:ZDB-GENE-121214-170]</t>
  </si>
  <si>
    <t>ENSDARG00000005561</t>
  </si>
  <si>
    <t>gfm2</t>
  </si>
  <si>
    <t>G elongation factor, mitochondrial 2 [Source:ZFIN;Acc:ZDB-GENE-060201-3]</t>
  </si>
  <si>
    <t>ENSDARG00000097752</t>
  </si>
  <si>
    <t>si:rp71-77l1.2</t>
  </si>
  <si>
    <t>si:rp71-77l1.2 [Source:ZFIN;Acc:ZDB-GENE-131127-184]</t>
  </si>
  <si>
    <t>ENSDARG00000008480</t>
  </si>
  <si>
    <t>trmt61a</t>
  </si>
  <si>
    <t>tRNA methyltransferase 61A [Source:ZFIN;Acc:ZDB-GENE-040718-5]</t>
  </si>
  <si>
    <t>ENSDARG00000013795</t>
  </si>
  <si>
    <t>hps4</t>
  </si>
  <si>
    <t>Hermansky-Pudlak syndrome 4 [Source:ZFIN;Acc:ZDB-GENE-040426-1068]</t>
  </si>
  <si>
    <t>ENSDARG00000012458</t>
  </si>
  <si>
    <t>zgc:77849</t>
  </si>
  <si>
    <t>zgc:77849 [Source:ZFIN;Acc:ZDB-GENE-030131-1107]</t>
  </si>
  <si>
    <t>ENSDARG00000103542</t>
  </si>
  <si>
    <t>vegfaa</t>
  </si>
  <si>
    <t>vascular endothelial growth factor Aa [Source:ZFIN;Acc:ZDB-GENE-990415-273]</t>
  </si>
  <si>
    <t>ENSDARG00000027777</t>
  </si>
  <si>
    <t>tnfaip3</t>
  </si>
  <si>
    <t>tumor necrosis factor, alpha-induced protein 3 [Source:ZFIN;Acc:ZDB-GENE-100212-2]</t>
  </si>
  <si>
    <t>ENSDARG00000040314</t>
  </si>
  <si>
    <t>psph</t>
  </si>
  <si>
    <t>phosphoserine phosphatase [Source:ZFIN;Acc:ZDB-GENE-050809-127]</t>
  </si>
  <si>
    <t>ENSDARG00000041600</t>
  </si>
  <si>
    <t>wdr83</t>
  </si>
  <si>
    <t>WD repeat domain containing 83 [Source:ZFIN;Acc:ZDB-GENE-040718-126]</t>
  </si>
  <si>
    <t>ENSDARG00000071347</t>
  </si>
  <si>
    <t>aftphb</t>
  </si>
  <si>
    <t>aftiphilin b [Source:ZFIN;Acc:ZDB-GENE-060503-388]</t>
  </si>
  <si>
    <t>ENSDARG00000040695</t>
  </si>
  <si>
    <t>fkbp14</t>
  </si>
  <si>
    <t>FK506 binding protein 14 [Source:ZFIN;Acc:ZDB-GENE-040801-210]</t>
  </si>
  <si>
    <t>ENSDARG00000037070</t>
  </si>
  <si>
    <t>tmem242</t>
  </si>
  <si>
    <t>transmembrane protein 242 [Source:ZFIN;Acc:ZDB-GENE-040724-146]</t>
  </si>
  <si>
    <t>ENSDARG00000091931</t>
  </si>
  <si>
    <t>gpatch4</t>
  </si>
  <si>
    <t>G patch domain containing 4 [Source:ZFIN;Acc:ZDB-GENE-041008-158]</t>
  </si>
  <si>
    <t>ENSDARG00000008502</t>
  </si>
  <si>
    <t>pno1</t>
  </si>
  <si>
    <t>partner of NOB1 homolog [Source:ZFIN;Acc:ZDB-GENE-040426-1419]</t>
  </si>
  <si>
    <t>ENSDARG00000052423</t>
  </si>
  <si>
    <t>ppp1r12c</t>
  </si>
  <si>
    <t>protein phosphatase 1, regulatory subunit 12C [Source:ZFIN;Acc:ZDB-GENE-010724-11]</t>
  </si>
  <si>
    <t>ENSDARG00000090778</t>
  </si>
  <si>
    <t>ttll1</t>
  </si>
  <si>
    <t>tubulin tyrosine ligase-like family, member 1 [Source:ZFIN;Acc:ZDB-GENE-040426-1326]</t>
  </si>
  <si>
    <t>ENSDARG00000103527</t>
  </si>
  <si>
    <t>si:dkeyp-35e5.9</t>
  </si>
  <si>
    <t>si:dkeyp-35e5.9 [Source:ZFIN;Acc:ZDB-GENE-110913-107]</t>
  </si>
  <si>
    <t>ENSDARG00000103310</t>
  </si>
  <si>
    <t>znf1053</t>
  </si>
  <si>
    <t>zinc finger protein 1053 [Source:ZFIN;Acc:ZDB-GENE-121214-1]</t>
  </si>
  <si>
    <t>ENSDARG00000060288</t>
  </si>
  <si>
    <t>prosc</t>
  </si>
  <si>
    <t>proline synthetase co-transcribed homolog (bacterial) [Source:ZFIN;Acc:ZDB-GENE-030131-1378]</t>
  </si>
  <si>
    <t>ENSDARG00000035605</t>
  </si>
  <si>
    <t>tchp</t>
  </si>
  <si>
    <t>trichoplein, keratin filament binding [Source:ZFIN;Acc:ZDB-GENE-060421-3368]</t>
  </si>
  <si>
    <t>ENSDARG00000006624</t>
  </si>
  <si>
    <t>ppp2r2ab</t>
  </si>
  <si>
    <t>protein phosphatase 2, regulatory subunit B, alpha b [Source:ZFIN;Acc:ZDB-GENE-030131-5474]</t>
  </si>
  <si>
    <t>ENSDARG00000100446</t>
  </si>
  <si>
    <t>si:ch211-286o17.1</t>
  </si>
  <si>
    <t>si:ch211-286o17.1 [Source:ZFIN;Acc:ZDB-GENE-141216-411]</t>
  </si>
  <si>
    <t>ENSDARG00000092552</t>
  </si>
  <si>
    <t>fndc7rs2</t>
  </si>
  <si>
    <t>fibronectin type III domain containing 7, related sequence 2 [Source:ZFIN;Acc:ZDB-GENE-070912-651]</t>
  </si>
  <si>
    <t>ENSDARG00000007264</t>
  </si>
  <si>
    <t>gbas</t>
  </si>
  <si>
    <t>glioblastoma amplified sequence [Source:ZFIN;Acc:ZDB-GENE-991008-18]</t>
  </si>
  <si>
    <t>ENSDARG00000095224</t>
  </si>
  <si>
    <t>camkmt</t>
  </si>
  <si>
    <t>calmodulin-lysine N-methyltransferase [Source:ZFIN;Acc:ZDB-GENE-090313-49]</t>
  </si>
  <si>
    <t>ENSDARG00000038985</t>
  </si>
  <si>
    <t>cdyl</t>
  </si>
  <si>
    <t>chromodomain protein, Y-like [Source:ZFIN;Acc:ZDB-GENE-070912-561]</t>
  </si>
  <si>
    <t>ENSDARG00000098247</t>
  </si>
  <si>
    <t>det1</t>
  </si>
  <si>
    <t>de-etiolated homolog 1 (Arabidopsis) [Source:ZFIN;Acc:ZDB-GENE-030131-2809]</t>
  </si>
  <si>
    <t>ENSDARG00000076419</t>
  </si>
  <si>
    <t>si:dkeyp-117b11.2</t>
  </si>
  <si>
    <t>si:dkeyp-117b11.2 [Source:ZFIN;Acc:ZDB-GENE-081104-454]</t>
  </si>
  <si>
    <t>ENSDARG00000078552</t>
  </si>
  <si>
    <t>grhl3</t>
  </si>
  <si>
    <t>grainyhead-like transcription factor 3 [Source:ZFIN;Acc:ZDB-GENE-030131-9854]</t>
  </si>
  <si>
    <t>ENSDARG00000086735</t>
  </si>
  <si>
    <t>SAMD4B</t>
  </si>
  <si>
    <t>si:ch1073-111c8.3 [Source:ZFIN;Acc:ZDB-GENE-131127-561]</t>
  </si>
  <si>
    <t>ENSDARG00000040245</t>
  </si>
  <si>
    <t>kpnb3</t>
  </si>
  <si>
    <t>karyopherin (importin) beta 3 [Source:ZFIN;Acc:ZDB-GENE-030424-2]</t>
  </si>
  <si>
    <t>ENSDARG00000005789</t>
  </si>
  <si>
    <t>enpp1</t>
  </si>
  <si>
    <t>ectonucleotide pyrophosphatase/phosphodiesterase 1 [Source:ZFIN;Acc:ZDB-GENE-040724-172]</t>
  </si>
  <si>
    <t>ENSDARG00000017605</t>
  </si>
  <si>
    <t>rpp40</t>
  </si>
  <si>
    <t>ribonuclease P/MRP 40 subunit [Source:ZFIN;Acc:ZDB-GENE-040625-161]</t>
  </si>
  <si>
    <t>ENSDARG00000098897</t>
  </si>
  <si>
    <t>pds5b</t>
  </si>
  <si>
    <t>PDS5 cohesin associated factor B [Source:ZFIN;Acc:ZDB-GENE-091217-2]</t>
  </si>
  <si>
    <t>ENSDARG00000073708</t>
  </si>
  <si>
    <t>zgc:171551</t>
  </si>
  <si>
    <t>zgc:171551 [Source:ZFIN;Acc:ZDB-GENE-080220-8]</t>
  </si>
  <si>
    <t>ENSDARG00000056211</t>
  </si>
  <si>
    <t>ogfod2</t>
  </si>
  <si>
    <t>2-oxoglutarate and iron-dependent oxygenase domain containing 2 [Source:ZFIN;Acc:ZDB-GENE-061215-54]</t>
  </si>
  <si>
    <t>ENSDARG00000035005</t>
  </si>
  <si>
    <t>bag2</t>
  </si>
  <si>
    <t>BCL2-associated athanogene 2 [Source:ZFIN;Acc:ZDB-GENE-040426-1399]</t>
  </si>
  <si>
    <t>ENSDARG00000006225</t>
  </si>
  <si>
    <t>ddx39aa</t>
  </si>
  <si>
    <t>DEAD (Asp-Glu-Ala-Asp) box polypeptide 39Aa [Source:ZFIN;Acc:ZDB-GENE-030131-4275]</t>
  </si>
  <si>
    <t>ENSDARG00000099063</t>
  </si>
  <si>
    <t>si:ch211-142b24.8</t>
  </si>
  <si>
    <t>si:ch211-142b24.8 [Source:ZFIN;Acc:ZDB-GENE-141215-45]</t>
  </si>
  <si>
    <t>ENSDARG00000052966</t>
  </si>
  <si>
    <t>nmt1a</t>
  </si>
  <si>
    <t>N-myristoyltransferase 1a [Source:ZFIN;Acc:ZDB-GENE-050522-477]</t>
  </si>
  <si>
    <t>ENSDARG00000100669</t>
  </si>
  <si>
    <t>si:zfos-2131b9.2</t>
  </si>
  <si>
    <t>si:zfos-2131b9.2 [Source:ZFIN;Acc:ZDB-GENE-131118-24]</t>
  </si>
  <si>
    <t>ENSDARG00000062550</t>
  </si>
  <si>
    <t>rc3h1a</t>
  </si>
  <si>
    <t>ring finger and CCCH-type domains 1a [Source:ZFIN;Acc:ZDB-GENE-050208-702]</t>
  </si>
  <si>
    <t>ENSDARG00000074471</t>
  </si>
  <si>
    <t>vps39</t>
  </si>
  <si>
    <t>vacuolar protein sorting 39 homolog (S. cerevisiae) [Source:ZFIN;Acc:ZDB-GENE-080530-2]</t>
  </si>
  <si>
    <t>ENSDARG00000004151</t>
  </si>
  <si>
    <t>rab23</t>
  </si>
  <si>
    <t>RAB23, member RAS oncogene family [Source:ZFIN;Acc:ZDB-GENE-050522-328]</t>
  </si>
  <si>
    <t>ENSDARG00000013708</t>
  </si>
  <si>
    <t>usp9</t>
  </si>
  <si>
    <t>ubiquitin specific peptidase 9 [Source:ZFIN;Acc:ZDB-GENE-061019-1]</t>
  </si>
  <si>
    <t>ENSDARG00000008377</t>
  </si>
  <si>
    <t>epn2</t>
  </si>
  <si>
    <t>epsin 2 [Source:ZFIN;Acc:ZDB-GENE-071212-1]</t>
  </si>
  <si>
    <t>ENSDARG00000091418</t>
  </si>
  <si>
    <t>snx17</t>
  </si>
  <si>
    <t>sorting nexin 17 [Source:ZFIN;Acc:ZDB-GENE-030131-9475]</t>
  </si>
  <si>
    <t>ENSDARG00000028982</t>
  </si>
  <si>
    <t>pcca</t>
  </si>
  <si>
    <t>propionyl CoA carboxylase, alpha polypeptide [Source:ZFIN;Acc:ZDB-GENE-040718-246]</t>
  </si>
  <si>
    <t>ENSDARG00000034434</t>
  </si>
  <si>
    <t>igf1rb</t>
  </si>
  <si>
    <t>insulin-like growth factor 1b receptor [Source:ZFIN;Acc:ZDB-GENE-020503-2]</t>
  </si>
  <si>
    <t>ENSDARG00000074301</t>
  </si>
  <si>
    <t>cth</t>
  </si>
  <si>
    <t>cystathionase (cystathionine gamma-lyase) [Source:ZFIN;Acc:ZDB-GENE-030131-774]</t>
  </si>
  <si>
    <t>ENSDARG00000055731</t>
  </si>
  <si>
    <t>si:dkeyp-69e1.8</t>
  </si>
  <si>
    <t>si:dkeyp-69e1.8 [Source:ZFIN;Acc:ZDB-GENE-070912-676]</t>
  </si>
  <si>
    <t>ENSDARG00000104380</t>
  </si>
  <si>
    <t>si:dkey-238k10.2</t>
  </si>
  <si>
    <t>si:dkey-238k10.2 [Source:ZFIN;Acc:ZDB-GENE-070705-400]</t>
  </si>
  <si>
    <t>ENSDARG00000074488</t>
  </si>
  <si>
    <t>ifngr1</t>
  </si>
  <si>
    <t>interferon gamma receptor 1 [Source:ZFIN;Acc:ZDB-GENE-071120-8]</t>
  </si>
  <si>
    <t>ENSDARG00000061921</t>
  </si>
  <si>
    <t>gltpa</t>
  </si>
  <si>
    <t>glycolipid transfer protein a [Source:ZFIN;Acc:ZDB-GENE-060526-266]</t>
  </si>
  <si>
    <t>ENSDARG00000074571</t>
  </si>
  <si>
    <t>gpaa1</t>
  </si>
  <si>
    <t>glycosylphosphatidylinositol anchor attachment 1 [Source:ZFIN;Acc:ZDB-GENE-131121-587]</t>
  </si>
  <si>
    <t>ENSDARG00000003165</t>
  </si>
  <si>
    <t>nr2f6b</t>
  </si>
  <si>
    <t>nuclear receptor subfamily 2, group F, member 6b [Source:ZFIN;Acc:ZDB-GENE-040426-2351]</t>
  </si>
  <si>
    <t>ENSDARG00000093864</t>
  </si>
  <si>
    <t>wee1</t>
  </si>
  <si>
    <t>WEE1 G2 checkpoint kinase [Source:ZFIN;Acc:ZDB-GENE-030131-5268]</t>
  </si>
  <si>
    <t>ENSDARG00000010207</t>
  </si>
  <si>
    <t>smad3b</t>
  </si>
  <si>
    <t>SMAD family member 3b [Source:ZFIN;Acc:ZDB-GENE-030128-4]</t>
  </si>
  <si>
    <t>ENSDARG00000009724</t>
  </si>
  <si>
    <t>rpn2</t>
  </si>
  <si>
    <t>ribophorin II [Source:ZFIN;Acc:ZDB-GENE-030131-7928]</t>
  </si>
  <si>
    <t>ENSDARG00000015292</t>
  </si>
  <si>
    <t>ube2g1a</t>
  </si>
  <si>
    <t>ubiquitin-conjugating enzyme E2G 1a (UBC7 homolog, yeast) [Source:ZFIN;Acc:ZDB-GENE-030131-6065]</t>
  </si>
  <si>
    <t>ENSDARG00000079097</t>
  </si>
  <si>
    <t>tanc2a</t>
  </si>
  <si>
    <t>tetratricopeptide repeat, ankyrin repeat and coiled-coil containing 2a [Source:ZFIN;Acc:ZDB-GENE-060130-180]</t>
  </si>
  <si>
    <t>ENSDARG00000040111</t>
  </si>
  <si>
    <t>pi4kb</t>
  </si>
  <si>
    <t>phosphatidylinositol 4-kinase, catalytic, beta [Source:ZFIN;Acc:ZDB-GENE-061013-96]</t>
  </si>
  <si>
    <t>ENSDARG00000052957</t>
  </si>
  <si>
    <t>plcd3a</t>
  </si>
  <si>
    <t>phospholipase C, delta 3a [Source:ZFIN;Acc:ZDB-GENE-070620-1]</t>
  </si>
  <si>
    <t>ENSDARG00000057128</t>
  </si>
  <si>
    <t>hadhaa</t>
  </si>
  <si>
    <t>hydroxyacyl-CoA dehydrogenase/3-ketoacyl-CoA thiolase/enoyl-CoA hydratase (trifunctional protein), alpha subunit a [Source:ZFIN;Acc:ZDB-GENE-031222-5]</t>
  </si>
  <si>
    <t>ENSDARG00000103507</t>
  </si>
  <si>
    <t>n4bp2l2</t>
  </si>
  <si>
    <t>NEDD4 binding protein 2-like 2 [Source:ZFIN;Acc:ZDB-GENE-131121-433]</t>
  </si>
  <si>
    <t>ENSDARG00000010823</t>
  </si>
  <si>
    <t>memo1</t>
  </si>
  <si>
    <t>mediator of cell motility 1 [Source:ZFIN;Acc:ZDB-GENE-030131-5571]</t>
  </si>
  <si>
    <t>ENSDARG00000077987</t>
  </si>
  <si>
    <t>zfat</t>
  </si>
  <si>
    <t>zinc finger and AT hook domain containing [Source:ZFIN;Acc:ZDB-GENE-130204-2]</t>
  </si>
  <si>
    <t>ENSDARG00000095437</t>
  </si>
  <si>
    <t>si:dkeyp-117b11.3</t>
  </si>
  <si>
    <t>si:dkeyp-117b11.3 [Source:ZFIN;Acc:ZDB-GENE-081104-455]</t>
  </si>
  <si>
    <t>ENSDARG00000008487</t>
  </si>
  <si>
    <t>dmd</t>
  </si>
  <si>
    <t>dystrophin [Source:ZFIN;Acc:ZDB-GENE-010426-1]</t>
  </si>
  <si>
    <t>ENSDARG00000102228</t>
  </si>
  <si>
    <t>si:dkey-171c9.3</t>
  </si>
  <si>
    <t>si:dkey-171c9.3 [Source:ZFIN;Acc:ZDB-GENE-141216-372]</t>
  </si>
  <si>
    <t>ENSDARG00000060900</t>
  </si>
  <si>
    <t>znf362a</t>
  </si>
  <si>
    <t>zinc finger protein 362a [Source:ZFIN;Acc:ZDB-GENE-061103-547]</t>
  </si>
  <si>
    <t>ENSDARG00000097467</t>
  </si>
  <si>
    <t>si:dkey-221l21.2</t>
  </si>
  <si>
    <t>si:dkey-221l21.2 [Source:ZFIN;Acc:ZDB-GENE-030804-19]</t>
  </si>
  <si>
    <t>ENSDARG00000059054</t>
  </si>
  <si>
    <t>pdk2b</t>
  </si>
  <si>
    <t>pyruvate dehydrogenase kinase, isozyme 2b [Source:ZFIN;Acc:ZDB-GENE-040426-939]</t>
  </si>
  <si>
    <t>ENSDARG00000002970</t>
  </si>
  <si>
    <t>ss18</t>
  </si>
  <si>
    <t>synovial sarcoma translocation, chromosome 18 (H. sapiens) [Source:ZFIN;Acc:ZDB-GENE-030131-4867]</t>
  </si>
  <si>
    <t>ENSDARG00000077038</t>
  </si>
  <si>
    <t>pbrm1l</t>
  </si>
  <si>
    <t>polybromo 1, like [Source:ZFIN;Acc:ZDB-GENE-010501-3]</t>
  </si>
  <si>
    <t>ENSDARG00000031681</t>
  </si>
  <si>
    <t>atp6v0b</t>
  </si>
  <si>
    <t>ATPase, H+ transporting, lysosomal V0 subunit b [Source:ZFIN;Acc:ZDB-GENE-030131-443]</t>
  </si>
  <si>
    <t>ENSDARG00000070437</t>
  </si>
  <si>
    <t>rpl22</t>
  </si>
  <si>
    <t>ribosomal protein L22 [Source:ZFIN;Acc:ZDB-GENE-051113-276]</t>
  </si>
  <si>
    <t>ENSDARG00000044062</t>
  </si>
  <si>
    <t>ctbp2a</t>
  </si>
  <si>
    <t>C-terminal binding protein 2a [Source:ZFIN;Acc:ZDB-GENE-010130-2]</t>
  </si>
  <si>
    <t>ENSDARG00000015653</t>
  </si>
  <si>
    <t>tnip1</t>
  </si>
  <si>
    <t>TNFAIP3 interacting protein 1 [Source:ZFIN;Acc:ZDB-GENE-070112-1502]</t>
  </si>
  <si>
    <t>ENSDARG00000091888</t>
  </si>
  <si>
    <t>si:dkeyp-69c1.9</t>
  </si>
  <si>
    <t>si:dkeyp-69c1.9 [Source:ZFIN;Acc:ZDB-GENE-030131-1774]</t>
  </si>
  <si>
    <t>ENSDARG00000073705</t>
  </si>
  <si>
    <t>rbfa</t>
  </si>
  <si>
    <t>ribosome binding factor A [Source:ZFIN;Acc:ZDB-GENE-070410-83]</t>
  </si>
  <si>
    <t>ENSDARG00000042933</t>
  </si>
  <si>
    <t>bloc1s6</t>
  </si>
  <si>
    <t>biogenesis of lysosomal organelles complex-1, subunit 6, pallidin [Source:ZFIN;Acc:ZDB-GENE-070112-1862]</t>
  </si>
  <si>
    <t>ENSDARG00000053166</t>
  </si>
  <si>
    <t>chic1</t>
  </si>
  <si>
    <t>cysteine-rich hydrophobic domain 1 [Source:ZFIN;Acc:ZDB-GENE-030131-7763]</t>
  </si>
  <si>
    <t>ENSDARG00000039576</t>
  </si>
  <si>
    <t>fstl1b</t>
  </si>
  <si>
    <t>follistatin-like 1b [Source:ZFIN;Acc:ZDB-GENE-030131-3029]</t>
  </si>
  <si>
    <t>ENSDARG00000039067</t>
  </si>
  <si>
    <t>srd5a2b</t>
  </si>
  <si>
    <t>steroid-5-alpha-reductase, alpha polypeptide 2b [Source:ZFIN;Acc:ZDB-GENE-050417-182]</t>
  </si>
  <si>
    <t>ENSDARG00000076560</t>
  </si>
  <si>
    <t>apbb1</t>
  </si>
  <si>
    <t>amyloid beta (A4) precursor protein-binding, family B, member 1 (Fe65) [Source:ZFIN;Acc:ZDB-GENE-091118-127]</t>
  </si>
  <si>
    <t>ENSDARG00000015495</t>
  </si>
  <si>
    <t>klf3</t>
  </si>
  <si>
    <t>Kruppel-like factor 3 (basic) [Source:ZFIN;Acc:ZDB-GENE-011116-1]</t>
  </si>
  <si>
    <t>ENSDARG00000057918</t>
  </si>
  <si>
    <t>tsc1b</t>
  </si>
  <si>
    <t>tuberous sclerosis 1b [Source:ZFIN;Acc:ZDB-GENE-030131-3404]</t>
  </si>
  <si>
    <t>ENSDARG00000027749</t>
  </si>
  <si>
    <t>hirip3</t>
  </si>
  <si>
    <t>HIRA interacting protein 3 [Source:ZFIN;Acc:ZDB-GENE-030131-5753]</t>
  </si>
  <si>
    <t>ENSDARG00000043898</t>
  </si>
  <si>
    <t>timm10b</t>
  </si>
  <si>
    <t>translocase of inner mitochondrial membrane 10 homolog B (yeast) [Source:ZFIN;Acc:ZDB-GENE-050417-370]</t>
  </si>
  <si>
    <t>ENSDARG00000041538</t>
  </si>
  <si>
    <t>mrps28</t>
  </si>
  <si>
    <t>mitochondrial ribosomal protein S28 [Source:ZFIN;Acc:ZDB-GENE-061110-52]</t>
  </si>
  <si>
    <t>ENSDARG00000056203</t>
  </si>
  <si>
    <t>si:ch211-201h21.5</t>
  </si>
  <si>
    <t>si:ch211-201h21.5 [Source:ZFIN;Acc:ZDB-GENE-030131-9599]</t>
  </si>
  <si>
    <t>ENSDARG00000024124</t>
  </si>
  <si>
    <t>sde2</t>
  </si>
  <si>
    <t>SDE2 telomere maintenance homolog (S. pombe) [Source:ZFIN;Acc:ZDB-GENE-050417-270]</t>
  </si>
  <si>
    <t>ENSDARG00000005544</t>
  </si>
  <si>
    <t>btbd3a</t>
  </si>
  <si>
    <t>BTB (POZ) domain containing 3a [Source:ZFIN;Acc:ZDB-GENE-090312-7]</t>
  </si>
  <si>
    <t>ENSDARG00000078741</t>
  </si>
  <si>
    <t>FRMD1</t>
  </si>
  <si>
    <t>zgc:172136 [Source:ZFIN;Acc:ZDB-GENE-030131-1008]</t>
  </si>
  <si>
    <t>ENSDARG00000052522</t>
  </si>
  <si>
    <t>snx11</t>
  </si>
  <si>
    <t>sorting nexin 11 [Source:ZFIN;Acc:ZDB-GENE-041111-253]</t>
  </si>
  <si>
    <t>ENSDARG00000034933</t>
  </si>
  <si>
    <t>chchd3b</t>
  </si>
  <si>
    <t>coiled-coil-helix-coiled-coil-helix domain containing 3b [Source:ZFIN;Acc:ZDB-GENE-030131-4476]</t>
  </si>
  <si>
    <t>ENSDARG00000011072</t>
  </si>
  <si>
    <t>ddx11</t>
  </si>
  <si>
    <t>DEAD/H (Asp-Glu-Ala-Asp/His) box helicase 11 [Source:ZFIN;Acc:ZDB-GENE-041114-191]</t>
  </si>
  <si>
    <t>ENSDARG00000094455</t>
  </si>
  <si>
    <t>si:dkey-125h23.1</t>
  </si>
  <si>
    <t>si:dkey-125h23.1 [Source:ZFIN;Acc:ZDB-GENE-091204-273]</t>
  </si>
  <si>
    <t>ENSDARG00000058734</t>
  </si>
  <si>
    <t>prdx1</t>
  </si>
  <si>
    <t>peroxiredoxin 1 [Source:ZFIN;Acc:ZDB-GENE-050320-35]</t>
  </si>
  <si>
    <t>ENSDARG00000035835</t>
  </si>
  <si>
    <t>eef2k</t>
  </si>
  <si>
    <t>eukaryotic elongation factor 2 kinase [Source:ZFIN;Acc:ZDB-GENE-020916-2]</t>
  </si>
  <si>
    <t>ENSDARG00000103130</t>
  </si>
  <si>
    <t>sult3st1</t>
  </si>
  <si>
    <t>ENSDARG00000096849</t>
  </si>
  <si>
    <t>si:dkey-16p21.8</t>
  </si>
  <si>
    <t>si:dkey-16p21.8 [Source:ZFIN;Acc:ZDB-GENE-131121-428]</t>
  </si>
  <si>
    <t>ENSDARG00000018627</t>
  </si>
  <si>
    <t>arl5a</t>
  </si>
  <si>
    <t>ADP-ribosylation factor-like 5A [Source:ZFIN;Acc:ZDB-GENE-040718-28]</t>
  </si>
  <si>
    <t>ENSDARG00000060853</t>
  </si>
  <si>
    <t>nckap1</t>
  </si>
  <si>
    <t>NCK-associated protein 1 [Source:ZFIN;Acc:ZDB-GENE-030131-4426]</t>
  </si>
  <si>
    <t>ENSDARG00000100707</t>
  </si>
  <si>
    <t>si:dkey-35n12.1</t>
  </si>
  <si>
    <t>si:dkey-35n12.1 [Source:ZFIN;Acc:ZDB-GENE-141216-106]</t>
  </si>
  <si>
    <t>ENSDARG00000102055</t>
  </si>
  <si>
    <t>hadhb</t>
  </si>
  <si>
    <t>hydroxyacyl-CoA dehydrogenase/3-ketoacyl-CoA thiolase/enoyl-CoA hydratase (trifunctional protein), beta subunit [Source:ZFIN;Acc:ZDB-GENE-030131-8550]</t>
  </si>
  <si>
    <t>ENSDARG00000093036</t>
  </si>
  <si>
    <t>si:ch211-284e13.3</t>
  </si>
  <si>
    <t>si:ch211-284e13.3 [Source:ZFIN;Acc:ZDB-GENE-060526-160]</t>
  </si>
  <si>
    <t>ENSDARG00000103845</t>
  </si>
  <si>
    <t>zgc:55733</t>
  </si>
  <si>
    <t>zgc:55733 [Source:ZFIN;Acc:ZDB-GENE-040426-791]</t>
  </si>
  <si>
    <t>ENSDARG00000011613</t>
  </si>
  <si>
    <t>rbm39a</t>
  </si>
  <si>
    <t>RNA binding motif protein 39a [Source:ZFIN;Acc:ZDB-GENE-040426-2852]</t>
  </si>
  <si>
    <t>ENSDARG00000009851</t>
  </si>
  <si>
    <t>wdr41</t>
  </si>
  <si>
    <t>WD repeat domain 41 [Source:ZFIN;Acc:ZDB-GENE-050706-152]</t>
  </si>
  <si>
    <t>ENSDARG00000008287</t>
  </si>
  <si>
    <t>fam114a1</t>
  </si>
  <si>
    <t>family with sequence similarity 114, member A1 [Source:ZFIN;Acc:ZDB-GENE-070410-52]</t>
  </si>
  <si>
    <t>ENSDARG00000009885</t>
  </si>
  <si>
    <t>sult3st1.1</t>
  </si>
  <si>
    <t>sulfotransferase family 3, cytosolic sulfotransferase 1 [Source:ZFIN;Acc:ZDB-GENE-061207-52]</t>
  </si>
  <si>
    <t>ENSDARG00000015765</t>
  </si>
  <si>
    <t>iah1</t>
  </si>
  <si>
    <t>isoamyl acetate-hydrolyzing esterase 1 homolog (S. cerevisiae) [Source:ZFIN;Acc:ZDB-GENE-041008-186]</t>
  </si>
  <si>
    <t>ENSDARG00000078657</t>
  </si>
  <si>
    <t>si:zfos-1324h11.5</t>
  </si>
  <si>
    <t>si:zfos-1324h11.5 [Source:ZFIN;Acc:ZDB-GENE-141216-142]</t>
  </si>
  <si>
    <t>ENSDARG00000019842</t>
  </si>
  <si>
    <t>cnot3b</t>
  </si>
  <si>
    <t>CCR4-NOT transcription complex, subunit 3b [Source:ZFIN;Acc:ZDB-GENE-030131-5838]</t>
  </si>
  <si>
    <t>ENSDARG00000098988</t>
  </si>
  <si>
    <t>si:ch211-193i15.1</t>
  </si>
  <si>
    <t>si:ch211-193i15.1 [Source:ZFIN;Acc:ZDB-GENE-141216-405]</t>
  </si>
  <si>
    <t>ENSDARG00000099833</t>
  </si>
  <si>
    <t>fbxo7</t>
  </si>
  <si>
    <t>F-box protein 7 [Source:ZFIN;Acc:ZDB-GENE-050913-68]</t>
  </si>
  <si>
    <t>ENSDARG00000063624</t>
  </si>
  <si>
    <t>gfm1</t>
  </si>
  <si>
    <t>G elongation factor, mitochondrial 1 [Source:ZFIN;Acc:ZDB-GENE-061013-79]</t>
  </si>
  <si>
    <t>ENSDARG00000095536</t>
  </si>
  <si>
    <t>TRIM62</t>
  </si>
  <si>
    <t>si:ch211-193i15.2 [Source:ZFIN;Acc:ZDB-GENE-141216-17]</t>
  </si>
  <si>
    <t>ENSDARG00000097746</t>
  </si>
  <si>
    <t>si:rp71-77l1.1</t>
  </si>
  <si>
    <t>si:rp71-77l1.1 [Source:ZFIN;Acc:ZDB-GENE-131121-141]</t>
  </si>
  <si>
    <t>ENSDARG00000018190</t>
  </si>
  <si>
    <t>asna1</t>
  </si>
  <si>
    <t>arsA arsenite transporter, ATP-binding, homolog 1 (bacterial) [Source:ZFIN;Acc:ZDB-GENE-040625-120]</t>
  </si>
  <si>
    <t>ENSDARG00000063457</t>
  </si>
  <si>
    <t>wash1</t>
  </si>
  <si>
    <t>WAS protein family homolog 1 [Source:ZFIN;Acc:ZDB-GENE-050419-138]</t>
  </si>
  <si>
    <t>ENSDARG00000098034</t>
  </si>
  <si>
    <t>si:ch211-116o3.7</t>
  </si>
  <si>
    <t>si:ch211-116o3.7 [Source:ZFIN;Acc:ZDB-GENE-131119-6]</t>
  </si>
  <si>
    <t>ENSDARG00000012726</t>
  </si>
  <si>
    <t>fam26e.2</t>
  </si>
  <si>
    <t>family with sequence similarity 26, member E, tandem duplicate 2 [Source:ZFIN;Acc:ZDB-GENE-140107-2]</t>
  </si>
  <si>
    <t>ENSDARG00000059657</t>
  </si>
  <si>
    <t>mks1</t>
  </si>
  <si>
    <t>Meckel syndrome, type 1 [Source:ZFIN;Acc:ZDB-GENE-030131-3813]</t>
  </si>
  <si>
    <t>ENSDARG00000103979</t>
  </si>
  <si>
    <t>calr3a</t>
  </si>
  <si>
    <t>calreticulin 3a [Source:ZFIN;Acc:ZDB-GENE-000208-17]</t>
  </si>
  <si>
    <t>ENSDARG00000093022</t>
  </si>
  <si>
    <t>seph</t>
  </si>
  <si>
    <t>selenoprotein H [Source:ZFIN;Acc:ZDB-GENE-030411-2]</t>
  </si>
  <si>
    <t>ENSDARG00000028000</t>
  </si>
  <si>
    <t>pfkpa</t>
  </si>
  <si>
    <t>phosphofructokinase, platelet a [Source:ZFIN;Acc:ZDB-GENE-091112-22]</t>
  </si>
  <si>
    <t>ENSDARG00000061373</t>
  </si>
  <si>
    <t>znf142</t>
  </si>
  <si>
    <t>zinc finger protein 142 [Source:ZFIN;Acc:ZDB-GENE-080512-2]</t>
  </si>
  <si>
    <t>ENSDARG00000033436</t>
  </si>
  <si>
    <t>mboat7</t>
  </si>
  <si>
    <t>membrane bound O-acyltransferase domain containing 7 [Source:ZFIN;Acc:ZDB-GENE-040426-1516]</t>
  </si>
  <si>
    <t>ENSDARG00000100311</t>
  </si>
  <si>
    <t>si:dkey-165e24.1</t>
  </si>
  <si>
    <t>si:dkey-165e24.1 [Source:ZFIN;Acc:ZDB-GENE-081103-19]</t>
  </si>
  <si>
    <t>ENSDARG00000078352</t>
  </si>
  <si>
    <t>lyrm4</t>
  </si>
  <si>
    <t>LYR motif containing 4 [Source:ZFIN;Acc:ZDB-GENE-081104-295]</t>
  </si>
  <si>
    <t>ENSDARG00000060994</t>
  </si>
  <si>
    <t>fbxw7</t>
  </si>
  <si>
    <t>F-box and WD repeat domain containing 7 [Source:ZFIN;Acc:ZDB-GENE-090313-79]</t>
  </si>
  <si>
    <t>ENSDARG00000011247</t>
  </si>
  <si>
    <t>rnpc3</t>
  </si>
  <si>
    <t>RNA-binding region (RNP1, RRM) containing 3 [Source:ZFIN;Acc:ZDB-GENE-060312-35]</t>
  </si>
  <si>
    <t>ENSDARG00000062687</t>
  </si>
  <si>
    <t>kcnh7</t>
  </si>
  <si>
    <t>potassium channel, voltage gated eag related subfamily H, member 7 [Source:ZFIN;Acc:ZDB-GENE-120214-39]</t>
  </si>
  <si>
    <t>ENSDARG00000101043</t>
  </si>
  <si>
    <t>ppl</t>
  </si>
  <si>
    <t>periplakin [Source:ZFIN;Acc:ZDB-GENE-041008-196]</t>
  </si>
  <si>
    <t>ENSDARG00000063292</t>
  </si>
  <si>
    <t>ssuh2rs1</t>
  </si>
  <si>
    <t>ssu-2 homolog, related sequence 1 [Source:ZFIN;Acc:ZDB-GENE-060929-994]</t>
  </si>
  <si>
    <t>ENSDARG00000086789</t>
  </si>
  <si>
    <t>bahd1</t>
  </si>
  <si>
    <t>bromo adjacent homology domain containing 1 [Source:ZFIN;Acc:ZDB-GENE-120411-42]</t>
  </si>
  <si>
    <t>ENSDARG00000089004</t>
  </si>
  <si>
    <t>si:ch211-207e14.4</t>
  </si>
  <si>
    <t>si:ch211-207e14.4 [Source:ZFIN;Acc:ZDB-GENE-030131-3405]</t>
  </si>
  <si>
    <t>ENSDARG00000024717</t>
  </si>
  <si>
    <t>selenbp1</t>
  </si>
  <si>
    <t>selenium binding protein 1 [Source:ZFIN;Acc:ZDB-GENE-040426-1436]</t>
  </si>
  <si>
    <t>ENSDARG00000009087</t>
  </si>
  <si>
    <t>cd74a</t>
  </si>
  <si>
    <t>CD74 molecule, major histocompatibility complex, class II invariant chain a [Source:ZFIN;Acc:ZDB-GENE-000901-1]</t>
  </si>
  <si>
    <t>ENSDARG00000037539</t>
  </si>
  <si>
    <t>tnnc1b</t>
  </si>
  <si>
    <t>troponin C type 1b (slow) [Source:ZFIN;Acc:ZDB-GENE-040625-62]</t>
  </si>
  <si>
    <t>ENSDARG00000033071</t>
  </si>
  <si>
    <t>trim35-10</t>
  </si>
  <si>
    <t>tripartite motif containing 35-10 [Source:ZFIN;Acc:ZDB-GENE-091113-36]</t>
  </si>
  <si>
    <t>ENSDARG00000105040</t>
  </si>
  <si>
    <t>fam69c</t>
  </si>
  <si>
    <t>family with sequence similarity 69, member C [Source:ZFIN;Acc:ZDB-GENE-030131-8001]</t>
  </si>
  <si>
    <t>ENSDARG00000057987</t>
  </si>
  <si>
    <t>uba3</t>
  </si>
  <si>
    <t>ubiquitin-like modifier activating enzyme 3 [Source:ZFIN;Acc:ZDB-GENE-040426-2825]</t>
  </si>
  <si>
    <t>ENSDARG00000055676</t>
  </si>
  <si>
    <t>armt1</t>
  </si>
  <si>
    <t>acidic residue methyltransferase 1 [Source:ZFIN;Acc:ZDB-GENE-050327-51]</t>
  </si>
  <si>
    <t>ENSDARG00000018976</t>
  </si>
  <si>
    <t>sptlc2a</t>
  </si>
  <si>
    <t>serine palmitoyltransferase, long chain base subunit 2a [Source:ZFIN;Acc:ZDB-GENE-050522-23]</t>
  </si>
  <si>
    <t>ENSDARG00000044975</t>
  </si>
  <si>
    <t>krt94</t>
  </si>
  <si>
    <t>keratin 94 [Source:ZFIN;Acc:ZDB-GENE-061027-116]</t>
  </si>
  <si>
    <t>ENSDARG00000097055</t>
  </si>
  <si>
    <t>VPS37D</t>
  </si>
  <si>
    <t>si:ch211-284f22.3 [Source:ZFIN;Acc:ZDB-GENE-060526-166]</t>
  </si>
  <si>
    <t>ENSDARG00000023988</t>
  </si>
  <si>
    <t>dctn4</t>
  </si>
  <si>
    <t>dynactin 4 [Source:ZFIN;Acc:ZDB-GENE-050417-306]</t>
  </si>
  <si>
    <t>ENSDARG00000035879</t>
  </si>
  <si>
    <t>fuca1.2</t>
  </si>
  <si>
    <t>fucosidase, alpha-L- 1, tissue, tandem duplicate 2 [Source:ZFIN;Acc:ZDB-GENE-040801-78]</t>
  </si>
  <si>
    <t>ENSDARG00000043102</t>
  </si>
  <si>
    <t>lxn</t>
  </si>
  <si>
    <t>latexin [Source:ZFIN;Acc:ZDB-GENE-041212-18]</t>
  </si>
  <si>
    <t>ENSDARG00000016443</t>
  </si>
  <si>
    <t>eif3c</t>
  </si>
  <si>
    <t>eukaryotic translation initiation factor 3, subunit C [Source:ZFIN;Acc:ZDB-GENE-030131-6166]</t>
  </si>
  <si>
    <t>ENSDARG00000019098</t>
  </si>
  <si>
    <t>cd82a</t>
  </si>
  <si>
    <t>CD82 molecule a [Source:ZFIN;Acc:ZDB-GENE-030131-2818]</t>
  </si>
  <si>
    <t>ENSDARG00000077583</t>
  </si>
  <si>
    <t>b4gat1</t>
  </si>
  <si>
    <t>beta-1,4-glucuronyltransferase 1 [Source:ZFIN;Acc:ZDB-GENE-121001-5]</t>
  </si>
  <si>
    <t>ENSDARG00000024895</t>
  </si>
  <si>
    <t>fam50a</t>
  </si>
  <si>
    <t>family with sequence similarity 50, member A [Source:ZFIN;Acc:ZDB-GENE-050417-110]</t>
  </si>
  <si>
    <t>ENSDARG00000079881</t>
  </si>
  <si>
    <t>tcaim</t>
  </si>
  <si>
    <t>T-cell activation inhibitor, mitochondrial [Source:ZFIN;Acc:ZDB-GENE-160113-67]</t>
  </si>
  <si>
    <t>ENSDARG00000060678</t>
  </si>
  <si>
    <t>ndst2a.1</t>
  </si>
  <si>
    <t>ENSDARG00000095515</t>
  </si>
  <si>
    <t>sdccag3</t>
  </si>
  <si>
    <t>serologically defined colon cancer antigen 3 [Source:ZFIN;Acc:ZDB-GENE-060526-242]</t>
  </si>
  <si>
    <t>ENSDARG00000007180</t>
  </si>
  <si>
    <t>slc30a4</t>
  </si>
  <si>
    <t>solute carrier family 30 (zinc transporter), member 4 [Source:ZFIN;Acc:ZDB-GENE-040426-1408]</t>
  </si>
  <si>
    <t>ENSDARG00000086591</t>
  </si>
  <si>
    <t>zgc:110434</t>
  </si>
  <si>
    <t>zgc:110434.2</t>
  </si>
  <si>
    <t>zgc:110434 [Source:ZFIN;Acc:ZDB-GENE-050522-93]</t>
  </si>
  <si>
    <t>ENSDARG00000017853</t>
  </si>
  <si>
    <t>prepl</t>
  </si>
  <si>
    <t>prolyl endopeptidase-like [Source:ZFIN;Acc:ZDB-GENE-090313-224]</t>
  </si>
  <si>
    <t>ENSDARG00000040482</t>
  </si>
  <si>
    <t>osbpl3b</t>
  </si>
  <si>
    <t>oxysterol binding protein-like 3b [Source:ZFIN;Acc:ZDB-GENE-090109-1]</t>
  </si>
  <si>
    <t>ENSDARG00000024874</t>
  </si>
  <si>
    <t>dock4b</t>
  </si>
  <si>
    <t>dedicator of cytokinesis 4b [Source:ZFIN;Acc:ZDB-GENE-060130-74]</t>
  </si>
  <si>
    <t>ENSDARG00000013750</t>
  </si>
  <si>
    <t>eno1b</t>
  </si>
  <si>
    <t>enolase 1b, (alpha) [Source:ZFIN;Acc:ZDB-GENE-040426-1651]</t>
  </si>
  <si>
    <t>ENSDARG00000055926</t>
  </si>
  <si>
    <t>foxi3a</t>
  </si>
  <si>
    <t>forkhead box I3a [Source:ZFIN;Acc:ZDB-GENE-031126-3]</t>
  </si>
  <si>
    <t>ENSDARG00000040287</t>
  </si>
  <si>
    <t>ywhabl</t>
  </si>
  <si>
    <t>tyrosine 3-monooxygenase/tryptophan 5-monooxygenase activation protein, beta polypeptide like [Source:ZFIN;Acc:ZDB-GENE-030131-448]</t>
  </si>
  <si>
    <t>ENSDARG00000101201</t>
  </si>
  <si>
    <t>si:dkey-207b20.2</t>
  </si>
  <si>
    <t>si:dkey-207b20.2 [Source:ZFIN;Acc:ZDB-GENE-141216-467]</t>
  </si>
  <si>
    <t>ENSDARG00000041080</t>
  </si>
  <si>
    <t>thap3</t>
  </si>
  <si>
    <t>THAP domain containing, apoptosis associated protein 3 [Source:ZFIN;Acc:ZDB-GENE-050327-4]</t>
  </si>
  <si>
    <t>ENSDARG00000074947</t>
  </si>
  <si>
    <t>fam26e.1</t>
  </si>
  <si>
    <t>family with sequence similarity 26, member E, tandem duplicate 1 [Source:ZFIN;Acc:ZDB-GENE-070410-4]</t>
  </si>
  <si>
    <t>ENSDARG00000035631</t>
  </si>
  <si>
    <t>sdf2l1</t>
  </si>
  <si>
    <t>stromal cell-derived factor 2-like 1 [Source:ZFIN;Acc:ZDB-GENE-040808-46]</t>
  </si>
  <si>
    <t>ENSDARG00000021120</t>
  </si>
  <si>
    <t>ndc1</t>
  </si>
  <si>
    <t>NDC1 transmembrane nucleoporin [Source:ZFIN;Acc:ZDB-GENE-030131-7176]</t>
  </si>
  <si>
    <t>ENSDARG00000037995</t>
  </si>
  <si>
    <t>gdf3</t>
  </si>
  <si>
    <t>growth differentiation factor 3 [Source:ZFIN;Acc:ZDB-GENE-980526-389]</t>
  </si>
  <si>
    <t>ENSDARG00000101387</t>
  </si>
  <si>
    <t>CAMK2N1</t>
  </si>
  <si>
    <t>si:dkey-33m11.6 [Source:ZFIN;Acc:ZDB-GENE-141216-479]</t>
  </si>
  <si>
    <t>ENSDARG00000098815</t>
  </si>
  <si>
    <t>si:ch211-280a23.3</t>
  </si>
  <si>
    <t>si:ch211-280a23.3 [Source:ZFIN;Acc:ZDB-GENE-131121-419]</t>
  </si>
  <si>
    <t>ENSDARG00000071667</t>
  </si>
  <si>
    <t>si:dkey-222f2.7</t>
  </si>
  <si>
    <t>si:dkey-222f2.7 [Source:ZFIN;Acc:ZDB-GENE-050208-727]</t>
  </si>
  <si>
    <t>ENSDARG00000104458</t>
  </si>
  <si>
    <t>rnasekb</t>
  </si>
  <si>
    <t>ribonuclease, RNase K b [Source:ZFIN;Acc:ZDB-GENE-060825-160]</t>
  </si>
  <si>
    <t>ENSDARG00000104026</t>
  </si>
  <si>
    <t>si:dkeyp-35e5.5</t>
  </si>
  <si>
    <t>si:dkeyp-35e5.5 [Source:ZFIN;Acc:ZDB-GENE-050420-335]</t>
  </si>
  <si>
    <t>ENSDARG00000011196</t>
  </si>
  <si>
    <t>dnajc11a</t>
  </si>
  <si>
    <t>DnaJ (Hsp40) homolog, subfamily C, member 11a [Source:ZFIN;Acc:ZDB-GENE-030131-1673]</t>
  </si>
  <si>
    <t>ENSDARG00000092903</t>
  </si>
  <si>
    <t>zgc:153317</t>
  </si>
  <si>
    <t>zgc:153317 [Source:ZFIN;Acc:ZDB-GENE-060825-309]</t>
  </si>
  <si>
    <t>ENSDARG00000089564</t>
  </si>
  <si>
    <t>MDFI</t>
  </si>
  <si>
    <t>si:dkey-91m3.1 [Source:ZFIN;Acc:ZDB-GENE-060810-84]</t>
  </si>
  <si>
    <t>ENSDARG00000042551</t>
  </si>
  <si>
    <t>mboat2b</t>
  </si>
  <si>
    <t>membrane bound O-acyltransferase domain containing 2b [Source:ZFIN;Acc:ZDB-GENE-041001-185]</t>
  </si>
  <si>
    <t>ENSDARG00000104965</t>
  </si>
  <si>
    <t>kcnj12</t>
  </si>
  <si>
    <t>potassium inwardly-rectifying channel, subfamily J, member 12 [Source:ZFIN;Acc:ZDB-GENE-131126-14]</t>
  </si>
  <si>
    <t>ENSDARG00000015349</t>
  </si>
  <si>
    <t>mfge8a</t>
  </si>
  <si>
    <t>milk fat globule-EGF factor 8 protein a [Source:ZFIN;Acc:ZDB-GENE-050327-9]</t>
  </si>
  <si>
    <t>ENSDARG00000012968</t>
  </si>
  <si>
    <t>rhoub</t>
  </si>
  <si>
    <t>ras homolog family member Ub [Source:ZFIN;Acc:ZDB-GENE-050417-308]</t>
  </si>
  <si>
    <t>ENSDARG00000003989</t>
  </si>
  <si>
    <t>crhr1</t>
  </si>
  <si>
    <t>corticotropin releasing hormone receptor 1 [Source:ZFIN;Acc:ZDB-GENE-081231-1]</t>
  </si>
  <si>
    <t>ENSDARG00000097720</t>
  </si>
  <si>
    <t>si:ch211-241d24.4</t>
  </si>
  <si>
    <t>si:ch211-241d24.4 [Source:ZFIN;Acc:ZDB-GENE-131122-96]</t>
  </si>
  <si>
    <t>ENSDARG00000063036</t>
  </si>
  <si>
    <t>psd2</t>
  </si>
  <si>
    <t>pleckstrin and Sec7 domain containing 2 [Source:ZFIN;Acc:ZDB-GENE-030131-3033]</t>
  </si>
  <si>
    <t>ENSDARG00000005271</t>
  </si>
  <si>
    <t>zc3h12a</t>
  </si>
  <si>
    <t>zinc finger CCCH-type containing 12A [Source:ZFIN;Acc:ZDB-GENE-110411-6]</t>
  </si>
  <si>
    <t>ENSDARG00000044356</t>
  </si>
  <si>
    <t>tp63</t>
  </si>
  <si>
    <t>tumor protein p63 [Source:ZFIN;Acc:ZDB-GENE-030819-1]</t>
  </si>
  <si>
    <t>ENSDARG00000075033</t>
  </si>
  <si>
    <t>GTPBP8</t>
  </si>
  <si>
    <t>si:rp71-84d19.3 [Source:ZFIN;Acc:ZDB-GENE-070912-719]</t>
  </si>
  <si>
    <t>ENSDARG00000046141</t>
  </si>
  <si>
    <t>zgc:162025</t>
  </si>
  <si>
    <t>zgc:162025 [Source:ZFIN;Acc:ZDB-GENE-070424-17]</t>
  </si>
  <si>
    <t>ENSDARG00000092499</t>
  </si>
  <si>
    <t>si:ch211-183d21.1</t>
  </si>
  <si>
    <t>si:ch211-183d21.1 [Source:ZFIN;Acc:ZDB-GENE-030131-8516]</t>
  </si>
  <si>
    <t>ENSDARG00000092460</t>
  </si>
  <si>
    <t>si:dkey-229d2.7</t>
  </si>
  <si>
    <t>si:dkey-229d2.7 [Source:ZFIN;Acc:ZDB-GENE-060526-265]</t>
  </si>
  <si>
    <t>ENSDARG00000042114</t>
  </si>
  <si>
    <t>bin1a</t>
  </si>
  <si>
    <t>bridging integrator 1a [Source:ZFIN;Acc:ZDB-GENE-070912-715]</t>
  </si>
  <si>
    <t>ENSDARG00000094540</t>
  </si>
  <si>
    <t>si:dkey-96l17.6</t>
  </si>
  <si>
    <t>si:dkey-96l17.6 [Source:ZFIN;Acc:ZDB-GENE-060526-350]</t>
  </si>
  <si>
    <t>ENSDARG00000079296</t>
  </si>
  <si>
    <t>gcga</t>
  </si>
  <si>
    <t>glucagon a [Source:ZFIN;Acc:ZDB-GENE-010219-1]</t>
  </si>
  <si>
    <t>ENSDARG00000008748</t>
  </si>
  <si>
    <t>ube2na</t>
  </si>
  <si>
    <t>ubiquitin-conjugating enzyme E2Na [Source:ZFIN;Acc:ZDB-GENE-040426-2873]</t>
  </si>
  <si>
    <t>ENSDARG00000055291</t>
  </si>
  <si>
    <t>rab18a</t>
  </si>
  <si>
    <t>RAB18A, member RAS oncogene family [Source:ZFIN;Acc:ZDB-GENE-030131-3980]</t>
  </si>
  <si>
    <t>ENSDARG00000069122</t>
  </si>
  <si>
    <t>si:ch211-216l23.2</t>
  </si>
  <si>
    <t>si:ch211-216l23.2 [Source:ZFIN;Acc:ZDB-GENE-030131-3806]</t>
  </si>
  <si>
    <t>ENSDARG00000067537</t>
  </si>
  <si>
    <t>pcsk5a</t>
  </si>
  <si>
    <t>proprotein convertase subtilisin/kexin type 5a [Source:ZFIN;Acc:ZDB-GENE-060531-130]</t>
  </si>
  <si>
    <t>ENSDARG00000054300</t>
  </si>
  <si>
    <t>dhrs1</t>
  </si>
  <si>
    <t>dehydrogenase/reductase (SDR family) member 1 [Source:ZFIN;Acc:ZDB-GENE-030616-591]</t>
  </si>
  <si>
    <t>ENSDARG00000045606</t>
  </si>
  <si>
    <t>alkbh3</t>
  </si>
  <si>
    <t>alkB homolog 3, alpha-ketoglutarate-dependent dioxygenase [Source:ZFIN;Acc:ZDB-GENE-040801-254]</t>
  </si>
  <si>
    <t>ENSDARG00000045095</t>
  </si>
  <si>
    <t>elac1</t>
  </si>
  <si>
    <t>elaC ribonuclease Z 1 [Source:ZFIN;Acc:ZDB-GENE-040801-246]</t>
  </si>
  <si>
    <t>ENSDARG00000039851</t>
  </si>
  <si>
    <t>dhdds</t>
  </si>
  <si>
    <t>dehydrodolichyl diphosphate synthase [Source:ZFIN;Acc:ZDB-GENE-040426-2236]</t>
  </si>
  <si>
    <t>ENSDARG00000092503</t>
  </si>
  <si>
    <t>arid1b</t>
  </si>
  <si>
    <t>AT rich interactive domain 1B (SWI1-like) [Source:ZFIN;Acc:ZDB-GENE-030131-4459]</t>
  </si>
  <si>
    <t>ENSDARG00000003383</t>
  </si>
  <si>
    <t>asb8</t>
  </si>
  <si>
    <t>ankyrin repeat and SOCS box containing 8 [Source:ZFIN;Acc:ZDB-GENE-030131-5411]</t>
  </si>
  <si>
    <t>ENSDARG00000103271</t>
  </si>
  <si>
    <t>pla2g15</t>
  </si>
  <si>
    <t>phospholipase A2, group XV [Source:ZFIN;Acc:ZDB-GENE-030131-6948]</t>
  </si>
  <si>
    <t>ENSDARG00000025391</t>
  </si>
  <si>
    <t>pfdn2</t>
  </si>
  <si>
    <t>prefoldin subunit 2 [Source:ZFIN;Acc:ZDB-GENE-060519-27]</t>
  </si>
  <si>
    <t>ENSDARG00000095615</t>
  </si>
  <si>
    <t>si:dkeyp-86h10.3</t>
  </si>
  <si>
    <t>si:dkeyp-86h10.3 [Source:ZFIN;Acc:ZDB-GENE-100922-65]</t>
  </si>
  <si>
    <t>ENSDARG00000022232</t>
  </si>
  <si>
    <t>ppan</t>
  </si>
  <si>
    <t>peter pan homolog (Drosophila) [Source:ZFIN;Acc:ZDB-GENE-030114-4]</t>
  </si>
  <si>
    <t>ENSDARG00000078102</t>
  </si>
  <si>
    <t>PSD</t>
  </si>
  <si>
    <t>si:ch211-150i13.1 [Source:ZFIN;Acc:ZDB-GENE-090313-44]</t>
  </si>
  <si>
    <t>ENSDARG00000059460</t>
  </si>
  <si>
    <t>sbf2</t>
  </si>
  <si>
    <t>SET binding factor 2 [Source:ZFIN;Acc:ZDB-GENE-030911-10]</t>
  </si>
  <si>
    <t>ENSDARG00000056531</t>
  </si>
  <si>
    <t>nutf2</t>
  </si>
  <si>
    <t>nuclear transport factor 2 [Source:ZFIN;Acc:ZDB-GENE-041010-77]</t>
  </si>
  <si>
    <t>ENSDARG00000043003</t>
  </si>
  <si>
    <t>pcyt2</t>
  </si>
  <si>
    <t>phosphate cytidylyltransferase 2, ethanolamine [Source:ZFIN;Acc:ZDB-GENE-041010-132]</t>
  </si>
  <si>
    <t>ENSDARG00000104549</t>
  </si>
  <si>
    <t>arhgap44</t>
  </si>
  <si>
    <t>Rho GTPase activating protein 44 [Source:ZFIN;Acc:ZDB-GENE-120206-2]</t>
  </si>
  <si>
    <t>ENSDARG00000103143</t>
  </si>
  <si>
    <t>si:dkey-19c16.12</t>
  </si>
  <si>
    <t>si:dkey-19c16.12 [Source:ZFIN;Acc:ZDB-GENE-120703-20]</t>
  </si>
  <si>
    <t>ENSDARG00000041980</t>
  </si>
  <si>
    <t>fam26f</t>
  </si>
  <si>
    <t>family with sequence similarity 26, member F [Source:ZFIN;Acc:ZDB-GENE-061201-60]</t>
  </si>
  <si>
    <t>ENSDARG00000103870</t>
  </si>
  <si>
    <t>si:ch211-286m4.1</t>
  </si>
  <si>
    <t>si:ch211-286m4.1 [Source:ZFIN;Acc:ZDB-GENE-030131-5232]</t>
  </si>
  <si>
    <t>ENSDARG00000026068</t>
  </si>
  <si>
    <t>trappc5</t>
  </si>
  <si>
    <t>trafficking protein particle complex 5 [Source:ZFIN;Acc:ZDB-GENE-040718-185]</t>
  </si>
  <si>
    <t>ENSDARG00000087181</t>
  </si>
  <si>
    <t>cbx7b</t>
  </si>
  <si>
    <t>chromobox homolog 7b [Source:ZFIN;Acc:ZDB-GENE-110613-2]</t>
  </si>
  <si>
    <t>ENSDARG00000008395</t>
  </si>
  <si>
    <t>snupn</t>
  </si>
  <si>
    <t>snurportin 1 [Source:ZFIN;Acc:ZDB-GENE-030131-3464]</t>
  </si>
  <si>
    <t>ENSDARG00000040332</t>
  </si>
  <si>
    <t>crfb2</t>
  </si>
  <si>
    <t>cytokine receptor family member b2 [Source:ZFIN;Acc:ZDB-GENE-070905-2]</t>
  </si>
  <si>
    <t>ENSDARG00000033899</t>
  </si>
  <si>
    <t>ap2m1b</t>
  </si>
  <si>
    <t>adaptor-related protein complex 2, mu 1 subunit, b [Source:ZFIN;Acc:ZDB-GENE-040426-1103]</t>
  </si>
  <si>
    <t>ENSDARG00000097523</t>
  </si>
  <si>
    <t>si:ch73-364h19.1</t>
  </si>
  <si>
    <t>si:ch73-364h19.1 [Source:ZFIN;Acc:ZDB-GENE-031010-45]</t>
  </si>
  <si>
    <t>ENSDARG00000069464</t>
  </si>
  <si>
    <t>cox7a1</t>
  </si>
  <si>
    <t>cytochrome c oxidase subunit VIIa polypeptide 1 (muscle) [Source:ZFIN;Acc:ZDB-GENE-060929-340]</t>
  </si>
  <si>
    <t>ENSDARG00000052142</t>
  </si>
  <si>
    <t>acvr1bb</t>
  </si>
  <si>
    <t>activin A receptor, type IBb [Source:ZFIN;Acc:ZDB-GENE-131120-9]</t>
  </si>
  <si>
    <t>ENSDARG00000068406</t>
  </si>
  <si>
    <t>six5</t>
  </si>
  <si>
    <t>SIX homeobox 5 [Source:ZFIN;Acc:ZDB-GENE-010201-3]</t>
  </si>
  <si>
    <t>ENSDARG00000032618</t>
  </si>
  <si>
    <t>mgst1.1</t>
  </si>
  <si>
    <t>microsomal glutathione S-transferase 1.1 [Source:ZFIN;Acc:ZDB-GENE-041010-30]</t>
  </si>
  <si>
    <t>ENSDARG00000093438</t>
  </si>
  <si>
    <t>si:ch73-191k20.4</t>
  </si>
  <si>
    <t>si:ch73-191k20.4 [Source:ZFIN;Acc:ZDB-GENE-090313-142]</t>
  </si>
  <si>
    <t>ENSDARG00000013841</t>
  </si>
  <si>
    <t>abl2</t>
  </si>
  <si>
    <t>c-abl oncogene 2, non-receptor tyrosine kinase [Source:ZFIN;Acc:ZDB-GENE-020809-2]</t>
  </si>
  <si>
    <t>ENSDARG00000077456</t>
  </si>
  <si>
    <t>si:ch211-113a14.12</t>
  </si>
  <si>
    <t>si:ch211-113a14.12 [Source:ZFIN;Acc:ZDB-GENE-121214-99]</t>
  </si>
  <si>
    <t>ENSDARG00000036903</t>
  </si>
  <si>
    <t>irak1bp1</t>
  </si>
  <si>
    <t>interleukin-1 receptor-associated kinase 1 binding protein 1 [Source:ZFIN;Acc:ZDB-GENE-050522-272]</t>
  </si>
  <si>
    <t>ENSDARG00000032340</t>
  </si>
  <si>
    <t>serhl</t>
  </si>
  <si>
    <t>serine hydrolase-like [Source:ZFIN;Acc:ZDB-GENE-030131-1368]</t>
  </si>
  <si>
    <t>ENSDARG00000055592</t>
  </si>
  <si>
    <t>capn2b</t>
  </si>
  <si>
    <t>calpain 2, (m/II) large subunit b [Source:ZFIN;Acc:ZDB-GENE-050522-84]</t>
  </si>
  <si>
    <t>ENSDARG00000075126</t>
  </si>
  <si>
    <t>si:dkey-84j12.1</t>
  </si>
  <si>
    <t>si:dkey-84j12.1 [Source:ZFIN;Acc:ZDB-GENE-060526-342]</t>
  </si>
  <si>
    <t>ENSDARG00000057738</t>
  </si>
  <si>
    <t>hells</t>
  </si>
  <si>
    <t>helicase, lymphoid-specific [Source:ZFIN;Acc:ZDB-GENE-030131-9923]</t>
  </si>
  <si>
    <t>ENSDARG00000051736</t>
  </si>
  <si>
    <t>zgc:114037</t>
  </si>
  <si>
    <t>zgc:114037 [Source:ZFIN;Acc:ZDB-GENE-050731-6]</t>
  </si>
  <si>
    <t>ENSDARG00000069435</t>
  </si>
  <si>
    <t>cfap58</t>
  </si>
  <si>
    <t>cilia and flagella associated protein 58 [Source:ZFIN;Acc:ZDB-GENE-060929-128]</t>
  </si>
  <si>
    <t>ENSDARG00000004296</t>
  </si>
  <si>
    <t>ambp</t>
  </si>
  <si>
    <t>alpha-1-microglobulin/bikunin precursor [Source:ZFIN;Acc:ZDB-GENE-040426-1608]</t>
  </si>
  <si>
    <t>ENSDARG00000033845</t>
  </si>
  <si>
    <t>igsf9ba</t>
  </si>
  <si>
    <t>immunoglobulin superfamily, member 9Ba [Source:ZFIN;Acc:ZDB-GENE-060503-729]</t>
  </si>
  <si>
    <t>ENSDARG00000031757</t>
  </si>
  <si>
    <t>tmc4</t>
  </si>
  <si>
    <t>transmembrane channel-like 4 [Source:ZFIN;Acc:ZDB-GENE-030131-7489]</t>
  </si>
  <si>
    <t>ENSDARG00000061865</t>
  </si>
  <si>
    <t>ddx10</t>
  </si>
  <si>
    <t>DEAD (Asp-Glu-Ala-Asp) box polypeptide 10 [Source:ZFIN;Acc:ZDB-GENE-071022-2]</t>
  </si>
  <si>
    <t>ENSDARG00000092693</t>
  </si>
  <si>
    <t>tpt1</t>
  </si>
  <si>
    <t>tumor protein, translationally-controlled 1 [Source:ZFIN;Acc:ZDB-GENE-990603-10]</t>
  </si>
  <si>
    <t>ENSDARG00000102555</t>
  </si>
  <si>
    <t>si:dkey-33i11.9</t>
  </si>
  <si>
    <t>si:dkey-33i11.9 [Source:ZFIN;Acc:ZDB-GENE-060503-262]</t>
  </si>
  <si>
    <t>ENSDARG00000062266</t>
  </si>
  <si>
    <t>edc4</t>
  </si>
  <si>
    <t>enhancer of mRNA decapping 4 [Source:ZFIN;Acc:ZDB-GENE-030131-5032]</t>
  </si>
  <si>
    <t>ENSDARG00000071692</t>
  </si>
  <si>
    <t>prex2</t>
  </si>
  <si>
    <t>phosphatidylinositol-3,4,5-trisphosphate-dependent Rac exchange factor 2 [Source:ZFIN;Acc:ZDB-GENE-091113-37]</t>
  </si>
  <si>
    <t>ENSDARG00000068103</t>
  </si>
  <si>
    <t>cfap45</t>
  </si>
  <si>
    <t>cilia and flagella associated protein 45 [Source:ZFIN;Acc:ZDB-GENE-070209-143]</t>
  </si>
  <si>
    <t>ENSDARG00000054304</t>
  </si>
  <si>
    <t>homeza</t>
  </si>
  <si>
    <t>homeobox and leucine zipper encoding a [Source:ZFIN;Acc:ZDB-GENE-030616-592]</t>
  </si>
  <si>
    <t>ENSDARG00000102802</t>
  </si>
  <si>
    <t>brdt</t>
  </si>
  <si>
    <t>bromodomain, testis-specific [Source:ZFIN;Acc:ZDB-GENE-030131-5928]</t>
  </si>
  <si>
    <t>ENSDARG00000078041</t>
  </si>
  <si>
    <t>xpo1a</t>
  </si>
  <si>
    <t>exportin 1 (CRM1 homolog, yeast) a [Source:ZFIN;Acc:ZDB-GENE-050309-201]</t>
  </si>
  <si>
    <t>ENSDARG00000091576</t>
  </si>
  <si>
    <t>TMEM216</t>
  </si>
  <si>
    <t>si:rp71-1d10.5 [Source:ZFIN;Acc:ZDB-GENE-141222-27]</t>
  </si>
  <si>
    <t>ENSDARG00000003576</t>
  </si>
  <si>
    <t>klhl32</t>
  </si>
  <si>
    <t>kelch-like family member 32 [Source:ZFIN;Acc:ZDB-GENE-070209-47]</t>
  </si>
  <si>
    <t>ENSDARG00000011809</t>
  </si>
  <si>
    <t>mical1</t>
  </si>
  <si>
    <t>microtubule associated monooxygenase, calponin and LIM domain containing 1 [Source:ZFIN;Acc:ZDB-GENE-081022-3]</t>
  </si>
  <si>
    <t>ENSDARG00000042277</t>
  </si>
  <si>
    <t>efnb3b</t>
  </si>
  <si>
    <t>ephrin-B3b [Source:ZFIN;Acc:ZDB-GENE-010618-3]</t>
  </si>
  <si>
    <t>ENSDARG00000045416</t>
  </si>
  <si>
    <t>mppe1</t>
  </si>
  <si>
    <t>metallophosphoesterase 1 [Source:ZFIN;Acc:ZDB-GENE-050417-195]</t>
  </si>
  <si>
    <t>ENSDARG00000052336</t>
  </si>
  <si>
    <t>ociad2</t>
  </si>
  <si>
    <t>OCIA domain containing 2 [Source:ZFIN;Acc:ZDB-GENE-041014-253]</t>
  </si>
  <si>
    <t>ENSDARG00000099273</t>
  </si>
  <si>
    <t>zgc:103508</t>
  </si>
  <si>
    <t>zgc:103508 [Source:ZFIN;Acc:ZDB-GENE-041212-28]</t>
  </si>
  <si>
    <t>ENSDARG00000096118</t>
  </si>
  <si>
    <t>ost4</t>
  </si>
  <si>
    <t>oligosaccharyltransferase complex subunit 4 (non-catalytic) [Source:ZFIN;Acc:ZDB-GENE-110307-1]</t>
  </si>
  <si>
    <t>ENSDARG00000060661</t>
  </si>
  <si>
    <t>klf8</t>
  </si>
  <si>
    <t>Kruppel-like factor 8 [Source:ZFIN;Acc:ZDB-GENE-070424-152]</t>
  </si>
  <si>
    <t>ENSDARG00000004952</t>
  </si>
  <si>
    <t>rsad2</t>
  </si>
  <si>
    <t>radical S-adenosyl methionine domain containing 2 [Source:ZFIN;Acc:ZDB-GENE-050913-129]</t>
  </si>
  <si>
    <t>ENSDARG00000045900</t>
  </si>
  <si>
    <t>agbl5</t>
  </si>
  <si>
    <t>ATP/GTP binding protein-like 5 [Source:ZFIN;Acc:ZDB-GENE-040822-29]</t>
  </si>
  <si>
    <t>ENSDARG00000058448</t>
  </si>
  <si>
    <t>zrsr2</t>
  </si>
  <si>
    <t>zinc finger (CCCH type), RNA-binding motif and serine/arginine rich 2 [Source:ZFIN;Acc:ZDB-GENE-030131-1495]</t>
  </si>
  <si>
    <t>ENSDARG00000041340</t>
  </si>
  <si>
    <t>mrpl51</t>
  </si>
  <si>
    <t>mitochondrial ribosomal protein L51 [Source:ZFIN;Acc:ZDB-GENE-050320-40]</t>
  </si>
  <si>
    <t>ENSDARG00000028086</t>
  </si>
  <si>
    <t>zbtb2b</t>
  </si>
  <si>
    <t>zinc finger and BTB domain containing 2b [Source:ZFIN;Acc:ZDB-GENE-040426-2753]</t>
  </si>
  <si>
    <t>ENSDARG00000031709</t>
  </si>
  <si>
    <t>mllt1b</t>
  </si>
  <si>
    <t>myeloid/lymphoid or mixed-lineage leukemia; translocated to, 1b [Source:ZFIN;Acc:ZDB-GENE-060421-7142]</t>
  </si>
  <si>
    <t>ENSDARG00000058115</t>
  </si>
  <si>
    <t>fgfr2</t>
  </si>
  <si>
    <t>fibroblast growth factor receptor 2 [Source:ZFIN;Acc:ZDB-GENE-030323-1]</t>
  </si>
  <si>
    <t>ENSDARG00000069744</t>
  </si>
  <si>
    <t>mos</t>
  </si>
  <si>
    <t>v-mos Moloney murine sarcoma viral oncogene homolog [Source:ZFIN;Acc:ZDB-GENE-040428-3]</t>
  </si>
  <si>
    <t>ENSDARG00000024092</t>
  </si>
  <si>
    <t>lmbr1</t>
  </si>
  <si>
    <t>limb development membrane protein 1 [Source:ZFIN;Acc:ZDB-GENE-090128-4]</t>
  </si>
  <si>
    <t>ENSDARG00000071065</t>
  </si>
  <si>
    <t>g6pd</t>
  </si>
  <si>
    <t>glucose-6-phosphate dehydrogenase [Source:ZFIN;Acc:ZDB-GENE-070508-4]</t>
  </si>
  <si>
    <t>ENSDARG00000097691</t>
  </si>
  <si>
    <t>kiaa0101</t>
  </si>
  <si>
    <t>KIAA0101 [Source:ZFIN;Acc:ZDB-GENE-131127-543]</t>
  </si>
  <si>
    <t>ENSDARG00000011845</t>
  </si>
  <si>
    <t>chn2</t>
  </si>
  <si>
    <t>chimerin 2 [Source:ZFIN;Acc:ZDB-GENE-091020-5]</t>
  </si>
  <si>
    <t>ENSDARG00000089572</t>
  </si>
  <si>
    <t>tfpt</t>
  </si>
  <si>
    <t>TCF3 (E2A) fusion partner [Source:ZFIN;Acc:ZDB-GENE-140106-241]</t>
  </si>
  <si>
    <t>ENSDARG00000075491</t>
  </si>
  <si>
    <t>si:ch211-26b3.4</t>
  </si>
  <si>
    <t>si:ch211-26b3.4 [Source:ZFIN;Acc:ZDB-GENE-081104-60]</t>
  </si>
  <si>
    <t>ENSDARG00000042065</t>
  </si>
  <si>
    <t>eef2a.2</t>
  </si>
  <si>
    <t>eukaryotic translation elongation factor 2a, tandem duplicate 2 [Source:ZFIN;Acc:ZDB-GENE-050208-348]</t>
  </si>
  <si>
    <t>ENSDARG00000092813</t>
  </si>
  <si>
    <t>fndc7rs4</t>
  </si>
  <si>
    <t>fibronectin type III domain containing 7, related sequence 4 [Source:ZFIN;Acc:ZDB-GENE-070912-648]</t>
  </si>
  <si>
    <t>ENSDARG00000059404</t>
  </si>
  <si>
    <t>rab43</t>
  </si>
  <si>
    <t>RAB43, member RAS oncogene family [Source:ZFIN;Acc:ZDB-GENE-060825-25]</t>
  </si>
  <si>
    <t>ENSDARG00000034855</t>
  </si>
  <si>
    <t>ccnb3</t>
  </si>
  <si>
    <t>cyclin B3 [Source:ZFIN;Acc:ZDB-GENE-060929-684]</t>
  </si>
  <si>
    <t>ENSDARG00000070553</t>
  </si>
  <si>
    <t>rnmt</t>
  </si>
  <si>
    <t>RNA (guanine-7-) methyltransferase [Source:ZFIN;Acc:ZDB-GENE-041008-25]</t>
  </si>
  <si>
    <t>ENSDARG00000040725</t>
  </si>
  <si>
    <t>zgc:114130</t>
  </si>
  <si>
    <t>zgc:114130 [Source:ZFIN;Acc:ZDB-GENE-050913-48]</t>
  </si>
  <si>
    <t>ENSDARG00000017173</t>
  </si>
  <si>
    <t>si:dkey-29p10.4</t>
  </si>
  <si>
    <t>si:dkey-29p10.4 [Source:ZFIN;Acc:ZDB-GENE-050420-117]</t>
  </si>
  <si>
    <t>ENSDARG00000071604</t>
  </si>
  <si>
    <t>si:ch211-156p11.1</t>
  </si>
  <si>
    <t>si:ch211-156p11.1 [Source:ZFIN;Acc:ZDB-GENE-070912-120]</t>
  </si>
  <si>
    <t>ENSDARG00000042652</t>
  </si>
  <si>
    <t>rreb1b</t>
  </si>
  <si>
    <t>ras responsive element binding protein 1b [Source:ZFIN;Acc:ZDB-GENE-070912-273]</t>
  </si>
  <si>
    <t>ENSDARG00000068404</t>
  </si>
  <si>
    <t>tbcb</t>
  </si>
  <si>
    <t>tubulin folding cofactor B [Source:ZFIN;Acc:ZDB-GENE-030131-9296]</t>
  </si>
  <si>
    <t>ENSDARG00000104315</t>
  </si>
  <si>
    <t>fhl3b</t>
  </si>
  <si>
    <t>four and a half LIM domains 3b [Source:ZFIN;Acc:ZDB-GENE-030131-8356]</t>
  </si>
  <si>
    <t>ENSDARG00000041581</t>
  </si>
  <si>
    <t>znf143b</t>
  </si>
  <si>
    <t>zinc finger protein 143b [Source:ZFIN;Acc:ZDB-GENE-040426-1586]</t>
  </si>
  <si>
    <t>ENSDARG00000039264</t>
  </si>
  <si>
    <t>igfbp5a</t>
  </si>
  <si>
    <t>insulin-like growth factor binding protein 5a [Source:ZFIN;Acc:ZDB-GENE-070620-8]</t>
  </si>
  <si>
    <t>ENSDARG00000060901</t>
  </si>
  <si>
    <t>trim62</t>
  </si>
  <si>
    <t>tripartite motif containing 62 [Source:ZFIN;Acc:ZDB-GENE-070112-502]</t>
  </si>
  <si>
    <t>ENSDARG00000093960</t>
  </si>
  <si>
    <t>si:dkey-111e8.5</t>
  </si>
  <si>
    <t>si:dkey-111e8.5 [Source:ZFIN;Acc:ZDB-GENE-060526-192]</t>
  </si>
  <si>
    <t>ENSDARG00000063466</t>
  </si>
  <si>
    <t>isy1</t>
  </si>
  <si>
    <t>ISY1 splicing factor homolog [Source:ZFIN;Acc:ZDB-GENE-030131-5864]</t>
  </si>
  <si>
    <t>ENSDARG00000059722</t>
  </si>
  <si>
    <t>ubac1</t>
  </si>
  <si>
    <t>UBA domain containing 1 [Source:ZFIN;Acc:ZDB-GENE-030131-9372]</t>
  </si>
  <si>
    <t>ENSDARG00000033382</t>
  </si>
  <si>
    <t>grifin</t>
  </si>
  <si>
    <t>galectin-related inter-fiber protein [Source:ZFIN;Acc:ZDB-GENE-040801-163]</t>
  </si>
  <si>
    <t>ENSDARG00000042094</t>
  </si>
  <si>
    <t>eef2a.1</t>
  </si>
  <si>
    <t>eukaryotic translation elongation factor 2a, tandem duplicate 1 [Source:ZFIN;Acc:ZDB-GENE-050522-500]</t>
  </si>
  <si>
    <t>ENSDARG00000045372</t>
  </si>
  <si>
    <t>ngdn</t>
  </si>
  <si>
    <t>neuroguidin, EIF4E binding protein [Source:ZFIN;Acc:ZDB-GENE-031030-13]</t>
  </si>
  <si>
    <t>ENSDARG00000014954</t>
  </si>
  <si>
    <t>snx33</t>
  </si>
  <si>
    <t>sorting nexin 33 [Source:ZFIN;Acc:ZDB-GENE-041111-209]</t>
  </si>
  <si>
    <t>ENSDARG00000021855</t>
  </si>
  <si>
    <t>arnt</t>
  </si>
  <si>
    <t>aryl hydrocarbon receptor nuclear translocator [Source:ZFIN;Acc:ZDB-GENE-060126-7]</t>
  </si>
  <si>
    <t>ENSDARG00000062137</t>
  </si>
  <si>
    <t>stag1b</t>
  </si>
  <si>
    <t>stromal antigen 1b [Source:ZFIN;Acc:ZDB-GENE-030131-1393]</t>
  </si>
  <si>
    <t>ENSDARG00000044254</t>
  </si>
  <si>
    <t>anxa3b</t>
  </si>
  <si>
    <t>annexin A3b [Source:ZFIN;Acc:ZDB-GENE-041114-128]</t>
  </si>
  <si>
    <t>ENSDARG00000056656</t>
  </si>
  <si>
    <t>tspan18a</t>
  </si>
  <si>
    <t>tetraspanin 18a [Source:ZFIN;Acc:ZDB-GENE-040718-232]</t>
  </si>
  <si>
    <t>ENSDARG00000031774</t>
  </si>
  <si>
    <t>pus7</t>
  </si>
  <si>
    <t>pseudouridylate synthase 7 (putative) [Source:ZFIN;Acc:ZDB-GENE-060620-1]</t>
  </si>
  <si>
    <t>ENSDARG00000012295</t>
  </si>
  <si>
    <t>bcs1l</t>
  </si>
  <si>
    <t>BC1 (ubiquinol-cytochrome c reductase) synthesis-like [Source:ZFIN;Acc:ZDB-GENE-040426-938]</t>
  </si>
  <si>
    <t>ENSDARG00000011851</t>
  </si>
  <si>
    <t>map2k5</t>
  </si>
  <si>
    <t>mitogen-activated protein kinase kinase 5 [Source:ZFIN;Acc:ZDB-GENE-030131-1517]</t>
  </si>
  <si>
    <t>ENSDARG00000099424</t>
  </si>
  <si>
    <t>lcat</t>
  </si>
  <si>
    <t>lecithin-cholesterol acyltransferase [Source:ZFIN;Acc:ZDB-GENE-010716-3]</t>
  </si>
  <si>
    <t>ENSDARG00000062055</t>
  </si>
  <si>
    <t>rnf38</t>
  </si>
  <si>
    <t>ring finger protein 38 [Source:ZFIN;Acc:ZDB-GENE-030131-8693]</t>
  </si>
  <si>
    <t>ENSDARG00000034633</t>
  </si>
  <si>
    <t>emc9</t>
  </si>
  <si>
    <t>ER membrane protein complex subunit 9 [Source:ZFIN;Acc:ZDB-GENE-040426-693]</t>
  </si>
  <si>
    <t>ENSDARG00000101127</t>
  </si>
  <si>
    <t>map1lc3b</t>
  </si>
  <si>
    <t>microtubule-associated protein 1 light chain 3 beta [Source:ZFIN;Acc:ZDB-GENE-030131-1145]</t>
  </si>
  <si>
    <t>ENSDARG00000076888</t>
  </si>
  <si>
    <t>GANAB</t>
  </si>
  <si>
    <t>zgc:171967 [Source:ZFIN;Acc:ZDB-GENE-070928-36]</t>
  </si>
  <si>
    <t>ENSDARG00000043894</t>
  </si>
  <si>
    <t>CLEC17A</t>
  </si>
  <si>
    <t>CLEC17A.1</t>
  </si>
  <si>
    <t>si:ch211-214k5.3 [Source:ZFIN;Acc:ZDB-GENE-041210-206]</t>
  </si>
  <si>
    <t>ENSDARG00000014770</t>
  </si>
  <si>
    <t>usp4</t>
  </si>
  <si>
    <t>ubiquitin specific peptidase 4 (proto-oncogene) [Source:ZFIN;Acc:ZDB-GENE-041008-187]</t>
  </si>
  <si>
    <t>ENSDARG00000004282</t>
  </si>
  <si>
    <t>zgc:77375</t>
  </si>
  <si>
    <t>zgc:77375 [Source:ZFIN;Acc:ZDB-GENE-040426-1827]</t>
  </si>
  <si>
    <t>ENSDARG00000102412</t>
  </si>
  <si>
    <t>eci2</t>
  </si>
  <si>
    <t>enoyl-CoA delta isomerase 2 [Source:ZFIN;Acc:ZDB-GENE-040718-392]</t>
  </si>
  <si>
    <t>ENSDARG00000043710</t>
  </si>
  <si>
    <t>parvaa</t>
  </si>
  <si>
    <t>parvin, alpha a [Source:ZFIN;Acc:ZDB-GENE-040721-2]</t>
  </si>
  <si>
    <t>ENSDARG00000038898</t>
  </si>
  <si>
    <t>zgc:113691</t>
  </si>
  <si>
    <t>zgc:113691 [Source:ZFIN;Acc:ZDB-GENE-050220-7]</t>
  </si>
  <si>
    <t>ENSDARG00000096950</t>
  </si>
  <si>
    <t>si:ch211-116o3.6</t>
  </si>
  <si>
    <t>ENSDARG00000096913</t>
  </si>
  <si>
    <t>si:ch211-241d24.1</t>
  </si>
  <si>
    <t>si:ch211-241d24.1 [Source:ZFIN;Acc:ZDB-GENE-131120-5]</t>
  </si>
  <si>
    <t>ENSDARG00000090503</t>
  </si>
  <si>
    <t>OMA1</t>
  </si>
  <si>
    <t>si:ch73-215a11.1 [Source:ZFIN;Acc:ZDB-GENE-091204-124]</t>
  </si>
  <si>
    <t>ENSDARG00000012076</t>
  </si>
  <si>
    <t>apoa1a</t>
  </si>
  <si>
    <t>apolipoprotein A-Ia [Source:ZFIN;Acc:ZDB-GENE-990415-14]</t>
  </si>
  <si>
    <t>ENSDARG00000022165</t>
  </si>
  <si>
    <t>mgst1.2</t>
  </si>
  <si>
    <t>microsomal glutathione S-transferase 1.2 [Source:ZFIN;Acc:ZDB-GENE-040704-59]</t>
  </si>
  <si>
    <t>ENSDARG00000096973</t>
  </si>
  <si>
    <t>si:dkey-175g6.6</t>
  </si>
  <si>
    <t>si:dkey-175g6.6 [Source:ZFIN;Acc:ZDB-GENE-131121-513]</t>
  </si>
  <si>
    <t>ENSDARG00000042853</t>
  </si>
  <si>
    <t>ivd</t>
  </si>
  <si>
    <t>isovaleryl-CoA dehydrogenase [Source:ZFIN;Acc:ZDB-GENE-030616-262]</t>
  </si>
  <si>
    <t>ENSDARG00000058390</t>
  </si>
  <si>
    <t>acot9.2</t>
  </si>
  <si>
    <t>acyl-CoA thioesterase 9, tandem duplicate 2 [Source:ZFIN;Acc:ZDB-GENE-051113-136]</t>
  </si>
  <si>
    <t>ENSDARG00000007387</t>
  </si>
  <si>
    <t>irf2a</t>
  </si>
  <si>
    <t>interferon regulatory factor 2a [Source:ZFIN;Acc:ZDB-GENE-030131-4135]</t>
  </si>
  <si>
    <t>ENSDARG00000019392</t>
  </si>
  <si>
    <t>stat5a</t>
  </si>
  <si>
    <t>signal transducer and activator of transcription 5a [Source:ZFIN;Acc:ZDB-GENE-030820-2]</t>
  </si>
  <si>
    <t>ENSDARG00000094018</t>
  </si>
  <si>
    <t>RNF214</t>
  </si>
  <si>
    <t>si:dkey-111e8.1 [Source:ZFIN;Acc:ZDB-GENE-030131-2439]</t>
  </si>
  <si>
    <t>ENSDARG00000076834</t>
  </si>
  <si>
    <t>LRRC75A</t>
  </si>
  <si>
    <t>si:dkey-151p21.7 [Source:ZFIN;Acc:ZDB-GENE-131127-289]</t>
  </si>
  <si>
    <t>ENSDARG00000012399</t>
  </si>
  <si>
    <t>adssl</t>
  </si>
  <si>
    <t>adenylosuccinate synthase, like [Source:ZFIN;Acc:ZDB-GENE-020419-28]</t>
  </si>
  <si>
    <t>ENSDARG00000062655</t>
  </si>
  <si>
    <t>ydjc</t>
  </si>
  <si>
    <t>YdjC homolog (bacterial) [Source:ZFIN;Acc:ZDB-GENE-060526-182]</t>
  </si>
  <si>
    <t>ENSDARG00000022599</t>
  </si>
  <si>
    <t>dnpep</t>
  </si>
  <si>
    <t>aspartyl aminopeptidase [Source:ZFIN;Acc:ZDB-GENE-040426-852]</t>
  </si>
  <si>
    <t>ENSDARG00000045017</t>
  </si>
  <si>
    <t>pdrg1</t>
  </si>
  <si>
    <t>p53 and DNA-damage regulated 1 [Source:ZFIN;Acc:ZDB-GENE-050417-276]</t>
  </si>
  <si>
    <t>ENSDARG00000015221</t>
  </si>
  <si>
    <t>nsrp1</t>
  </si>
  <si>
    <t>nuclear speckle splicing regulatory protein 1 [Source:ZFIN;Acc:ZDB-GENE-030131-2646]</t>
  </si>
  <si>
    <t>ENSDARG00000090429</t>
  </si>
  <si>
    <t>CCDC178</t>
  </si>
  <si>
    <t>si:dkeyp-7a3.1 [Source:ZFIN;Acc:ZDB-GENE-091204-119]</t>
  </si>
  <si>
    <t>ENSDARG00000103250</t>
  </si>
  <si>
    <t>si:dkeyp-35e5.10</t>
  </si>
  <si>
    <t>si:dkeyp-35e5.10 [Source:ZFIN;Acc:ZDB-GENE-110913-63]</t>
  </si>
  <si>
    <t>ENSDARG00000055678</t>
  </si>
  <si>
    <t>akap12b</t>
  </si>
  <si>
    <t>A kinase (PRKA) anchor protein 12b [Source:ZFIN;Acc:ZDB-GENE-030131-9753]</t>
  </si>
  <si>
    <t>ENSDARG00000086173</t>
  </si>
  <si>
    <t>relb</t>
  </si>
  <si>
    <t>v-rel avian reticuloendotheliosis viral oncogene homolog B [Source:ZFIN;Acc:ZDB-GENE-030131-9531]</t>
  </si>
  <si>
    <t>ENSDARG00000054155</t>
  </si>
  <si>
    <t>pcna</t>
  </si>
  <si>
    <t>proliferating cell nuclear antigen [Source:ZFIN;Acc:ZDB-GENE-000210-8]</t>
  </si>
  <si>
    <t>ENSDARG00000092125</t>
  </si>
  <si>
    <t>si:ch73-60p2.1</t>
  </si>
  <si>
    <t>si:ch73-60p2.1 [Source:ZFIN;Acc:ZDB-GENE-091204-404]</t>
  </si>
  <si>
    <t>ENSDARG00000099039</t>
  </si>
  <si>
    <t>pcbp2</t>
  </si>
  <si>
    <t>poly(rC) binding protein 2 [Source:ZFIN;Acc:ZDB-GENE-030131-563]</t>
  </si>
  <si>
    <t>ENSDARG00000091465</t>
  </si>
  <si>
    <t>si:dkey-66a8.7</t>
  </si>
  <si>
    <t>si:dkey-66a8.7 [Source:ZFIN;Acc:ZDB-GENE-131127-421]</t>
  </si>
  <si>
    <t>ENSDARG00000095378</t>
  </si>
  <si>
    <t>gdf10a</t>
  </si>
  <si>
    <t>growth differentiation factor 10a [Source:ZFIN;Acc:ZDB-GENE-090312-17]</t>
  </si>
  <si>
    <t>ENSDARG00000098105</t>
  </si>
  <si>
    <t>tmem106c</t>
  </si>
  <si>
    <t>transmembrane protein 106C [Source:ZFIN;Acc:ZDB-GENE-061013-562]</t>
  </si>
  <si>
    <t>ENSDARG00000036100</t>
  </si>
  <si>
    <t>eya3</t>
  </si>
  <si>
    <t>EYA transcriptional coactivator and phosphatase 3 [Source:ZFIN;Acc:ZDB-GENE-060503-864]</t>
  </si>
  <si>
    <t>ENSDARG00000093852</t>
  </si>
  <si>
    <t>si:dkey-19a16.1</t>
  </si>
  <si>
    <t>si:dkey-19a16.1 [Source:ZFIN;Acc:ZDB-GENE-050208-333]</t>
  </si>
  <si>
    <t>ENSDARG00000005108</t>
  </si>
  <si>
    <t>oclna</t>
  </si>
  <si>
    <t>occludin a [Source:ZFIN;Acc:ZDB-GENE-040426-2685]</t>
  </si>
  <si>
    <t>ENSDARG00000030173</t>
  </si>
  <si>
    <t>traf2a</t>
  </si>
  <si>
    <t>Tnf receptor-associated factor 2a [Source:ZFIN;Acc:ZDB-GENE-071120-2]</t>
  </si>
  <si>
    <t>ENSDARG00000033126</t>
  </si>
  <si>
    <t>prkrip1</t>
  </si>
  <si>
    <t>PRKR interacting protein 1 (IL11 inducible) [Source:ZFIN;Acc:ZDB-GENE-111011-2]</t>
  </si>
  <si>
    <t>ENSDARG00000078822</t>
  </si>
  <si>
    <t>CCDC18</t>
  </si>
  <si>
    <t>si:dkeyp-1a11.3 [Source:ZFIN;Acc:ZDB-GENE-070912-641]</t>
  </si>
  <si>
    <t>ENSDARG00000036773</t>
  </si>
  <si>
    <t>s100s</t>
  </si>
  <si>
    <t>S100 calcium binding protein S [Source:ZFIN;Acc:ZDB-GENE-040822-31]</t>
  </si>
  <si>
    <t>ENSDARG00000018853</t>
  </si>
  <si>
    <t>si:dkey-199f5.8</t>
  </si>
  <si>
    <t>si:dkey-199f5.8 [Source:ZFIN;Acc:ZDB-GENE-030131-4733]</t>
  </si>
  <si>
    <t>ENSDARG00000061091</t>
  </si>
  <si>
    <t>gtpbp6</t>
  </si>
  <si>
    <t>GTP binding protein 6 (putative) [Source:ZFIN;Acc:ZDB-GENE-031118-62]</t>
  </si>
  <si>
    <t>ENSDARG00000023766</t>
  </si>
  <si>
    <t>gnsa</t>
  </si>
  <si>
    <t>glucosamine (N-acetyl)-6-sulfatase a [Source:ZFIN;Acc:ZDB-GENE-050107-5]</t>
  </si>
  <si>
    <t>ENSDARG00000093180</t>
  </si>
  <si>
    <t>si:ch211-126g16.8</t>
  </si>
  <si>
    <t>si:ch211-126g16.8 [Source:ZFIN;Acc:ZDB-GENE-081104-112]</t>
  </si>
  <si>
    <t>ENSDARG00000071662</t>
  </si>
  <si>
    <t>si:rp71-36a1.3</t>
  </si>
  <si>
    <t>si:rp71-36a1.3 [Source:ZFIN;Acc:ZDB-GENE-050208-566]</t>
  </si>
  <si>
    <t>ENSDARG00000089123</t>
  </si>
  <si>
    <t>negaly6</t>
  </si>
  <si>
    <t>neuromast-expressed gpi-anchored lymphocyte antigen 6 [Source:ZFIN;Acc:ZDB-GENE-131121-604]</t>
  </si>
  <si>
    <t>ENSDARG00000097617</t>
  </si>
  <si>
    <t>si:ch211-178n15.1</t>
  </si>
  <si>
    <t>si:ch211-178n15.1 [Source:ZFIN;Acc:ZDB-GENE-131121-24]</t>
  </si>
  <si>
    <t>ENSDARG00000034624</t>
  </si>
  <si>
    <t>nuf2</t>
  </si>
  <si>
    <t>NUF2, NDC80 kinetochore complex component, homolog [Source:ZFIN;Acc:ZDB-GENE-040426-1121]</t>
  </si>
  <si>
    <t>ENSDARG00000068749</t>
  </si>
  <si>
    <t>si:ch211-250k18.5</t>
  </si>
  <si>
    <t>si:ch211-250k18.5 [Source:ZFIN;Acc:ZDB-GENE-070912-244]</t>
  </si>
  <si>
    <t>ENSDARG00000041830</t>
  </si>
  <si>
    <t>tsn</t>
  </si>
  <si>
    <t>translin [Source:ZFIN;Acc:ZDB-GENE-030131-6039]</t>
  </si>
  <si>
    <t>ENSDARG00000037324</t>
  </si>
  <si>
    <t>klhl17</t>
  </si>
  <si>
    <t>kelch-like family member 17 [Source:ZFIN;Acc:ZDB-GENE-030131-8131]</t>
  </si>
  <si>
    <t>ENSDARG00000043482</t>
  </si>
  <si>
    <t>B3GNT3</t>
  </si>
  <si>
    <t>zgc:86586 [Source:ZFIN;Acc:ZDB-GENE-040625-129]</t>
  </si>
  <si>
    <t>ENSDARG00000103811</t>
  </si>
  <si>
    <t>agla</t>
  </si>
  <si>
    <t>amylo-alpha-1, 6-glucosidase, 4-alpha-glucanotransferase a [Source:ZFIN;Acc:ZDB-GENE-071004-6]</t>
  </si>
  <si>
    <t>ENSDARG00000095295</t>
  </si>
  <si>
    <t>si:rp71-36a1.1</t>
  </si>
  <si>
    <t>si:rp71-36a1.1 [Source:ZFIN;Acc:ZDB-GENE-050208-407]</t>
  </si>
  <si>
    <t>ENSDARG00000015053</t>
  </si>
  <si>
    <t>grip1</t>
  </si>
  <si>
    <t>glutamate receptor interacting protein 1 [Source:ZFIN;Acc:ZDB-GENE-041210-125]</t>
  </si>
  <si>
    <t>ENSDARG00000030604</t>
  </si>
  <si>
    <t>phkg1a</t>
  </si>
  <si>
    <t>phosphorylase kinase, gamma 1a (muscle) [Source:ZFIN;Acc:ZDB-GENE-061103-385]</t>
  </si>
  <si>
    <t>ENSDARG00000008439</t>
  </si>
  <si>
    <t>atxn10</t>
  </si>
  <si>
    <t>ataxin 10 [Source:ZFIN;Acc:ZDB-GENE-060503-180]</t>
  </si>
  <si>
    <t>ENSDARG00000076437</t>
  </si>
  <si>
    <t>zgc:163143</t>
  </si>
  <si>
    <t>zgc:163143 [Source:ZFIN;Acc:ZDB-GENE-070410-143]</t>
  </si>
  <si>
    <t>ENSDARG00000058352</t>
  </si>
  <si>
    <t>acot9.1</t>
  </si>
  <si>
    <t>acyl-CoA thioesterase 9, tandem duplicate 1 [Source:ZFIN;Acc:ZDB-GENE-040724-139]</t>
  </si>
  <si>
    <t>ENSDARG00000011727</t>
  </si>
  <si>
    <t>b9d1</t>
  </si>
  <si>
    <t>B9 protein domain 1 [Source:ZFIN;Acc:ZDB-GENE-050522-467]</t>
  </si>
  <si>
    <t>ENSDARG00000044769</t>
  </si>
  <si>
    <t>kctd13</t>
  </si>
  <si>
    <t>potassium channel tetramerization domain containing 13 [Source:ZFIN;Acc:ZDB-GENE-060825-162]</t>
  </si>
  <si>
    <t>ENSDARG00000043010</t>
  </si>
  <si>
    <t>camk2d1</t>
  </si>
  <si>
    <t>calcium/calmodulin-dependent protein kinase (CaM kinase) II delta 1 [Source:ZFIN;Acc:ZDB-GENE-040801-121]</t>
  </si>
  <si>
    <t>ENSDARG00000034757</t>
  </si>
  <si>
    <t>zdhhc2</t>
  </si>
  <si>
    <t>zinc finger, DHHC-type containing 2 [Source:ZFIN;Acc:ZDB-GENE-050320-58]</t>
  </si>
  <si>
    <t>ENSDARG00000061732</t>
  </si>
  <si>
    <t>raph1b</t>
  </si>
  <si>
    <t>Ras association (RalGDS/AF-6) and pleckstrin homology domains 1b [Source:ZFIN;Acc:ZDB-GENE-090311-54]</t>
  </si>
  <si>
    <t>ENSDARG00000070165</t>
  </si>
  <si>
    <t>tnfrsf1b</t>
  </si>
  <si>
    <t>tumor necrosis factor receptor superfamily, member 1B [Source:ZFIN;Acc:ZDB-GENE-070410-133]</t>
  </si>
  <si>
    <t>ENSDARG00000100666</t>
  </si>
  <si>
    <t>ep300a</t>
  </si>
  <si>
    <t>E1A binding protein p300 a [Source:ZFIN;Acc:ZDB-GENE-080403-16]</t>
  </si>
  <si>
    <t>ENSDARG00000036445</t>
  </si>
  <si>
    <t>serpinh2</t>
  </si>
  <si>
    <t>serine (or cysteine) peptidase inhibitor, clade H, member 2 [Source:ZFIN;Acc:ZDB-GENE-050417-12]</t>
  </si>
  <si>
    <t>ENSDARG00000057767</t>
  </si>
  <si>
    <t>nudt4a</t>
  </si>
  <si>
    <t>nudix (nucleoside diphosphate linked moiety X)-type motif 4a [Source:ZFIN;Acc:ZDB-GENE-031010-33]</t>
  </si>
  <si>
    <t>ENSDARG00000087529</t>
  </si>
  <si>
    <t>ANKLE1</t>
  </si>
  <si>
    <t>zgc:85936 [Source:ZFIN;Acc:ZDB-GENE-040426-2450]</t>
  </si>
  <si>
    <t>ENSDARG00000046157</t>
  </si>
  <si>
    <t>RPS17</t>
  </si>
  <si>
    <t>zgc:114188 [Source:ZFIN;Acc:ZDB-GENE-050320-15]</t>
  </si>
  <si>
    <t>ENSDARG00000069422</t>
  </si>
  <si>
    <t>nhp2</t>
  </si>
  <si>
    <t>NHP2 ribonucleoprotein homolog (yeast) [Source:ZFIN;Acc:ZDB-GENE-030131-533]</t>
  </si>
  <si>
    <t>ENSDARG00000055011</t>
  </si>
  <si>
    <t>si:dkey-33m11.7</t>
  </si>
  <si>
    <t>si:dkey-33m11.7 [Source:ZFIN;Acc:ZDB-GENE-141216-115]</t>
  </si>
  <si>
    <t>ENSDARG00000061735</t>
  </si>
  <si>
    <t>hnrnpm</t>
  </si>
  <si>
    <t>heterogeneous nuclear ribonucleoprotein M [Source:ZFIN;Acc:ZDB-GENE-030131-6898]</t>
  </si>
  <si>
    <t>ENSDARG00000055620</t>
  </si>
  <si>
    <t>acad9</t>
  </si>
  <si>
    <t>acyl-CoA dehydrogenase family, member 9 [Source:ZFIN;Acc:ZDB-GENE-060616-196]</t>
  </si>
  <si>
    <t>ENSDARG00000099346</t>
  </si>
  <si>
    <t>znf1079</t>
  </si>
  <si>
    <t>zinc finger protein 1079 [Source:ZFIN;Acc:ZDB-GENE-110913-68]</t>
  </si>
  <si>
    <t>ENSDARG00000103138</t>
  </si>
  <si>
    <t>znf1130</t>
  </si>
  <si>
    <t>zinc finger protein 1130 [Source:ZFIN;Acc:ZDB-GENE-131122-51]</t>
  </si>
  <si>
    <t>ENSDARG00000094744</t>
  </si>
  <si>
    <t>si:ch211-113a14.15</t>
  </si>
  <si>
    <t>si:ch211-113a14.15 [Source:ZFIN;Acc:ZDB-GENE-121214-207]</t>
  </si>
  <si>
    <t>ENSDARG00000013082</t>
  </si>
  <si>
    <t>uap1l1</t>
  </si>
  <si>
    <t>UDP-N-acetylglucosamine pyrophosphorylase 1, like 1 [Source:ZFIN;Acc:ZDB-GENE-040426-1056]</t>
  </si>
  <si>
    <t>ENSDARG00000094206</t>
  </si>
  <si>
    <t>si:ch73-191k20.3</t>
  </si>
  <si>
    <t>si:ch73-191k20.3 [Source:ZFIN;Acc:ZDB-GENE-090312-62]</t>
  </si>
  <si>
    <t>ENSDARG00000089183</t>
  </si>
  <si>
    <t>ppp1r32</t>
  </si>
  <si>
    <t>protein phosphatase 1, regulatory subunit 32 [Source:ZFIN;Acc:ZDB-GENE-120913-1]</t>
  </si>
  <si>
    <t>ENSDARG00000031293</t>
  </si>
  <si>
    <t>dnajc9</t>
  </si>
  <si>
    <t>DnaJ (Hsp40) homolog, subfamily C, member 9 [Source:ZFIN;Acc:ZDB-GENE-040718-130]</t>
  </si>
  <si>
    <t>ENSDARG00000045064</t>
  </si>
  <si>
    <t>ablim1b</t>
  </si>
  <si>
    <t>actin binding LIM protein 1b [Source:ZFIN;Acc:ZDB-GENE-050327-91]</t>
  </si>
  <si>
    <t>ENSDARG00000051734</t>
  </si>
  <si>
    <t>si:ch211-113a14.16</t>
  </si>
  <si>
    <t>si:ch211-113a14.16 [Source:ZFIN;Acc:ZDB-GENE-121214-150]</t>
  </si>
  <si>
    <t>ENSDARG00000073978</t>
  </si>
  <si>
    <t>crabp2a</t>
  </si>
  <si>
    <t>cellular retinoic acid binding protein 2, a [Source:ZFIN;Acc:ZDB-GENE-020320-4]</t>
  </si>
  <si>
    <t>ENSDARG00000058647</t>
  </si>
  <si>
    <t>hck</t>
  </si>
  <si>
    <t>HCK proto-oncogene, Src family tyrosine kinase [Source:ZFIN;Acc:ZDB-GENE-090313-72]</t>
  </si>
  <si>
    <t>ENSDARG00000075543</t>
  </si>
  <si>
    <t>chd8</t>
  </si>
  <si>
    <t>chromodomain helicase DNA binding protein 8 [Source:ZFIN;Acc:ZDB-GENE-030131-6320]</t>
  </si>
  <si>
    <t>ENSDARG00000099556</t>
  </si>
  <si>
    <t>si:ch1073-205c8.3</t>
  </si>
  <si>
    <t>si:ch1073-205c8.3 [Source:ZFIN;Acc:ZDB-GENE-030131-1059]</t>
  </si>
  <si>
    <t>ENSDARG00000004270</t>
  </si>
  <si>
    <t>atl3</t>
  </si>
  <si>
    <t>atlastin 3 [Source:ZFIN;Acc:ZDB-GENE-041010-109]</t>
  </si>
  <si>
    <t>ENSDARG00000026224</t>
  </si>
  <si>
    <t>fanci</t>
  </si>
  <si>
    <t>Fanconi anemia, complementation group I [Source:ZFIN;Acc:ZDB-GENE-030131-2905]</t>
  </si>
  <si>
    <t>ENSDARG00000102618</t>
  </si>
  <si>
    <t>utp18</t>
  </si>
  <si>
    <t>UTP18 small subunit (SSU) processome component [Source:ZFIN;Acc:ZDB-GENE-060929-668]</t>
  </si>
  <si>
    <t>ENSDARG00000093650</t>
  </si>
  <si>
    <t>si:ch211-287n14.3</t>
  </si>
  <si>
    <t>si:ch211-287n14.3 [Source:ZFIN;Acc:ZDB-GENE-131120-146]</t>
  </si>
  <si>
    <t>ENSDARG00000052766</t>
  </si>
  <si>
    <t>EVI5L</t>
  </si>
  <si>
    <t>si:ch211-239f4.1 [Source:ZFIN;Acc:ZDB-GENE-061207-24]</t>
  </si>
  <si>
    <t>ENSDARG00000063276</t>
  </si>
  <si>
    <t>msh3</t>
  </si>
  <si>
    <t>mutS homolog 3 (E. coli) [Source:ZFIN;Acc:ZDB-GENE-060526-307]</t>
  </si>
  <si>
    <t>ENSDARG00000007682</t>
  </si>
  <si>
    <t>ppdpfa</t>
  </si>
  <si>
    <t>pancreatic progenitor cell differentiation and proliferation factor a [Source:ZFIN;Acc:ZDB-GENE-030219-204]</t>
  </si>
  <si>
    <t>ENSDARG00000007289</t>
  </si>
  <si>
    <t>METRNL</t>
  </si>
  <si>
    <t>si:dkey-27j5.3 [Source:ZFIN;Acc:ZDB-GENE-121214-223]</t>
  </si>
  <si>
    <t>ENSDARG00000010953</t>
  </si>
  <si>
    <t>ndel1a</t>
  </si>
  <si>
    <t>nudE neurodevelopment protein 1-like 1a [Source:ZFIN;Acc:ZDB-GENE-040115-2]</t>
  </si>
  <si>
    <t>ENSDARG00000012649</t>
  </si>
  <si>
    <t>SMAD4</t>
  </si>
  <si>
    <t>expressed sequence CR929477 [Source:ZFIN;Acc:ZDB-GENE-141211-39]</t>
  </si>
  <si>
    <t>ENSDARG00000077095</t>
  </si>
  <si>
    <t>HIPK1</t>
  </si>
  <si>
    <t>si:ch211-160o17.4 [Source:ZFIN;Acc:ZDB-GENE-141215-36]</t>
  </si>
  <si>
    <t>ENSDARG00000094396</t>
  </si>
  <si>
    <t>si:dkey-202i12.5</t>
  </si>
  <si>
    <t>si:dkey-202i12.5 [Source:ZFIN;Acc:ZDB-GENE-110411-21]</t>
  </si>
  <si>
    <t>ENSDARG00000010794</t>
  </si>
  <si>
    <t>tfeb</t>
  </si>
  <si>
    <t>transcription factor EB [Source:ZFIN;Acc:ZDB-GENE-090807-3]</t>
  </si>
  <si>
    <t>ENSDARG00000029368</t>
  </si>
  <si>
    <t>srpk2</t>
  </si>
  <si>
    <t>SRSF protein kinase 2 [Source:ZFIN;Acc:ZDB-GENE-131105-1]</t>
  </si>
  <si>
    <t>ENSDARG00000027109</t>
  </si>
  <si>
    <t>zfr</t>
  </si>
  <si>
    <t>zinc finger RNA binding protein [Source:ZFIN;Acc:ZDB-GENE-030131-378]</t>
  </si>
  <si>
    <t>ENSDARG00000074415</t>
  </si>
  <si>
    <t>zgc:171482</t>
  </si>
  <si>
    <t>zgc:171482 [Source:ZFIN;Acc:ZDB-GENE-080204-84]</t>
  </si>
  <si>
    <t>ENSDARG00000078519</t>
  </si>
  <si>
    <t>si:ch73-256j6.5</t>
  </si>
  <si>
    <t>si:ch73-256j6.5 [Source:ZFIN;Acc:ZDB-GENE-070705-225]</t>
  </si>
  <si>
    <t>ENSDARG00000099986</t>
  </si>
  <si>
    <t>si:ch211-207i20.2</t>
  </si>
  <si>
    <t>si:ch211-207i20.2 [Source:ZFIN;Acc:ZDB-GENE-141212-299]</t>
  </si>
  <si>
    <t>ENSDARG00000100231</t>
  </si>
  <si>
    <t>ccdc135</t>
  </si>
  <si>
    <t>coiled-coil domain containing 135 [Source:ZFIN;Acc:ZDB-GENE-120406-10]</t>
  </si>
  <si>
    <t>ENSDARG00000028106</t>
  </si>
  <si>
    <t>glrx</t>
  </si>
  <si>
    <t>glutaredoxin (thioltransferase) [Source:ZFIN;Acc:ZDB-GENE-041010-11]</t>
  </si>
  <si>
    <t>ENSDARG00000075849</t>
  </si>
  <si>
    <t>prr12b</t>
  </si>
  <si>
    <t>proline rich 12b [Source:ZFIN;Acc:ZDB-GENE-130625-2]</t>
  </si>
  <si>
    <t>ENSDARG00000070116</t>
  </si>
  <si>
    <t>nit1</t>
  </si>
  <si>
    <t>nitrilase 1 [Source:ZFIN;Acc:ZDB-GENE-040912-65]</t>
  </si>
  <si>
    <t>ENSDARG00000014517</t>
  </si>
  <si>
    <t>usp5</t>
  </si>
  <si>
    <t>ubiquitin specific peptidase 5 (isopeptidase T) [Source:ZFIN;Acc:ZDB-GENE-040426-2584]</t>
  </si>
  <si>
    <t>ENSDARG00000009753</t>
  </si>
  <si>
    <t>sf3b6</t>
  </si>
  <si>
    <t>splicing factor 3b, subunit 6 [Source:ZFIN;Acc:ZDB-GENE-040625-36]</t>
  </si>
  <si>
    <t>ENSDARG00000062900</t>
  </si>
  <si>
    <t>RNF115</t>
  </si>
  <si>
    <t>si:ch211-81a5.1 [Source:ZFIN;Acc:ZDB-GENE-060503-608]</t>
  </si>
  <si>
    <t>ENSDARG00000074894</t>
  </si>
  <si>
    <t>si:dkey-228b2.5</t>
  </si>
  <si>
    <t>si:dkey-228b2.5 [Source:ZFIN;Acc:ZDB-GENE-091113-62]</t>
  </si>
  <si>
    <t>ENSDARG00000079679</t>
  </si>
  <si>
    <t>cep112</t>
  </si>
  <si>
    <t>centrosomal protein 112 [Source:ZFIN;Acc:ZDB-GENE-120104-2]</t>
  </si>
  <si>
    <t>ENSDARG00000063553</t>
  </si>
  <si>
    <t>rlf</t>
  </si>
  <si>
    <t>rearranged L-myc fusion [Source:ZFIN;Acc:ZDB-GENE-050208-257]</t>
  </si>
  <si>
    <t>ENSDARG00000093964</t>
  </si>
  <si>
    <t>si:ch211-250k18.6</t>
  </si>
  <si>
    <t>si:ch211-250k18.6 [Source:ZFIN;Acc:ZDB-GENE-070912-245]</t>
  </si>
  <si>
    <t>ENSDARG00000057110</t>
  </si>
  <si>
    <t>slc25a1a</t>
  </si>
  <si>
    <t>solute carrier family 25 (mitochondrial carrier; citrate transporter), member 1a [Source:ZFIN;Acc:ZDB-GENE-040426-1172]</t>
  </si>
  <si>
    <t>ENSDARG00000099614</t>
  </si>
  <si>
    <t>purab</t>
  </si>
  <si>
    <t>purine-rich element binding protein Ab [Source:ZFIN;Acc:ZDB-GENE-141216-78]</t>
  </si>
  <si>
    <t>ENSDARG00000094551</t>
  </si>
  <si>
    <t>si:dkey-262g12.2</t>
  </si>
  <si>
    <t>si:dkey-262g12.2 [Source:ZFIN;Acc:ZDB-GENE-060503-161]</t>
  </si>
  <si>
    <t>ENSDARG00000035890</t>
  </si>
  <si>
    <t>fuca1.1</t>
  </si>
  <si>
    <t>fucosidase, alpha-L- 1, tissue, tandem duplicate 1 [Source:ZFIN;Acc:ZDB-GENE-030131-7434]</t>
  </si>
  <si>
    <t>ENSDARG00000099626</t>
  </si>
  <si>
    <t>si:dkey-22a18.1</t>
  </si>
  <si>
    <t>si:dkey-22a18.1 [Source:ZFIN;Acc:ZDB-GENE-120703-8]</t>
  </si>
  <si>
    <t>ENSDARG00000018124</t>
  </si>
  <si>
    <t>psmd3</t>
  </si>
  <si>
    <t>proteasome 26S subunit, non-ATPase 3 [Source:ZFIN;Acc:ZDB-GENE-040426-1444]</t>
  </si>
  <si>
    <t>ENSDARG00000038075</t>
  </si>
  <si>
    <t>cyc1</t>
  </si>
  <si>
    <t>cytochrome c-1 [Source:ZFIN;Acc:ZDB-GENE-031105-2]</t>
  </si>
  <si>
    <t>ENSDARG00000103000</t>
  </si>
  <si>
    <t>si:ch211-107p11.3</t>
  </si>
  <si>
    <t>si:ch211-107p11.3 [Source:ZFIN;Acc:ZDB-GENE-030131-3607]</t>
  </si>
  <si>
    <t>ENSDARG00000060392</t>
  </si>
  <si>
    <t>ash2l</t>
  </si>
  <si>
    <t>ash2 (absent, small, or homeotic)-like (Drosophila) [Source:ZFIN;Acc:ZDB-GENE-030131-494]</t>
  </si>
  <si>
    <t>ENSDARG00000100887</t>
  </si>
  <si>
    <t>si:dkey-11f4.20</t>
  </si>
  <si>
    <t>si:dkey-11f4.20 [Source:ZFIN;Acc:ZDB-GENE-070912-359]</t>
  </si>
  <si>
    <t>ENSDARG00000094725</t>
  </si>
  <si>
    <t>si:ch211-284e13.5</t>
  </si>
  <si>
    <t>si:ch211-284e13.5 [Source:ZFIN;Acc:ZDB-GENE-060526-162]</t>
  </si>
  <si>
    <t>ENSDARG00000016010</t>
  </si>
  <si>
    <t>nup107</t>
  </si>
  <si>
    <t>nucleoporin 107 [Source:ZFIN;Acc:ZDB-GENE-041210-245]</t>
  </si>
  <si>
    <t>ENSDARG00000022810</t>
  </si>
  <si>
    <t>fzr1b</t>
  </si>
  <si>
    <t>fizzy/cell division cycle 20 related 1b [Source:ZFIN;Acc:ZDB-GENE-131120-69]</t>
  </si>
  <si>
    <t>ENSDARG00000056479</t>
  </si>
  <si>
    <t>rab1bb</t>
  </si>
  <si>
    <t>RAB1B, member RAS oncogene family b [Source:ZFIN;Acc:ZDB-GENE-040625-133]</t>
  </si>
  <si>
    <t>ENSDARG00000020326</t>
  </si>
  <si>
    <t>tyk2</t>
  </si>
  <si>
    <t>tyrosine kinase 2 [Source:ZFIN;Acc:ZDB-GENE-071116-4]</t>
  </si>
  <si>
    <t>ENSDARG00000052470</t>
  </si>
  <si>
    <t>igfbp2a</t>
  </si>
  <si>
    <t>insulin-like growth factor binding protein 2a [Source:ZFIN;Acc:ZDB-GENE-000125-12]</t>
  </si>
  <si>
    <t>ENSDARG00000014474</t>
  </si>
  <si>
    <t>yipf1</t>
  </si>
  <si>
    <t>Yip1 domain family, member 1 [Source:ZFIN;Acc:ZDB-GENE-040822-35]</t>
  </si>
  <si>
    <t>ENSDARG00000031533</t>
  </si>
  <si>
    <t>ap5m1</t>
  </si>
  <si>
    <t>adaptor-related protein complex 5, mu 1 subunit [Source:ZFIN;Acc:ZDB-GENE-050522-231]</t>
  </si>
  <si>
    <t>ENSDARG00000022430</t>
  </si>
  <si>
    <t>ppp1r8b</t>
  </si>
  <si>
    <t>protein phosphatase 1, regulatory subunit 8b [Source:ZFIN;Acc:ZDB-GENE-040426-1271]</t>
  </si>
  <si>
    <t>ENSDARG00000098353</t>
  </si>
  <si>
    <t>si:dkey-35i15.3</t>
  </si>
  <si>
    <t>si:dkey-35i15.3 [Source:ZFIN;Acc:ZDB-GENE-141212-393]</t>
  </si>
  <si>
    <t>ENSDARG00000079110</t>
  </si>
  <si>
    <t>cluap1</t>
  </si>
  <si>
    <t>clusterin associated protein 1 [Source:ZFIN;Acc:ZDB-GENE-040426-1943]</t>
  </si>
  <si>
    <t>ENSDARG00000077372</t>
  </si>
  <si>
    <t>tfr1b</t>
  </si>
  <si>
    <t>transferrin receptor 1b [Source:ZFIN;Acc:ZDB-GENE-041220-2]</t>
  </si>
  <si>
    <t>ENSDARG00000000631</t>
  </si>
  <si>
    <t>ptpn4a</t>
  </si>
  <si>
    <t>protein tyrosine phosphatase, non-receptor type 4a [Source:ZFIN;Acc:ZDB-GENE-030616-449]</t>
  </si>
  <si>
    <t>ENSDARG00000053684</t>
  </si>
  <si>
    <t>aldob</t>
  </si>
  <si>
    <t>aldolase b, fructose-bisphosphate [Source:ZFIN;Acc:ZDB-GENE-030131-383]</t>
  </si>
  <si>
    <t>ENSDARG00000026070</t>
  </si>
  <si>
    <t>cd82b</t>
  </si>
  <si>
    <t>CD82 molecule b [Source:ZFIN;Acc:ZDB-GENE-030131-2857]</t>
  </si>
  <si>
    <t>ENSDARG00000062139</t>
  </si>
  <si>
    <t>eif2ak3</t>
  </si>
  <si>
    <t>eukaryotic translation initiation factor 2-alpha kinase 3 [Source:ZFIN;Acc:ZDB-GENE-050414-2]</t>
  </si>
  <si>
    <t>ENSDARG00000075139</t>
  </si>
  <si>
    <t>hdac5</t>
  </si>
  <si>
    <t>histone deacetylase 5 [Source:ZFIN;Acc:ZDB-GENE-121219-3]</t>
  </si>
  <si>
    <t>ENSDARG00000052842</t>
  </si>
  <si>
    <t>ppifb</t>
  </si>
  <si>
    <t>peptidylprolyl isomerase Fb [Source:ZFIN;Acc:ZDB-GENE-051030-126]</t>
  </si>
  <si>
    <t>ENSDARG00000071395</t>
  </si>
  <si>
    <t>camk2g1</t>
  </si>
  <si>
    <t>calcium/calmodulin-dependent protein kinase (CaM kinase) II gamma 1 [Source:ZFIN;Acc:ZDB-GENE-050913-146]</t>
  </si>
  <si>
    <t>ENSDARG00000009133</t>
  </si>
  <si>
    <t>myo1eb</t>
  </si>
  <si>
    <t>myosin IE, b [Source:ZFIN;Acc:ZDB-GENE-040426-1347]</t>
  </si>
  <si>
    <t>ENSDARG00000017947</t>
  </si>
  <si>
    <t>ptk6a</t>
  </si>
  <si>
    <t>PTK6 protein tyrosine kinase 6a [Source:ZFIN;Acc:ZDB-GENE-081105-117]</t>
  </si>
  <si>
    <t>ENSDARG00000096053</t>
  </si>
  <si>
    <t>si:ch211-112b1.4</t>
  </si>
  <si>
    <t>si:ch211-112b1.4 [Source:ZFIN;Acc:ZDB-GENE-131127-114]</t>
  </si>
  <si>
    <t>ENSDARG00000025974</t>
  </si>
  <si>
    <t>magi3b</t>
  </si>
  <si>
    <t>membrane associated guanylate kinase, WW and PDZ domain containing 3b [Source:ZFIN;Acc:ZDB-GENE-060503-301]</t>
  </si>
  <si>
    <t>ENSDARG00000007302</t>
  </si>
  <si>
    <t>sh3gl3b</t>
  </si>
  <si>
    <t>SH3-domain GRB2-like 3b [Source:ZFIN;Acc:ZDB-GENE-040121-4]</t>
  </si>
  <si>
    <t>ENSDARG00000036147</t>
  </si>
  <si>
    <t>ano5b</t>
  </si>
  <si>
    <t>anoctamin 5b [Source:ZFIN;Acc:ZDB-GENE-061215-108]</t>
  </si>
  <si>
    <t>ENSDARG00000020131</t>
  </si>
  <si>
    <t>fnbp1l</t>
  </si>
  <si>
    <t>formin binding protein 1-like [Source:ZFIN;Acc:ZDB-GENE-040801-155]</t>
  </si>
  <si>
    <t>ENSDARG00000026281</t>
  </si>
  <si>
    <t>lyrm1</t>
  </si>
  <si>
    <t>LYR motif containing 1 [Source:ZFIN;Acc:ZDB-GENE-040718-210]</t>
  </si>
  <si>
    <t>ENSDARG00000024954</t>
  </si>
  <si>
    <t>tmed4</t>
  </si>
  <si>
    <t>transmembrane p24 trafficking protein 4 [Source:ZFIN;Acc:ZDB-GENE-040625-140]</t>
  </si>
  <si>
    <t>ENSDARG00000014929</t>
  </si>
  <si>
    <t>p2ry11</t>
  </si>
  <si>
    <t>purinergic receptor P2Y, G-protein coupled, 11 [Source:ZFIN;Acc:ZDB-GENE-111221-4]</t>
  </si>
  <si>
    <t>ENSDARG00000061413</t>
  </si>
  <si>
    <t>sec23ip</t>
  </si>
  <si>
    <t>SEC23 interacting protein [Source:ZFIN;Acc:ZDB-GENE-030131-5259]</t>
  </si>
  <si>
    <t>ENSDARG00000101824</t>
  </si>
  <si>
    <t>si:ch1073-366l7.1</t>
  </si>
  <si>
    <t>si:ch1073-366l7.1 [Source:ZFIN;Acc:ZDB-GENE-141219-7]</t>
  </si>
  <si>
    <t>ENSDARG00000093749</t>
  </si>
  <si>
    <t>si:ch73-83c10.2</t>
  </si>
  <si>
    <t>si:ch73-83c10.2 [Source:ZFIN;Acc:ZDB-GENE-100920-5]</t>
  </si>
  <si>
    <t>ENSDARG00000002632</t>
  </si>
  <si>
    <t>anxa11b</t>
  </si>
  <si>
    <t>annexin A11b [Source:ZFIN;Acc:ZDB-GENE-030707-5]</t>
  </si>
  <si>
    <t>ENSDARG00000076317</t>
  </si>
  <si>
    <t>plod3</t>
  </si>
  <si>
    <t>procollagen-lysine, 2-oxoglutarate 5-dioxygenase 3 [Source:ZFIN;Acc:ZDB-GENE-021031-4]</t>
  </si>
  <si>
    <t>ENSDARG00000057736</t>
  </si>
  <si>
    <t>ano10a</t>
  </si>
  <si>
    <t>anoctamin 10a [Source:ZFIN;Acc:ZDB-GENE-050913-43]</t>
  </si>
  <si>
    <t>ENSDARG00000068681</t>
  </si>
  <si>
    <t>crfb1</t>
  </si>
  <si>
    <t>cytokine receptor family member b1 [Source:ZFIN;Acc:ZDB-GENE-030131-8673]</t>
  </si>
  <si>
    <t>ENSDARG00000040002</t>
  </si>
  <si>
    <t>pnpla7b</t>
  </si>
  <si>
    <t>patatin-like phospholipase domain containing 7b [Source:ZFIN;Acc:ZDB-GENE-050309-66]</t>
  </si>
  <si>
    <t>ENSDARG00000062379</t>
  </si>
  <si>
    <t>slc35a4</t>
  </si>
  <si>
    <t>solute carrier family 35, member A4 [Source:ZFIN;Acc:ZDB-GENE-061103-595]</t>
  </si>
  <si>
    <t>ENSDARG00000068468</t>
  </si>
  <si>
    <t>DNAH3</t>
  </si>
  <si>
    <t>si:dkey-161j23.4 [Source:ZFIN;Acc:ZDB-GENE-091112-7]</t>
  </si>
  <si>
    <t>ENSDARG00000010583</t>
  </si>
  <si>
    <t>pard3</t>
  </si>
  <si>
    <t>par-3 family cell polarity regulator [Source:ZFIN;Acc:ZDB-GENE-030925-47]</t>
  </si>
  <si>
    <t>ENSDARG00000002131</t>
  </si>
  <si>
    <t>celf2</t>
  </si>
  <si>
    <t>cugbp, Elav-like family member 2 [Source:ZFIN;Acc:ZDB-GENE-030826-35]</t>
  </si>
  <si>
    <t>ENSDARG00000104889</t>
  </si>
  <si>
    <t>kpnb1</t>
  </si>
  <si>
    <t>karyopherin (importin) beta 1 [Source:ZFIN;Acc:ZDB-GENE-030131-2579]</t>
  </si>
  <si>
    <t>ENSDARG00000034717</t>
  </si>
  <si>
    <t>def6c</t>
  </si>
  <si>
    <t>differentially expressed in FDCP 6c homolog [Source:ZFIN;Acc:ZDB-GENE-060503-87]</t>
  </si>
  <si>
    <t>ENSDARG00000043213</t>
  </si>
  <si>
    <t>adam17a</t>
  </si>
  <si>
    <t>ADAM metallopeptidase domain 17a [Source:ZFIN;Acc:ZDB-GENE-030131-2862]</t>
  </si>
  <si>
    <t>ENSDARG00000062868</t>
  </si>
  <si>
    <t>eea1</t>
  </si>
  <si>
    <t>early endosome antigen 1 [Source:ZFIN;Acc:ZDB-GENE-041111-270]</t>
  </si>
  <si>
    <t>ENSDARG00000103146</t>
  </si>
  <si>
    <t>nlrc3</t>
  </si>
  <si>
    <t>NLR family, CARD domain containing 3 [Source:ZFIN;Acc:ZDB-GENE-071119-1]</t>
  </si>
  <si>
    <t>ENSDARG00000088347</t>
  </si>
  <si>
    <t>sp1</t>
  </si>
  <si>
    <t>sp1 transcription factor [Source:ZFIN;Acc:ZDB-GENE-030131-2829]</t>
  </si>
  <si>
    <t>ENSDARG00000098821</t>
  </si>
  <si>
    <t>sec14l1</t>
  </si>
  <si>
    <t>SEC14-like lipid binding 1 [Source:ZFIN;Acc:ZDB-GENE-040426-801]</t>
  </si>
  <si>
    <t>ENSDARG00000069037</t>
  </si>
  <si>
    <t>akip1</t>
  </si>
  <si>
    <t>A kinase (PRKA) interacting protein 1 [Source:ZFIN;Acc:ZDB-GENE-030829-24]</t>
  </si>
  <si>
    <t>ENSDARG00000096808</t>
  </si>
  <si>
    <t>si:dkey-287g12.6</t>
  </si>
  <si>
    <t>si:dkey-287g12.6 [Source:ZFIN;Acc:ZDB-GENE-130603-36]</t>
  </si>
  <si>
    <t>ENSDARG00000099635</t>
  </si>
  <si>
    <t>akap8l</t>
  </si>
  <si>
    <t>A kinase (PRKA) anchor protein 8-like [Source:ZFIN;Acc:ZDB-GENE-040426-2303]</t>
  </si>
  <si>
    <t>ENSDARG00000061197</t>
  </si>
  <si>
    <t>armc7</t>
  </si>
  <si>
    <t>armadillo repeat containing 7 [Source:ZFIN;Acc:ZDB-GENE-060929-288]</t>
  </si>
  <si>
    <t>ENSDARG00000076564</t>
  </si>
  <si>
    <t>hspg2</t>
  </si>
  <si>
    <t>heparan sulfate proteoglycan 2 [Source:ZFIN;Acc:ZDB-GENE-080807-4]</t>
  </si>
  <si>
    <t>ENSDARG00000060951</t>
  </si>
  <si>
    <t>polg</t>
  </si>
  <si>
    <t>polymerase (DNA directed), gamma [Source:ZFIN;Acc:ZDB-GENE-060303-1]</t>
  </si>
  <si>
    <t>ENSDARG00000097158</t>
  </si>
  <si>
    <t>si:dkeyp-2g11.2</t>
  </si>
  <si>
    <t>si:dkeyp-2g11.2 [Source:ZFIN;Acc:ZDB-GENE-131125-18]</t>
  </si>
  <si>
    <t>ENSDARG00000003584</t>
  </si>
  <si>
    <t>pla2g7</t>
  </si>
  <si>
    <t>phospholipase A2, group VII (platelet-activating factor acetylhydrolase, plasma) [Source:ZFIN;Acc:ZDB-GENE-040426-2248]</t>
  </si>
  <si>
    <t>ENSDARG00000056892</t>
  </si>
  <si>
    <t>mpp6a</t>
  </si>
  <si>
    <t>membrane protein, palmitoylated 6a (MAGUK p55 subfamily member 6) [Source:ZFIN;Acc:ZDB-GENE-050506-35]</t>
  </si>
  <si>
    <t>ENSDARG00000097952</t>
  </si>
  <si>
    <t>si:ch211-284e13.14</t>
  </si>
  <si>
    <t>si:ch211-284e13.14 [Source:ZFIN;Acc:ZDB-GENE-131127-582]</t>
  </si>
  <si>
    <t>ENSDARG00000101630</t>
  </si>
  <si>
    <t>si:dkey-8l13.5</t>
  </si>
  <si>
    <t>si:dkey-8l13.5 [Source:ZFIN;Acc:ZDB-GENE-141216-349]</t>
  </si>
  <si>
    <t>ENSDARG00000099329</t>
  </si>
  <si>
    <t>h2afy</t>
  </si>
  <si>
    <t>H2A histone family, member Y [Source:ZFIN;Acc:ZDB-GENE-060421-4796]</t>
  </si>
  <si>
    <t>ENSDARG00000052690</t>
  </si>
  <si>
    <t>arrdc3a</t>
  </si>
  <si>
    <t>arrestin domain containing 3a [Source:ZFIN;Acc:ZDB-GENE-030131-2913]</t>
  </si>
  <si>
    <t>ENSDARG00000027609</t>
  </si>
  <si>
    <t>HPN</t>
  </si>
  <si>
    <t>si:dkey-33i11.3 [Source:ZFIN;Acc:ZDB-GENE-060503-733]</t>
  </si>
  <si>
    <t>ENSDARG00000043388</t>
  </si>
  <si>
    <t>atraid</t>
  </si>
  <si>
    <t>all-trans retinoic acid-induced differentiation factor [Source:ZFIN;Acc:ZDB-GENE-040724-177]</t>
  </si>
  <si>
    <t>ENSDARG00000008740</t>
  </si>
  <si>
    <t>esf1</t>
  </si>
  <si>
    <t>ESF1, nucleolar pre-rRNA processing protein, homolog (S. cerevisiae) [Source:ZFIN;Acc:ZDB-GENE-030131-4917]</t>
  </si>
  <si>
    <t>ENSDARG00000074034</t>
  </si>
  <si>
    <t>si:dkey-91i10.2</t>
  </si>
  <si>
    <t>si:dkey-91i10.2 [Source:ZFIN;Acc:ZDB-GENE-050208-441]</t>
  </si>
  <si>
    <t>ENSDARG00000056480</t>
  </si>
  <si>
    <t>cpvl</t>
  </si>
  <si>
    <t>carboxypeptidase, vitellogenic-like [Source:ZFIN;Acc:ZDB-GENE-031219-2]</t>
  </si>
  <si>
    <t>ENSDARG00000008573</t>
  </si>
  <si>
    <t>fam20b</t>
  </si>
  <si>
    <t>family with sequence similarity 20, member B (H. sapiens) [Source:ZFIN;Acc:ZDB-GENE-040724-125]</t>
  </si>
  <si>
    <t>ENSDARG00000088346</t>
  </si>
  <si>
    <t>miip</t>
  </si>
  <si>
    <t>migration and invasion inhibitory protein [Source:ZFIN;Acc:ZDB-GENE-130620-1]</t>
  </si>
  <si>
    <t>ENSDARG00000013655</t>
  </si>
  <si>
    <t>tpd52l2b</t>
  </si>
  <si>
    <t>tumor protein D52-like 2b [Source:ZFIN;Acc:ZDB-GENE-030131-822]</t>
  </si>
  <si>
    <t>ENSDARG00000097385</t>
  </si>
  <si>
    <t>si:ch211-15d5.12</t>
  </si>
  <si>
    <t>si:ch211-15d5.12 [Source:ZFIN;Acc:ZDB-GENE-131127-246]</t>
  </si>
  <si>
    <t>ENSDARG00000067850</t>
  </si>
  <si>
    <t>jund</t>
  </si>
  <si>
    <t>jun D proto-oncogene [Source:ZFIN;Acc:ZDB-GENE-070725-2]</t>
  </si>
  <si>
    <t>ENSDARG00000068401</t>
  </si>
  <si>
    <t>yap1</t>
  </si>
  <si>
    <t>Yes-associated protein 1 [Source:ZFIN;Acc:ZDB-GENE-030131-9710]</t>
  </si>
  <si>
    <t>ENSDARG00000101473</t>
  </si>
  <si>
    <t>si:ch211-25g7.5</t>
  </si>
  <si>
    <t>si:ch211-25g7.5 [Source:ZFIN;Acc:ZDB-GENE-131121-401]</t>
  </si>
  <si>
    <t>ENSDARG00000063511</t>
  </si>
  <si>
    <t>si:ch211-15d5.11</t>
  </si>
  <si>
    <t>si:ch211-15d5.11 [Source:ZFIN;Acc:ZDB-GENE-131121-177]</t>
  </si>
  <si>
    <t>ENSDARG00000060480</t>
  </si>
  <si>
    <t>ubr1</t>
  </si>
  <si>
    <t>ubiquitin protein ligase E3 component n-recognin 1 [Source:ZFIN;Acc:ZDB-GENE-091110-2]</t>
  </si>
  <si>
    <t>ENSDARG00000030155</t>
  </si>
  <si>
    <t>ssbp3b</t>
  </si>
  <si>
    <t>single stranded DNA binding protein 3b [Source:ZFIN;Acc:ZDB-GENE-040426-2801]</t>
  </si>
  <si>
    <t>ENSDARG00000055014</t>
  </si>
  <si>
    <t>si:dkey-33m11.8</t>
  </si>
  <si>
    <t>si:dkey-33m11.8 [Source:ZFIN;Acc:ZDB-GENE-141215-49]</t>
  </si>
  <si>
    <t>ENSDARG00000053101</t>
  </si>
  <si>
    <t>prpf38b</t>
  </si>
  <si>
    <t>pre-mRNA processing factor 38B [Source:ZFIN;Acc:ZDB-GENE-040426-2878]</t>
  </si>
  <si>
    <t>ENSDARG00000100409</t>
  </si>
  <si>
    <t>camlg</t>
  </si>
  <si>
    <t>calcium modulating ligand [Source:ZFIN;Acc:ZDB-GENE-040426-2407]</t>
  </si>
  <si>
    <t>ENSDARG00000017454</t>
  </si>
  <si>
    <t>nup50</t>
  </si>
  <si>
    <t>nucleoporin 50 [Source:ZFIN;Acc:ZDB-GENE-030131-1689]</t>
  </si>
  <si>
    <t>ENSDARG00000036772</t>
  </si>
  <si>
    <t>pygo2</t>
  </si>
  <si>
    <t>pygopus homolog 2 (Drosophila) [Source:ZFIN;Acc:ZDB-GENE-050809-108]</t>
  </si>
  <si>
    <t>ENSDARG00000059177</t>
  </si>
  <si>
    <t>tax1bp3</t>
  </si>
  <si>
    <t>Tax1 (human T-cell leukemia virus type I) binding protein 3 [Source:ZFIN;Acc:ZDB-GENE-040426-2830]</t>
  </si>
  <si>
    <t>ENSDARG00000099117</t>
  </si>
  <si>
    <t>si:dkey-33i11.4</t>
  </si>
  <si>
    <t>si:dkey-33i11.4 [Source:ZFIN;Acc:ZDB-GENE-030131-33]</t>
  </si>
  <si>
    <t>ENSDARG00000038414</t>
  </si>
  <si>
    <t>b3galt6</t>
  </si>
  <si>
    <t>UDP-Gal:betaGal beta 1,3-galactosyltransferase polypeptide 6 [Source:ZFIN;Acc:ZDB-GENE-101104-13]</t>
  </si>
  <si>
    <t>ENSDARG00000062135</t>
  </si>
  <si>
    <t>sytl5</t>
  </si>
  <si>
    <t>synaptotagmin-like 5 [Source:ZFIN;Acc:ZDB-GENE-070912-424]</t>
  </si>
  <si>
    <t>ENSDARG00000069538</t>
  </si>
  <si>
    <t>gtf3c4</t>
  </si>
  <si>
    <t>general transcription factor IIIC, polypeptide 4 [Source:ZFIN;Acc:ZDB-GENE-041008-147]</t>
  </si>
  <si>
    <t>ENSDARG00000099420</t>
  </si>
  <si>
    <t>nme2b.2</t>
  </si>
  <si>
    <t>NME/NM23 nucleoside diphosphate kinase 2b, tandem duplicate 2 [Source:ZFIN;Acc:ZDB-GENE-000210-33]</t>
  </si>
  <si>
    <t>ENSDARG00000079055</t>
  </si>
  <si>
    <t>TARBP1</t>
  </si>
  <si>
    <t>si:dkey-85a20.4 [Source:ZFIN;Acc:ZDB-GENE-090313-347]</t>
  </si>
  <si>
    <t>ENSDARG00000104582</t>
  </si>
  <si>
    <t>zgc:77058</t>
  </si>
  <si>
    <t>zgc:77058 [Source:ZFIN;Acc:ZDB-GENE-040426-2507]</t>
  </si>
  <si>
    <t>ENSDARG00000075428</t>
  </si>
  <si>
    <t>si:dkey-225i9.4</t>
  </si>
  <si>
    <t>si:dkey-225i9.4 [Source:ZFIN;Acc:ZDB-GENE-131125-28]</t>
  </si>
  <si>
    <t>ENSDARG00000094268</t>
  </si>
  <si>
    <t>si:ch73-337l15.2</t>
  </si>
  <si>
    <t>si:ch73-337l15.2 [Source:ZFIN;Acc:ZDB-GENE-041008-80]</t>
  </si>
  <si>
    <t>ENSDARG00000056259</t>
  </si>
  <si>
    <t>tmem131</t>
  </si>
  <si>
    <t>transmembrane protein 131 [Source:ZFIN;Acc:ZDB-GENE-130530-662]</t>
  </si>
  <si>
    <t>ENSDARG00000099741</t>
  </si>
  <si>
    <t>mvb12a</t>
  </si>
  <si>
    <t>multivesicular body subunit 12A [Source:ZFIN;Acc:ZDB-GENE-040426-1240]</t>
  </si>
  <si>
    <t>ENSDARG00000099751</t>
  </si>
  <si>
    <t>si:dkey-250k10.4</t>
  </si>
  <si>
    <t>si:dkey-250k10.4 [Source:ZFIN;Acc:ZDB-GENE-120703-22]</t>
  </si>
  <si>
    <t>ENSDARG00000019181</t>
  </si>
  <si>
    <t>rpsa</t>
  </si>
  <si>
    <t>ribosomal protein SA [Source:ZFIN;Acc:ZDB-GENE-040426-811]</t>
  </si>
  <si>
    <t>ENSDARG00000061770</t>
  </si>
  <si>
    <t>abcd4</t>
  </si>
  <si>
    <t>ATP-binding cassette, sub-family D (ALD), member 4 [Source:ZFIN;Acc:ZDB-GENE-050517-30]</t>
  </si>
  <si>
    <t>ENSDARG00000095784</t>
  </si>
  <si>
    <t>nr1h3</t>
  </si>
  <si>
    <t>ENSDARG00000076228</t>
  </si>
  <si>
    <t>kif2c</t>
  </si>
  <si>
    <t>kinesin family member 2C [Source:ZFIN;Acc:ZDB-GENE-070912-298]</t>
  </si>
  <si>
    <t>ENSDARG00000070052</t>
  </si>
  <si>
    <t>tdrd6</t>
  </si>
  <si>
    <t>tudor domain containing 6 [Source:ZFIN;Acc:ZDB-GENE-041001-210]</t>
  </si>
  <si>
    <t>ENSDARG00000099458</t>
  </si>
  <si>
    <t>ddx46</t>
  </si>
  <si>
    <t>DEAD (Asp-Glu-Ala-Asp) box polypeptide 46 [Source:ZFIN;Acc:ZDB-GENE-030131-667]</t>
  </si>
  <si>
    <t>ENSDARG00000037879</t>
  </si>
  <si>
    <t>lfng</t>
  </si>
  <si>
    <t>LFNG O-fucosylpeptide 3-beta-N-acetylglucosaminyltransferase [Source:ZFIN;Acc:ZDB-GENE-980605-16]</t>
  </si>
  <si>
    <t>ENSDARG00000016889</t>
  </si>
  <si>
    <t>eif3g</t>
  </si>
  <si>
    <t>eukaryotic translation initiation factor 3, subunit G [Source:ZFIN;Acc:ZDB-GENE-040426-1076]</t>
  </si>
  <si>
    <t>ENSDARG00000005897</t>
  </si>
  <si>
    <t>dera</t>
  </si>
  <si>
    <t>deoxyribose-phosphate aldolase (putative) [Source:ZFIN;Acc:ZDB-GENE-041010-200]</t>
  </si>
  <si>
    <t>ENSDARG00000024828</t>
  </si>
  <si>
    <t>tmem134</t>
  </si>
  <si>
    <t>transmembrane protein 134 [Source:ZFIN;Acc:ZDB-GENE-040426-1345]</t>
  </si>
  <si>
    <t>ENSDARG00000033802</t>
  </si>
  <si>
    <t>cyp27a7</t>
  </si>
  <si>
    <t>cytochrome P450, family 27, subfamily A, polypeptide 7 [Source:ZFIN;Acc:ZDB-GENE-081104-519]</t>
  </si>
  <si>
    <t>ENSDARG00000059304</t>
  </si>
  <si>
    <t>chchd2</t>
  </si>
  <si>
    <t>coiled-coil-helix-coiled-coil-helix domain containing 2 [Source:ZFIN;Acc:ZDB-GENE-040426-1737]</t>
  </si>
  <si>
    <t>ENSDARG00000103683</t>
  </si>
  <si>
    <t>inpp5b</t>
  </si>
  <si>
    <t>inositol polyphosphate-5-phosphatase B [Source:ZFIN;Acc:ZDB-GENE-110411-228]</t>
  </si>
  <si>
    <t>ENSDARG00000070432</t>
  </si>
  <si>
    <t>ino80</t>
  </si>
  <si>
    <t>INO80 complex subunit [Source:ZFIN;Acc:ZDB-GENE-041014-72]</t>
  </si>
  <si>
    <t>ENSDARG00000092550</t>
  </si>
  <si>
    <t>TARBP1.1</t>
  </si>
  <si>
    <t>ENSDARG00000075045</t>
  </si>
  <si>
    <t>cxcl18b</t>
  </si>
  <si>
    <t>chemokine (C-X-C motif) ligand 18b [Source:ZFIN;Acc:ZDB-GENE-090313-165]</t>
  </si>
  <si>
    <t>ENSDARG00000075123</t>
  </si>
  <si>
    <t>trafd1</t>
  </si>
  <si>
    <t>TRAF-type zinc finger domain containing 1 [Source:ZFIN;Acc:ZDB-GENE-070410-43]</t>
  </si>
  <si>
    <t>ENSDARG00000005908</t>
  </si>
  <si>
    <t>clk4b</t>
  </si>
  <si>
    <t>CDC-like kinase 4b [Source:ZFIN;Acc:ZDB-GENE-050227-19]</t>
  </si>
  <si>
    <t>ENSDARG00000098752</t>
  </si>
  <si>
    <t>csf3b</t>
  </si>
  <si>
    <t>colony stimulating factor 3 (granulocyte) b [Source:ZFIN;Acc:ZDB-GENE-141212-221]</t>
  </si>
  <si>
    <t>ENSDARG00000075450</t>
  </si>
  <si>
    <t>mkxa</t>
  </si>
  <si>
    <t>mohawk homeobox a [Source:ZFIN;Acc:ZDB-GENE-080513-1]</t>
  </si>
  <si>
    <t>ENSDARG00000099014</t>
  </si>
  <si>
    <t>fxyd1</t>
  </si>
  <si>
    <t>FXYD domain containing ion transport regulator 1 (phospholemman) [Source:ZFIN;Acc:ZDB-GENE-050309-14]</t>
  </si>
  <si>
    <t>ENSDARG00000068830</t>
  </si>
  <si>
    <t>zgc:172139</t>
  </si>
  <si>
    <t>zgc:172139 [Source:ZFIN;Acc:ZDB-GENE-080204-49]</t>
  </si>
  <si>
    <t>ENSDARG00000095732</t>
  </si>
  <si>
    <t>znf423</t>
  </si>
  <si>
    <t>zinc finger protein 423 [Source:ZFIN;Acc:ZDB-GENE-030131-4368]</t>
  </si>
  <si>
    <t>ENSDARG00000040485</t>
  </si>
  <si>
    <t>dfna5b</t>
  </si>
  <si>
    <t>deafness, autosomal dominant 5 b [Source:ZFIN;Acc:ZDB-GENE-030131-7662]</t>
  </si>
  <si>
    <t>ENSDARG00000076627</t>
  </si>
  <si>
    <t>smg9</t>
  </si>
  <si>
    <t>smg9 nonsense mediated mRNA decay factor [Source:ZFIN;Acc:ZDB-GENE-030131-9385]</t>
  </si>
  <si>
    <t>ENSDARG00000058100</t>
  </si>
  <si>
    <t>b3gnt3</t>
  </si>
  <si>
    <t>UDP-GlcNAc:betaGal beta-1,3-N-acetylglucosaminyltransferase 3 [Source:ZFIN;Acc:ZDB-GENE-030131-8875]</t>
  </si>
  <si>
    <t>ENSDARG00000059707</t>
  </si>
  <si>
    <t>ZNF423</t>
  </si>
  <si>
    <t>si:ch211-216l23.1 [Source:ZFIN;Acc:ZDB-GENE-060503-121]</t>
  </si>
  <si>
    <t>ENSDARG00000074337</t>
  </si>
  <si>
    <t>cbfa2t2</t>
  </si>
  <si>
    <t>core-binding factor, runt domain, alpha subunit 2; translocated to, 2 [Source:ZFIN;Acc:ZDB-GENE-070209-1]</t>
  </si>
  <si>
    <t>ENSDARG00000059553</t>
  </si>
  <si>
    <t>sympk</t>
  </si>
  <si>
    <t>symplekin [Source:ZFIN;Acc:ZDB-GENE-060526-361]</t>
  </si>
  <si>
    <t>ENSDARG00000035889</t>
  </si>
  <si>
    <t>zbtb8b</t>
  </si>
  <si>
    <t>zinc finger and BTB domain containing 8B [Source:ZFIN;Acc:ZDB-GENE-050417-42]</t>
  </si>
  <si>
    <t>ENSDARG00000027099</t>
  </si>
  <si>
    <t>psmc4</t>
  </si>
  <si>
    <t>proteasome 26S subunit, ATPase 4 [Source:ZFIN;Acc:ZDB-GENE-030131-5083]</t>
  </si>
  <si>
    <t>ENSDARG00000037655</t>
  </si>
  <si>
    <t>pls3</t>
  </si>
  <si>
    <t>plastin 3 (T isoform) [Source:ZFIN;Acc:ZDB-GENE-040718-10]</t>
  </si>
  <si>
    <t>ENSDARG00000052390</t>
  </si>
  <si>
    <t>tmed8</t>
  </si>
  <si>
    <t>transmembrane p24 trafficking protein 8 [Source:ZFIN;Acc:ZDB-GENE-050522-283]</t>
  </si>
  <si>
    <t>ENSDARG00000017880</t>
  </si>
  <si>
    <t>kcnip3b</t>
  </si>
  <si>
    <t>Kv channel interacting protein 3b, calsenilin [Source:ZFIN;Acc:ZDB-GENE-040426-1752]</t>
  </si>
  <si>
    <t>ENSDARG00000056648</t>
  </si>
  <si>
    <t>ext2</t>
  </si>
  <si>
    <t>exostosin glycosyltransferase 2 [Source:ZFIN;Acc:ZDB-GENE-041124-3]</t>
  </si>
  <si>
    <t>ENSDARG00000101521</t>
  </si>
  <si>
    <t>UBE2M</t>
  </si>
  <si>
    <t>si:ch1073-205c8.4 [Source:ZFIN;Acc:ZDB-GENE-141219-17]</t>
  </si>
  <si>
    <t>ENSDARG00000033144</t>
  </si>
  <si>
    <t>psme2</t>
  </si>
  <si>
    <t>proteasome activator subunit 2 [Source:ZFIN;Acc:ZDB-GENE-991110-16]</t>
  </si>
  <si>
    <t>ENSDARG00000079717</t>
  </si>
  <si>
    <t>rbm12b</t>
  </si>
  <si>
    <t>RNA binding motif protein 12B [Source:ZFIN;Acc:ZDB-GENE-030131-6428]</t>
  </si>
  <si>
    <t>ENSDARG00000012126</t>
  </si>
  <si>
    <t>zgc:109965</t>
  </si>
  <si>
    <t>zgc:109965 [Source:ZFIN;Acc:ZDB-GENE-050913-21]</t>
  </si>
  <si>
    <t>ENSDARG00000018757</t>
  </si>
  <si>
    <t>klf18</t>
  </si>
  <si>
    <t>Kruppel-like factor 18 [Source:ZFIN;Acc:ZDB-GENE-060312-34]</t>
  </si>
  <si>
    <t>ENSDARG00000051735</t>
  </si>
  <si>
    <t>si:ch211-113a14.18</t>
  </si>
  <si>
    <t>si:ch211-113a14.18 [Source:ZFIN;Acc:ZDB-GENE-121214-116]</t>
  </si>
  <si>
    <t>ENSDARG00000060937</t>
  </si>
  <si>
    <t>adnp2a</t>
  </si>
  <si>
    <t>ADNP homeobox 2a [Source:ZFIN;Acc:ZDB-GENE-040914-55]</t>
  </si>
  <si>
    <t>ENSDARG00000035532</t>
  </si>
  <si>
    <t>zgc:110329</t>
  </si>
  <si>
    <t>zgc:110329 [Source:ZFIN;Acc:ZDB-GENE-050417-334]</t>
  </si>
  <si>
    <t>ENSDARG00000017590</t>
  </si>
  <si>
    <t>nit2</t>
  </si>
  <si>
    <t>nitrilase family, member 2 [Source:ZFIN;Acc:ZDB-GENE-050522-65]</t>
  </si>
  <si>
    <t>ENSDARG00000018383</t>
  </si>
  <si>
    <t>frzb</t>
  </si>
  <si>
    <t>frizzled-related protein [Source:ZFIN;Acc:ZDB-GENE-990715-1]</t>
  </si>
  <si>
    <t>ENSDARG00000011594</t>
  </si>
  <si>
    <t>smarcb1b</t>
  </si>
  <si>
    <t>SWI/SNF related, matrix associated, actin dependent regulator of chromatin, subfamily b, member 1b [Source:ZFIN;Acc:ZDB-GENE-991008-16]</t>
  </si>
  <si>
    <t>ENSDARG00000076439</t>
  </si>
  <si>
    <t>ppp4cb</t>
  </si>
  <si>
    <t>protein phosphatase 4, catalytic subunit b [Source:ZFIN;Acc:ZDB-GENE-080219-32]</t>
  </si>
  <si>
    <t>ENSDARG00000018228</t>
  </si>
  <si>
    <t>htr2cl1</t>
  </si>
  <si>
    <t>5-hydroxytryptamine (serotonin) receptor 2C, G protein-coupled-like 1 [Source:ZFIN;Acc:ZDB-GENE-081104-48]</t>
  </si>
  <si>
    <t>ENSDARG00000069421</t>
  </si>
  <si>
    <t>grpel2</t>
  </si>
  <si>
    <t>GrpE-like 2, mitochondrial [Source:ZFIN;Acc:ZDB-GENE-091204-188]</t>
  </si>
  <si>
    <t>ENSDARG00000027222</t>
  </si>
  <si>
    <t>adgrg1</t>
  </si>
  <si>
    <t>adhesion G protein-coupled receptor G1 [Source:ZFIN;Acc:ZDB-GENE-030131-3671]</t>
  </si>
  <si>
    <t>ENSDARG00000027141</t>
  </si>
  <si>
    <t>ube2l3b</t>
  </si>
  <si>
    <t>ubiquitin-conjugating enzyme E2L 3b [Source:ZFIN;Acc:ZDB-GENE-030131-662]</t>
  </si>
  <si>
    <t>ENSDARG00000071573</t>
  </si>
  <si>
    <t>lsm5</t>
  </si>
  <si>
    <t>LSM5 homolog, U6 small nuclear RNA and mRNA degradation associated [Source:ZFIN;Acc:ZDB-GENE-070822-23]</t>
  </si>
  <si>
    <t>ENSDARG00000070286</t>
  </si>
  <si>
    <t>si:ch211-113a14.19</t>
  </si>
  <si>
    <t>si:ch211-113a14.19 [Source:ZFIN;Acc:ZDB-GENE-121214-198]</t>
  </si>
  <si>
    <t>ENSDARG00000017316</t>
  </si>
  <si>
    <t>bag5</t>
  </si>
  <si>
    <t>BCL2-associated athanogene 5 [Source:ZFIN;Acc:ZDB-GENE-050913-58]</t>
  </si>
  <si>
    <t>ENSDARG00000061345</t>
  </si>
  <si>
    <t>wwp2</t>
  </si>
  <si>
    <t>WW domain containing E3 ubiquitin protein ligase 2 [Source:ZFIN;Acc:ZDB-GENE-000607-82]</t>
  </si>
  <si>
    <t>ENSDARG00000093651</t>
  </si>
  <si>
    <t>ftr25</t>
  </si>
  <si>
    <t>finTRIM family, member 25 [Source:ZFIN;Acc:ZDB-GENE-070912-323]</t>
  </si>
  <si>
    <t>ENSDARG00000015476</t>
  </si>
  <si>
    <t>iqch</t>
  </si>
  <si>
    <t>IQ motif containing H [Source:ZFIN;Acc:ZDB-GENE-050419-242]</t>
  </si>
  <si>
    <t>ENSDARG00000018460</t>
  </si>
  <si>
    <t>mbnl2</t>
  </si>
  <si>
    <t>muscleblind-like splicing regulator 2 [Source:ZFIN;Acc:ZDB-GENE-030131-9582]</t>
  </si>
  <si>
    <t>ENSDARG00000070981</t>
  </si>
  <si>
    <t>ash1l</t>
  </si>
  <si>
    <t>ash1 (absent, small, or homeotic)-like (Drosophila) [Source:ZFIN;Acc:ZDB-GENE-030131-6101]</t>
  </si>
  <si>
    <t>ENSDARG00000078560</t>
  </si>
  <si>
    <t>slc9a5</t>
  </si>
  <si>
    <t>solute carrier family 9, subfamily A (NHE5, cation proton antiporter 5), member 5 [Source:ZFIN;Acc:ZDB-GENE-080225-43]</t>
  </si>
  <si>
    <t>ENSDARG00000097425</t>
  </si>
  <si>
    <t>si:dkey-237p10.2</t>
  </si>
  <si>
    <t>si:dkey-237p10.2 [Source:ZFIN;Acc:ZDB-GENE-131125-11]</t>
  </si>
  <si>
    <t>ENSDARG00000093761</t>
  </si>
  <si>
    <t>si:ch211-250k18.7</t>
  </si>
  <si>
    <t>si:ch211-250k18.7 [Source:ZFIN;Acc:ZDB-GENE-070912-246]</t>
  </si>
  <si>
    <t>ENSDARG00000021808</t>
  </si>
  <si>
    <t>nmt2</t>
  </si>
  <si>
    <t>N-myristoyltransferase 2 [Source:ZFIN;Acc:ZDB-GENE-030131-717]</t>
  </si>
  <si>
    <t>ENSDARG00000001888</t>
  </si>
  <si>
    <t>ppm1ba</t>
  </si>
  <si>
    <t>protein phosphatase, Mg2+/Mn2+ dependent, 1Ba [Source:ZFIN;Acc:ZDB-GENE-991102-16]</t>
  </si>
  <si>
    <t>ENSDARG00000077361</t>
  </si>
  <si>
    <t>bptf</t>
  </si>
  <si>
    <t>bromodomain PHD finger transcription factor [Source:ZFIN;Acc:ZDB-GENE-030131-3200]</t>
  </si>
  <si>
    <t>ENSDARG00000074074</t>
  </si>
  <si>
    <t>rnf26</t>
  </si>
  <si>
    <t>ring finger protein 26 [Source:ZFIN;Acc:ZDB-GENE-060727-1]</t>
  </si>
  <si>
    <t>ENSDARG00000070285</t>
  </si>
  <si>
    <t>HIST1H4E</t>
  </si>
  <si>
    <t>si:ch211-113a14.21 [Source:ZFIN;Acc:ZDB-GENE-121214-197]</t>
  </si>
  <si>
    <t>ENSDARG00000018890</t>
  </si>
  <si>
    <t>snrpa</t>
  </si>
  <si>
    <t>small nuclear ribonucleoprotein polypeptide A [Source:ZFIN;Acc:ZDB-GENE-030131-2841]</t>
  </si>
  <si>
    <t>ENSDARG00000017004</t>
  </si>
  <si>
    <t>myo10</t>
  </si>
  <si>
    <t>myosin X [Source:ZFIN;Acc:ZDB-GENE-070912-277]</t>
  </si>
  <si>
    <t>ENSDARG00000103764</t>
  </si>
  <si>
    <t>gdnfb</t>
  </si>
  <si>
    <t>glial cell derived neurotrophic factor b [Source:ZFIN;Acc:ZDB-GENE-110609-2]</t>
  </si>
  <si>
    <t>ENSDARG00000098955</t>
  </si>
  <si>
    <t>ssh2b</t>
  </si>
  <si>
    <t>slingshot protein phosphatase 2b [Source:ZFIN;Acc:ZDB-GENE-081205-4]</t>
  </si>
  <si>
    <t>ENSDARG00000016968</t>
  </si>
  <si>
    <t>tmem214</t>
  </si>
  <si>
    <t>transmembrane protein 214 [Source:ZFIN;Acc:ZDB-GENE-110307-2]</t>
  </si>
  <si>
    <t>ENSDARG00000058389</t>
  </si>
  <si>
    <t>ccl19a.1</t>
  </si>
  <si>
    <t>chemokine (C-C motif) ligand 19a, tandem duplicate 1 [Source:ZFIN;Acc:ZDB-GENE-060526-181]</t>
  </si>
  <si>
    <t>ENSDARG00000057477</t>
  </si>
  <si>
    <t>lrrc28</t>
  </si>
  <si>
    <t>leucine rich repeat containing 28 [Source:ZFIN;Acc:ZDB-GENE-061128-1]</t>
  </si>
  <si>
    <t>ENSDARG00000102008</t>
  </si>
  <si>
    <t>si:dkey-72l17.6</t>
  </si>
  <si>
    <t>si:dkey-72l17.6 [Source:ZFIN;Acc:ZDB-GENE-110913-49]</t>
  </si>
  <si>
    <t>ENSDARG00000041170</t>
  </si>
  <si>
    <t>aagab</t>
  </si>
  <si>
    <t>alpha- and gamma-adaptin binding protein [Source:ZFIN;Acc:ZDB-GENE-040718-120]</t>
  </si>
  <si>
    <t>ENSDARG00000042091</t>
  </si>
  <si>
    <t>btbd2a</t>
  </si>
  <si>
    <t>BTB (POZ) domain containing 2a [Source:ZFIN;Acc:ZDB-GENE-030829-3]</t>
  </si>
  <si>
    <t>ENSDARG00000040350</t>
  </si>
  <si>
    <t>rpp38</t>
  </si>
  <si>
    <t>ribonuclease P/MRP 38 subunit [Source:ZFIN;Acc:ZDB-GENE-040718-258]</t>
  </si>
  <si>
    <t>ENSDARG00000061400</t>
  </si>
  <si>
    <t>csgalnact2</t>
  </si>
  <si>
    <t>chondroitin sulfate N-acetylgalactosaminyltransferase 2 [Source:ZFIN;Acc:ZDB-GENE-030131-5186]</t>
  </si>
  <si>
    <t>ENSDARG00000045893</t>
  </si>
  <si>
    <t>kctd15a</t>
  </si>
  <si>
    <t>potassium channel tetramerization domain containing 15a [Source:ZFIN;Acc:ZDB-GENE-041010-105]</t>
  </si>
  <si>
    <t>ENSDARG00000010246</t>
  </si>
  <si>
    <t>prmt1</t>
  </si>
  <si>
    <t>protein arginine methyltransferase 1 [Source:ZFIN;Acc:ZDB-GENE-030131-693]</t>
  </si>
  <si>
    <t>ENSDARG00000094345</t>
  </si>
  <si>
    <t>si:dkey-261l7.2</t>
  </si>
  <si>
    <t>si:dkey-261l7.2 [Source:ZFIN;Acc:ZDB-GENE-090313-288]</t>
  </si>
  <si>
    <t>ENSDARG00000102171</t>
  </si>
  <si>
    <t>fnip1</t>
  </si>
  <si>
    <t>folliculin interacting protein 1 [Source:ZFIN;Acc:ZDB-GENE-030131-3586]</t>
  </si>
  <si>
    <t>ENSDARG00000103791</t>
  </si>
  <si>
    <t>nme2b.1</t>
  </si>
  <si>
    <t>NME/NM23 nucleoside diphosphate kinase 2b, tandem duplicate 1 [Source:ZFIN;Acc:ZDB-GENE-000210-32]</t>
  </si>
  <si>
    <t>ENSDARG00000062323</t>
  </si>
  <si>
    <t>adam23a</t>
  </si>
  <si>
    <t>ADAM metallopeptidase domain 23a [Source:ZFIN;Acc:ZDB-GENE-070810-2]</t>
  </si>
  <si>
    <t>ENSDARG00000092354</t>
  </si>
  <si>
    <t>si:ch211-284e13.6</t>
  </si>
  <si>
    <t>si:ch211-284e13.6 [Source:ZFIN;Acc:ZDB-GENE-060526-163]</t>
  </si>
  <si>
    <t>ENSDARG00000100148</t>
  </si>
  <si>
    <t>znf1150</t>
  </si>
  <si>
    <t>zinc finger protein 1150 [Source:ZFIN;Acc:ZDB-GENE-141212-372]</t>
  </si>
  <si>
    <t>ENSDARG00000006019</t>
  </si>
  <si>
    <t>tktb</t>
  </si>
  <si>
    <t>transketolase b [Source:ZFIN;Acc:ZDB-GENE-030909-13]</t>
  </si>
  <si>
    <t>ENSDARG00000070536</t>
  </si>
  <si>
    <t>creb5b</t>
  </si>
  <si>
    <t>cAMP responsive element binding protein 5b [Source:ZFIN;Acc:ZDB-GENE-091020-6]</t>
  </si>
  <si>
    <t>ENSDARG00000089079</t>
  </si>
  <si>
    <t>RNH1.3</t>
  </si>
  <si>
    <t>si:ch211-214b16.3 [Source:ZFIN;Acc:ZDB-GENE-081105-50]</t>
  </si>
  <si>
    <t>ENSDARG00000102080</t>
  </si>
  <si>
    <t>mif4gda</t>
  </si>
  <si>
    <t>MIF4G domain containing a [Source:ZFIN;Acc:ZDB-GENE-040426-1382]</t>
  </si>
  <si>
    <t>ENSDARG00000031198</t>
  </si>
  <si>
    <t>hmg20a</t>
  </si>
  <si>
    <t>high mobility group 20A [Source:ZFIN;Acc:ZDB-GENE-030131-5107]</t>
  </si>
  <si>
    <t>ENSDARG00000062630</t>
  </si>
  <si>
    <t>dnah9l</t>
  </si>
  <si>
    <t>dynein, axonemal, heavy polypeptide 9 like [Source:ZFIN;Acc:ZDB-GENE-050506-1]</t>
  </si>
  <si>
    <t>ENSDARG00000063069</t>
  </si>
  <si>
    <t>gripap1</t>
  </si>
  <si>
    <t>GRIP1 associated protein 1 [Source:ZFIN;Acc:ZDB-GENE-070112-922]</t>
  </si>
  <si>
    <t>ENSDARG00000058728</t>
  </si>
  <si>
    <t>nudt2</t>
  </si>
  <si>
    <t>nudix (nucleoside diphosphate linked moiety X)-type motif 2 [Source:ZFIN;Acc:ZDB-GENE-040718-7]</t>
  </si>
  <si>
    <t>ENSDARG00000015208</t>
  </si>
  <si>
    <t>rbb4l</t>
  </si>
  <si>
    <t>retinoblastoma binding protein 4, like [Source:ZFIN;Acc:ZDB-GENE-030131-848]</t>
  </si>
  <si>
    <t>ENSDARG00000070280</t>
  </si>
  <si>
    <t>zgc:173652</t>
  </si>
  <si>
    <t>zgc:173652 [Source:ZFIN;Acc:ZDB-GENE-070822-28]</t>
  </si>
  <si>
    <t>ENSDARG00000074345</t>
  </si>
  <si>
    <t>si:ch211-214b16.4</t>
  </si>
  <si>
    <t>si:ch211-214b16.4 [Source:ZFIN;Acc:ZDB-GENE-081105-53]</t>
  </si>
  <si>
    <t>ENSDARG00000054666</t>
  </si>
  <si>
    <t>pgpep1</t>
  </si>
  <si>
    <t>pyroglutamyl-peptidase I [Source:ZFIN;Acc:ZDB-GENE-050522-88]</t>
  </si>
  <si>
    <t>ENSDARG00000056541</t>
  </si>
  <si>
    <t>nr0b1</t>
  </si>
  <si>
    <t>nuclear receptor subfamily 0, group B, member 1 [Source:ZFIN;Acc:ZDB-GENE-070130-1]</t>
  </si>
  <si>
    <t>ENSDARG00000038000</t>
  </si>
  <si>
    <t>crls1</t>
  </si>
  <si>
    <t>cardiolipin synthase 1 [Source:ZFIN;Acc:ZDB-GENE-040426-2519]</t>
  </si>
  <si>
    <t>ENSDARG00000025788</t>
  </si>
  <si>
    <t>chp2</t>
  </si>
  <si>
    <t>calcineurin-like EF-hand protein 2 [Source:ZFIN;Acc:ZDB-GENE-030131-5810]</t>
  </si>
  <si>
    <t>ENSDARG00000077811</t>
  </si>
  <si>
    <t>sox11a</t>
  </si>
  <si>
    <t>SRY (sex determining region Y)-box 11a [Source:ZFIN;Acc:ZDB-GENE-980526-395]</t>
  </si>
  <si>
    <t>ENSDARG00000037073</t>
  </si>
  <si>
    <t>si:dkey-60a16.1</t>
  </si>
  <si>
    <t>si:dkey-60a16.1 [Source:ZFIN;Acc:ZDB-GENE-040724-244]</t>
  </si>
  <si>
    <t>ENSDARG00000103556</t>
  </si>
  <si>
    <t>si:ch211-218g23.6</t>
  </si>
  <si>
    <t>si:ch211-218g23.6 [Source:ZFIN;Acc:ZDB-GENE-141216-449]</t>
  </si>
  <si>
    <t>ENSDARG00000045605</t>
  </si>
  <si>
    <t>ticrr</t>
  </si>
  <si>
    <t>TopBP1-interacting, checkpoint, and replication regulator [Source:ZFIN;Acc:ZDB-GENE-040728-1]</t>
  </si>
  <si>
    <t>ENSDARG00000030759</t>
  </si>
  <si>
    <t>melk</t>
  </si>
  <si>
    <t>maternal embryonic leucine zipper kinase [Source:ZFIN;Acc:ZDB-GENE-990603-5]</t>
  </si>
  <si>
    <t>ENSDARG00000009346</t>
  </si>
  <si>
    <t>caprin1a</t>
  </si>
  <si>
    <t>cell cycle associated protein 1a [Source:ZFIN;Acc:ZDB-GENE-040801-226]</t>
  </si>
  <si>
    <t>ENSDARG00000003818</t>
  </si>
  <si>
    <t>prkag1</t>
  </si>
  <si>
    <t>protein kinase, AMP-activated, gamma 1 non-catalytic subunit [Source:ZFIN;Acc:ZDB-GENE-040426-2188]</t>
  </si>
  <si>
    <t>ENSDARG00000099049</t>
  </si>
  <si>
    <t>rragcb</t>
  </si>
  <si>
    <t>Ras-related GTP binding Cb [Source:ZFIN;Acc:ZDB-GENE-070705-380]</t>
  </si>
  <si>
    <t>ENSDARG00000074691</t>
  </si>
  <si>
    <t>mms22l</t>
  </si>
  <si>
    <t>MMS22-like, DNA repair protein [Source:ZFIN;Acc:ZDB-GENE-030131-3869]</t>
  </si>
  <si>
    <t>ENSDARG00000079986</t>
  </si>
  <si>
    <t>si:ch211-250k18.8</t>
  </si>
  <si>
    <t>si:ch211-250k18.8 [Source:ZFIN;Acc:ZDB-GENE-070912-247]</t>
  </si>
  <si>
    <t>ENSDARG00000070448</t>
  </si>
  <si>
    <t>grk4</t>
  </si>
  <si>
    <t>G protein-coupled receptor kinase 4 [Source:ZFIN;Acc:ZDB-GENE-060929-1198]</t>
  </si>
  <si>
    <t>ENSDARG00000102593</t>
  </si>
  <si>
    <t>si:ch211-214b16.2</t>
  </si>
  <si>
    <t>si:ch211-214b16.2 [Source:ZFIN;Acc:ZDB-GENE-141212-1]</t>
  </si>
  <si>
    <t>ENSDARG00000086849</t>
  </si>
  <si>
    <t>si:dkey-187k19.2</t>
  </si>
  <si>
    <t>si:dkey-187k19.2 [Source:ZFIN;Acc:ZDB-GENE-131121-68]</t>
  </si>
  <si>
    <t>ENSDARG00000052617</t>
  </si>
  <si>
    <t>raver1</t>
  </si>
  <si>
    <t>ribonucleoprotein, PTB-binding 1 [Source:ZFIN;Acc:ZDB-GENE-050522-99]</t>
  </si>
  <si>
    <t>ENSDARG00000103699</t>
  </si>
  <si>
    <t>ptpn13</t>
  </si>
  <si>
    <t>protein tyrosine phosphatase, non-receptor type 13 [Source:ZFIN;Acc:ZDB-GENE-070410-72]</t>
  </si>
  <si>
    <t>ENSDARG00000037276</t>
  </si>
  <si>
    <t>map9</t>
  </si>
  <si>
    <t>microtubule-associated protein 9 [Source:ZFIN;Acc:ZDB-GENE-080225-36]</t>
  </si>
  <si>
    <t>ENSDARG00000074727</t>
  </si>
  <si>
    <t>dnajc10</t>
  </si>
  <si>
    <t>DnaJ (Hsp40) homolog, subfamily C, member 10 [Source:ZFIN;Acc:ZDB-GENE-070327-1]</t>
  </si>
  <si>
    <t>ENSDARG00000016981</t>
  </si>
  <si>
    <t>bcar3</t>
  </si>
  <si>
    <t>breast cancer anti-estrogen resistance 3 [Source:ZFIN;Acc:ZDB-GENE-080513-4]</t>
  </si>
  <si>
    <t>ENSDARG00000032571</t>
  </si>
  <si>
    <t>il20ra</t>
  </si>
  <si>
    <t>interleukin 20 receptor, alpha [Source:ZFIN;Acc:ZDB-GENE-040724-249]</t>
  </si>
  <si>
    <t>ENSDARG00000099572</t>
  </si>
  <si>
    <t>hmgn2</t>
  </si>
  <si>
    <t>high mobility group nucleosomal binding domain 2 [Source:ZFIN;Acc:ZDB-GENE-051030-81]</t>
  </si>
  <si>
    <t>ENSDARG00000097848</t>
  </si>
  <si>
    <t>si:ch73-111k20.3</t>
  </si>
  <si>
    <t>si:ch73-111k20.3 [Source:ZFIN;Acc:ZDB-GENE-131121-554]</t>
  </si>
  <si>
    <t>ENSDARG00000079738</t>
  </si>
  <si>
    <t>znf219</t>
  </si>
  <si>
    <t>zinc finger protein 219 [Source:ZFIN;Acc:ZDB-GENE-110623-1]</t>
  </si>
  <si>
    <t>ENSDARG00000101242</t>
  </si>
  <si>
    <t>zcchc14</t>
  </si>
  <si>
    <t>zinc finger, CCHC domain containing 14 [Source:ZFIN;Acc:ZDB-GENE-060503-319]</t>
  </si>
  <si>
    <t>ENSDARG00000062651</t>
  </si>
  <si>
    <t>zc3hc1</t>
  </si>
  <si>
    <t>zinc finger, C3HC-type containing 1 [Source:ZFIN;Acc:ZDB-GENE-061013-94]</t>
  </si>
  <si>
    <t>ENSDARG00000044375</t>
  </si>
  <si>
    <t>zgc:158291</t>
  </si>
  <si>
    <t>zgc:158291 [Source:ZFIN;Acc:ZDB-GENE-061215-70]</t>
  </si>
  <si>
    <t>ENSDARG00000104907</t>
  </si>
  <si>
    <t>ing2</t>
  </si>
  <si>
    <t>inhibitor of growth family, member 2 [Source:ZFIN;Acc:ZDB-GENE-040718-147]</t>
  </si>
  <si>
    <t>ENSDARG00000055715</t>
  </si>
  <si>
    <t>capn8</t>
  </si>
  <si>
    <t>calpain 8 [Source:ZFIN;Acc:ZDB-GENE-050522-279]</t>
  </si>
  <si>
    <t>ENSDARG00000075731</t>
  </si>
  <si>
    <t>zgc:174698</t>
  </si>
  <si>
    <t>zgc:174698 [Source:ZFIN;Acc:ZDB-GENE-080204-74]</t>
  </si>
  <si>
    <t>ENSDARG00000043077</t>
  </si>
  <si>
    <t>nisch</t>
  </si>
  <si>
    <t>nischarin [Source:ZFIN;Acc:ZDB-GENE-050208-570]</t>
  </si>
  <si>
    <t>ENSDARG00000053386</t>
  </si>
  <si>
    <t>wdr27</t>
  </si>
  <si>
    <t>WD repeat domain 27 [Source:ZFIN;Acc:ZDB-GENE-051120-93]</t>
  </si>
  <si>
    <t>ENSDARG00000042115</t>
  </si>
  <si>
    <t>tmem198a</t>
  </si>
  <si>
    <t>transmembrane protein 198a [Source:ZFIN;Acc:ZDB-GENE-070912-716]</t>
  </si>
  <si>
    <t>ENSDARG00000102363</t>
  </si>
  <si>
    <t>si:ch73-138e16.4</t>
  </si>
  <si>
    <t>si:ch73-138e16.4 [Source:ZFIN;Acc:ZDB-GENE-070705-203]</t>
  </si>
  <si>
    <t>ENSDARG00000070162</t>
  </si>
  <si>
    <t>stox2a</t>
  </si>
  <si>
    <t>storkhead box 2a [Source:ZFIN;Acc:ZDB-GENE-090313-101]</t>
  </si>
  <si>
    <t>ENSDARG00000059400</t>
  </si>
  <si>
    <t>tmem167b</t>
  </si>
  <si>
    <t>transmembrane protein 167B [Source:ZFIN;Acc:ZDB-GENE-040808-17]</t>
  </si>
  <si>
    <t>ENSDARG00000006332</t>
  </si>
  <si>
    <t>snx14</t>
  </si>
  <si>
    <t>sorting nexin 14 [Source:ZFIN;Acc:ZDB-GENE-040724-144]</t>
  </si>
  <si>
    <t>ENSDARG00000074502</t>
  </si>
  <si>
    <t>zmiz1a</t>
  </si>
  <si>
    <t>zinc finger, MIZ-type containing 1a [Source:ZFIN;Acc:ZDB-GENE-080220-27]</t>
  </si>
  <si>
    <t>ENSDARG00000030166</t>
  </si>
  <si>
    <t>hyi</t>
  </si>
  <si>
    <t>hydroxypyruvate isomerase [Source:ZFIN;Acc:ZDB-GENE-040426-1273]</t>
  </si>
  <si>
    <t>ENSDARG00000014569</t>
  </si>
  <si>
    <t>hnrnpr</t>
  </si>
  <si>
    <t>heterogeneous nuclear ribonucleoprotein R [Source:ZFIN;Acc:ZDB-GENE-040426-2766]</t>
  </si>
  <si>
    <t>ENSDARG00000079104</t>
  </si>
  <si>
    <t>mfhas1</t>
  </si>
  <si>
    <t>malignant fibrous histiocytoma amplified sequence 1 [Source:ZFIN;Acc:ZDB-GENE-080917-20]</t>
  </si>
  <si>
    <t>ENSDARG00000079183</t>
  </si>
  <si>
    <t>sod3b</t>
  </si>
  <si>
    <t>superoxide dismutase 3, extracellular b [Source:ZFIN;Acc:ZDB-GENE-030131-8743]</t>
  </si>
  <si>
    <t>ENSDARG00000041428</t>
  </si>
  <si>
    <t>yrdc</t>
  </si>
  <si>
    <t>yrdC N(6)-threonylcarbamoyltransferase domain containing [Source:ZFIN;Acc:ZDB-GENE-070410-65]</t>
  </si>
  <si>
    <t>ENSDARG00000078018</t>
  </si>
  <si>
    <t>si:dkey-79d12.4</t>
  </si>
  <si>
    <t>si:dkey-79d12.4 [Source:ZFIN;Acc:ZDB-GENE-131119-45]</t>
  </si>
  <si>
    <t>ENSDARG00000016763</t>
  </si>
  <si>
    <t>znf292a</t>
  </si>
  <si>
    <t>zinc finger protein 292a [Source:ZFIN;Acc:ZDB-GENE-071004-18]</t>
  </si>
  <si>
    <t>ENSDARG00000070289</t>
  </si>
  <si>
    <t>HIST1H2BA.8</t>
  </si>
  <si>
    <t>si:ch211-113a14.22 [Source:ZFIN;Acc:ZDB-GENE-121214-203]</t>
  </si>
  <si>
    <t>ENSDARG00000062244</t>
  </si>
  <si>
    <t>setd2</t>
  </si>
  <si>
    <t>SET domain containing 2 [Source:ZFIN;Acc:ZDB-GENE-030131-2140]</t>
  </si>
  <si>
    <t>ENSDARG00000035406</t>
  </si>
  <si>
    <t>ttc33</t>
  </si>
  <si>
    <t>tetratricopeptide repeat domain 33 [Source:ZFIN;Acc:ZDB-GENE-040718-480]</t>
  </si>
  <si>
    <t>ENSDARG00000010432</t>
  </si>
  <si>
    <t>eaf2</t>
  </si>
  <si>
    <t>ELL associated factor 2 [Source:ZFIN;Acc:ZDB-GENE-040625-179]</t>
  </si>
  <si>
    <t>ENSDARG00000038199</t>
  </si>
  <si>
    <t>cda</t>
  </si>
  <si>
    <t>cytidine deaminase [Source:ZFIN;Acc:ZDB-GENE-040426-1911]</t>
  </si>
  <si>
    <t>ENSDARG00000103386</t>
  </si>
  <si>
    <t>si:dkey-160o24.4</t>
  </si>
  <si>
    <t>si:dkey-160o24.4 [Source:ZFIN;Acc:ZDB-GENE-141216-181]</t>
  </si>
  <si>
    <t>ENSDARG00000070122</t>
  </si>
  <si>
    <t>stk11ip</t>
  </si>
  <si>
    <t>serine/threonine kinase 11 interacting protein [Source:ZFIN;Acc:ZDB-GENE-040426-1022]</t>
  </si>
  <si>
    <t>ENSDARG00000075670</t>
  </si>
  <si>
    <t>rereb</t>
  </si>
  <si>
    <t>arginine-glutamic acid dipeptide (RE) repeats b [Source:ZFIN;Acc:ZDB-GENE-070212-3]</t>
  </si>
  <si>
    <t>ENSDARG00000099832</t>
  </si>
  <si>
    <t>si:ch211-250o16.4</t>
  </si>
  <si>
    <t>si:ch211-250o16.4 [Source:ZFIN;Acc:ZDB-GENE-141212-23]</t>
  </si>
  <si>
    <t>ENSDARG00000094627</t>
  </si>
  <si>
    <t>si:dkey-148f10.4</t>
  </si>
  <si>
    <t>si:dkey-148f10.4 [Source:ZFIN;Acc:ZDB-GENE-060503-292]</t>
  </si>
  <si>
    <t>ENSDARG00000014303</t>
  </si>
  <si>
    <t>vac14</t>
  </si>
  <si>
    <t>vac14 homolog (S. cerevisiae) [Source:ZFIN;Acc:ZDB-GENE-040912-82]</t>
  </si>
  <si>
    <t>ENSDARG00000076820</t>
  </si>
  <si>
    <t>xkr8.2</t>
  </si>
  <si>
    <t>XK, Kell blood group complex subunit-related family, member 8, tandem duplicate 2 [Source:ZFIN;Acc:ZDB-GENE-110106-2]</t>
  </si>
  <si>
    <t>ENSDARG00000052518</t>
  </si>
  <si>
    <t>stx4</t>
  </si>
  <si>
    <t>syntaxin 4 [Source:ZFIN;Acc:ZDB-GENE-030131-2455]</t>
  </si>
  <si>
    <t>ENSDARG00000013472</t>
  </si>
  <si>
    <t>nedd1</t>
  </si>
  <si>
    <t>neural precursor cell expressed, developmentally down-regulated 1 [Source:ZFIN;Acc:ZDB-GENE-040426-2906]</t>
  </si>
  <si>
    <t>ENSDARG00000105477</t>
  </si>
  <si>
    <t>si:dkey-88n24.12</t>
  </si>
  <si>
    <t>si:dkey-88n24.12 [Source:ZFIN;Acc:ZDB-GENE-160113-128]</t>
  </si>
  <si>
    <t>ENSDARG00000016773</t>
  </si>
  <si>
    <t>cishb</t>
  </si>
  <si>
    <t>cytokine inducible SH2-containing protein b [Source:ZFIN;Acc:ZDB-GENE-080204-120]</t>
  </si>
  <si>
    <t>ENSDARG00000088798</t>
  </si>
  <si>
    <t>plcxd1</t>
  </si>
  <si>
    <t>phosphatidylinositol-specific phospholipase C, X domain containing 1 [Source:ZFIN;Acc:ZDB-GENE-131127-240]</t>
  </si>
  <si>
    <t>ENSDARG00000053383</t>
  </si>
  <si>
    <t>rprma</t>
  </si>
  <si>
    <t>reprimo, TP53 dependent G2 arrest mediator candidate a [Source:ZFIN;Acc:ZDB-GENE-050522-218]</t>
  </si>
  <si>
    <t>ENSDARG00000060035</t>
  </si>
  <si>
    <t>rnf32</t>
  </si>
  <si>
    <t>ring finger protein 32 [Source:ZFIN;Acc:ZDB-GENE-061013-39]</t>
  </si>
  <si>
    <t>ENSDARG00000029259</t>
  </si>
  <si>
    <t>zgc:136493</t>
  </si>
  <si>
    <t>zgc:136493 [Source:ZFIN;Acc:ZDB-GENE-060512-216]</t>
  </si>
  <si>
    <t>ENSDARG00000063568</t>
  </si>
  <si>
    <t>syt7a</t>
  </si>
  <si>
    <t>synaptotagmin VIIa [Source:ZFIN;Acc:ZDB-GENE-090601-5]</t>
  </si>
  <si>
    <t>ENSDARG00000078567</t>
  </si>
  <si>
    <t>lonrf1l</t>
  </si>
  <si>
    <t>LON peptidase N-terminal domain and ring finger 1, like [Source:ZFIN;Acc:ZDB-GENE-081104-397]</t>
  </si>
  <si>
    <t>ENSDARG00000102045</t>
  </si>
  <si>
    <t>si:ch1073-189m3.1</t>
  </si>
  <si>
    <t>si:ch1073-189m3.1 [Source:ZFIN;Acc:ZDB-GENE-131127-150]</t>
  </si>
  <si>
    <t>ENSDARG00000078759</t>
  </si>
  <si>
    <t>dna2</t>
  </si>
  <si>
    <t>DNA replication helicase/nuclease 2 [Source:ZFIN;Acc:ZDB-GENE-090313-71]</t>
  </si>
  <si>
    <t>ENSDARG00000096988</t>
  </si>
  <si>
    <t>cishb.1</t>
  </si>
  <si>
    <t>ENSDARG00000032799</t>
  </si>
  <si>
    <t>kcnd2</t>
  </si>
  <si>
    <t>potassium voltage-gated channel, Shal-related subfamily, member 2 [Source:ZFIN;Acc:ZDB-GENE-041210-70]</t>
  </si>
  <si>
    <t>ENSDARG00000034174</t>
  </si>
  <si>
    <t>mrrf</t>
  </si>
  <si>
    <t>mitochondrial ribosome recycling factor [Source:ZFIN;Acc:ZDB-GENE-040704-12]</t>
  </si>
  <si>
    <t>ENSDARG00000091419</t>
  </si>
  <si>
    <t>nrarpa</t>
  </si>
  <si>
    <t>notch-regulated ankyrin repeat protein a [Source:ZFIN;Acc:ZDB-GENE-030515-6]</t>
  </si>
  <si>
    <t>ENSDARG00000034160</t>
  </si>
  <si>
    <t>slc4a1ap</t>
  </si>
  <si>
    <t>solute carrier family 4 (anion exchanger), member 1, adaptor protein [Source:ZFIN;Acc:ZDB-GENE-080521-2]</t>
  </si>
  <si>
    <t>ENSDARG00000013250</t>
  </si>
  <si>
    <t>tars</t>
  </si>
  <si>
    <t>threonyl-tRNA synthetase [Source:ZFIN;Acc:ZDB-GENE-041010-218]</t>
  </si>
  <si>
    <t>ENSDARG00000040700</t>
  </si>
  <si>
    <t>nab1b</t>
  </si>
  <si>
    <t>NGFI-A binding protein 1b (EGR1 binding protein 1) [Source:ZFIN;Acc:ZDB-GENE-081105-85]</t>
  </si>
  <si>
    <t>ENSDARG00000101295</t>
  </si>
  <si>
    <t>psmd4a</t>
  </si>
  <si>
    <t>proteasome 26S subunit, non-ATPase 4a [Source:ZFIN;Acc:ZDB-GENE-040625-104]</t>
  </si>
  <si>
    <t>ENSDARG00000075556</t>
  </si>
  <si>
    <t>luzp1</t>
  </si>
  <si>
    <t>leucine zipper protein 1 [Source:ZFIN;Acc:ZDB-GENE-060810-90]</t>
  </si>
  <si>
    <t>ENSDARG00000037199</t>
  </si>
  <si>
    <t>zgc:101851</t>
  </si>
  <si>
    <t>zgc:101851 [Source:ZFIN;Acc:ZDB-GENE-040912-123]</t>
  </si>
  <si>
    <t>ENSDARG00000004406</t>
  </si>
  <si>
    <t>spra</t>
  </si>
  <si>
    <t>sepiapterin reductase a [Source:ZFIN;Acc:ZDB-GENE-050522-412]</t>
  </si>
  <si>
    <t>ENSDARG00000006257</t>
  </si>
  <si>
    <t>vldlr</t>
  </si>
  <si>
    <t>very low density lipoprotein receptor [Source:ZFIN;Acc:ZDB-GENE-040426-803]</t>
  </si>
  <si>
    <t>ENSDARG00000036956</t>
  </si>
  <si>
    <t>asxl1</t>
  </si>
  <si>
    <t>additional sex combs like transcriptional regulator 1 [Source:ZFIN;Acc:ZDB-GENE-091116-9]</t>
  </si>
  <si>
    <t>ENSDARG00000013461</t>
  </si>
  <si>
    <t>supt7l</t>
  </si>
  <si>
    <t>SPT7-like STAGA complex gamma subunit [Source:ZFIN;Acc:ZDB-GENE-050227-17]</t>
  </si>
  <si>
    <t>ENSDARG00000043566</t>
  </si>
  <si>
    <t>si:dkey-22a1.3</t>
  </si>
  <si>
    <t>si:dkey-22a1.3 [Source:ZFIN;Acc:ZDB-GENE-030131-5651]</t>
  </si>
  <si>
    <t>ENSDARG00000034211</t>
  </si>
  <si>
    <t>capn2l</t>
  </si>
  <si>
    <t>calpain 2, (m/II) large subunit, like [Source:ZFIN;Acc:ZDB-GENE-050417-341]</t>
  </si>
  <si>
    <t>ENSDARG00000013078</t>
  </si>
  <si>
    <t>ywhaba</t>
  </si>
  <si>
    <t>tyrosine 3-monooxygenase/tryptophan 5-monooxygenase activation protein, beta polypeptide a [Source:ZFIN;Acc:ZDB-GENE-030131-6583]</t>
  </si>
  <si>
    <t>ENSDARG00000057805</t>
  </si>
  <si>
    <t>mrpl28</t>
  </si>
  <si>
    <t>mitochondrial ribosomal protein L28 [Source:ZFIN;Acc:ZDB-GENE-050522-113]</t>
  </si>
  <si>
    <t>ENSDARG00000078529</t>
  </si>
  <si>
    <t>adgrb1b</t>
  </si>
  <si>
    <t>adhesion G protein-coupled receptor B1b [Source:ZFIN;Acc:ZDB-GENE-081031-45]</t>
  </si>
  <si>
    <t>ENSDARG00000052334</t>
  </si>
  <si>
    <t>ociad1</t>
  </si>
  <si>
    <t>OCIA domain containing 1 [Source:ZFIN;Acc:ZDB-GENE-040426-1100]</t>
  </si>
  <si>
    <t>ENSDARG00000073696</t>
  </si>
  <si>
    <t>frmd8</t>
  </si>
  <si>
    <t>FERM domain containing 8 [Source:ZFIN;Acc:ZDB-GENE-090812-5]</t>
  </si>
  <si>
    <t>ENSDARG00000017338</t>
  </si>
  <si>
    <t>kidins220b</t>
  </si>
  <si>
    <t>kinase D-interacting substrate 220b [Source:ZFIN;Acc:ZDB-GENE-030131-7824]</t>
  </si>
  <si>
    <t>ENSDARG00000033089</t>
  </si>
  <si>
    <t>si:dkeyp-8h9.1</t>
  </si>
  <si>
    <t>si:dkeyp-8h9.1 [Source:ZFIN;Acc:ZDB-GENE-091204-211]</t>
  </si>
  <si>
    <t>ENSDARG00000069297</t>
  </si>
  <si>
    <t>upf3a</t>
  </si>
  <si>
    <t>UPF3 regulator of nonsense transcripts homolog A (yeast) [Source:ZFIN;Acc:ZDB-GENE-060721-2]</t>
  </si>
  <si>
    <t>ENSDARG00000075974</t>
  </si>
  <si>
    <t>si:dkey-258f14.3</t>
  </si>
  <si>
    <t>si:dkey-258f14.3 [Source:ZFIN;Acc:ZDB-GENE-050809-43]</t>
  </si>
  <si>
    <t>ENSDARG00000005590</t>
  </si>
  <si>
    <t>mtf2</t>
  </si>
  <si>
    <t>metal response element binding transcription factor 2 [Source:ZFIN;Acc:ZDB-GENE-060512-94]</t>
  </si>
  <si>
    <t>ENSDARG00000103264</t>
  </si>
  <si>
    <t>DCDC2C</t>
  </si>
  <si>
    <t>si:dkey-25g12.4 [Source:ZFIN;Acc:ZDB-GENE-160113-73]</t>
  </si>
  <si>
    <t>ENSDARG00000035569</t>
  </si>
  <si>
    <t>cyp1d1</t>
  </si>
  <si>
    <t>cytochrome P450, family 1, subfamily D, polypeptide 1 [Source:ZFIN;Acc:ZDB-GENE-041114-179]</t>
  </si>
  <si>
    <t>ENSDARG00000078401</t>
  </si>
  <si>
    <t>larp4aa</t>
  </si>
  <si>
    <t>La ribonucleoprotein domain family, member 4Aa [Source:ZFIN;Acc:ZDB-GENE-090313-50]</t>
  </si>
  <si>
    <t>ENSDARG00000103003</t>
  </si>
  <si>
    <t>si:dkey-211i20.2</t>
  </si>
  <si>
    <t>si:dkey-211i20.2 [Source:ZFIN;Acc:ZDB-GENE-081027-6]</t>
  </si>
  <si>
    <t>ENSDARG00000056248</t>
  </si>
  <si>
    <t>si:dkey-183i3.5</t>
  </si>
  <si>
    <t>si:dkey-183i3.5 [Source:ZFIN;Acc:ZDB-GENE-030131-8568]</t>
  </si>
  <si>
    <t>ENSDARG00000057151</t>
  </si>
  <si>
    <t>prep</t>
  </si>
  <si>
    <t>prolyl endopeptidase [Source:ZFIN;Acc:ZDB-GENE-050522-14]</t>
  </si>
  <si>
    <t>ENSDARG00000061006</t>
  </si>
  <si>
    <t>cyb5d2</t>
  </si>
  <si>
    <t>cytochrome b5 domain containing 2 [Source:ZFIN;Acc:ZDB-GENE-050506-83]</t>
  </si>
  <si>
    <t>ENSDARG00000053127</t>
  </si>
  <si>
    <t>helb</t>
  </si>
  <si>
    <t>helicase (DNA) B [Source:ZFIN;Acc:ZDB-GENE-030729-16]</t>
  </si>
  <si>
    <t>ENSDARG00000062575</t>
  </si>
  <si>
    <t>si:ch211-210g13.5</t>
  </si>
  <si>
    <t>si:ch211-210g13.5 [Source:ZFIN;Acc:ZDB-GENE-030131-5675]</t>
  </si>
  <si>
    <t>ENSDARG00000058821</t>
  </si>
  <si>
    <t>sema5a</t>
  </si>
  <si>
    <t>sema domain, seven thrombospondin repeats (type 1 and type 1-like), transmembrane domain (TM) and short cytoplasmic domain, (semaphorin) 5A [Source:ZFIN;Acc:ZDB-GENE-030131-8969]</t>
  </si>
  <si>
    <t>ENSDARG00000015971</t>
  </si>
  <si>
    <t>rapgef1b</t>
  </si>
  <si>
    <t>Rap guanine nucleotide exchange factor (GEF) 1b [Source:ZFIN;Acc:ZDB-GENE-040426-1001]</t>
  </si>
  <si>
    <t>ENSDARG00000033171</t>
  </si>
  <si>
    <t>trappc6bl</t>
  </si>
  <si>
    <t>trafficking protein particle complex 6b-like [Source:ZFIN;Acc:ZDB-GENE-040426-1602]</t>
  </si>
  <si>
    <t>ENSDARG00000101029</t>
  </si>
  <si>
    <t>si:ch73-347e22.4</t>
  </si>
  <si>
    <t>si:ch73-347e22.4 [Source:ZFIN;Acc:ZDB-GENE-140106-269]</t>
  </si>
  <si>
    <t>ENSDARG00000052027</t>
  </si>
  <si>
    <t>tspan1</t>
  </si>
  <si>
    <t>tetraspanin 1 [Source:ZFIN;Acc:ZDB-GENE-070502-5]</t>
  </si>
  <si>
    <t>ENSDARG00000102291</t>
  </si>
  <si>
    <t>eef1da</t>
  </si>
  <si>
    <t>eukaryotic translation elongation factor 1 delta a (guanine nucleotide exchange protein) [Source:ZFIN;Acc:ZDB-GENE-040426-2740]</t>
  </si>
  <si>
    <t>ENSDARG00000104100</t>
  </si>
  <si>
    <t>bmpr1ba</t>
  </si>
  <si>
    <t>bone morphogenetic protein receptor, type IBa [Source:ZFIN;Acc:ZDB-GENE-991208-8]</t>
  </si>
  <si>
    <t>ENSDARG00000008237</t>
  </si>
  <si>
    <t>sars</t>
  </si>
  <si>
    <t>seryl-tRNA synthetase [Source:ZFIN;Acc:ZDB-GENE-040831-1]</t>
  </si>
  <si>
    <t>ENSDARG00000098377</t>
  </si>
  <si>
    <t>tnfrsf11b</t>
  </si>
  <si>
    <t>tumor necrosis factor receptor superfamily, member 11b [Source:ZFIN;Acc:ZDB-GENE-081104-76]</t>
  </si>
  <si>
    <t>ENSDARG00000061013</t>
  </si>
  <si>
    <t>ankfy1</t>
  </si>
  <si>
    <t>ankyrin repeat and FYVE domain containing 1 [Source:ZFIN;Acc:ZDB-GENE-041222-1]</t>
  </si>
  <si>
    <t>ENSDARG00000034693</t>
  </si>
  <si>
    <t>mysm1</t>
  </si>
  <si>
    <t>Myb-like, SWIRM and MPN domains 1 [Source:ZFIN;Acc:ZDB-GENE-041014-28]</t>
  </si>
  <si>
    <t>ENSDARG00000092473</t>
  </si>
  <si>
    <t>apopt1</t>
  </si>
  <si>
    <t>apoptogenic 1, mitochondrial [Source:ZFIN;Acc:ZDB-GENE-090313-66]</t>
  </si>
  <si>
    <t>ENSDARG00000015015</t>
  </si>
  <si>
    <t>tspan18b</t>
  </si>
  <si>
    <t>tetraspanin 18b [Source:ZFIN;Acc:ZDB-GENE-040718-137]</t>
  </si>
  <si>
    <t>ENSDARG00000061763</t>
  </si>
  <si>
    <t>spata5l1</t>
  </si>
  <si>
    <t>spermatogenesis associated 5-like 1 [Source:ZFIN;Acc:ZDB-GENE-060929-204]</t>
  </si>
  <si>
    <t>ENSDARG00000040001</t>
  </si>
  <si>
    <t>fryl</t>
  </si>
  <si>
    <t>furry homolog, like [Source:ZFIN;Acc:ZDB-GENE-040914-58]</t>
  </si>
  <si>
    <t>ENSDARG00000057719</t>
  </si>
  <si>
    <t>atl2</t>
  </si>
  <si>
    <t>atlastin GTPase 2 [Source:ZFIN;Acc:ZDB-GENE-030131-6505]</t>
  </si>
  <si>
    <t>ENSDARG00000016302</t>
  </si>
  <si>
    <t>upf1</t>
  </si>
  <si>
    <t>upf1 regulator of nonsense transcripts homolog (yeast) [Source:ZFIN;Acc:ZDB-GENE-040426-2836]</t>
  </si>
  <si>
    <t>ENSDARG00000039162</t>
  </si>
  <si>
    <t>rhebl1</t>
  </si>
  <si>
    <t>Ras homolog enriched in brain like 1 [Source:ZFIN;Acc:ZDB-GENE-000510-1]</t>
  </si>
  <si>
    <t>ENSDARG00000102004</t>
  </si>
  <si>
    <t>apoea</t>
  </si>
  <si>
    <t>apolipoprotein Ea [Source:ZFIN;Acc:ZDB-GENE-010724-18]</t>
  </si>
  <si>
    <t>ENSDARG00000018856</t>
  </si>
  <si>
    <t>dclk1a</t>
  </si>
  <si>
    <t>doublecortin-like kinase 1a [Source:ZFIN;Acc:ZDB-GENE-061013-124]</t>
  </si>
  <si>
    <t>ENSDARG00000042689</t>
  </si>
  <si>
    <t>zbtb37</t>
  </si>
  <si>
    <t>zinc finger and BTB domain containing 37 [Source:ZFIN;Acc:ZDB-GENE-050208-621]</t>
  </si>
  <si>
    <t>ENSDARG00000015990</t>
  </si>
  <si>
    <t>hcfc1a</t>
  </si>
  <si>
    <t>host cell factor C1a [Source:ZFIN;Acc:ZDB-GENE-030912-10]</t>
  </si>
  <si>
    <t>ENSDARG00000097365</t>
  </si>
  <si>
    <t>si:ch73-240m14.2</t>
  </si>
  <si>
    <t>si:ch73-240m14.2 [Source:ZFIN;Acc:ZDB-GENE-131120-159]</t>
  </si>
  <si>
    <t>ENSDARG00000039108</t>
  </si>
  <si>
    <t>TRIM35.8</t>
  </si>
  <si>
    <t>zgc:113250 [Source:ZFIN;Acc:ZDB-GENE-050327-87]</t>
  </si>
  <si>
    <t>ENSDARG00000061201</t>
  </si>
  <si>
    <t>acsf2</t>
  </si>
  <si>
    <t>acyl-CoA synthetase family member 2 [Source:ZFIN;Acc:ZDB-GENE-060825-7]</t>
  </si>
  <si>
    <t>ENSDARG00000045373</t>
  </si>
  <si>
    <t>pabpn1</t>
  </si>
  <si>
    <t>poly(A) binding protein, nuclear 1 [Source:ZFIN;Acc:ZDB-GENE-040426-2401]</t>
  </si>
  <si>
    <t>ENSDARG00000062590</t>
  </si>
  <si>
    <t>pleca</t>
  </si>
  <si>
    <t>plectin a [Source:ZFIN;Acc:ZDB-GENE-030131-8984]</t>
  </si>
  <si>
    <t>ENSDARG00000092626</t>
  </si>
  <si>
    <t>zgc:174931</t>
  </si>
  <si>
    <t>zgc:174931 [Source:ZFIN;Acc:ZDB-GENE-070928-43]</t>
  </si>
  <si>
    <t>ENSDARG00000007693</t>
  </si>
  <si>
    <t>nfkbiab</t>
  </si>
  <si>
    <t>nuclear factor of kappa light polypeptide gene enhancer in B-cells inhibitor, alpha b [Source:ZFIN;Acc:ZDB-GENE-030131-1819]</t>
  </si>
  <si>
    <t>ENSDARG00000012986</t>
  </si>
  <si>
    <t>adal</t>
  </si>
  <si>
    <t>adenosine deaminase-like [Source:ZFIN;Acc:ZDB-GENE-050913-145]</t>
  </si>
  <si>
    <t>ENSDARG00000074326</t>
  </si>
  <si>
    <t>mcm8</t>
  </si>
  <si>
    <t>minichromosome maintenance 8 homologous recombination repair factor [Source:ZFIN;Acc:ZDB-GENE-120927-1]</t>
  </si>
  <si>
    <t>ENSDARG00000059770</t>
  </si>
  <si>
    <t>cpt1aa</t>
  </si>
  <si>
    <t>carnitine palmitoyltransferase 1Aa (liver) [Source:ZFIN;Acc:ZDB-GENE-060503-925]</t>
  </si>
  <si>
    <t>ENSDARG00000003175</t>
  </si>
  <si>
    <t>stx5al</t>
  </si>
  <si>
    <t>syntaxin 5A, like [Source:ZFIN;Acc:ZDB-GENE-030131-1825]</t>
  </si>
  <si>
    <t>ENSDARG00000040237</t>
  </si>
  <si>
    <t>mef2d</t>
  </si>
  <si>
    <t>myocyte enhancer factor 2d [Source:ZFIN;Acc:ZDB-GENE-990415-164]</t>
  </si>
  <si>
    <t>ENSDARG00000092464</t>
  </si>
  <si>
    <t>CCHCR1</t>
  </si>
  <si>
    <t>si:dkeyp-20g2.1 [Source:ZFIN;Acc:ZDB-GENE-070705-535]</t>
  </si>
  <si>
    <t>ENSDARG00000099697</t>
  </si>
  <si>
    <t>zgc:174696</t>
  </si>
  <si>
    <t>zgc:174696 [Source:ZFIN;Acc:ZDB-GENE-030131-2836]</t>
  </si>
  <si>
    <t>ENSDARG00000056554</t>
  </si>
  <si>
    <t>rap1gap</t>
  </si>
  <si>
    <t>RAP1 GTPase activating protein [Source:ZFIN;Acc:ZDB-GENE-080402-9]</t>
  </si>
  <si>
    <t>ENSDARG00000092364</t>
  </si>
  <si>
    <t>si:ch211-218c6.8</t>
  </si>
  <si>
    <t>si:ch211-218c6.8 [Source:ZFIN;Acc:ZDB-GENE-050419-103]</t>
  </si>
  <si>
    <t>ENSDARG00000068702</t>
  </si>
  <si>
    <t>lysmd4</t>
  </si>
  <si>
    <t>LysM, putative peptidoglycan-binding, domain containing 4 [Source:ZFIN;Acc:ZDB-GENE-040426-1895]</t>
  </si>
  <si>
    <t>ENSDARG00000040965</t>
  </si>
  <si>
    <t>zgc:101731</t>
  </si>
  <si>
    <t>zgc:101731 [Source:ZFIN;Acc:ZDB-GENE-040912-57]</t>
  </si>
  <si>
    <t>ENSDARG00000031562</t>
  </si>
  <si>
    <t>tada2a</t>
  </si>
  <si>
    <t>transcriptional adaptor 2A [Source:ZFIN;Acc:ZDB-GENE-060929-508]</t>
  </si>
  <si>
    <t>ENSDARG00000062326</t>
  </si>
  <si>
    <t>zgc:158409</t>
  </si>
  <si>
    <t>zgc:158409 [Source:ZFIN;Acc:ZDB-GENE-061215-23]</t>
  </si>
  <si>
    <t>ENSDARG00000034473</t>
  </si>
  <si>
    <t>ttyh3a</t>
  </si>
  <si>
    <t>tweety family member 3a [Source:ZFIN;Acc:ZDB-GENE-120508-1]</t>
  </si>
  <si>
    <t>ENSDARG00000074776</t>
  </si>
  <si>
    <t>tmem154</t>
  </si>
  <si>
    <t>transmembrane protein 154 [Source:ZFIN;Acc:ZDB-GENE-030131-2401]</t>
  </si>
  <si>
    <t>ENSDARG00000038442</t>
  </si>
  <si>
    <t>plcg1</t>
  </si>
  <si>
    <t>phospholipase C, gamma 1 [Source:ZFIN;Acc:ZDB-GENE-030421-3]</t>
  </si>
  <si>
    <t>ENSDARG00000009629</t>
  </si>
  <si>
    <t>unc119.1</t>
  </si>
  <si>
    <t>unc-119 homolog 1 [Source:ZFIN;Acc:ZDB-GENE-030219-130]</t>
  </si>
  <si>
    <t>ENSDARG00000056258</t>
  </si>
  <si>
    <t>cdc27</t>
  </si>
  <si>
    <t>cell division cycle 27 [Source:ZFIN;Acc:ZDB-GENE-990706-2]</t>
  </si>
  <si>
    <t>ENSDARG00000042045</t>
  </si>
  <si>
    <t>hmg20b</t>
  </si>
  <si>
    <t>high mobility group 20B [Source:ZFIN;Acc:ZDB-GENE-030131-4258]</t>
  </si>
  <si>
    <t>ENSDARG00000090142</t>
  </si>
  <si>
    <t>si:dkey-94l16.4</t>
  </si>
  <si>
    <t>si:dkey-94l16.4 [Source:ZFIN;Acc:ZDB-GENE-121214-291]</t>
  </si>
  <si>
    <t>ENSDARG00000005254</t>
  </si>
  <si>
    <t>kdelr2a</t>
  </si>
  <si>
    <t>KDEL (Lys-Asp-Glu-Leu) endoplasmic reticulum protein retention receptor 2a [Source:ZFIN;Acc:ZDB-GENE-030826-32]</t>
  </si>
  <si>
    <t>ENSDARG00000104820</t>
  </si>
  <si>
    <t>psd3l</t>
  </si>
  <si>
    <t>pleckstrin and Sec7 domain containing 3, like [Source:ZFIN;Acc:ZDB-GENE-030131-8195]</t>
  </si>
  <si>
    <t>ENSDARG00000035837</t>
  </si>
  <si>
    <t>zgc:153595</t>
  </si>
  <si>
    <t>zgc:153595 [Source:ZFIN;Acc:ZDB-GENE-060929-1030]</t>
  </si>
  <si>
    <t>ENSDARG00000089787</t>
  </si>
  <si>
    <t>crebzf</t>
  </si>
  <si>
    <t>CREB/ATF bZIP transcription factor [Source:ZFIN;Acc:ZDB-GENE-030131-8015]</t>
  </si>
  <si>
    <t>ENSDARG00000087262</t>
  </si>
  <si>
    <t>zgc:63568</t>
  </si>
  <si>
    <t>zgc:63568 [Source:ZFIN;Acc:ZDB-GENE-040426-1165]</t>
  </si>
  <si>
    <t>ENSDARG00000089217</t>
  </si>
  <si>
    <t>ubap1la</t>
  </si>
  <si>
    <t>ubiquitin associated protein 1-like a [Source:ZFIN;Acc:ZDB-GENE-131127-353]</t>
  </si>
  <si>
    <t>ENSDARG00000089802</t>
  </si>
  <si>
    <t>akap1a</t>
  </si>
  <si>
    <t>A kinase (PRKA) anchor protein 1a [Source:ZFIN;Acc:ZDB-GENE-030131-5980]</t>
  </si>
  <si>
    <t>ENSDARG00000013478</t>
  </si>
  <si>
    <t>rrp15</t>
  </si>
  <si>
    <t>ribosomal RNA processing 15 homolog [Source:ZFIN;Acc:ZDB-GENE-030131-5261]</t>
  </si>
  <si>
    <t>ENSDARG00000052789</t>
  </si>
  <si>
    <t>azin1a</t>
  </si>
  <si>
    <t>antizyme inhibitor 1a [Source:ZFIN;Acc:ZDB-GENE-050417-20]</t>
  </si>
  <si>
    <t>ENSDARG00000079756</t>
  </si>
  <si>
    <t>peak1</t>
  </si>
  <si>
    <t>pseudopodium-enriched atypical kinase 1 [Source:ZFIN;Acc:ZDB-GENE-100422-1]</t>
  </si>
  <si>
    <t>ENSDARG00000056450</t>
  </si>
  <si>
    <t>MANEAL</t>
  </si>
  <si>
    <t>si:ch211-30b16.2 [Source:ZFIN;Acc:ZDB-GENE-060503-511]</t>
  </si>
  <si>
    <t>ENSDARG00000030064</t>
  </si>
  <si>
    <t>plekha1a</t>
  </si>
  <si>
    <t>pleckstrin homology domain containing, family A (phosphoinositide binding specific) member 1a [Source:ZFIN;Acc:ZDB-GENE-040426-2780]</t>
  </si>
  <si>
    <t>ENSDARG00000008723</t>
  </si>
  <si>
    <t>prkcba</t>
  </si>
  <si>
    <t>protein kinase C, beta a [Source:ZFIN;Acc:ZDB-GENE-040426-1354]</t>
  </si>
  <si>
    <t>ENSDARG00000086604</t>
  </si>
  <si>
    <t>si:ch211-113a14.25</t>
  </si>
  <si>
    <t>si:ch211-113a14.25 [Source:ZFIN;Acc:ZDB-GENE-121214-152]</t>
  </si>
  <si>
    <t>ENSDARG00000059630</t>
  </si>
  <si>
    <t>mlec</t>
  </si>
  <si>
    <t>malectin [Source:ZFIN;Acc:ZDB-GENE-081105-187]</t>
  </si>
  <si>
    <t>ENSDARG00000022648</t>
  </si>
  <si>
    <t>otud3</t>
  </si>
  <si>
    <t>OTU deubiquitinase 3 [Source:ZFIN;Acc:ZDB-GENE-040426-2509]</t>
  </si>
  <si>
    <t>ENSDARG00000051718</t>
  </si>
  <si>
    <t>si:ch211-113a14.24</t>
  </si>
  <si>
    <t>si:ch211-113a14.24 [Source:ZFIN;Acc:ZDB-GENE-121214-122]</t>
  </si>
  <si>
    <t>ENSDARG00000035540</t>
  </si>
  <si>
    <t>brwd3</t>
  </si>
  <si>
    <t>bromodomain and WD repeat domain containing 3 [Source:ZFIN;Acc:ZDB-GENE-100921-43]</t>
  </si>
  <si>
    <t>ENSDARG00000041435</t>
  </si>
  <si>
    <t>uba52</t>
  </si>
  <si>
    <t>ubiquitin A-52 residue ribosomal protein fusion product 1 [Source:ZFIN;Acc:ZDB-GENE-051023-7]</t>
  </si>
  <si>
    <t>ENSDARG00000039996</t>
  </si>
  <si>
    <t>xkr8.3</t>
  </si>
  <si>
    <t>XK, Kell blood group complex subunit-related family, member 8, tandem duplicate 3 [Source:ZFIN;Acc:ZDB-GENE-041010-107]</t>
  </si>
  <si>
    <t>ENSDARG00000068398</t>
  </si>
  <si>
    <t>cep126</t>
  </si>
  <si>
    <t>centrosomal protein 126 [Source:ZFIN;Acc:ZDB-GENE-050419-24]</t>
  </si>
  <si>
    <t>ENSDARG00000044925</t>
  </si>
  <si>
    <t>cdk5rap1</t>
  </si>
  <si>
    <t>CDK5 regulatory subunit associated protein 1 [Source:ZFIN;Acc:ZDB-GENE-070424-90]</t>
  </si>
  <si>
    <t>ENSDARG00000062501</t>
  </si>
  <si>
    <t>hhipl1</t>
  </si>
  <si>
    <t>HHIP-like 1 [Source:ZFIN;Acc:ZDB-GENE-090306-3]</t>
  </si>
  <si>
    <t>ENSDARG00000003269</t>
  </si>
  <si>
    <t>clcn3</t>
  </si>
  <si>
    <t>chloride channel 3 [Source:ZFIN;Acc:ZDB-GENE-030131-1699]</t>
  </si>
  <si>
    <t>ENSDARG00000020718</t>
  </si>
  <si>
    <t>SLC25A22</t>
  </si>
  <si>
    <t>SLC25A22.1</t>
  </si>
  <si>
    <t>si:dkey-201c1.2 [Source:ZFIN;Acc:ZDB-GENE-110408-61]</t>
  </si>
  <si>
    <t>ENSDARG00000018061</t>
  </si>
  <si>
    <t>neil1</t>
  </si>
  <si>
    <t>nei-like DNA glycosylase 1 [Source:ZFIN;Acc:ZDB-GENE-040426-994]</t>
  </si>
  <si>
    <t>ENSDARG00000086775</t>
  </si>
  <si>
    <t>top1</t>
  </si>
  <si>
    <t>topoisomerase (DNA) I [Source:ZFIN;Acc:ZDB-GENE-030131-5390]</t>
  </si>
  <si>
    <t>ENSDARG00000091756</t>
  </si>
  <si>
    <t>insm1a</t>
  </si>
  <si>
    <t>insulinoma-associated 1a [Source:ZFIN;Acc:ZDB-GENE-040426-1810]</t>
  </si>
  <si>
    <t>ENSDARG00000025554</t>
  </si>
  <si>
    <t>WDR83OS</t>
  </si>
  <si>
    <t>zgc:73111 [Source:ZFIN;Acc:ZDB-GENE-040426-1674]</t>
  </si>
  <si>
    <t>ENSDARG00000037633</t>
  </si>
  <si>
    <t>leng1</t>
  </si>
  <si>
    <t>leukocyte receptor cluster (LRC) member 1 [Source:ZFIN;Acc:ZDB-GENE-040912-159]</t>
  </si>
  <si>
    <t>ENSDARG00000061338</t>
  </si>
  <si>
    <t>ddx6</t>
  </si>
  <si>
    <t>DEAD (Asp-Glu-Ala-Asp) box helicase 6 [Source:ZFIN;Acc:ZDB-GENE-070912-83]</t>
  </si>
  <si>
    <t>ENSDARG00000099118</t>
  </si>
  <si>
    <t>TRAPPC9</t>
  </si>
  <si>
    <t>si:dkey-218f9.10 [Source:ZFIN;Acc:ZDB-GENE-070705-374]</t>
  </si>
  <si>
    <t>ENSDARG00000032932</t>
  </si>
  <si>
    <t>cnksr1</t>
  </si>
  <si>
    <t>connector enhancer of kinase suppressor of Ras 1 [Source:ZFIN;Acc:ZDB-GENE-040426-1802]</t>
  </si>
  <si>
    <t>ENSDARG00000019013</t>
  </si>
  <si>
    <t>barhl1b</t>
  </si>
  <si>
    <t>BarH-like homeobox 1b [Source:ZFIN;Acc:ZDB-GENE-060118-2]</t>
  </si>
  <si>
    <t>ENSDARG00000079997</t>
  </si>
  <si>
    <t>CFAP61</t>
  </si>
  <si>
    <t>si:zfos-223e1.2 [Source:ZFIN;Acc:ZDB-GENE-110411-269]</t>
  </si>
  <si>
    <t>ENSDARG00000005232</t>
  </si>
  <si>
    <t>ccdc85ca</t>
  </si>
  <si>
    <t>coiled-coil domain containing 85C, a [Source:ZFIN;Acc:ZDB-GENE-060825-198]</t>
  </si>
  <si>
    <t>ENSDARG00000052148</t>
  </si>
  <si>
    <t>ptgs1</t>
  </si>
  <si>
    <t>prostaglandin-endoperoxide synthase 1 [Source:ZFIN;Acc:ZDB-GENE-020530-1]</t>
  </si>
  <si>
    <t>ENSDARG00000042112</t>
  </si>
  <si>
    <t>dio1</t>
  </si>
  <si>
    <t>deiodinase, iodothyronine, type I [Source:ZFIN;Acc:ZDB-GENE-030328-41]</t>
  </si>
  <si>
    <t>ENSDARG00000102349</t>
  </si>
  <si>
    <t>cep55l</t>
  </si>
  <si>
    <t>centrosomal protein 55 like [Source:ZFIN;Acc:ZDB-GENE-050522-222]</t>
  </si>
  <si>
    <t>ENSDARG00000094025</t>
  </si>
  <si>
    <t>si:dkey-237j10.2</t>
  </si>
  <si>
    <t>si:dkey-237j10.2 [Source:ZFIN;Acc:ZDB-GENE-100922-206]</t>
  </si>
  <si>
    <t>ENSDARG00000058740</t>
  </si>
  <si>
    <t>ube2r2</t>
  </si>
  <si>
    <t>ubiquitin-conjugating enzyme E2R 2 [Source:ZFIN;Acc:ZDB-GENE-040718-344]</t>
  </si>
  <si>
    <t>ENSDARG00000025518</t>
  </si>
  <si>
    <t>F8A2</t>
  </si>
  <si>
    <t>zgc:101679 [Source:ZFIN;Acc:ZDB-GENE-041010-181]</t>
  </si>
  <si>
    <t>ENSDARG00000043313</t>
  </si>
  <si>
    <t>ank2b</t>
  </si>
  <si>
    <t>ankyrin 2b, neuronal [Source:ZFIN;Acc:ZDB-GENE-041010-165]</t>
  </si>
  <si>
    <t>ENSDARG00000055635</t>
  </si>
  <si>
    <t>crk</t>
  </si>
  <si>
    <t>v-crk avian sarcoma virus CT10 oncogene homolog [Source:ZFIN;Acc:ZDB-GENE-040801-148]</t>
  </si>
  <si>
    <t>ENSDARG00000100825</t>
  </si>
  <si>
    <t>calm3a</t>
  </si>
  <si>
    <t>calmodulin 3a (phosphorylase kinase, delta) [Source:ZFIN;Acc:ZDB-GENE-030131-5590]</t>
  </si>
  <si>
    <t>ENSDARG00000069186</t>
  </si>
  <si>
    <t>cyp27a1.2</t>
  </si>
  <si>
    <t>cytochrome P450, family 27, subfamily A, polypeptide 1, gene 2 [Source:ZFIN;Acc:ZDB-GENE-081104-511]</t>
  </si>
  <si>
    <t>ENSDARG00000029072</t>
  </si>
  <si>
    <t>klf6a</t>
  </si>
  <si>
    <t>Kruppel-like factor 6a [Source:ZFIN;Acc:ZDB-GENE-021115-9]</t>
  </si>
  <si>
    <t>ENSDARG00000070297</t>
  </si>
  <si>
    <t>HIST1H2BA.9</t>
  </si>
  <si>
    <t>si:ch211-113a14.28 [Source:ZFIN;Acc:ZDB-GENE-121214-199]</t>
  </si>
  <si>
    <t>ENSDARG00000074902</t>
  </si>
  <si>
    <t>nol4la</t>
  </si>
  <si>
    <t>nucleolar protein 4-like a [Source:ZFIN;Acc:ZDB-GENE-081105-118]</t>
  </si>
  <si>
    <t>ENSDARG00000034227</t>
  </si>
  <si>
    <t>si:dkey-243i1.1</t>
  </si>
  <si>
    <t>si:dkey-243i1.1 [Source:ZFIN;Acc:ZDB-GENE-030131-6399]</t>
  </si>
  <si>
    <t>ENSDARG00000034146</t>
  </si>
  <si>
    <t>ccnk</t>
  </si>
  <si>
    <t>cyclin K [Source:ZFIN;Acc:ZDB-GENE-030131-5126]</t>
  </si>
  <si>
    <t>ENSDARG00000100225</t>
  </si>
  <si>
    <t>kif16ba</t>
  </si>
  <si>
    <t>kinesin family member 16Ba [Source:ZFIN;Acc:ZDB-GENE-090313-233]</t>
  </si>
  <si>
    <t>ENSDARG00000079123</t>
  </si>
  <si>
    <t>ikbkb</t>
  </si>
  <si>
    <t>inhibitor of kappa light polypeptide gene enhancer in B-cells, kinase beta [Source:ZFIN;Acc:ZDB-GENE-071115-2]</t>
  </si>
  <si>
    <t>ENSDARG00000061901</t>
  </si>
  <si>
    <t>ankrd13a</t>
  </si>
  <si>
    <t>ankyrin repeat domain 13A [Source:ZFIN;Acc:ZDB-GENE-030131-1833]</t>
  </si>
  <si>
    <t>ENSDARG00000016551</t>
  </si>
  <si>
    <t>iqsec1b</t>
  </si>
  <si>
    <t>IQ motif and Sec7 domain 1b [Source:ZFIN;Acc:ZDB-GENE-120813-1]</t>
  </si>
  <si>
    <t>ENSDARG00000032389</t>
  </si>
  <si>
    <t>tspan12</t>
  </si>
  <si>
    <t>tetraspanin 12 [Source:ZFIN;Acc:ZDB-GENE-040426-1285]</t>
  </si>
  <si>
    <t>ENSDARG00000101199</t>
  </si>
  <si>
    <t>rbp4</t>
  </si>
  <si>
    <t>retinol binding protein 4, plasma [Source:ZFIN;Acc:ZDB-GENE-000210-19]</t>
  </si>
  <si>
    <t>ENSDARG00000017928</t>
  </si>
  <si>
    <t>xrcc3</t>
  </si>
  <si>
    <t>X-ray repair complementing defective repair in Chinese hamster cells 3 [Source:ZFIN;Acc:ZDB-GENE-050320-116]</t>
  </si>
  <si>
    <t>ENSDARG00000054530</t>
  </si>
  <si>
    <t>rars</t>
  </si>
  <si>
    <t>arginyl-tRNA synthetase [Source:ZFIN;Acc:ZDB-GENE-030131-9014]</t>
  </si>
  <si>
    <t>ENSDARG00000028688</t>
  </si>
  <si>
    <t>exosc2</t>
  </si>
  <si>
    <t>exosome component 2 [Source:ZFIN;Acc:ZDB-GENE-050417-27]</t>
  </si>
  <si>
    <t>ENSDARG00000007720</t>
  </si>
  <si>
    <t>sub1b</t>
  </si>
  <si>
    <t>SUB1 homolog, transcriptional regulator b [Source:ZFIN;Acc:ZDB-GENE-040718-209]</t>
  </si>
  <si>
    <t>ENSDARG00000031202</t>
  </si>
  <si>
    <t>alg11</t>
  </si>
  <si>
    <t>asparagine-linked glycosylation 11 (alpha-1,2-mannosyltransferase) [Source:ZFIN;Acc:ZDB-GENE-030131-7282]</t>
  </si>
  <si>
    <t>ENSDARG00000069266</t>
  </si>
  <si>
    <t>esrra</t>
  </si>
  <si>
    <t>estrogen-related receptor alpha [Source:ZFIN;Acc:ZDB-GENE-990415-68]</t>
  </si>
  <si>
    <t>ENSDARG00000099544</t>
  </si>
  <si>
    <t>si:dkey-165b20.3</t>
  </si>
  <si>
    <t>si:dkey-165b20.3 [Source:ZFIN;Acc:ZDB-GENE-110913-172]</t>
  </si>
  <si>
    <t>ENSDARG00000098912</t>
  </si>
  <si>
    <t>si:zfos-632h11.5</t>
  </si>
  <si>
    <t>si:zfos-632h11.5 [Source:ZFIN;Acc:ZDB-GENE-141212-410]</t>
  </si>
  <si>
    <t>ENSDARG00000011662</t>
  </si>
  <si>
    <t>chuk</t>
  </si>
  <si>
    <t>conserved helix-loop-helix ubiquitous kinase [Source:ZFIN;Acc:ZDB-GENE-040426-1069]</t>
  </si>
  <si>
    <t>ENSDARG00000036942</t>
  </si>
  <si>
    <t>gpd1c</t>
  </si>
  <si>
    <t>glycerol-3-phosphate dehydrogenase 1c [Source:ZFIN;Acc:ZDB-GENE-040426-2576]</t>
  </si>
  <si>
    <t>ENSDARG00000061629</t>
  </si>
  <si>
    <t>ndufaf5</t>
  </si>
  <si>
    <t>NADH dehydrogenase (ubiquinone) complex I, assembly factor 5 [Source:ZFIN;Acc:ZDB-GENE-070410-110]</t>
  </si>
  <si>
    <t>ENSDARG00000002127</t>
  </si>
  <si>
    <t>stam</t>
  </si>
  <si>
    <t>signal transducing adaptor molecule (SH3 domain and ITAM motif) 1 [Source:ZFIN;Acc:ZDB-GENE-031118-123]</t>
  </si>
  <si>
    <t>ENSDARG00000016396</t>
  </si>
  <si>
    <t>fam219aa</t>
  </si>
  <si>
    <t>family with sequence similarity 219, member Aa [Source:ZFIN;Acc:ZDB-GENE-040801-110]</t>
  </si>
  <si>
    <t>ENSDARG00000012674</t>
  </si>
  <si>
    <t>rpusd4</t>
  </si>
  <si>
    <t>RNA pseudouridylate synthase domain containing 4 [Source:ZFIN;Acc:ZDB-GENE-040801-238]</t>
  </si>
  <si>
    <t>ENSDARG00000030311</t>
  </si>
  <si>
    <t>tmc2b</t>
  </si>
  <si>
    <t>transmembrane channel-like 2b [Source:ZFIN;Acc:ZDB-GENE-060526-262]</t>
  </si>
  <si>
    <t>ENSDARG00000101446</t>
  </si>
  <si>
    <t>PCP4L1</t>
  </si>
  <si>
    <t>si:dkey-46i9.1 [Source:ZFIN;Acc:ZDB-GENE-141216-493]</t>
  </si>
  <si>
    <t>ENSDARG00000013443</t>
  </si>
  <si>
    <t>atp6v1ba</t>
  </si>
  <si>
    <t>ATPase, H+ transporting, lysosomal, V1 subunit B, member a [Source:ZFIN;Acc:ZDB-GENE-030711-3]</t>
  </si>
  <si>
    <t>ENSDARG00000002487</t>
  </si>
  <si>
    <t>noc3l</t>
  </si>
  <si>
    <t>NOC3-like DNA replication regulator [Source:ZFIN;Acc:ZDB-GENE-030131-9878]</t>
  </si>
  <si>
    <t>ENSDARG00000055300</t>
  </si>
  <si>
    <t>atxn7l2a</t>
  </si>
  <si>
    <t>ataxin 7-like 2a [Source:ZFIN;Acc:ZDB-GENE-060519-13]</t>
  </si>
  <si>
    <t>ENSDARG00000011170</t>
  </si>
  <si>
    <t>ndrg2</t>
  </si>
  <si>
    <t>NDRG family member 2 [Source:ZFIN;Acc:ZDB-GENE-041212-15]</t>
  </si>
  <si>
    <t>ENSDARG00000052271</t>
  </si>
  <si>
    <t>slc22a18</t>
  </si>
  <si>
    <t>solute carrier family 22, member 18 [Source:ZFIN;Acc:ZDB-GENE-051120-165]</t>
  </si>
  <si>
    <t>ENSDARG00000059629</t>
  </si>
  <si>
    <t>asphd2</t>
  </si>
  <si>
    <t>aspartate beta-hydroxylase domain containing 2 [Source:ZFIN;Acc:ZDB-GENE-061103-142]</t>
  </si>
  <si>
    <t>ENSDARG00000089742</t>
  </si>
  <si>
    <t>fam161a</t>
  </si>
  <si>
    <t>family with sequence similarity 161, member A [Source:ZFIN;Acc:ZDB-GENE-110310-1]</t>
  </si>
  <si>
    <t>ENSDARG00000030478</t>
  </si>
  <si>
    <t>zgc:66484</t>
  </si>
  <si>
    <t>zgc:66484 [Source:ZFIN;Acc:ZDB-GENE-030131-5768]</t>
  </si>
  <si>
    <t>ENSDARG00000092358</t>
  </si>
  <si>
    <t>si:ch211-114l13.11</t>
  </si>
  <si>
    <t>si:ch211-114l13.11 [Source:ZFIN;Acc:ZDB-GENE-070424-111]</t>
  </si>
  <si>
    <t>ENSDARG00000055128</t>
  </si>
  <si>
    <t>armc4</t>
  </si>
  <si>
    <t>armadillo repeat containing 4 [Source:ZFIN;Acc:ZDB-GENE-100316-7]</t>
  </si>
  <si>
    <t>ENSDARG00000104702</t>
  </si>
  <si>
    <t>cat</t>
  </si>
  <si>
    <t>catalase [Source:ZFIN;Acc:ZDB-GENE-000210-20]</t>
  </si>
  <si>
    <t>ENSDARG00000102674</t>
  </si>
  <si>
    <t>ckap5</t>
  </si>
  <si>
    <t>cytoskeleton associated protein 5 [Source:ZFIN;Acc:ZDB-GENE-051120-174]</t>
  </si>
  <si>
    <t>ENSDARG00000058656</t>
  </si>
  <si>
    <t>desma</t>
  </si>
  <si>
    <t>desmin a [Source:ZFIN;Acc:ZDB-GENE-980526-221]</t>
  </si>
  <si>
    <t>ENSDARG00000009727</t>
  </si>
  <si>
    <t>twf2b</t>
  </si>
  <si>
    <t>twinfilin actin-binding protein 2b [Source:ZFIN;Acc:ZDB-GENE-050522-238]</t>
  </si>
  <si>
    <t>ENSDARG00000101135</t>
  </si>
  <si>
    <t>si:dkey-85k7.7</t>
  </si>
  <si>
    <t>si:dkey-85k7.7 [Source:ZFIN;Acc:ZDB-GENE-040128-7]</t>
  </si>
  <si>
    <t>ENSDARG00000097747</t>
  </si>
  <si>
    <t>si:ch73-14o21.1</t>
  </si>
  <si>
    <t>si:ch73-14o21.1 [Source:ZFIN;Acc:ZDB-GENE-131127-634]</t>
  </si>
  <si>
    <t>ENSDARG00000062855</t>
  </si>
  <si>
    <t>plekhg7</t>
  </si>
  <si>
    <t>pleckstrin homology domain containing, family G (with RhoGef domain) member 7 [Source:ZFIN;Acc:ZDB-GENE-070410-15]</t>
  </si>
  <si>
    <t>ENSDARG00000103743</t>
  </si>
  <si>
    <t>si:dkeyp-72e1.9</t>
  </si>
  <si>
    <t>si:dkeyp-72e1.9 [Source:ZFIN;Acc:ZDB-GENE-120215-89]</t>
  </si>
  <si>
    <t>ENSDARG00000052402</t>
  </si>
  <si>
    <t>dnmt3ba</t>
  </si>
  <si>
    <t>DNA (cytosine-5-)-methyltransferase 3 beta, duplicate a [Source:ZFIN;Acc:ZDB-GENE-050314-4]</t>
  </si>
  <si>
    <t>ENSDARG00000052950</t>
  </si>
  <si>
    <t>arhgap23a</t>
  </si>
  <si>
    <t>Rho GTPase activating protein 23a [Source:ZFIN;Acc:ZDB-GENE-121019-1]</t>
  </si>
  <si>
    <t>ENSDARG00000074533</t>
  </si>
  <si>
    <t>slc25a38b</t>
  </si>
  <si>
    <t>solute carrier family 25, member 38b [Source:ZFIN;Acc:ZDB-GENE-110214-1]</t>
  </si>
  <si>
    <t>ENSDARG00000099870</t>
  </si>
  <si>
    <t>zgc:101560</t>
  </si>
  <si>
    <t>zgc:101560 [Source:ZFIN;Acc:ZDB-GENE-041010-75]</t>
  </si>
  <si>
    <t>ENSDARG00000077060</t>
  </si>
  <si>
    <t>rbm6</t>
  </si>
  <si>
    <t>RNA binding motif protein 6 [Source:ZFIN;Acc:ZDB-GENE-050309-79]</t>
  </si>
  <si>
    <t>ENSDARG00000019353</t>
  </si>
  <si>
    <t>sparc</t>
  </si>
  <si>
    <t>secreted protein, acidic, cysteine-rich (osteonectin) [Source:ZFIN;Acc:ZDB-GENE-030131-9]</t>
  </si>
  <si>
    <t>ENSDARG00000102744</t>
  </si>
  <si>
    <t>mgst3</t>
  </si>
  <si>
    <t>microsomal glutathione S-transferase 3 [Source:ZFIN;Acc:ZDB-GENE-040426-2767]</t>
  </si>
  <si>
    <t>ENSDARG00000054707</t>
  </si>
  <si>
    <t>dhx8</t>
  </si>
  <si>
    <t>DEAH (Asp-Glu-Ala-His) box polypeptide 8 [Source:ZFIN;Acc:ZDB-GENE-050809-39]</t>
  </si>
  <si>
    <t>ENSDARG00000051879</t>
  </si>
  <si>
    <t>abcc8</t>
  </si>
  <si>
    <t>ATP-binding cassette, sub-family C (CFTR/MRP), member 8 [Source:ZFIN;Acc:ZDB-GENE-050517-22]</t>
  </si>
  <si>
    <t>ENSDARG00000019907</t>
  </si>
  <si>
    <t>dscc1</t>
  </si>
  <si>
    <t>DNA replication and sister chromatid cohesion 1 [Source:ZFIN;Acc:ZDB-GENE-040912-35]</t>
  </si>
  <si>
    <t>ENSDARG00000059373</t>
  </si>
  <si>
    <t>dnajc8</t>
  </si>
  <si>
    <t>DnaJ (Hsp40) homolog, subfamily C, member 8 [Source:ZFIN;Acc:ZDB-GENE-030131-66]</t>
  </si>
  <si>
    <t>ENSDARG00000021924</t>
  </si>
  <si>
    <t>hsp70.3</t>
  </si>
  <si>
    <t>heat shock cognate 70-kd protein, tandem duplicate 3 [Source:ZFIN;Acc:ZDB-GENE-110713-1]</t>
  </si>
  <si>
    <t>ENSDARG00000088013</t>
  </si>
  <si>
    <t>CYP27A1</t>
  </si>
  <si>
    <t>zgc:136333 [Source:ZFIN;Acc:ZDB-GENE-060616-143]</t>
  </si>
  <si>
    <t>ENSDARG00000041019</t>
  </si>
  <si>
    <t>or111-11</t>
  </si>
  <si>
    <t>odorant receptor, family D, subfamily 111, member 11 [Source:ZFIN;Acc:ZDB-GENE-010308-10]</t>
  </si>
  <si>
    <t>ENSDARG00000044899</t>
  </si>
  <si>
    <t>tmem183a</t>
  </si>
  <si>
    <t>transmembrane protein 183A [Source:ZFIN;Acc:ZDB-GENE-050327-5]</t>
  </si>
  <si>
    <t>ENSDARG00000100889</t>
  </si>
  <si>
    <t>galnt18a</t>
  </si>
  <si>
    <t>UDP-N-acetyl-alpha-D-galactosamine:polypeptide N-acetylgalactosaminyltransferase 18a [Source:ZFIN;Acc:ZDB-GENE-080723-30]</t>
  </si>
  <si>
    <t>ENSDARG00000104437</t>
  </si>
  <si>
    <t>aip</t>
  </si>
  <si>
    <t>aryl hydrocarbon receptor interacting protein [Source:ZFIN;Acc:ZDB-GENE-030131-6735]</t>
  </si>
  <si>
    <t>ENSDARG00000017254</t>
  </si>
  <si>
    <t>kcnk1b</t>
  </si>
  <si>
    <t>potassium channel, subfamily K, member 1b [Source:ZFIN;Acc:ZDB-GENE-090312-78]</t>
  </si>
  <si>
    <t>ENSDARG00000092362</t>
  </si>
  <si>
    <t>hsp70.2</t>
  </si>
  <si>
    <t>heat shock cognate 70-kd protein, tandem duplicate 2 [Source:ZFIN;Acc:ZDB-GENE-110405-1]</t>
  </si>
  <si>
    <t>ENSDARG00000099563</t>
  </si>
  <si>
    <t>inpp5ka</t>
  </si>
  <si>
    <t>inositol polyphosphate-5-phosphatase Ka [Source:ZFIN;Acc:ZDB-GENE-070410-101]</t>
  </si>
  <si>
    <t>ENSDARG00000011407</t>
  </si>
  <si>
    <t>col2a1b</t>
  </si>
  <si>
    <t>collagen, type II, alpha 1b [Source:ZFIN;Acc:ZDB-GENE-050302-9]</t>
  </si>
  <si>
    <t>ENSDARG00000068678</t>
  </si>
  <si>
    <t>iqcg</t>
  </si>
  <si>
    <t>IQ motif containing G [Source:ZFIN;Acc:ZDB-GENE-050419-109]</t>
  </si>
  <si>
    <t>ENSDARG00000069632</t>
  </si>
  <si>
    <t>emp1</t>
  </si>
  <si>
    <t>epithelial membrane protein 1 [Source:ZFIN;Acc:ZDB-GENE-070822-2]</t>
  </si>
  <si>
    <t>ENSDARG00000043403</t>
  </si>
  <si>
    <t>si:dkey-7o6.3</t>
  </si>
  <si>
    <t>si:dkey-7o6.3 [Source:ZFIN;Acc:ZDB-GENE-081104-436]</t>
  </si>
  <si>
    <t>ENSDARG00000055159</t>
  </si>
  <si>
    <t>cyp27a1.4</t>
  </si>
  <si>
    <t>cytochrome P450, family 27, subfamily A, polypeptide 1, gene 4 [Source:ZFIN;Acc:ZDB-GENE-030131-1060]</t>
  </si>
  <si>
    <t>ENSDARG00000011956</t>
  </si>
  <si>
    <t>dlx4a</t>
  </si>
  <si>
    <t>distal-less homeobox 4a [Source:ZFIN;Acc:ZDB-GENE-980526-73]</t>
  </si>
  <si>
    <t>ENSDARG00000003750</t>
  </si>
  <si>
    <t>pfas</t>
  </si>
  <si>
    <t>phosphoribosylformylglycinamidine synthase [Source:ZFIN;Acc:ZDB-GENE-030131-4420]</t>
  </si>
  <si>
    <t>ENSDARG00000104149</t>
  </si>
  <si>
    <t>rraga</t>
  </si>
  <si>
    <t>Ras-related GTP binding A [Source:ZFIN;Acc:ZDB-GENE-030131-4083]</t>
  </si>
  <si>
    <t>ENSDARG00000070832</t>
  </si>
  <si>
    <t>snrka</t>
  </si>
  <si>
    <t>SNF related kinase a [Source:ZFIN;Acc:ZDB-GENE-040718-84]</t>
  </si>
  <si>
    <t>ENSDARG00000029688</t>
  </si>
  <si>
    <t>hsp70.1</t>
  </si>
  <si>
    <t>heat shock cognate 70-kd protein, tandem duplicate 1 [Source:ZFIN;Acc:ZDB-GENE-990415-91]</t>
  </si>
  <si>
    <t>ENSDARG00000037061</t>
  </si>
  <si>
    <t>aldh9a1b</t>
  </si>
  <si>
    <t>aldehyde dehydrogenase 9 family, member A1b [Source:ZFIN;Acc:ZDB-GENE-040120-5]</t>
  </si>
  <si>
    <t>ENSDARG00000021241</t>
  </si>
  <si>
    <t>zgc:165604</t>
  </si>
  <si>
    <t>zgc:165604 [Source:ZFIN;Acc:ZDB-GENE-070615-34]</t>
  </si>
  <si>
    <t>ENSDARG00000102615</t>
  </si>
  <si>
    <t>fra10ac1</t>
  </si>
  <si>
    <t>fragile site, folic acid type, rare, candidate 1 [Source:ZFIN;Acc:ZDB-GENE-041010-95]</t>
  </si>
  <si>
    <t>ENSDARG00000042856</t>
  </si>
  <si>
    <t>itpka</t>
  </si>
  <si>
    <t>inositol-trisphosphate 3-kinase A [Source:ZFIN;Acc:ZDB-GENE-030616-116]</t>
  </si>
  <si>
    <t>ENSDARG00000079229</t>
  </si>
  <si>
    <t>znf414</t>
  </si>
  <si>
    <t>zinc finger protein 414 [Source:ZFIN;Acc:ZDB-GENE-070912-571]</t>
  </si>
  <si>
    <t>ENSDARG00000008447</t>
  </si>
  <si>
    <t>fkbp4</t>
  </si>
  <si>
    <t>FK506 binding protein 4 [Source:ZFIN;Acc:ZDB-GENE-030131-514]</t>
  </si>
  <si>
    <t>ENSDARG00000051809</t>
  </si>
  <si>
    <t>btr12</t>
  </si>
  <si>
    <t>bloodthirsty-related gene family, member 12 [Source:ZFIN;Acc:ZDB-GENE-060929-548]</t>
  </si>
  <si>
    <t>ENSDARG00000095754</t>
  </si>
  <si>
    <t>si:dkey-234h16.7</t>
  </si>
  <si>
    <t>si:dkey-234h16.7 [Source:ZFIN;Acc:ZDB-GENE-060601-3]</t>
  </si>
  <si>
    <t>ENSDARG00000075468</t>
  </si>
  <si>
    <t>vwa1</t>
  </si>
  <si>
    <t>von Willebrand factor A domain containing 1 [Source:ZFIN;Acc:ZDB-GENE-030131-5921]</t>
  </si>
  <si>
    <t>ENSDARG00000102640</t>
  </si>
  <si>
    <t>pdia3</t>
  </si>
  <si>
    <t>protein disulfide isomerase family A, member 3 [Source:ZFIN;Acc:ZDB-GENE-031002-9]</t>
  </si>
  <si>
    <t>ENSDARG00000104105</t>
  </si>
  <si>
    <t>ttf2</t>
  </si>
  <si>
    <t>transcription termination factor, RNA polymerase II [Source:ZFIN;Acc:ZDB-GENE-110411-73]</t>
  </si>
  <si>
    <t>ENSDARG00000058467</t>
  </si>
  <si>
    <t>prpf40a</t>
  </si>
  <si>
    <t>PRP40 pre-mRNA processing factor 40 homolog A [Source:ZFIN;Acc:ZDB-GENE-030131-274]</t>
  </si>
  <si>
    <t>ENSDARG00000087844</t>
  </si>
  <si>
    <t>plekhn1</t>
  </si>
  <si>
    <t>pleckstrin homology domain containing, family N member 1 [Source:ZFIN;Acc:ZDB-GENE-090313-357]</t>
  </si>
  <si>
    <t>ENSDARG00000059311</t>
  </si>
  <si>
    <t>dpysl5b</t>
  </si>
  <si>
    <t>dihydropyrimidinase-like 5b [Source:ZFIN;Acc:ZDB-GENE-050720-4]</t>
  </si>
  <si>
    <t>ENSDARG00000059303</t>
  </si>
  <si>
    <t>hnrnpl2</t>
  </si>
  <si>
    <t>heterogeneous nuclear ribonucleoprotein L2 [Source:ZFIN;Acc:ZDB-GENE-040426-2707]</t>
  </si>
  <si>
    <t>ENSDARG00000095863</t>
  </si>
  <si>
    <t>afp4</t>
  </si>
  <si>
    <t>afp4.1</t>
  </si>
  <si>
    <t>antifreeze protein type IV [Source:ZFIN;Acc:ZDB-GENE-030131-5217]</t>
  </si>
  <si>
    <t>ENSDARG00000067975</t>
  </si>
  <si>
    <t>atpif1a</t>
  </si>
  <si>
    <t>ATPase inhibitory factor 1a [Source:ZFIN;Acc:ZDB-GENE-070410-36]</t>
  </si>
  <si>
    <t>ENSDARG00000054060</t>
  </si>
  <si>
    <t>pof1b</t>
  </si>
  <si>
    <t>premature ovarian failure, 1B [Source:ZFIN;Acc:ZDB-GENE-030131-4287]</t>
  </si>
  <si>
    <t>ENSDARG00000079686</t>
  </si>
  <si>
    <t>naa30</t>
  </si>
  <si>
    <t>N(alpha)-acetyltransferase 30, NatC catalytic subunit [Source:ZFIN;Acc:ZDB-GENE-081022-73]</t>
  </si>
  <si>
    <t>ENSDARG00000002947</t>
  </si>
  <si>
    <t>abcd3b</t>
  </si>
  <si>
    <t>ATP-binding cassette, sub-family D (ALD), member 3b [Source:ZFIN;Acc:ZDB-GENE-050517-29]</t>
  </si>
  <si>
    <t>ENSDARG00000059064</t>
  </si>
  <si>
    <t>rassf3</t>
  </si>
  <si>
    <t>Ras association (RalGDS/AF-6) domain family member 3 [Source:ZFIN;Acc:ZDB-GENE-100422-9]</t>
  </si>
  <si>
    <t>ENSDARG00000009493</t>
  </si>
  <si>
    <t>MAP3K13</t>
  </si>
  <si>
    <t>si:ch211-45c16.2 [Source:ZFIN;Acc:ZDB-GENE-081105-15]</t>
  </si>
  <si>
    <t>ENSDARG00000037415</t>
  </si>
  <si>
    <t>dlgap1b</t>
  </si>
  <si>
    <t>discs, large (Drosophila) homolog-associated protein 1b [Source:ZFIN;Acc:ZDB-GENE-091116-98]</t>
  </si>
  <si>
    <t>ENSDARG00000027418</t>
  </si>
  <si>
    <t>trappc4</t>
  </si>
  <si>
    <t>trafficking protein particle complex 4 [Source:ZFIN;Acc:ZDB-GENE-040426-1734]</t>
  </si>
  <si>
    <t>ENSDARG00000052855</t>
  </si>
  <si>
    <t>ctso</t>
  </si>
  <si>
    <t>cathepsin O [Source:ZFIN;Acc:ZDB-GENE-080724-8]</t>
  </si>
  <si>
    <t>ENSDARG00000097517</t>
  </si>
  <si>
    <t>si:ch211-273l18.4</t>
  </si>
  <si>
    <t>si:ch211-273l18.4 [Source:ZFIN;Acc:ZDB-GENE-030131-3058]</t>
  </si>
  <si>
    <t>ENSDARG00000027538</t>
  </si>
  <si>
    <t>noxred1</t>
  </si>
  <si>
    <t>NADP-dependent oxidoreductase domain containing 1 [Source:ZFIN;Acc:ZDB-GENE-130530-573]</t>
  </si>
  <si>
    <t>ENSDARG00000103689</t>
  </si>
  <si>
    <t>znf1148</t>
  </si>
  <si>
    <t>zinc finger protein 1148 [Source:ZFIN;Acc:ZDB-GENE-141219-26]</t>
  </si>
  <si>
    <t>ENSDARG00000014004</t>
  </si>
  <si>
    <t>eif2b4</t>
  </si>
  <si>
    <t>eukaryotic translation initiation factor 2B, subunit 4 delta [Source:ZFIN;Acc:ZDB-GENE-030131-955]</t>
  </si>
  <si>
    <t>ENSDARG00000043970</t>
  </si>
  <si>
    <t>lrpprc</t>
  </si>
  <si>
    <t>leucine-rich pentatricopeptide repeat containing [Source:ZFIN;Acc:ZDB-GENE-030131-7887]</t>
  </si>
  <si>
    <t>ENSDARG00000003872</t>
  </si>
  <si>
    <t>ccdc102a</t>
  </si>
  <si>
    <t>coiled-coil domain containing 102A [Source:ZFIN;Acc:ZDB-GENE-030131-4044]</t>
  </si>
  <si>
    <t>ENSDARG00000097815</t>
  </si>
  <si>
    <t>si:ch73-39o22.3</t>
  </si>
  <si>
    <t>si:ch73-39o22.3 [Source:ZFIN;Acc:ZDB-GENE-131127-402]</t>
  </si>
  <si>
    <t>ENSDARG00000105276</t>
  </si>
  <si>
    <t>grb2a</t>
  </si>
  <si>
    <t>growth factor receptor-bound protein 2a [Source:ZFIN;Acc:ZDB-GENE-041121-1]</t>
  </si>
  <si>
    <t>ENSDARG00000074030</t>
  </si>
  <si>
    <t>myt1a</t>
  </si>
  <si>
    <t>myelin transcription factor 1a [Source:ZFIN;Acc:ZDB-GENE-030131-3885]</t>
  </si>
  <si>
    <t>ENSDARG00000014867</t>
  </si>
  <si>
    <t>rpl8</t>
  </si>
  <si>
    <t>ribosomal protein L8 [Source:ZFIN;Acc:ZDB-GENE-040426-1670]</t>
  </si>
  <si>
    <t>ENSDARG00000013576</t>
  </si>
  <si>
    <t>gadd45bb</t>
  </si>
  <si>
    <t>growth arrest and DNA-damage-inducible, beta b [Source:ZFIN;Acc:ZDB-GENE-050223-1]</t>
  </si>
  <si>
    <t>ENSDARG00000094265</t>
  </si>
  <si>
    <t>si:dkey-183n20.15</t>
  </si>
  <si>
    <t>si:dkey-183n20.15 [Source:ZFIN;Acc:ZDB-GENE-041001-160]</t>
  </si>
  <si>
    <t>ENSDARG00000038106</t>
  </si>
  <si>
    <t>slc37a4a</t>
  </si>
  <si>
    <t>solute carrier family 37 (glucose-6-phosphate transporter), member 4a [Source:ZFIN;Acc:ZDB-GENE-040426-2230]</t>
  </si>
  <si>
    <t>ENSDARG00000043470</t>
  </si>
  <si>
    <t>rsph3</t>
  </si>
  <si>
    <t>radial spoke 3 homolog (Chlamydomonas) [Source:ZFIN;Acc:ZDB-GENE-040724-173]</t>
  </si>
  <si>
    <t>ENSDARG00000002264</t>
  </si>
  <si>
    <t>mrpl41</t>
  </si>
  <si>
    <t>mitochondrial ribosomal protein L41 [Source:ZFIN;Acc:ZDB-GENE-050522-200]</t>
  </si>
  <si>
    <t>ENSDARG00000056453</t>
  </si>
  <si>
    <t>afap1l1b</t>
  </si>
  <si>
    <t>actin filament associated protein 1-like 1b [Source:ZFIN;Acc:ZDB-GENE-061013-428]</t>
  </si>
  <si>
    <t>ENSDARG00000015853</t>
  </si>
  <si>
    <t>rnps1</t>
  </si>
  <si>
    <t>RNA binding protein S1, serine-rich domain [Source:ZFIN;Acc:ZDB-GENE-030131-5228]</t>
  </si>
  <si>
    <t>ENSDARG00000103511</t>
  </si>
  <si>
    <t>zfand2a</t>
  </si>
  <si>
    <t>zinc finger, AN1-type domain 2A [Source:ZFIN;Acc:ZDB-GENE-040426-1596]</t>
  </si>
  <si>
    <t>ENSDARG00000018921</t>
  </si>
  <si>
    <t>fam84a</t>
  </si>
  <si>
    <t>family with sequence similarity 84, member A [Source:ZFIN;Acc:ZDB-GENE-040426-1247]</t>
  </si>
  <si>
    <t>ENSDARG00000057368</t>
  </si>
  <si>
    <t>rps8b</t>
  </si>
  <si>
    <t>ribosomal protein S8b [Source:ZFIN;Acc:ZDB-GENE-050522-202]</t>
  </si>
  <si>
    <t>ENSDARG00000044692</t>
  </si>
  <si>
    <t>eri1</t>
  </si>
  <si>
    <t>exoribonuclease 1 [Source:ZFIN;Acc:ZDB-GENE-050522-39]</t>
  </si>
  <si>
    <t>ENSDARG00000003940</t>
  </si>
  <si>
    <t>mtfr1l</t>
  </si>
  <si>
    <t>mitochondrial fission regulator 1-like [Source:ZFIN;Acc:ZDB-GENE-030131-6228]</t>
  </si>
  <si>
    <t>ENSDARG00000042946</t>
  </si>
  <si>
    <t>hook1</t>
  </si>
  <si>
    <t>hook microtubule-tethering protein 1 [Source:ZFIN;Acc:ZDB-GENE-041001-159]</t>
  </si>
  <si>
    <t>ENSDARG00000069742</t>
  </si>
  <si>
    <t>cul5a</t>
  </si>
  <si>
    <t>cullin 5a [Source:ZFIN;Acc:ZDB-GENE-030131-5426]</t>
  </si>
  <si>
    <t>ENSDARG00000002336</t>
  </si>
  <si>
    <t>dlc</t>
  </si>
  <si>
    <t>deltaC [Source:ZFIN;Acc:ZDB-GENE-000125-4]</t>
  </si>
  <si>
    <t>ENSDARG00000033251</t>
  </si>
  <si>
    <t>osbpl3a</t>
  </si>
  <si>
    <t>oxysterol binding protein-like 3a [Source:ZFIN;Acc:ZDB-GENE-040912-77]</t>
  </si>
  <si>
    <t>ENSDARG00000063268</t>
  </si>
  <si>
    <t>SLC35G1</t>
  </si>
  <si>
    <t>si:ch211-197g18.2 [Source:ZFIN;Acc:ZDB-GENE-121214-166]</t>
  </si>
  <si>
    <t>ENSDARG00000036299</t>
  </si>
  <si>
    <t>nucb2a</t>
  </si>
  <si>
    <t>nucleobindin 2a [Source:ZFIN;Acc:ZDB-GENE-030826-14]</t>
  </si>
  <si>
    <t>ENSDARG00000042530</t>
  </si>
  <si>
    <t>nup205</t>
  </si>
  <si>
    <t>nucleoporin 205 [Source:ZFIN;Acc:ZDB-GENE-040715-8]</t>
  </si>
  <si>
    <t>ENSDARG00000070433</t>
  </si>
  <si>
    <t>vps18</t>
  </si>
  <si>
    <t>vacuolar protein sorting 18 homolog (S. cerevisiae) [Source:ZFIN;Acc:ZDB-GENE-020419-33]</t>
  </si>
  <si>
    <t>ENSDARG00000095963</t>
  </si>
  <si>
    <t>si:ch73-361h17.1</t>
  </si>
  <si>
    <t>si:ch73-361h17.1 [Source:ZFIN;Acc:ZDB-GENE-080917-52]</t>
  </si>
  <si>
    <t>ENSDARG00000100697</t>
  </si>
  <si>
    <t>si:ch73-52f24.4</t>
  </si>
  <si>
    <t>si:ch73-52f24.4 [Source:ZFIN;Acc:ZDB-GENE-030131-2681]</t>
  </si>
  <si>
    <t>ENSDARG00000098641</t>
  </si>
  <si>
    <t>nbeal2</t>
  </si>
  <si>
    <t>neurobeachin-like 2 [Source:ZFIN;Acc:ZDB-GENE-100922-283]</t>
  </si>
  <si>
    <t>ENSDARG00000012887</t>
  </si>
  <si>
    <t>znf143a</t>
  </si>
  <si>
    <t>zinc finger protein 143a [Source:ZFIN;Acc:ZDB-GENE-041114-154]</t>
  </si>
  <si>
    <t>ENSDARG00000044973</t>
  </si>
  <si>
    <t>zgc:171226</t>
  </si>
  <si>
    <t>zgc:171226 [Source:ZFIN;Acc:ZDB-GENE-070822-8]</t>
  </si>
  <si>
    <t>ENSDARG00000027016</t>
  </si>
  <si>
    <t>gbf1</t>
  </si>
  <si>
    <t>golgi brefeldin A resistant guanine nucleotide exchange factor 1 [Source:ZFIN;Acc:ZDB-GENE-081107-54]</t>
  </si>
  <si>
    <t>ENSDARG00000044090</t>
  </si>
  <si>
    <t>zmpste24</t>
  </si>
  <si>
    <t>zinc metallopeptidase, STE24 homolog [Source:ZFIN;Acc:ZDB-GENE-030131-6312]</t>
  </si>
  <si>
    <t>ENSDARG00000035887</t>
  </si>
  <si>
    <t>zgc:91944</t>
  </si>
  <si>
    <t>zgc:91944 [Source:ZFIN;Acc:ZDB-GENE-040718-417]</t>
  </si>
  <si>
    <t>ENSDARG00000105450</t>
  </si>
  <si>
    <t>si:ch211-63p21.1</t>
  </si>
  <si>
    <t>si:ch211-63p21.1 [Source:ZFIN;Acc:ZDB-GENE-141216-443]</t>
  </si>
  <si>
    <t>ENSDARG00000089207</t>
  </si>
  <si>
    <t>ankrd27</t>
  </si>
  <si>
    <t>ankyrin repeat domain 27 (VPS9 domain) [Source:ZFIN;Acc:ZDB-GENE-121105-1]</t>
  </si>
  <si>
    <t>ENSDARG00000102286</t>
  </si>
  <si>
    <t>si:dkey-29p9.3</t>
  </si>
  <si>
    <t>si:dkey-29p9.3 [Source:ZFIN;Acc:ZDB-GENE-141216-161]</t>
  </si>
  <si>
    <t>ENSDARG00000000151</t>
  </si>
  <si>
    <t>thraa</t>
  </si>
  <si>
    <t>thyroid hormone receptor alpha a [Source:ZFIN;Acc:ZDB-GENE-990415-263]</t>
  </si>
  <si>
    <t>ENSDARG00000008886</t>
  </si>
  <si>
    <t>msx1b</t>
  </si>
  <si>
    <t>muscle segment homeobox 1b [Source:ZFIN;Acc:ZDB-GENE-980526-26]</t>
  </si>
  <si>
    <t>ENSDARG00000041040</t>
  </si>
  <si>
    <t>piga</t>
  </si>
  <si>
    <t>phosphatidylinositol glycan anchor biosynthesis, class A [Source:ZFIN;Acc:ZDB-GENE-040426-1086]</t>
  </si>
  <si>
    <t>ENSDARG00000043468</t>
  </si>
  <si>
    <t>sytl3</t>
  </si>
  <si>
    <t>synaptotagmin-like 3 [Source:ZFIN;Acc:ZDB-GENE-040724-150]</t>
  </si>
  <si>
    <t>ENSDARG00000069301</t>
  </si>
  <si>
    <t>tmem177</t>
  </si>
  <si>
    <t>transmembrane protein 177 [Source:ZFIN;Acc:ZDB-GENE-030131-993]</t>
  </si>
  <si>
    <t>ENSDARG00000070006</t>
  </si>
  <si>
    <t>rcn1</t>
  </si>
  <si>
    <t>reticulocalbin 1, EF-hand calcium binding domain [Source:ZFIN;Acc:ZDB-GENE-080225-33]</t>
  </si>
  <si>
    <t>ENSDARG00000063140</t>
  </si>
  <si>
    <t>exd3</t>
  </si>
  <si>
    <t>exonuclease 3'-5' domain containing 3 [Source:ZFIN;Acc:ZDB-GENE-091204-349]</t>
  </si>
  <si>
    <t>ENSDARG00000034056</t>
  </si>
  <si>
    <t>csnk1g2b</t>
  </si>
  <si>
    <t>casein kinase 1, gamma 2b [Source:ZFIN;Acc:ZDB-GENE-060825-285]</t>
  </si>
  <si>
    <t>ENSDARG00000061062</t>
  </si>
  <si>
    <t>nemp2</t>
  </si>
  <si>
    <t>nuclear envelope integral membrane protein 2 [Source:ZFIN;Acc:ZDB-GENE-081104-413]</t>
  </si>
  <si>
    <t>ENSDARG00000057105</t>
  </si>
  <si>
    <t>nle1</t>
  </si>
  <si>
    <t>notchless homolog 1 (Drosophila) [Source:ZFIN;Acc:ZDB-GENE-050522-321]</t>
  </si>
  <si>
    <t>ENSDARG00000020364</t>
  </si>
  <si>
    <t>fbp1b</t>
  </si>
  <si>
    <t>fructose-1,6-bisphosphatase 1b [Source:ZFIN;Acc:ZDB-GENE-021206-11]</t>
  </si>
  <si>
    <t>ENSDARG00000098681</t>
  </si>
  <si>
    <t>si:ch73-138e16.7</t>
  </si>
  <si>
    <t>si:ch73-138e16.7 [Source:ZFIN;Acc:ZDB-GENE-070705-206]</t>
  </si>
  <si>
    <t>ENSDARG00000025091</t>
  </si>
  <si>
    <t>ezrb</t>
  </si>
  <si>
    <t>ezrin b [Source:ZFIN;Acc:ZDB-GENE-050803-1]</t>
  </si>
  <si>
    <t>ENSDARG00000058794</t>
  </si>
  <si>
    <t>zgc:113324</t>
  </si>
  <si>
    <t>zgc:113324 [Source:ZFIN;Acc:ZDB-GENE-050306-13]</t>
  </si>
  <si>
    <t>ENSDARG00000086336</t>
  </si>
  <si>
    <t>si:ch211-157b11.12</t>
  </si>
  <si>
    <t>si:ch211-157b11.12 [Source:ZFIN;Acc:ZDB-GENE-041111-80]</t>
  </si>
  <si>
    <t>ENSDARG00000016399</t>
  </si>
  <si>
    <t>riok1</t>
  </si>
  <si>
    <t>RIO kinase 1 (yeast) [Source:ZFIN;Acc:ZDB-GENE-040426-1927]</t>
  </si>
  <si>
    <t>ENSDARG00000057625</t>
  </si>
  <si>
    <t>dusp14</t>
  </si>
  <si>
    <t>dual specificity phosphatase 14 [Source:ZFIN;Acc:ZDB-GENE-041010-162]</t>
  </si>
  <si>
    <t>ENSDARG00000011498</t>
  </si>
  <si>
    <t>si:ch211-212o1.2</t>
  </si>
  <si>
    <t>si:ch211-212o1.2 [Source:ZFIN;Acc:ZDB-GENE-041111-310]</t>
  </si>
  <si>
    <t>ENSDARG00000012827</t>
  </si>
  <si>
    <t>mettl3</t>
  </si>
  <si>
    <t>methyltransferase like 3 [Source:ZFIN;Acc:ZDB-GENE-030131-9498]</t>
  </si>
  <si>
    <t>ENSDARG00000040284</t>
  </si>
  <si>
    <t>si:dkey-79d12.5</t>
  </si>
  <si>
    <t>si:dkey-79d12.5 [Source:ZFIN;Acc:ZDB-GENE-131127-429]</t>
  </si>
  <si>
    <t>ENSDARG00000062955</t>
  </si>
  <si>
    <t>fam69aa</t>
  </si>
  <si>
    <t>family with sequence similarity 69, member Aa [Source:ZFIN;Acc:ZDB-GENE-060421-4286]</t>
  </si>
  <si>
    <t>ENSDARG00000029905</t>
  </si>
  <si>
    <t>phyhd1</t>
  </si>
  <si>
    <t>phytanoyl-CoA dioxygenase domain containing 1 [Source:ZFIN;Acc:ZDB-GENE-041114-159]</t>
  </si>
  <si>
    <t>ENSDARG00000096829</t>
  </si>
  <si>
    <t>blvrb</t>
  </si>
  <si>
    <t>biliverdin reductase B [Source:ZFIN;Acc:ZDB-GENE-030131-1516]</t>
  </si>
  <si>
    <t>ENSDARG00000015352</t>
  </si>
  <si>
    <t>lsg1</t>
  </si>
  <si>
    <t>large 60S subunit nuclear export GTPase 1 [Source:ZFIN;Acc:ZDB-GENE-030131-2184]</t>
  </si>
  <si>
    <t>ENSDARG00000034518</t>
  </si>
  <si>
    <t>trdmt1</t>
  </si>
  <si>
    <t>tRNA aspartic acid methyltransferase 1 [Source:ZFIN;Acc:ZDB-GENE-041008-138]</t>
  </si>
  <si>
    <t>ENSDARG00000074169</t>
  </si>
  <si>
    <t>gpam</t>
  </si>
  <si>
    <t>glycerol-3-phosphate acyltransferase, mitochondrial [Source:ZFIN;Acc:ZDB-GENE-101026-1]</t>
  </si>
  <si>
    <t>ENSDARG00000030756</t>
  </si>
  <si>
    <t>dnmt1</t>
  </si>
  <si>
    <t>DNA (cytosine-5-)-methyltransferase 1 [Source:ZFIN;Acc:ZDB-GENE-990714-15]</t>
  </si>
  <si>
    <t>ENSDARG00000062237</t>
  </si>
  <si>
    <t>nfs1</t>
  </si>
  <si>
    <t>NFS1 cysteine desulfurase [Source:ZFIN;Acc:ZDB-GENE-060405-1]</t>
  </si>
  <si>
    <t>ENSDARG00000075813</t>
  </si>
  <si>
    <t>asphd1</t>
  </si>
  <si>
    <t>aspartate beta-hydroxylase domain containing 1 [Source:ZFIN;Acc:ZDB-GENE-091204-62]</t>
  </si>
  <si>
    <t>ENSDARG00000044847</t>
  </si>
  <si>
    <t>zgc:171599</t>
  </si>
  <si>
    <t>zgc:171599 [Source:ZFIN;Acc:ZDB-GENE-080219-33]</t>
  </si>
  <si>
    <t>ENSDARG00000100206</t>
  </si>
  <si>
    <t>klhdc4</t>
  </si>
  <si>
    <t>kelch domain containing 4 [Source:ZFIN;Acc:ZDB-GENE-030131-2057]</t>
  </si>
  <si>
    <t>ENSDARG00000073718</t>
  </si>
  <si>
    <t>APOL2</t>
  </si>
  <si>
    <t>si:ch73-233k15.2 [Source:ZFIN;Acc:ZDB-GENE-120215-22]</t>
  </si>
  <si>
    <t>ENSDARG00000095968</t>
  </si>
  <si>
    <t>erlin2</t>
  </si>
  <si>
    <t>erlin2.1</t>
  </si>
  <si>
    <t>ER lipid raft associated 2 [Source:ZFIN;Acc:ZDB-GENE-090505-4]</t>
  </si>
  <si>
    <t>ENSDARG00000038059</t>
  </si>
  <si>
    <t>grb2b</t>
  </si>
  <si>
    <t>growth factor receptor-bound protein 2b [Source:ZFIN;Acc:ZDB-GENE-040426-1975]</t>
  </si>
  <si>
    <t>ENSDARG00000103145</t>
  </si>
  <si>
    <t>cdk2ap2</t>
  </si>
  <si>
    <t>cyclin-dependent kinase 2 associated protein 2 [Source:ZFIN;Acc:ZDB-GENE-040718-35]</t>
  </si>
  <si>
    <t>ENSDARG00000043402</t>
  </si>
  <si>
    <t>MRPL55</t>
  </si>
  <si>
    <t>zgc:171480 [Source:ZFIN;Acc:ZDB-GENE-080204-83]</t>
  </si>
  <si>
    <t>ENSDARG00000097203</t>
  </si>
  <si>
    <t>si:ch211-176l24.4</t>
  </si>
  <si>
    <t>si:ch211-176l24.4 [Source:ZFIN;Acc:ZDB-GENE-131126-55]</t>
  </si>
  <si>
    <t>ENSDARG00000039997</t>
  </si>
  <si>
    <t>ptp4a3</t>
  </si>
  <si>
    <t>protein tyrosine phosphatase type IVA, member 3 [Source:ZFIN;Acc:ZDB-GENE-040426-2220]</t>
  </si>
  <si>
    <t>ENSDARG00000002536</t>
  </si>
  <si>
    <t>tm9sf4</t>
  </si>
  <si>
    <t>transmembrane 9 superfamily protein member 4 [Source:ZFIN;Acc:ZDB-GENE-040426-1575]</t>
  </si>
  <si>
    <t>ENSDARG00000025076</t>
  </si>
  <si>
    <t>marveld2a</t>
  </si>
  <si>
    <t>MARVEL domain containing 2a [Source:ZFIN;Acc:ZDB-GENE-050411-59]</t>
  </si>
  <si>
    <t>ENSDARG00000036840</t>
  </si>
  <si>
    <t>krt15</t>
  </si>
  <si>
    <t>keratin 15 [Source:ZFIN;Acc:ZDB-GENE-040426-2931]</t>
  </si>
  <si>
    <t>ENSDARG00000062565</t>
  </si>
  <si>
    <t>kcnh4a</t>
  </si>
  <si>
    <t>potassium voltage-gated channel, subfamily H (eag-related), member 4a [Source:ZFIN;Acc:ZDB-GENE-131125-34]</t>
  </si>
  <si>
    <t>ENSDARG00000045773</t>
  </si>
  <si>
    <t>PYURF</t>
  </si>
  <si>
    <t>zgc:162634 [Source:ZFIN;Acc:ZDB-GENE-050506-109]</t>
  </si>
  <si>
    <t>ENSDARG00000018619</t>
  </si>
  <si>
    <t>cers4b</t>
  </si>
  <si>
    <t>ceramide synthase 4b [Source:ZFIN;Acc:ZDB-GENE-110719-2]</t>
  </si>
  <si>
    <t>ENSDARG00000025106</t>
  </si>
  <si>
    <t>ppp3cb</t>
  </si>
  <si>
    <t>protein phosphatase 3, catalytic subunit, beta isozyme [Source:ZFIN;Acc:ZDB-GENE-050417-406]</t>
  </si>
  <si>
    <t>ENSDARG00000100242</t>
  </si>
  <si>
    <t>dph5</t>
  </si>
  <si>
    <t>diphthamide biosynthesis 5 [Source:ZFIN;Acc:ZDB-GENE-041114-85]</t>
  </si>
  <si>
    <t>ENSDARG00000094730</t>
  </si>
  <si>
    <t>acbd7</t>
  </si>
  <si>
    <t>acyl-CoA binding domain containing 7 [Source:ZFIN;Acc:ZDB-GENE-050913-108]</t>
  </si>
  <si>
    <t>ENSDARG00000061348</t>
  </si>
  <si>
    <t>adat1</t>
  </si>
  <si>
    <t>adenosine deaminase, tRNA-specific 1 [Source:ZFIN;Acc:ZDB-GENE-070410-64]</t>
  </si>
  <si>
    <t>ENSDARG00000010008</t>
  </si>
  <si>
    <t>vim</t>
  </si>
  <si>
    <t>vimentin [Source:ZFIN;Acc:ZDB-GENE-011212-3]</t>
  </si>
  <si>
    <t>ENSDARG00000092373</t>
  </si>
  <si>
    <t>si:dkey-16n15.3</t>
  </si>
  <si>
    <t>si:dkey-16n15.3 [Source:ZFIN;Acc:ZDB-GENE-081104-331]</t>
  </si>
  <si>
    <t>ENSDARG00000026941</t>
  </si>
  <si>
    <t>fbxl4</t>
  </si>
  <si>
    <t>F-box and leucine-rich repeat protein 4 [Source:ZFIN;Acc:ZDB-GENE-041114-187]</t>
  </si>
  <si>
    <t>ENSDARG00000053263</t>
  </si>
  <si>
    <t>zgc:113372</t>
  </si>
  <si>
    <t>zgc:113372 [Source:ZFIN;Acc:ZDB-GENE-050913-150]</t>
  </si>
  <si>
    <t>ENSDARG00000020895</t>
  </si>
  <si>
    <t>bag1</t>
  </si>
  <si>
    <t>BCL2-associated athanogene 1 [Source:ZFIN;Acc:ZDB-GENE-050309-89]</t>
  </si>
  <si>
    <t>ENSDARG00000089862</t>
  </si>
  <si>
    <t>si:dkey-16j16.4</t>
  </si>
  <si>
    <t>si:dkey-16j16.4 [Source:ZFIN;Acc:ZDB-GENE-041111-271]</t>
  </si>
  <si>
    <t>ENSDARG00000000019</t>
  </si>
  <si>
    <t>ube2h</t>
  </si>
  <si>
    <t>ubiquitin-conjugating enzyme E2H (UBC8 homolog, yeast) [Source:ZFIN;Acc:ZDB-GENE-030616-67]</t>
  </si>
  <si>
    <t>ENSDARG00000042927</t>
  </si>
  <si>
    <t>mapre1a</t>
  </si>
  <si>
    <t>microtubule-associated protein, RP/EB family, member 1a [Source:ZFIN;Acc:ZDB-GENE-030131-6067]</t>
  </si>
  <si>
    <t>ENSDARG00000060725</t>
  </si>
  <si>
    <t>dnajc16l</t>
  </si>
  <si>
    <t>DnaJ (Hsp40) homolog, subfamily C, member 16 like [Source:ZFIN;Acc:ZDB-GENE-130530-696]</t>
  </si>
  <si>
    <t>ENSDARG00000100114</t>
  </si>
  <si>
    <t>sf3a3</t>
  </si>
  <si>
    <t>splicing factor 3a, subunit 3 [Source:ZFIN;Acc:ZDB-GENE-040908-1]</t>
  </si>
  <si>
    <t>ENSDARG00000079585</t>
  </si>
  <si>
    <t>pkn3</t>
  </si>
  <si>
    <t>protein kinase N3 [Source:ZFIN;Acc:ZDB-GENE-030131-1902]</t>
  </si>
  <si>
    <t>ENSDARG00000006399</t>
  </si>
  <si>
    <t>ywhae1</t>
  </si>
  <si>
    <t>tyrosine 3-monooxygenase/tryptophan 5-monooxygenase activation protein, epsilon polypeptide 1 [Source:ZFIN;Acc:ZDB-GENE-030131-779]</t>
  </si>
  <si>
    <t>ENSDARG00000068182</t>
  </si>
  <si>
    <t>crb3b</t>
  </si>
  <si>
    <t>crumbs homolog 3b [Source:ZFIN;Acc:ZDB-GENE-060610-3]</t>
  </si>
  <si>
    <t>ENSDARG00000036254</t>
  </si>
  <si>
    <t>hoxa13b</t>
  </si>
  <si>
    <t>homeobox A13b [Source:ZFIN;Acc:ZDB-GENE-980526-365]</t>
  </si>
  <si>
    <t>ENSDARG00000009796</t>
  </si>
  <si>
    <t>klc1a</t>
  </si>
  <si>
    <t>kinesin light chain 1a [Source:ZFIN;Acc:ZDB-GENE-040426-1599]</t>
  </si>
  <si>
    <t>ENSDARG00000007409</t>
  </si>
  <si>
    <t>ppifa</t>
  </si>
  <si>
    <t>peptidylprolyl isomerase Fa [Source:ZFIN;Acc:ZDB-GENE-040912-52]</t>
  </si>
  <si>
    <t>ENSDARG00000063155</t>
  </si>
  <si>
    <t>dcaf12</t>
  </si>
  <si>
    <t>DDB1 and CUL4 associated factor 12 [Source:ZFIN;Acc:ZDB-GENE-061013-363]</t>
  </si>
  <si>
    <t>ENSDARG00000103106</t>
  </si>
  <si>
    <t>trappc9</t>
  </si>
  <si>
    <t>trafficking protein particle complex 9 [Source:ZFIN;Acc:ZDB-GENE-070705-261]</t>
  </si>
  <si>
    <t>ENSDARG00000069409</t>
  </si>
  <si>
    <t>gkup</t>
  </si>
  <si>
    <t>glucuronokinase with putative uridyl pyrophosphorylase [Source:ZFIN;Acc:ZDB-GENE-080204-36]</t>
  </si>
  <si>
    <t>ENSDARG00000052693</t>
  </si>
  <si>
    <t>si:dkey-172m14.1</t>
  </si>
  <si>
    <t>si:dkey-172m14.1 [Source:ZFIN;Acc:ZDB-GENE-060526-221]</t>
  </si>
  <si>
    <t>ENSDARG00000007959</t>
  </si>
  <si>
    <t>hibadhb</t>
  </si>
  <si>
    <t>3-hydroxyisobutyrate dehydrogenase b [Source:ZFIN;Acc:ZDB-GENE-040426-1582]</t>
  </si>
  <si>
    <t>ENSDARG00000090949</t>
  </si>
  <si>
    <t>dlg5b.1</t>
  </si>
  <si>
    <t>discs, large homolog 5b (Drosophila), tandem duplicate 1 [Source:ZFIN;Acc:ZDB-GENE-120206-4]</t>
  </si>
  <si>
    <t>ENSDARG00000074275</t>
  </si>
  <si>
    <t>limch1a</t>
  </si>
  <si>
    <t>LIM and calponin homology domains 1a [Source:ZFIN;Acc:ZDB-GENE-090312-153]</t>
  </si>
  <si>
    <t>ENSDARG00000025326</t>
  </si>
  <si>
    <t>myl12.2</t>
  </si>
  <si>
    <t>myosin, light chain 12, genome duplicate 2 [Source:ZFIN;Acc:ZDB-GENE-030131-9028]</t>
  </si>
  <si>
    <t>ENSDARG00000101542</t>
  </si>
  <si>
    <t>si:dkeyp-53d3.5</t>
  </si>
  <si>
    <t>si:dkeyp-53d3.5 [Source:ZFIN;Acc:ZDB-GENE-050208-485]</t>
  </si>
  <si>
    <t>ENSDARG00000098911</t>
  </si>
  <si>
    <t>CCDC34</t>
  </si>
  <si>
    <t>zgc:153293 [Source:ZFIN;Acc:ZDB-GENE-060825-315]</t>
  </si>
  <si>
    <t>ENSDARG00000062720</t>
  </si>
  <si>
    <t>pcdh1a</t>
  </si>
  <si>
    <t>protocadherin 1a [Source:ZFIN;Acc:ZDB-GENE-091116-32]</t>
  </si>
  <si>
    <t>ENSDARG00000061610</t>
  </si>
  <si>
    <t>ufsp1</t>
  </si>
  <si>
    <t>UFM1-specific peptidase 1 (non-functional) [Source:ZFIN;Acc:ZDB-GENE-070410-124]</t>
  </si>
  <si>
    <t>ENSDARG00000056079</t>
  </si>
  <si>
    <t>l3mbtl2</t>
  </si>
  <si>
    <t>l(3)mbt-like 2 (Drosophila) [Source:ZFIN;Acc:ZDB-GENE-030131-8713]</t>
  </si>
  <si>
    <t>ENSDARG00000020197</t>
  </si>
  <si>
    <t>rpl5a</t>
  </si>
  <si>
    <t>ribosomal protein L5a [Source:ZFIN;Acc:ZDB-GENE-030131-5161]</t>
  </si>
  <si>
    <t>ENSDARG00000036394</t>
  </si>
  <si>
    <t>pop7</t>
  </si>
  <si>
    <t>POP7 homolog, ribonuclease P/MRP subunit [Source:ZFIN;Acc:ZDB-GENE-041010-88]</t>
  </si>
  <si>
    <t>ENSDARG00000058746</t>
  </si>
  <si>
    <t>ubap1</t>
  </si>
  <si>
    <t>ubiquitin associated protein 1 [Source:ZFIN;Acc:ZDB-GENE-040426-950]</t>
  </si>
  <si>
    <t>ENSDARG00000039899</t>
  </si>
  <si>
    <t>zbtb7a</t>
  </si>
  <si>
    <t>zinc finger and BTB domain containing 7a [Source:ZFIN;Acc:ZDB-GENE-050208-583]</t>
  </si>
  <si>
    <t>ENSDARG00000054583</t>
  </si>
  <si>
    <t>mfsd6b</t>
  </si>
  <si>
    <t>major facilitator superfamily domain containing 6b [Source:ZFIN;Acc:ZDB-GENE-040912-84]</t>
  </si>
  <si>
    <t>ENSDARG00000059097</t>
  </si>
  <si>
    <t>nktr</t>
  </si>
  <si>
    <t>natural killer cell triggering receptor [Source:ZFIN;Acc:ZDB-GENE-030131-1725]</t>
  </si>
  <si>
    <t>ENSDARG00000103516</t>
  </si>
  <si>
    <t>sec24c</t>
  </si>
  <si>
    <t>SEC24 homolog C, COPII coat complex component [Source:ZFIN;Acc:ZDB-GENE-030131-4487]</t>
  </si>
  <si>
    <t>ENSDARG00000026519</t>
  </si>
  <si>
    <t>ralgps2</t>
  </si>
  <si>
    <t>Ral GEF with PH domain and SH3 binding motif 2 [Source:ZFIN;Acc:ZDB-GENE-040426-1212]</t>
  </si>
  <si>
    <t>ENSDARG00000018814</t>
  </si>
  <si>
    <t>esrp2</t>
  </si>
  <si>
    <t>epithelial splicing regulatory protein 2 [Source:ZFIN;Acc:ZDB-GENE-030131-9824]</t>
  </si>
  <si>
    <t>ENSDARG00000067741</t>
  </si>
  <si>
    <t>itpkcb</t>
  </si>
  <si>
    <t>inositol-trisphosphate 3-kinase Cb [Source:ZFIN;Acc:ZDB-GENE-080225-27]</t>
  </si>
  <si>
    <t>ENSDARG00000029544</t>
  </si>
  <si>
    <t>id2b</t>
  </si>
  <si>
    <t>inhibitor of DNA binding 2, dominant negative helix-loop-helix protein, b [Source:ZFIN;Acc:ZDB-GENE-030131-15]</t>
  </si>
  <si>
    <t>ENSDARG00000060222</t>
  </si>
  <si>
    <t>scn1ba</t>
  </si>
  <si>
    <t>sodium channel, voltage-gated, type I, beta a [Source:ZFIN;Acc:ZDB-GENE-060503-604]</t>
  </si>
  <si>
    <t>ENSDARG00000019614</t>
  </si>
  <si>
    <t>jade3</t>
  </si>
  <si>
    <t>jade family PHD finger 3 [Source:ZFIN;Acc:ZDB-GENE-030131-928]</t>
  </si>
  <si>
    <t>ENSDARG00000037121</t>
  </si>
  <si>
    <t>mat2ab</t>
  </si>
  <si>
    <t>methionine adenosyltransferase II, alpha b [Source:ZFIN;Acc:ZDB-GENE-050327-6]</t>
  </si>
  <si>
    <t>ENSDARG00000034409</t>
  </si>
  <si>
    <t>pik3r3b</t>
  </si>
  <si>
    <t>phosphoinositide-3-kinase, regulatory subunit 3b (gamma) [Source:ZFIN;Acc:ZDB-GENE-040426-743]</t>
  </si>
  <si>
    <t>ENSDARG00000087709</t>
  </si>
  <si>
    <t>FAT3</t>
  </si>
  <si>
    <t>si:ch211-214k5.6 [Source:ZFIN;Acc:ZDB-GENE-061207-18]</t>
  </si>
  <si>
    <t>ENSDARG00000075445</t>
  </si>
  <si>
    <t>psmb5</t>
  </si>
  <si>
    <t>proteasome subunit beta 5 [Source:ZFIN;Acc:ZDB-GENE-990415-215]</t>
  </si>
  <si>
    <t>ENSDARG00000070434</t>
  </si>
  <si>
    <t>rhov</t>
  </si>
  <si>
    <t>ras homolog family member V [Source:ZFIN;Acc:ZDB-GENE-031002-10]</t>
  </si>
  <si>
    <t>ENSDARG00000062082</t>
  </si>
  <si>
    <t>hipk3b</t>
  </si>
  <si>
    <t>homeodomain interacting protein kinase 3b [Source:ZFIN;Acc:ZDB-GENE-030131-82]</t>
  </si>
  <si>
    <t>ENSDARG00000059337</t>
  </si>
  <si>
    <t>tgif1</t>
  </si>
  <si>
    <t>TGFB-induced factor homeobox 1 [Source:ZFIN;Acc:ZDB-GENE-030131-475]</t>
  </si>
  <si>
    <t>ENSDARG00000103019</t>
  </si>
  <si>
    <t>gstp2</t>
  </si>
  <si>
    <t>glutathione S-transferase pi 2 [Source:ZFIN;Acc:ZDB-GENE-050601-1]</t>
  </si>
  <si>
    <t>ENSDARG00000019398</t>
  </si>
  <si>
    <t>psma6a</t>
  </si>
  <si>
    <t>proteasome subunit alpha 6a [Source:ZFIN;Acc:ZDB-GENE-020326-1]</t>
  </si>
  <si>
    <t>ENSDARG00000000906</t>
  </si>
  <si>
    <t>skap2</t>
  </si>
  <si>
    <t>src kinase associated phosphoprotein 2 [Source:ZFIN;Acc:ZDB-GENE-030616-438]</t>
  </si>
  <si>
    <t>ENSDARG00000076170</t>
  </si>
  <si>
    <t>pcsk1nl</t>
  </si>
  <si>
    <t>proprotein convertase subtilisin/kexin type 1 inhibitor, like [Source:ZFIN;Acc:ZDB-GENE-090427-2]</t>
  </si>
  <si>
    <t>ENSDARG00000018397</t>
  </si>
  <si>
    <t>hpca</t>
  </si>
  <si>
    <t>hippocalcin [Source:ZFIN;Acc:ZDB-GENE-040426-1683]</t>
  </si>
  <si>
    <t>ENSDARG00000077291</t>
  </si>
  <si>
    <t>rps2</t>
  </si>
  <si>
    <t>ribosomal protein S2 [Source:ZFIN;Acc:ZDB-GENE-040426-2454]</t>
  </si>
  <si>
    <t>ENSDARG00000036144</t>
  </si>
  <si>
    <t>tssc4</t>
  </si>
  <si>
    <t>tumor suppressing subtransferable candidate 4 [Source:ZFIN;Acc:ZDB-GENE-060825-263]</t>
  </si>
  <si>
    <t>ENSDARG00000094260</t>
  </si>
  <si>
    <t>si:ch211-286e11.3</t>
  </si>
  <si>
    <t>si:ch211-286e11.3 [Source:ZFIN;Acc:ZDB-GENE-081105-28]</t>
  </si>
  <si>
    <t>ENSDARG00000032565</t>
  </si>
  <si>
    <t>cacng2a</t>
  </si>
  <si>
    <t>calcium channel, voltage-dependent, gamma subunit 2a [Source:ZFIN;Acc:ZDB-GENE-040426-1401]</t>
  </si>
  <si>
    <t>ENSDARG00000022218</t>
  </si>
  <si>
    <t>uck1</t>
  </si>
  <si>
    <t>uridine-cytidine kinase 1 [Source:ZFIN;Acc:ZDB-GENE-040912-113]</t>
  </si>
  <si>
    <t>ENSDARG00000008593</t>
  </si>
  <si>
    <t>nbas</t>
  </si>
  <si>
    <t>neuroblastoma amplified sequence [Source:ZFIN;Acc:ZDB-GENE-041014-367]</t>
  </si>
  <si>
    <t>ENSDARG00000012030</t>
  </si>
  <si>
    <t>dnaaf1</t>
  </si>
  <si>
    <t>dynein, axonemal, assembly factor 1 [Source:ZFIN;Acc:ZDB-GENE-031114-4]</t>
  </si>
  <si>
    <t>ENSDARG00000056112</t>
  </si>
  <si>
    <t>pikfyve</t>
  </si>
  <si>
    <t>phosphoinositide kinase, FYVE finger containing [Source:ZFIN;Acc:ZDB-GENE-030131-9636]</t>
  </si>
  <si>
    <t>ENSDARG00000010721</t>
  </si>
  <si>
    <t>sept6</t>
  </si>
  <si>
    <t>septin 6 [Source:ZFIN;Acc:ZDB-GENE-030131-1414]</t>
  </si>
  <si>
    <t>ENSDARG00000089094</t>
  </si>
  <si>
    <t>B3GNT8</t>
  </si>
  <si>
    <t>si:dkey-160o24.3 [Source:ZFIN;Acc:ZDB-GENE-140106-224]</t>
  </si>
  <si>
    <t>ENSDARG00000016516</t>
  </si>
  <si>
    <t>rbm8a</t>
  </si>
  <si>
    <t>RNA binding motif protein 8A [Source:ZFIN;Acc:ZDB-GENE-050306-51]</t>
  </si>
  <si>
    <t>ENSDARG00000071691</t>
  </si>
  <si>
    <t>uqcrc2b</t>
  </si>
  <si>
    <t>ubiquinol-cytochrome c reductase core protein IIb [Source:ZFIN;Acc:ZDB-GENE-030131-1269]</t>
  </si>
  <si>
    <t>ENSDARG00000011515</t>
  </si>
  <si>
    <t>orai1a</t>
  </si>
  <si>
    <t>ORAI calcium release-activated calcium modulator 1a [Source:ZFIN;Acc:ZDB-GENE-110721-1]</t>
  </si>
  <si>
    <t>ENSDARG00000053104</t>
  </si>
  <si>
    <t>fam102ba</t>
  </si>
  <si>
    <t>family with sequence similarity 102, member B, a [Source:ZFIN;Acc:ZDB-GENE-060616-312]</t>
  </si>
  <si>
    <t>ENSDARG00000028067</t>
  </si>
  <si>
    <t>bnip3lb</t>
  </si>
  <si>
    <t>BCL2/adenovirus E1B interacting protein 3-like b [Source:ZFIN;Acc:ZDB-GENE-040325-1]</t>
  </si>
  <si>
    <t>ENSDARG00000055076</t>
  </si>
  <si>
    <t>nxf1</t>
  </si>
  <si>
    <t>nuclear RNA export factor 1 [Source:ZFIN;Acc:ZDB-GENE-030131-2585]</t>
  </si>
  <si>
    <t>ENSDARG00000002172</t>
  </si>
  <si>
    <t>aplnra</t>
  </si>
  <si>
    <t>apelin receptor a [Source:ZFIN;Acc:ZDB-GENE-060929-512]</t>
  </si>
  <si>
    <t>ENSDARG00000099841</t>
  </si>
  <si>
    <t>PRKCA</t>
  </si>
  <si>
    <t>si:ch73-374l24.1 [Source:ZFIN;Acc:ZDB-GENE-141216-6]</t>
  </si>
  <si>
    <t>ENSDARG00000037267</t>
  </si>
  <si>
    <t>zgc:158263</t>
  </si>
  <si>
    <t>zgc:158263 [Source:ZFIN;Acc:ZDB-GENE-070112-2262]</t>
  </si>
  <si>
    <t>ENSDARG00000021833</t>
  </si>
  <si>
    <t>ahr2</t>
  </si>
  <si>
    <t>aryl hydrocarbon receptor 2 [Source:ZFIN;Acc:ZDB-GENE-990714-16]</t>
  </si>
  <si>
    <t>ENSDARG00000062016</t>
  </si>
  <si>
    <t>vps51</t>
  </si>
  <si>
    <t>vacuolar protein sorting 51 homolog (S. cerevisiae) [Source:ZFIN;Acc:ZDB-GENE-030131-6008]</t>
  </si>
  <si>
    <t>ENSDARG00000023967</t>
  </si>
  <si>
    <t>atp6v1c1a</t>
  </si>
  <si>
    <t>ATPase, H+ transporting, lysosomal, V1 subunit C1a [Source:ZFIN;Acc:ZDB-GENE-030616-612]</t>
  </si>
  <si>
    <t>ENSDARG00000070314</t>
  </si>
  <si>
    <t>cald1l2</t>
  </si>
  <si>
    <t>caldesmon 1 like 2 [Source:ZFIN;Acc:ZDB-GENE-120709-108]</t>
  </si>
  <si>
    <t>ENSDARG00000068240</t>
  </si>
  <si>
    <t>trim110</t>
  </si>
  <si>
    <t>tripartite motif containing 110 [Source:ZFIN;Acc:ZDB-GENE-070912-10]</t>
  </si>
  <si>
    <t>ENSDARG00000075798</t>
  </si>
  <si>
    <t>usp38</t>
  </si>
  <si>
    <t>ubiquitin specific peptidase 38 [Source:ZFIN;Acc:ZDB-GENE-101007-2]</t>
  </si>
  <si>
    <t>ENSDARG00000026369</t>
  </si>
  <si>
    <t>dbi</t>
  </si>
  <si>
    <t>diazepam binding inhibitor (GABA receptor modulator, acyl-CoA binding protein) [Source:ZFIN;Acc:ZDB-GENE-040426-1861]</t>
  </si>
  <si>
    <t>ENSDARG00000020573</t>
  </si>
  <si>
    <t>ddx3a</t>
  </si>
  <si>
    <t>DEAD (Asp-Glu-Ala-Asp) box helicase 3a [Source:ZFIN;Acc:ZDB-GENE-030131-1565]</t>
  </si>
  <si>
    <t>ENSDARG00000056386</t>
  </si>
  <si>
    <t>tmc1</t>
  </si>
  <si>
    <t>transmembrane channel-like 1 [Source:ZFIN;Acc:ZDB-GENE-060526-261]</t>
  </si>
  <si>
    <t>ENSDARG00000056856</t>
  </si>
  <si>
    <t>tax1bp1b</t>
  </si>
  <si>
    <t>Tax1 (human T-cell leukemia virus type I) binding protein 1b [Source:ZFIN;Acc:ZDB-GENE-030131-2872]</t>
  </si>
  <si>
    <t>ENSDARG00000078924</t>
  </si>
  <si>
    <t>tmco4</t>
  </si>
  <si>
    <t>transmembrane and coiled-coil domains 4 [Source:ZFIN;Acc:ZDB-GENE-041008-216]</t>
  </si>
  <si>
    <t>ENSDARG00000102070</t>
  </si>
  <si>
    <t>tbc1d10aa</t>
  </si>
  <si>
    <t>TBC1 domain family, member 10Aa [Source:ZFIN;Acc:ZDB-GENE-030131-4497]</t>
  </si>
  <si>
    <t>ENSDARG00000012671</t>
  </si>
  <si>
    <t>inhbaa</t>
  </si>
  <si>
    <t>inhibin, beta Aa [Source:ZFIN;Acc:ZDB-GENE-000210-21]</t>
  </si>
  <si>
    <t>ENSDARG00000073892</t>
  </si>
  <si>
    <t>secisbp2</t>
  </si>
  <si>
    <t>SECIS binding protein 2 [Source:ZFIN;Acc:ZDB-GENE-050208-263]</t>
  </si>
  <si>
    <t>ENSDARG00000055552</t>
  </si>
  <si>
    <t>dvl1b</t>
  </si>
  <si>
    <t>dishevelled segment polarity protein 1b [Source:ZFIN;Acc:ZDB-GENE-071004-1]</t>
  </si>
  <si>
    <t>ENSDARG00000034825</t>
  </si>
  <si>
    <t>uspl1</t>
  </si>
  <si>
    <t>ubiquitin specific peptidase like 1 [Source:ZFIN;Acc:ZDB-GENE-040930-7]</t>
  </si>
  <si>
    <t>ENSDARG00000104903</t>
  </si>
  <si>
    <t>cdkn1cb</t>
  </si>
  <si>
    <t>cyclin-dependent kinase inhibitor 1Cb [Source:ZFIN;Acc:ZDB-GENE-131127-286]</t>
  </si>
  <si>
    <t>ENSDARG00000060925</t>
  </si>
  <si>
    <t>jarid2a</t>
  </si>
  <si>
    <t>jumonji, AT rich interactive domain 2a [Source:ZFIN;Acc:ZDB-GENE-061218-1]</t>
  </si>
  <si>
    <t>ENSDARG00000055295</t>
  </si>
  <si>
    <t>cyb561d1</t>
  </si>
  <si>
    <t>cytochrome b561 family, member D1 [Source:ZFIN;Acc:ZDB-GENE-040912-157]</t>
  </si>
  <si>
    <t>ENSDARG00000057630</t>
  </si>
  <si>
    <t>galm</t>
  </si>
  <si>
    <t>galactose mutarotase [Source:ZFIN;Acc:ZDB-GENE-040718-66]</t>
  </si>
  <si>
    <t>ENSDARG00000105456</t>
  </si>
  <si>
    <t>si:zfos-800b6.1</t>
  </si>
  <si>
    <t>si:zfos-800b6.1 [Source:ZFIN;Acc:ZDB-GENE-160114-14]</t>
  </si>
  <si>
    <t>ENSDARG00000058528</t>
  </si>
  <si>
    <t>cnot10</t>
  </si>
  <si>
    <t>CCR4-NOT transcription complex, subunit 10 [Source:ZFIN;Acc:ZDB-GENE-060929-368]</t>
  </si>
  <si>
    <t>ENSDARG00000019774</t>
  </si>
  <si>
    <t>zhx3</t>
  </si>
  <si>
    <t>zinc fingers and homeoboxes 3 [Source:ZFIN;Acc:ZDB-GENE-031107-1]</t>
  </si>
  <si>
    <t>ENSDARG00000031098</t>
  </si>
  <si>
    <t>timm50</t>
  </si>
  <si>
    <t>translocase of inner mitochondrial membrane 50 homolog (S. cerevisiae) [Source:ZFIN;Acc:ZDB-GENE-040426-1618]</t>
  </si>
  <si>
    <t>ENSDARG00000005670</t>
  </si>
  <si>
    <t>ttbk2</t>
  </si>
  <si>
    <t>tau tubulin kinase 2 [Source:ZFIN;Acc:ZDB-GENE-120928-3]</t>
  </si>
  <si>
    <t>ENSDARG00000040966</t>
  </si>
  <si>
    <t>NAIF1</t>
  </si>
  <si>
    <t>zgc:113149 [Source:ZFIN;Acc:ZDB-GENE-050320-56]</t>
  </si>
  <si>
    <t>ENSDARG00000003835</t>
  </si>
  <si>
    <t>stom</t>
  </si>
  <si>
    <t>stomatin [Source:ZFIN;Acc:ZDB-GENE-980526-486]</t>
  </si>
  <si>
    <t>ENSDARG00000038693</t>
  </si>
  <si>
    <t>gng7</t>
  </si>
  <si>
    <t>guanine nucleotide binding protein (G protein), gamma 7 [Source:ZFIN;Acc:ZDB-GENE-040718-93]</t>
  </si>
  <si>
    <t>ENSDARG00000059642</t>
  </si>
  <si>
    <t>mtmr14</t>
  </si>
  <si>
    <t>myotubularin related protein 14 [Source:ZFIN;Acc:ZDB-GENE-030131-2649]</t>
  </si>
  <si>
    <t>ENSDARG00000057983</t>
  </si>
  <si>
    <t>svopl</t>
  </si>
  <si>
    <t>SVOP-like [Source:ZFIN;Acc:ZDB-GENE-041114-109]</t>
  </si>
  <si>
    <t>ENSDARG00000052905</t>
  </si>
  <si>
    <t>zgc:165423</t>
  </si>
  <si>
    <t>zgc:165423 [Source:ZFIN;Acc:ZDB-GENE-070720-11]</t>
  </si>
  <si>
    <t>ENSDARG00000040161</t>
  </si>
  <si>
    <t>zgc:92287</t>
  </si>
  <si>
    <t>zgc:92287 [Source:ZFIN;Acc:ZDB-GENE-040718-350]</t>
  </si>
  <si>
    <t>ENSDARG00000094450</t>
  </si>
  <si>
    <t>si:dkey-267i17.3</t>
  </si>
  <si>
    <t>si:dkey-267i17.3 [Source:ZFIN;Acc:ZDB-GENE-060526-279]</t>
  </si>
  <si>
    <t>ENSDARG00000055470</t>
  </si>
  <si>
    <t>cdc16</t>
  </si>
  <si>
    <t>cell division cycle 16 homolog (S. cerevisiae) [Source:ZFIN;Acc:ZDB-GENE-051113-132]</t>
  </si>
  <si>
    <t>ENSDARG00000042231</t>
  </si>
  <si>
    <t>stx11b.2</t>
  </si>
  <si>
    <t>syntaxin 11b, tandem duplicate 2 [Source:ZFIN;Acc:ZDB-GENE-050417-148]</t>
  </si>
  <si>
    <t>ENSDARG00000027200</t>
  </si>
  <si>
    <t>gabarapl2</t>
  </si>
  <si>
    <t>GABA(A) receptor-associated protein like 2 [Source:ZFIN;Acc:ZDB-GENE-040718-336]</t>
  </si>
  <si>
    <t>ENSDARG00000002168</t>
  </si>
  <si>
    <t>tra2b</t>
  </si>
  <si>
    <t>transformer 2 beta homolog (Drosophila) [Source:ZFIN;Acc:ZDB-GENE-040426-1094]</t>
  </si>
  <si>
    <t>ENSDARG00000021124</t>
  </si>
  <si>
    <t>cfl1</t>
  </si>
  <si>
    <t>cofilin 1 [Source:ZFIN;Acc:ZDB-GENE-030131-215]</t>
  </si>
  <si>
    <t>ENSDARG00000095830</t>
  </si>
  <si>
    <t>serpinb1l1</t>
  </si>
  <si>
    <t>serpin peptidase inhibitor, clade B (ovalbumin), member 1, like 1 [Source:ZFIN;Acc:ZDB-GENE-040715-5]</t>
  </si>
  <si>
    <t>ENSDARG00000043009</t>
  </si>
  <si>
    <t>fam43a</t>
  </si>
  <si>
    <t>family with sequence similarity 43, member A [Source:ZFIN;Acc:ZDB-GENE-030131-6098]</t>
  </si>
  <si>
    <t>ENSDARG00000101641</t>
  </si>
  <si>
    <t>trpm2</t>
  </si>
  <si>
    <t>transient receptor potential cation channel, subfamily M, member 2 [Source:ZFIN;Acc:ZDB-GENE-061214-4]</t>
  </si>
  <si>
    <t>ENSDARG00000102142</t>
  </si>
  <si>
    <t>ece2b</t>
  </si>
  <si>
    <t>endothelin converting enzyme 2b [Source:ZFIN;Acc:ZDB-GENE-131120-140]</t>
  </si>
  <si>
    <t>ENSDARG00000054010</t>
  </si>
  <si>
    <t>scaf1</t>
  </si>
  <si>
    <t>SR-related CTD-associated factor 1 [Source:ZFIN;Acc:ZDB-GENE-120215-214]</t>
  </si>
  <si>
    <t>ENSDARG00000057365</t>
  </si>
  <si>
    <t>elovl8b</t>
  </si>
  <si>
    <t>ELOVL fatty acid elongase 8b [Source:ZFIN;Acc:ZDB-GENE-050522-453]</t>
  </si>
  <si>
    <t>ENSDARG00000042272</t>
  </si>
  <si>
    <t>tmem231</t>
  </si>
  <si>
    <t>transmembrane protein 231 [Source:ZFIN;Acc:ZDB-GENE-040426-1386]</t>
  </si>
  <si>
    <t>ENSDARG00000079372</t>
  </si>
  <si>
    <t>si:ch211-264f5.6</t>
  </si>
  <si>
    <t>si:ch211-264f5.6 [Source:ZFIN;Acc:ZDB-GENE-081104-208]</t>
  </si>
  <si>
    <t>ENSDARG00000028848</t>
  </si>
  <si>
    <t>lsm12a</t>
  </si>
  <si>
    <t>LSM12 homolog a [Source:ZFIN;Acc:ZDB-GENE-040516-12]</t>
  </si>
  <si>
    <t>ENSDARG00000023031</t>
  </si>
  <si>
    <t>hoxa2b</t>
  </si>
  <si>
    <t>homeobox A2b [Source:ZFIN;Acc:ZDB-GENE-990415-98]</t>
  </si>
  <si>
    <t>ENSDARG00000063563</t>
  </si>
  <si>
    <t>creb3l2</t>
  </si>
  <si>
    <t>cAMP responsive element binding protein 3-like 2 [Source:ZFIN;Acc:ZDB-GENE-070112-1542]</t>
  </si>
  <si>
    <t>ENSDARG00000019998</t>
  </si>
  <si>
    <t>slc30a7</t>
  </si>
  <si>
    <t>solute carrier family 30 (zinc transporter), member 7 [Source:ZFIN;Acc:ZDB-GENE-030131-5650]</t>
  </si>
  <si>
    <t>ENSDARG00000057107</t>
  </si>
  <si>
    <t>VAV3</t>
  </si>
  <si>
    <t>si:ch73-383g2.1 [Source:ZFIN;Acc:ZDB-GENE-131121-54]</t>
  </si>
  <si>
    <t>ENSDARG00000076767</t>
  </si>
  <si>
    <t>pgfb</t>
  </si>
  <si>
    <t>placental growth factor b [Source:ZFIN;Acc:ZDB-GENE-131127-445]</t>
  </si>
  <si>
    <t>ENSDARG00000001969</t>
  </si>
  <si>
    <t>txlng</t>
  </si>
  <si>
    <t>taxilin gamma [Source:ZFIN;Acc:ZDB-GENE-060616-122]</t>
  </si>
  <si>
    <t>ENSDARG00000100110</t>
  </si>
  <si>
    <t>si:ch211-79g12.2</t>
  </si>
  <si>
    <t>si:ch211-79g12.2 [Source:ZFIN;Acc:ZDB-GENE-110913-21]</t>
  </si>
  <si>
    <t>ENSDARG00000102025</t>
  </si>
  <si>
    <t>znf644b</t>
  </si>
  <si>
    <t>zinc finger protein 644b [Source:ZFIN;Acc:ZDB-GENE-120214-23]</t>
  </si>
  <si>
    <t>ENSDARG00000055054</t>
  </si>
  <si>
    <t>bcl9l</t>
  </si>
  <si>
    <t>B-cell CLL/lymphoma 9-like [Source:ZFIN;Acc:ZDB-GENE-040927-29]</t>
  </si>
  <si>
    <t>ENSDARG00000057263</t>
  </si>
  <si>
    <t>zgc:173729</t>
  </si>
  <si>
    <t>zgc:173729 [Source:ZFIN;Acc:ZDB-GENE-071004-64]</t>
  </si>
  <si>
    <t>ENSDARG00000001557</t>
  </si>
  <si>
    <t>tomm34</t>
  </si>
  <si>
    <t>translocase of outer mitochondrial membrane 34 [Source:ZFIN;Acc:ZDB-GENE-030131-2081]</t>
  </si>
  <si>
    <t>ENSDARG00000062083</t>
  </si>
  <si>
    <t>dph7</t>
  </si>
  <si>
    <t>diphthamide biosynthesis 7 [Source:ZFIN;Acc:ZDB-GENE-070410-57]</t>
  </si>
  <si>
    <t>ENSDARG00000089791</t>
  </si>
  <si>
    <t>slc25a32a</t>
  </si>
  <si>
    <t>solute carrier family 25 (mitochondrial folate carrier), member 32a [Source:ZFIN;Acc:ZDB-GENE-040426-758]</t>
  </si>
  <si>
    <t>ENSDARG00000014068</t>
  </si>
  <si>
    <t>pgam1b</t>
  </si>
  <si>
    <t>phosphoglycerate mutase 1b [Source:ZFIN;Acc:ZDB-GENE-030131-5376]</t>
  </si>
  <si>
    <t>ENSDARG00000103494</t>
  </si>
  <si>
    <t>usp43a</t>
  </si>
  <si>
    <t>ubiquitin specific peptidase 43a [Source:ZFIN;Acc:ZDB-GENE-100211-1]</t>
  </si>
  <si>
    <t>ENSDARG00000102994</t>
  </si>
  <si>
    <t>znf1034</t>
  </si>
  <si>
    <t>zinc finger protein 1034 [Source:ZFIN;Acc:ZDB-GENE-120703-37]</t>
  </si>
  <si>
    <t>ENSDARG00000091801</t>
  </si>
  <si>
    <t>serpinb14</t>
  </si>
  <si>
    <t>serpin peptidase inhibitor, clade B (ovalbumin), member 14 [Source:ZFIN;Acc:ZDB-GENE-050506-148]</t>
  </si>
  <si>
    <t>ENSDARG00000019877</t>
  </si>
  <si>
    <t>rbks</t>
  </si>
  <si>
    <t>ribokinase [Source:ZFIN;Acc:ZDB-GENE-040625-112]</t>
  </si>
  <si>
    <t>ENSDARG00000029290</t>
  </si>
  <si>
    <t>stx11b.1</t>
  </si>
  <si>
    <t>syntaxin 11b, tandem duplicate 1 [Source:ZFIN;Acc:ZDB-GENE-040426-1893]</t>
  </si>
  <si>
    <t>ENSDARG00000074004</t>
  </si>
  <si>
    <t>stac</t>
  </si>
  <si>
    <t>SH3 and cysteine rich domain [Source:ZFIN;Acc:ZDB-GENE-131121-459]</t>
  </si>
  <si>
    <t>ENSDARG00000096888</t>
  </si>
  <si>
    <t>serpinb1l4</t>
  </si>
  <si>
    <t>serpin peptidase inhibitor, clade B (ovalbumin), member 1, like 4 [Source:ZFIN;Acc:ZDB-GENE-030131-7169]</t>
  </si>
  <si>
    <t>ENSDARG00000004636</t>
  </si>
  <si>
    <t>ccdc9</t>
  </si>
  <si>
    <t>coiled-coil domain containing 9 [Source:ZFIN;Acc:ZDB-GENE-060929-520]</t>
  </si>
  <si>
    <t>ENSDARG00000010144</t>
  </si>
  <si>
    <t>plppr3a</t>
  </si>
  <si>
    <t>phospholipid phosphatase related 3a [Source:ZFIN;Acc:ZDB-GENE-070912-555]</t>
  </si>
  <si>
    <t>ENSDARG00000038569</t>
  </si>
  <si>
    <t>fzd8b</t>
  </si>
  <si>
    <t>frizzled class receptor 8b [Source:ZFIN;Acc:ZDB-GENE-000328-4]</t>
  </si>
  <si>
    <t>ENSDARG00000010658</t>
  </si>
  <si>
    <t>insig1</t>
  </si>
  <si>
    <t>insulin induced gene 1 [Source:ZFIN;Acc:ZDB-GENE-030131-6121]</t>
  </si>
  <si>
    <t>ENSDARG00000044691</t>
  </si>
  <si>
    <t>ppp1r3b</t>
  </si>
  <si>
    <t>protein phosphatase 1, regulatory subunit 3B [Source:ZFIN;Acc:ZDB-GENE-030131-5496]</t>
  </si>
  <si>
    <t>ENSDARG00000075747</t>
  </si>
  <si>
    <t>zfyve16</t>
  </si>
  <si>
    <t>zinc finger, FYVE domain containing 16 [Source:ZFIN;Acc:ZDB-GENE-091116-62]</t>
  </si>
  <si>
    <t>ENSDARG00000099323</t>
  </si>
  <si>
    <t>dlg2</t>
  </si>
  <si>
    <t>discs, large homolog 2 (Drosophila) [Source:ZFIN;Acc:ZDB-GENE-050221-3]</t>
  </si>
  <si>
    <t>ENSDARG00000044092</t>
  </si>
  <si>
    <t>atpif1b</t>
  </si>
  <si>
    <t>ATPase inhibitory factor 1b [Source:ZFIN;Acc:ZDB-GENE-050506-113]</t>
  </si>
  <si>
    <t>ENSDARG00000078814</t>
  </si>
  <si>
    <t>si:dkey-34m19.3</t>
  </si>
  <si>
    <t>si:dkey-34m19.3 [Source:ZFIN;Acc:ZDB-GENE-030131-2206]</t>
  </si>
  <si>
    <t>ENSDARG00000062479</t>
  </si>
  <si>
    <t>vcam1</t>
  </si>
  <si>
    <t>vascular cell adhesion molecule 1 [Source:ZFIN;Acc:ZDB-GENE-070209-238]</t>
  </si>
  <si>
    <t>ENSDARG00000098272</t>
  </si>
  <si>
    <t>nipbla</t>
  </si>
  <si>
    <t>nipped-B homolog a (Drosophila) [Source:ZFIN;Acc:ZDB-GENE-060526-121]</t>
  </si>
  <si>
    <t>ENSDARG00000042557</t>
  </si>
  <si>
    <t>rnf144ab</t>
  </si>
  <si>
    <t>ring finger protein 144ab [Source:ZFIN;Acc:ZDB-GENE-040718-486]</t>
  </si>
  <si>
    <t>ENSDARG00000012137</t>
  </si>
  <si>
    <t>cyp46a1.1</t>
  </si>
  <si>
    <t>cytochrome P450, family 46, subfamily A, polypeptide 1, tandem duplicate 1 [Source:ZFIN;Acc:ZDB-GENE-050522-464]</t>
  </si>
  <si>
    <t>ENSDARG00000018953</t>
  </si>
  <si>
    <t>gclm</t>
  </si>
  <si>
    <t>glutamate-cysteine ligase, modifier subunit [Source:ZFIN;Acc:ZDB-GENE-030131-5906]</t>
  </si>
  <si>
    <t>ENSDARG00000101018</t>
  </si>
  <si>
    <t>ptdss2</t>
  </si>
  <si>
    <t>phosphatidylserine synthase 2 [Source:ZFIN;Acc:ZDB-GENE-130424-2]</t>
  </si>
  <si>
    <t>ENSDARG00000059815</t>
  </si>
  <si>
    <t>oaz2b</t>
  </si>
  <si>
    <t>ornithine decarboxylase antizyme 2b [Source:ZFIN;Acc:ZDB-GENE-070313-1]</t>
  </si>
  <si>
    <t>ENSDARG00000053131</t>
  </si>
  <si>
    <t>irak3</t>
  </si>
  <si>
    <t>interleukin-1 receptor-associated kinase 3 [Source:ZFIN;Acc:ZDB-GENE-060503-710]</t>
  </si>
  <si>
    <t>ENSDARG00000078561</t>
  </si>
  <si>
    <t>lrig2</t>
  </si>
  <si>
    <t>leucine-rich repeats and immunoglobulin-like domains 2 [Source:ZFIN;Acc:ZDB-GENE-041111-75]</t>
  </si>
  <si>
    <t>ENSDARG00000055648</t>
  </si>
  <si>
    <t>cpda</t>
  </si>
  <si>
    <t>carboxypeptidase D, a [Source:ZFIN;Acc:ZDB-GENE-081112-2]</t>
  </si>
  <si>
    <t>ENSDARG00000055786</t>
  </si>
  <si>
    <t>prss23</t>
  </si>
  <si>
    <t>protease, serine, 23 [Source:ZFIN;Acc:ZDB-GENE-030131-9149]</t>
  </si>
  <si>
    <t>ENSDARG00000087573</t>
  </si>
  <si>
    <t>hdac11</t>
  </si>
  <si>
    <t>histone deacetylase 11 [Source:ZFIN;Acc:ZDB-GENE-040704-7]</t>
  </si>
  <si>
    <t>ENSDARG00000059391</t>
  </si>
  <si>
    <t>gyg1b</t>
  </si>
  <si>
    <t>glycogenin 1b [Source:ZFIN;Acc:ZDB-GENE-040625-30]</t>
  </si>
  <si>
    <t>ENSDARG00000091726</t>
  </si>
  <si>
    <t>aebp1</t>
  </si>
  <si>
    <t>AE binding protein 1 [Source:ZFIN;Acc:ZDB-GENE-030131-2390]</t>
  </si>
  <si>
    <t>ENSDARG00000091762</t>
  </si>
  <si>
    <t>zbtb40</t>
  </si>
  <si>
    <t>zinc finger and BTB domain containing 40 [Source:ZFIN;Acc:ZDB-GENE-030131-1704]</t>
  </si>
  <si>
    <t>ENSDARG00000015970</t>
  </si>
  <si>
    <t>phip</t>
  </si>
  <si>
    <t>pleckstrin homology domain interacting protein [Source:ZFIN;Acc:ZDB-GENE-050208-261]</t>
  </si>
  <si>
    <t>ENSDARG00000092636</t>
  </si>
  <si>
    <t>si:ch211-260c23.1</t>
  </si>
  <si>
    <t>si:ch211-260c23.1 [Source:ZFIN;Acc:ZDB-GENE-050420-390]</t>
  </si>
  <si>
    <t>ENSDARG00000054264</t>
  </si>
  <si>
    <t>cog4</t>
  </si>
  <si>
    <t>component of oligomeric golgi complex 4 [Source:ZFIN;Acc:ZDB-GENE-060312-33]</t>
  </si>
  <si>
    <t>ENSDARG00000090086</t>
  </si>
  <si>
    <t>rab11bb</t>
  </si>
  <si>
    <t>RAB11B, member RAS oncogene family, b [Source:ZFIN;Acc:ZDB-GENE-040718-293]</t>
  </si>
  <si>
    <t>ENSDARG00000095179</t>
  </si>
  <si>
    <t>si:ch211-235f1.3</t>
  </si>
  <si>
    <t>si:ch211-235f1.3 [Source:ZFIN;Acc:ZDB-GENE-091204-440]</t>
  </si>
  <si>
    <t>ENSDARG00000074451</t>
  </si>
  <si>
    <t>mnd1</t>
  </si>
  <si>
    <t>meiotic nuclear divisions 1 homolog (S. cerevisiae) [Source:ZFIN;Acc:ZDB-GENE-040801-116]</t>
  </si>
  <si>
    <t>ENSDARG00000058005</t>
  </si>
  <si>
    <t>hgd</t>
  </si>
  <si>
    <t>homogentisate 1,2-dioxygenase [Source:ZFIN;Acc:ZDB-GENE-020802-5]</t>
  </si>
  <si>
    <t>ENSDARG00000059388</t>
  </si>
  <si>
    <t>bdh1</t>
  </si>
  <si>
    <t>3-hydroxybutyrate dehydrogenase, type 1 [Source:ZFIN;Acc:ZDB-GENE-070410-130]</t>
  </si>
  <si>
    <t>ENSDARG00000056515</t>
  </si>
  <si>
    <t>spsb1</t>
  </si>
  <si>
    <t>splA/ryanodine receptor domain and SOCS box containing 1 [Source:ZFIN;Acc:ZDB-GENE-030131-6122]</t>
  </si>
  <si>
    <t>ENSDARG00000101579</t>
  </si>
  <si>
    <t>epc1a</t>
  </si>
  <si>
    <t>enhancer of polycomb homolog 1 (Drosophila) a [Source:ZFIN;Acc:ZDB-GENE-070629-5]</t>
  </si>
  <si>
    <t>ENSDARG00000002285</t>
  </si>
  <si>
    <t>mcoln1a</t>
  </si>
  <si>
    <t>mucolipin 1a [Source:ZFIN;Acc:ZDB-GENE-040426-2704]</t>
  </si>
  <si>
    <t>ENSDARG00000074381</t>
  </si>
  <si>
    <t>farp1</t>
  </si>
  <si>
    <t>FERM, RhoGEF (ARHGEF) and pleckstrin domain protein 1 (chondrocyte-derived) [Source:ZFIN;Acc:ZDB-GENE-070424-163]</t>
  </si>
  <si>
    <t>ENSDARG00000075883</t>
  </si>
  <si>
    <t>bub3</t>
  </si>
  <si>
    <t>BUB3 mitotic checkpoint protein [Source:ZFIN;Acc:ZDB-GENE-041010-210]</t>
  </si>
  <si>
    <t>ENSDARG00000077686</t>
  </si>
  <si>
    <t>aak1b</t>
  </si>
  <si>
    <t>AP2 associated kinase 1b [Source:ZFIN;Acc:ZDB-GENE-091118-25]</t>
  </si>
  <si>
    <t>ENSDARG00000074746</t>
  </si>
  <si>
    <t>kcnd1</t>
  </si>
  <si>
    <t>potassium voltage-gated channel, Shal-related subfamily, member 1 [Source:ZFIN;Acc:ZDB-GENE-081105-40]</t>
  </si>
  <si>
    <t>ENSDARG00000101900</t>
  </si>
  <si>
    <t>xrn2</t>
  </si>
  <si>
    <t>5'-3' exoribonuclease 2 [Source:ZFIN;Acc:ZDB-GENE-040426-2874]</t>
  </si>
  <si>
    <t>ENSDARG00000029795</t>
  </si>
  <si>
    <t>fam213b</t>
  </si>
  <si>
    <t>family with sequence similarity 213, member B [Source:ZFIN;Acc:ZDB-GENE-040426-2556]</t>
  </si>
  <si>
    <t>ENSDARG00000102341</t>
  </si>
  <si>
    <t>sugct</t>
  </si>
  <si>
    <t>succinyl-CoA:glutarate-CoA transferase [Source:ZFIN;Acc:ZDB-GENE-050913-18]</t>
  </si>
  <si>
    <t>ENSDARG00000098304</t>
  </si>
  <si>
    <t>TAOK1</t>
  </si>
  <si>
    <t>zgc:112307 [Source:ZFIN;Acc:ZDB-GENE-050522-179]</t>
  </si>
  <si>
    <t>ENSDARG00000101214</t>
  </si>
  <si>
    <t>pkd1l2b</t>
  </si>
  <si>
    <t>polycystic kidney disease 1 like 2b [Source:ZFIN;Acc:ZDB-GENE-141222-87]</t>
  </si>
  <si>
    <t>ENSDARG00000030591</t>
  </si>
  <si>
    <t>lrrc42</t>
  </si>
  <si>
    <t>leucine rich repeat containing 42 [Source:ZFIN;Acc:ZDB-GENE-030131-4992]</t>
  </si>
  <si>
    <t>ENSDARG00000088072</t>
  </si>
  <si>
    <t>usp43b</t>
  </si>
  <si>
    <t>ubiquitin specific peptidase 43b [Source:ZFIN;Acc:ZDB-GENE-120524-2]</t>
  </si>
  <si>
    <t>ENSDARG00000051880</t>
  </si>
  <si>
    <t>kcnj11</t>
  </si>
  <si>
    <t>potassium inwardly-rectifying channel, subfamily J, member 11 [Source:ZFIN;Acc:ZDB-GENE-060308-2]</t>
  </si>
  <si>
    <t>ENSDARG00000077765</t>
  </si>
  <si>
    <t>cx44.2</t>
  </si>
  <si>
    <t>connexin 44.2 [Source:ZFIN;Acc:ZDB-GENE-010619-1]</t>
  </si>
  <si>
    <t>ENSDARG00000096917</t>
  </si>
  <si>
    <t>si:ch211-227m13.1</t>
  </si>
  <si>
    <t>si:ch211-227m13.1 [Source:ZFIN;Acc:ZDB-GENE-131121-45]</t>
  </si>
  <si>
    <t>ENSDARG00000028721</t>
  </si>
  <si>
    <t>mapk14b</t>
  </si>
  <si>
    <t>mitogen-activated protein kinase 14b [Source:ZFIN;Acc:ZDB-GENE-021007-1]</t>
  </si>
  <si>
    <t>ENSDARG00000078233</t>
  </si>
  <si>
    <t>ctnnd1</t>
  </si>
  <si>
    <t>catenin (cadherin-associated protein), delta 1 [Source:ZFIN;Acc:ZDB-GENE-110208-9]</t>
  </si>
  <si>
    <t>ENSDARG00000013475</t>
  </si>
  <si>
    <t>cct4</t>
  </si>
  <si>
    <t>chaperonin containing TCP1, subunit 4 (delta) [Source:ZFIN;Acc:ZDB-GENE-040426-1421]</t>
  </si>
  <si>
    <t>ENSDARG00000006174</t>
  </si>
  <si>
    <t>lrrc23</t>
  </si>
  <si>
    <t>leucine rich repeat containing 23 [Source:ZFIN;Acc:ZDB-GENE-041010-153]</t>
  </si>
  <si>
    <t>ENSDARG00000020607</t>
  </si>
  <si>
    <t>emc3</t>
  </si>
  <si>
    <t>ER membrane protein complex subunit 3 [Source:ZFIN;Acc:ZDB-GENE-040426-2904]</t>
  </si>
  <si>
    <t>ENSDARG00000102417</t>
  </si>
  <si>
    <t>psmd7</t>
  </si>
  <si>
    <t>proteasome 26S subunit, non-ATPase 7 [Source:ZFIN;Acc:ZDB-GENE-030131-5541]</t>
  </si>
  <si>
    <t>ENSDARG00000003206</t>
  </si>
  <si>
    <t>chchd6a</t>
  </si>
  <si>
    <t>coiled-coil-helix-coiled-coil-helix domain containing 6a [Source:ZFIN;Acc:ZDB-GENE-040930-2]</t>
  </si>
  <si>
    <t>ENSDARG00000061357</t>
  </si>
  <si>
    <t>CHST6</t>
  </si>
  <si>
    <t>zgc:194879 [Source:ZFIN;Acc:ZDB-GENE-060810-74]</t>
  </si>
  <si>
    <t>ENSDARG00000103754</t>
  </si>
  <si>
    <t>aspm</t>
  </si>
  <si>
    <t>abnormal spindle microtubule assembly [Source:ZFIN;Acc:ZDB-GENE-050208-620]</t>
  </si>
  <si>
    <t>ENSDARG00000028485</t>
  </si>
  <si>
    <t>cabp5b</t>
  </si>
  <si>
    <t>calcium binding protein 5b [Source:ZFIN;Acc:ZDB-GENE-050522-146]</t>
  </si>
  <si>
    <t>ENSDARG00000097473</t>
  </si>
  <si>
    <t>zgc:113340</t>
  </si>
  <si>
    <t>zgc:113340 [Source:ZFIN;Acc:ZDB-GENE-050327-34]</t>
  </si>
  <si>
    <t>ENSDARG00000040930</t>
  </si>
  <si>
    <t>deptor</t>
  </si>
  <si>
    <t>DEP domain containing MTOR-interacting protein [Source:ZFIN;Acc:ZDB-GENE-061013-453]</t>
  </si>
  <si>
    <t>ENSDARG00000101829</t>
  </si>
  <si>
    <t>si:dkey-16b10.2</t>
  </si>
  <si>
    <t>si:dkey-16b10.2 [Source:ZFIN;Acc:ZDB-GENE-120703-32]</t>
  </si>
  <si>
    <t>ENSDARG00000044182</t>
  </si>
  <si>
    <t>stau1</t>
  </si>
  <si>
    <t>staufen double-stranded RNA binding protein 1 [Source:ZFIN;Acc:ZDB-GENE-030131-6372]</t>
  </si>
  <si>
    <t>ENSDARG00000105137</t>
  </si>
  <si>
    <t>zgc:173705</t>
  </si>
  <si>
    <t>zgc:173705 [Source:ZFIN;Acc:ZDB-GENE-080212-6]</t>
  </si>
  <si>
    <t>ENSDARG00000011312</t>
  </si>
  <si>
    <t>stk3</t>
  </si>
  <si>
    <t>serine/threonine kinase 3 (STE20 homolog, yeast) [Source:ZFIN;Acc:ZDB-GENE-030131-2845]</t>
  </si>
  <si>
    <t>ENSDARG00000006609</t>
  </si>
  <si>
    <t>map2k2a</t>
  </si>
  <si>
    <t>mitogen-activated protein kinase kinase 2a [Source:ZFIN;Acc:ZDB-GENE-041027-1]</t>
  </si>
  <si>
    <t>ENSDARG00000095672</t>
  </si>
  <si>
    <t>si:ch73-234i15.6</t>
  </si>
  <si>
    <t>si:ch73-234i15.6 [Source:ZFIN;Acc:ZDB-GENE-141222-15]</t>
  </si>
  <si>
    <t>ENSDARG00000056619</t>
  </si>
  <si>
    <t>arhgap42a</t>
  </si>
  <si>
    <t>Rho GTPase activating protein 42a [Source:ZFIN;Acc:ZDB-GENE-030131-8077]</t>
  </si>
  <si>
    <t>ENSDARG00000019741</t>
  </si>
  <si>
    <t>si:ch211-152f23.5</t>
  </si>
  <si>
    <t>si:ch211-152f23.5 [Source:ZFIN;Acc:ZDB-GENE-080917-47]</t>
  </si>
  <si>
    <t>ENSDARG00000057648</t>
  </si>
  <si>
    <t>dnttip2</t>
  </si>
  <si>
    <t>deoxynucleotidyltransferase, terminal, interacting protein 2 [Source:ZFIN;Acc:ZDB-GENE-080513-5]</t>
  </si>
  <si>
    <t>ENSDARG00000061946</t>
  </si>
  <si>
    <t>commd4</t>
  </si>
  <si>
    <t>COMM domain containing 4 [Source:ZFIN;Acc:ZDB-GENE-060929-600]</t>
  </si>
  <si>
    <t>ENSDARG00000095779</t>
  </si>
  <si>
    <t>si:dkey-189d19.2</t>
  </si>
  <si>
    <t>si:dkey-189d19.2 [Source:ZFIN;Acc:ZDB-GENE-060531-76]</t>
  </si>
  <si>
    <t>ENSDARG00000096562</t>
  </si>
  <si>
    <t>wu:fj29h11</t>
  </si>
  <si>
    <t>wu:fj29h11 [Source:ZFIN;Acc:ZDB-GENE-030131-7558]</t>
  </si>
  <si>
    <t>ENSDARG00000088833</t>
  </si>
  <si>
    <t>si:ch211-237i5.4</t>
  </si>
  <si>
    <t>si:ch211-237i5.4 [Source:ZFIN;Acc:ZDB-GENE-131121-468]</t>
  </si>
  <si>
    <t>ENSDARG00000011373</t>
  </si>
  <si>
    <t>mknk2a</t>
  </si>
  <si>
    <t>MAP kinase interacting serine/threonine kinase 2a [Source:ZFIN;Acc:ZDB-GENE-030131-6099]</t>
  </si>
  <si>
    <t>ENSDARG00000055365</t>
  </si>
  <si>
    <t>si:dkey-25e12.3</t>
  </si>
  <si>
    <t>si:dkey-25e12.3 [Source:ZFIN;Acc:ZDB-GENE-041001-132]</t>
  </si>
  <si>
    <t>ENSDARG00000089767</t>
  </si>
  <si>
    <t>rnf130</t>
  </si>
  <si>
    <t>ring finger protein 130 [Source:ZFIN;Acc:ZDB-GENE-050522-525]</t>
  </si>
  <si>
    <t>ENSDARG00000095774</t>
  </si>
  <si>
    <t>emd</t>
  </si>
  <si>
    <t>emerin (Emery-Dreifuss muscular dystrophy) [Source:ZFIN;Acc:ZDB-GENE-070501-2]</t>
  </si>
  <si>
    <t>ENSDARG00000045827</t>
  </si>
  <si>
    <t>lyrm5b</t>
  </si>
  <si>
    <t>LYR motif containing 5b [Source:ZFIN;Acc:ZDB-GENE-070424-20]</t>
  </si>
  <si>
    <t>ENSDARG00000045398</t>
  </si>
  <si>
    <t>mtrr</t>
  </si>
  <si>
    <t>5-methyltetrahydrofolate-homocysteine methyltransferase reductase [Source:ZFIN;Acc:ZDB-GENE-101115-3]</t>
  </si>
  <si>
    <t>ENSDARG00000040135</t>
  </si>
  <si>
    <t>fosaa</t>
  </si>
  <si>
    <t>v-fos FBJ murine osteosarcoma viral oncogene homolog Aa [Source:ZFIN;Acc:ZDB-GENE-131121-552]</t>
  </si>
  <si>
    <t>ENSDARG00000101363</t>
  </si>
  <si>
    <t>ano2</t>
  </si>
  <si>
    <t>anoctamin 2 [Source:ZFIN;Acc:ZDB-GENE-060503-62]</t>
  </si>
  <si>
    <t>ENSDARG00000089967</t>
  </si>
  <si>
    <t>si:ch211-59o9.10</t>
  </si>
  <si>
    <t>si:ch211-59o9.10 [Source:ZFIN;Acc:ZDB-GENE-101206-1]</t>
  </si>
  <si>
    <t>ENSDARG00000074979</t>
  </si>
  <si>
    <t>larp4ab</t>
  </si>
  <si>
    <t>La ribonucleoprotein domain family, member 4Ab [Source:ZFIN;Acc:ZDB-GENE-100729-2]</t>
  </si>
  <si>
    <t>ENSDARG00000094461</t>
  </si>
  <si>
    <t>si:dkey-106m10.6</t>
  </si>
  <si>
    <t>si:dkey-106m10.6 [Source:ZFIN;Acc:ZDB-GENE-091112-3]</t>
  </si>
  <si>
    <t>ENSDARG00000102470</t>
  </si>
  <si>
    <t>mpp7a</t>
  </si>
  <si>
    <t>membrane protein, palmitoylated 7a (MAGUK p55 subfamily member 7) [Source:ZFIN;Acc:ZDB-GENE-991209-8]</t>
  </si>
  <si>
    <t>ENSDARG00000018494</t>
  </si>
  <si>
    <t>smn1</t>
  </si>
  <si>
    <t>survival of motor neuron 1, telomeric [Source:ZFIN;Acc:ZDB-GENE-990715-16]</t>
  </si>
  <si>
    <t>ENSDARG00000040352</t>
  </si>
  <si>
    <t>crot</t>
  </si>
  <si>
    <t>carnitine O-octanoyltransferase [Source:ZFIN;Acc:ZDB-GENE-050522-35]</t>
  </si>
  <si>
    <t>ENSDARG00000104822</t>
  </si>
  <si>
    <t>znf1131</t>
  </si>
  <si>
    <t>zinc finger protein 1131 [Source:ZFIN;Acc:ZDB-GENE-110914-31]</t>
  </si>
  <si>
    <t>ENSDARG00000079973</t>
  </si>
  <si>
    <t>pus10</t>
  </si>
  <si>
    <t>pseudouridylate synthase 10 [Source:ZFIN;Acc:ZDB-GENE-080204-5]</t>
  </si>
  <si>
    <t>ENSDARG00000043972</t>
  </si>
  <si>
    <t>ppp2r3c</t>
  </si>
  <si>
    <t>protein phosphatase 2, regulatory subunit B'', gamma [Source:ZFIN;Acc:ZDB-GENE-040426-715]</t>
  </si>
  <si>
    <t>ENSDARG00000100055</t>
  </si>
  <si>
    <t>tox2</t>
  </si>
  <si>
    <t>TOX high mobility group box family member 2 [Source:ZFIN;Acc:ZDB-GENE-040426-2095]</t>
  </si>
  <si>
    <t>ENSDARG00000063677</t>
  </si>
  <si>
    <t>ccny</t>
  </si>
  <si>
    <t>cyclin Y [Source:ZFIN;Acc:ZDB-GENE-091117-45]</t>
  </si>
  <si>
    <t>ENSDARG00000101816</t>
  </si>
  <si>
    <t>col5a3b</t>
  </si>
  <si>
    <t>collagen, type V, alpha 3b [Source:ZFIN;Acc:ZDB-GENE-110728-4]</t>
  </si>
  <si>
    <t>ENSDARG00000071733</t>
  </si>
  <si>
    <t>si:ch211-207i20.3</t>
  </si>
  <si>
    <t>si:ch211-207i20.3 [Source:ZFIN;Acc:ZDB-GENE-141222-71]</t>
  </si>
  <si>
    <t>ENSDARG00000035633</t>
  </si>
  <si>
    <t>tctn2</t>
  </si>
  <si>
    <t>tectonic family member 2 [Source:ZFIN;Acc:ZDB-GENE-030131-751]</t>
  </si>
  <si>
    <t>ENSDARG00000056601</t>
  </si>
  <si>
    <t>plekha3</t>
  </si>
  <si>
    <t>pleckstrin homology domain containing, family A (phosphoinositide binding specific) member 3 [Source:ZFIN;Acc:ZDB-GENE-040426-1252]</t>
  </si>
  <si>
    <t>ENSDARG00000026799</t>
  </si>
  <si>
    <t>suv39h1a</t>
  </si>
  <si>
    <t>suppressor of variegation 3-9 homolog 1a [Source:ZFIN;Acc:ZDB-GENE-040801-111]</t>
  </si>
  <si>
    <t>ENSDARG00000026183</t>
  </si>
  <si>
    <t>polr2eb</t>
  </si>
  <si>
    <t>polymerase (RNA) II (DNA directed) polypeptide E, b [Source:ZFIN;Acc:ZDB-GENE-040801-83]</t>
  </si>
  <si>
    <t>ENSDARG00000090646</t>
  </si>
  <si>
    <t>tnk2a</t>
  </si>
  <si>
    <t>tyrosine kinase, non-receptor, 2a [Source:ZFIN;Acc:ZDB-GENE-091118-85]</t>
  </si>
  <si>
    <t>ENSDARG00000088019</t>
  </si>
  <si>
    <t>si:ch211-114l13.12</t>
  </si>
  <si>
    <t>si:ch211-114l13.12 [Source:ZFIN;Acc:ZDB-GENE-120215-211]</t>
  </si>
  <si>
    <t>ENSDARG00000023214</t>
  </si>
  <si>
    <t>mob2a</t>
  </si>
  <si>
    <t>MOB kinase activator 2a [Source:ZFIN;Acc:ZDB-GENE-040718-56]</t>
  </si>
  <si>
    <t>ENSDARG00000045955</t>
  </si>
  <si>
    <t>prlrb</t>
  </si>
  <si>
    <t>prolactin receptor b [Source:ZFIN;Acc:ZDB-GENE-070705-155]</t>
  </si>
  <si>
    <t>ENSDARG00000035253</t>
  </si>
  <si>
    <t>npr3</t>
  </si>
  <si>
    <t>natriuretic peptide receptor 3 [Source:ZFIN;Acc:ZDB-GENE-060531-91]</t>
  </si>
  <si>
    <t>ENSDARG00000071657</t>
  </si>
  <si>
    <t>si:dkey-19a16.4</t>
  </si>
  <si>
    <t>si:dkey-19a16.4 [Source:ZFIN;Acc:ZDB-GENE-050208-652]</t>
  </si>
  <si>
    <t>ENSDARG00000060113</t>
  </si>
  <si>
    <t>znf395a</t>
  </si>
  <si>
    <t>zinc finger protein 395a [Source:ZFIN;Acc:ZDB-GENE-061215-52]</t>
  </si>
  <si>
    <t>ENSDARG00000058646</t>
  </si>
  <si>
    <t>ptprna</t>
  </si>
  <si>
    <t>protein tyrosine phosphatase, receptor type, Na [Source:ZFIN;Acc:ZDB-GENE-030131-3511]</t>
  </si>
  <si>
    <t>ENSDARG00000034975</t>
  </si>
  <si>
    <t>gpr157</t>
  </si>
  <si>
    <t>G protein-coupled receptor 157 [Source:ZFIN;Acc:ZDB-GENE-050809-126]</t>
  </si>
  <si>
    <t>ENSDARG00000039830</t>
  </si>
  <si>
    <t>gng5</t>
  </si>
  <si>
    <t>guanine nucleotide binding protein (G protein), gamma 5 [Source:ZFIN;Acc:ZDB-GENE-030131-9966]</t>
  </si>
  <si>
    <t>ENSDARG00000004402</t>
  </si>
  <si>
    <t>elovl6</t>
  </si>
  <si>
    <t>ELOVL fatty acid elongase 6 [Source:ZFIN;Acc:ZDB-GENE-030114-1]</t>
  </si>
  <si>
    <t>ENSDARG00000036055</t>
  </si>
  <si>
    <t>thap11</t>
  </si>
  <si>
    <t>THAP domain containing 11 [Source:ZFIN;Acc:ZDB-GENE-040426-2121]</t>
  </si>
  <si>
    <t>ENSDARG00000016526</t>
  </si>
  <si>
    <t>gata3</t>
  </si>
  <si>
    <t>GATA binding protein 3 [Source:ZFIN;Acc:ZDB-GENE-990415-82]</t>
  </si>
  <si>
    <t>ENSDARG00000098558</t>
  </si>
  <si>
    <t>si:dkey-148a17.3</t>
  </si>
  <si>
    <t>si:dkey-148a17.3 [Source:ZFIN;Acc:ZDB-GENE-141216-120]</t>
  </si>
  <si>
    <t>ENSDARG00000017143</t>
  </si>
  <si>
    <t>brd9</t>
  </si>
  <si>
    <t>bromodomain containing 9 [Source:ZFIN;Acc:ZDB-GENE-060502-1]</t>
  </si>
  <si>
    <t>ENSDARG00000075057</t>
  </si>
  <si>
    <t>si:dkeyp-33b5.4</t>
  </si>
  <si>
    <t>si:dkeyp-33b5.4 [Source:ZFIN;Acc:ZDB-GENE-100618-4]</t>
  </si>
  <si>
    <t>ENSDARG00000076297</t>
  </si>
  <si>
    <t>nfatc3a</t>
  </si>
  <si>
    <t>nuclear factor of activated T-cells, cytoplasmic, calcineurin-dependent 3a [Source:ZFIN;Acc:ZDB-GENE-041111-41]</t>
  </si>
  <si>
    <t>ENSDARG00000100511</t>
  </si>
  <si>
    <t>si:dkey-26o16.2</t>
  </si>
  <si>
    <t>si:dkey-26o16.2 [Source:ZFIN;Acc:ZDB-GENE-131121-396]</t>
  </si>
  <si>
    <t>ENSDARG00000042984</t>
  </si>
  <si>
    <t>fpr1</t>
  </si>
  <si>
    <t>formyl peptide receptor 1 [Source:ZFIN;Acc:ZDB-GENE-121227-2]</t>
  </si>
  <si>
    <t>ENSDARG00000096728</t>
  </si>
  <si>
    <t>cpn1</t>
  </si>
  <si>
    <t>cpn1.2</t>
  </si>
  <si>
    <t>carboxypeptidase N, polypeptide 1 [Source:ZFIN;Acc:ZDB-GENE-030131-9116]</t>
  </si>
  <si>
    <t>ENSDARG00000036298</t>
  </si>
  <si>
    <t>rps13</t>
  </si>
  <si>
    <t>ribosomal protein S13 [Source:ZFIN;Acc:ZDB-GENE-040625-52]</t>
  </si>
  <si>
    <t>ENSDARG00000074806</t>
  </si>
  <si>
    <t>afap1l2</t>
  </si>
  <si>
    <t>actin filament associated protein 1-like 2 [Source:ZFIN;Acc:ZDB-GENE-100318-1]</t>
  </si>
  <si>
    <t>ENSDARG00000056438</t>
  </si>
  <si>
    <t>her9</t>
  </si>
  <si>
    <t>hairy-related 9 [Source:ZFIN;Acc:ZDB-GENE-011213-1]</t>
  </si>
  <si>
    <t>ENSDARG00000077698</t>
  </si>
  <si>
    <t>rsad1</t>
  </si>
  <si>
    <t>radical S-adenosyl methionine domain containing 1 [Source:ZFIN;Acc:ZDB-GENE-030131-2508]</t>
  </si>
  <si>
    <t>ENSDARG00000020857</t>
  </si>
  <si>
    <t>ccdc149b</t>
  </si>
  <si>
    <t>coiled-coil domain containing 149b [Source:ZFIN;Acc:ZDB-GENE-040718-465]</t>
  </si>
  <si>
    <t>ENSDARG00000059596</t>
  </si>
  <si>
    <t>clip2</t>
  </si>
  <si>
    <t>CAP-GLY domain containing linker protein 2 [Source:ZFIN;Acc:ZDB-GENE-100727-3]</t>
  </si>
  <si>
    <t>ENSDARG00000039350</t>
  </si>
  <si>
    <t>ssbp1</t>
  </si>
  <si>
    <t>single-stranded DNA binding protein 1 [Source:ZFIN;Acc:ZDB-GENE-050417-340]</t>
  </si>
  <si>
    <t>ENSDARG00000101910</t>
  </si>
  <si>
    <t>pcdh20</t>
  </si>
  <si>
    <t>protocadherin 20 [Source:ZFIN;Acc:ZDB-GENE-091204-115]</t>
  </si>
  <si>
    <t>ENSDARG00000068478</t>
  </si>
  <si>
    <t>gpx4a</t>
  </si>
  <si>
    <t>glutathione peroxidase 4a [Source:ZFIN;Acc:ZDB-GENE-030410-2]</t>
  </si>
  <si>
    <t>ENSDARG00000035175</t>
  </si>
  <si>
    <t>schip1</t>
  </si>
  <si>
    <t>schwannomin interacting protein 1 [Source:ZFIN;Acc:ZDB-GENE-050417-466]</t>
  </si>
  <si>
    <t>ENSDARG00000089570</t>
  </si>
  <si>
    <t>ccdc169</t>
  </si>
  <si>
    <t>coiled-coil domain containing 169 [Source:ZFIN;Acc:ZDB-GENE-091204-29]</t>
  </si>
  <si>
    <t>ENSDARG00000101331</t>
  </si>
  <si>
    <t>tekt1</t>
  </si>
  <si>
    <t>tektin 1 [Source:ZFIN;Acc:ZDB-GENE-041114-99]</t>
  </si>
  <si>
    <t>ENSDARG00000094974</t>
  </si>
  <si>
    <t>pbld1</t>
  </si>
  <si>
    <t>phenazine biosynthesis-like protein domain containing 1 [Source:ZFIN;Acc:ZDB-GENE-040808-16]</t>
  </si>
  <si>
    <t>ENSDARG00000000018</t>
  </si>
  <si>
    <t>nrf1</t>
  </si>
  <si>
    <t>nuclear respiratory factor 1 [Source:ZFIN;Acc:ZDB-GENE-001221-1]</t>
  </si>
  <si>
    <t>ENSDARG00000033042</t>
  </si>
  <si>
    <t>ptprja</t>
  </si>
  <si>
    <t>protein tyrosine phosphatase, receptor type, J a [Source:ZFIN;Acc:ZDB-GENE-030131-8301]</t>
  </si>
  <si>
    <t>ENSDARG00000042141</t>
  </si>
  <si>
    <t>myo6b</t>
  </si>
  <si>
    <t>myosin VIb [Source:ZFIN;Acc:ZDB-GENE-030318-3]</t>
  </si>
  <si>
    <t>ENSDARG00000008540</t>
  </si>
  <si>
    <t>sox21b</t>
  </si>
  <si>
    <t>SRY (sex determining region Y)-box 21b [Source:ZFIN;Acc:ZDB-GENE-040429-1]</t>
  </si>
  <si>
    <t>ENSDARG00000104609</t>
  </si>
  <si>
    <t>crebbpa</t>
  </si>
  <si>
    <t>CREB binding protein a [Source:ZFIN;Acc:ZDB-GENE-050208-439]</t>
  </si>
  <si>
    <t>ENSDARG00000100431</t>
  </si>
  <si>
    <t>spaca4l</t>
  </si>
  <si>
    <t>sperm acrosome associated 4 like [Source:ZFIN;Acc:ZDB-GENE-101011-2]</t>
  </si>
  <si>
    <t>ENSDARG00000026359</t>
  </si>
  <si>
    <t>pbld2</t>
  </si>
  <si>
    <t>phenazine biosynthesis-like protein domain containing 2 [Source:ZFIN;Acc:ZDB-GENE-050417-456]</t>
  </si>
  <si>
    <t>ENSDARG00000102145</t>
  </si>
  <si>
    <t>ccdc77</t>
  </si>
  <si>
    <t>coiled-coil domain containing 77 [Source:ZFIN;Acc:ZDB-GENE-050913-54]</t>
  </si>
  <si>
    <t>ENSDARG00000060679</t>
  </si>
  <si>
    <t>kdm1a</t>
  </si>
  <si>
    <t>lysine (K)-specific demethylase 1a [Source:ZFIN;Acc:ZDB-GENE-030131-7828]</t>
  </si>
  <si>
    <t>ENSDARG00000101619</t>
  </si>
  <si>
    <t>minos1</t>
  </si>
  <si>
    <t>mitochondrial inner membrane organizing system 1 [Source:ZFIN;Acc:ZDB-GENE-060825-325]</t>
  </si>
  <si>
    <t>ENSDARG00000090993</t>
  </si>
  <si>
    <t>rnf4</t>
  </si>
  <si>
    <t>ring finger protein 4 [Source:ZFIN;Acc:ZDB-GENE-041008-246]</t>
  </si>
  <si>
    <t>ENSDARG00000074703</t>
  </si>
  <si>
    <t>ccdc97</t>
  </si>
  <si>
    <t>coiled-coil domain containing 97 [Source:ZFIN;Acc:ZDB-GENE-131127-366]</t>
  </si>
  <si>
    <t>ENSDARG00000068663</t>
  </si>
  <si>
    <t>zgc:152951</t>
  </si>
  <si>
    <t>zgc:152951 [Source:ZFIN;Acc:ZDB-GENE-060929-416]</t>
  </si>
  <si>
    <t>ENSDARG00000009273</t>
  </si>
  <si>
    <t>ppm1da</t>
  </si>
  <si>
    <t>protein phosphatase, Mg2+/Mn2+ dependent, 1Da [Source:ZFIN;Acc:ZDB-GENE-040426-815]</t>
  </si>
  <si>
    <t>ENSDARG00000008384</t>
  </si>
  <si>
    <t>hdac6</t>
  </si>
  <si>
    <t>histone deacetylase 6 [Source:ZFIN;Acc:ZDB-GENE-030131-3232]</t>
  </si>
  <si>
    <t>ENSDARG00000025043</t>
  </si>
  <si>
    <t>trip13</t>
  </si>
  <si>
    <t>thyroid hormone receptor interactor 13 [Source:ZFIN;Acc:ZDB-GENE-040426-1488]</t>
  </si>
  <si>
    <t>ENSDARG00000078807</t>
  </si>
  <si>
    <t>zgc:193538</t>
  </si>
  <si>
    <t>zgc:193538 [Source:ZFIN;Acc:ZDB-GENE-041111-206]</t>
  </si>
  <si>
    <t>ENSDARG00000041565</t>
  </si>
  <si>
    <t>tnfaip1</t>
  </si>
  <si>
    <t>tumor necrosis factor, alpha-induced protein 1 (endothelial) [Source:ZFIN;Acc:ZDB-GENE-030131-5610]</t>
  </si>
  <si>
    <t>ENSDARG00000005454</t>
  </si>
  <si>
    <t>tacc3</t>
  </si>
  <si>
    <t>transforming, acidic coiled-coil containing protein 3 [Source:ZFIN;Acc:ZDB-GENE-050522-327]</t>
  </si>
  <si>
    <t>ENSDARG00000060411</t>
  </si>
  <si>
    <t>ddx28</t>
  </si>
  <si>
    <t>DEAD (Asp-Glu-Ala-Asp) box polypeptide 28 [Source:ZFIN;Acc:ZDB-GENE-061013-64]</t>
  </si>
  <si>
    <t>ENSDARG00000095743</t>
  </si>
  <si>
    <t>sox11b</t>
  </si>
  <si>
    <t>SRY (sex determining region Y)-box 11b [Source:ZFIN;Acc:ZDB-GENE-980526-466]</t>
  </si>
  <si>
    <t>ENSDARG00000104068</t>
  </si>
  <si>
    <t>gstp1</t>
  </si>
  <si>
    <t>glutathione S-transferase pi 1 [Source:ZFIN;Acc:ZDB-GENE-020806-4]</t>
  </si>
  <si>
    <t>ENSDARG00000032037</t>
  </si>
  <si>
    <t>bet1l</t>
  </si>
  <si>
    <t>Bet1 golgi vesicular membrane trafficking protein-like [Source:ZFIN;Acc:ZDB-GENE-040822-2]</t>
  </si>
  <si>
    <t>ENSDARG00000003081</t>
  </si>
  <si>
    <t>mybphb</t>
  </si>
  <si>
    <t>myosin binding protein Hb [Source:ZFIN;Acc:ZDB-GENE-030131-9794]</t>
  </si>
  <si>
    <t>ENSDARG00000096489</t>
  </si>
  <si>
    <t>si:dkey-227h16.2</t>
  </si>
  <si>
    <t>si:dkey-227h16.2 [Source:ZFIN;Acc:ZDB-GENE-091204-275]</t>
  </si>
  <si>
    <t>ENSDARG00000016280</t>
  </si>
  <si>
    <t>eif1ad</t>
  </si>
  <si>
    <t>eukaryotic translation initiation factor 1A domain containing [Source:ZFIN;Acc:ZDB-GENE-040426-1199]</t>
  </si>
  <si>
    <t>ENSDARG00000057218</t>
  </si>
  <si>
    <t>tbc1d15</t>
  </si>
  <si>
    <t>TBC1 domain family, member 15 [Source:ZFIN;Acc:ZDB-GENE-041111-251]</t>
  </si>
  <si>
    <t>ENSDARG00000017841</t>
  </si>
  <si>
    <t>cand1</t>
  </si>
  <si>
    <t>cullin-associated and neddylation-dissociated 1 [Source:ZFIN;Acc:ZDB-GENE-040426-2872]</t>
  </si>
  <si>
    <t>ENSDARG00000089235</t>
  </si>
  <si>
    <t>tspearb</t>
  </si>
  <si>
    <t>thrombospondin-type laminin G domain and EAR repeats b [Source:ZFIN;Acc:ZDB-GENE-030131-4270]</t>
  </si>
  <si>
    <t>ENSDARG00000098390</t>
  </si>
  <si>
    <t>si:ch211-129p6.2</t>
  </si>
  <si>
    <t>si:ch211-129p6.2 [Source:ZFIN;Acc:ZDB-GENE-131118-4]</t>
  </si>
  <si>
    <t>ENSDARG00000053575</t>
  </si>
  <si>
    <t>gpat2</t>
  </si>
  <si>
    <t>glycerol-3-phosphate acyltransferase 2, mitochondrial [Source:ZFIN;Acc:ZDB-GENE-050309-118]</t>
  </si>
  <si>
    <t>ENSDARG00000038076</t>
  </si>
  <si>
    <t>romo1</t>
  </si>
  <si>
    <t>reactive oxygen species modulator 1 [Source:ZFIN;Acc:ZDB-GENE-040426-1768]</t>
  </si>
  <si>
    <t>ENSDARG00000037108</t>
  </si>
  <si>
    <t>pfdn6</t>
  </si>
  <si>
    <t>prefoldin subunit 6 [Source:ZFIN;Acc:ZDB-GENE-040426-1589]</t>
  </si>
  <si>
    <t>ENSDARG00000025467</t>
  </si>
  <si>
    <t>aatf</t>
  </si>
  <si>
    <t>apoptosis antagonizing transcription factor [Source:ZFIN;Acc:ZDB-GENE-030131-9654]</t>
  </si>
  <si>
    <t>ENSDARG00000038074</t>
  </si>
  <si>
    <t>ergic3</t>
  </si>
  <si>
    <t>ERGIC and golgi 3 [Source:ZFIN;Acc:ZDB-GENE-040426-795]</t>
  </si>
  <si>
    <t>ENSDARG00000062146</t>
  </si>
  <si>
    <t>larp4b</t>
  </si>
  <si>
    <t>La ribonucleoprotein domain family, member 4B [Source:ZFIN;Acc:ZDB-GENE-061027-39]</t>
  </si>
  <si>
    <t>ENSDARG00000017220</t>
  </si>
  <si>
    <t>otud7b</t>
  </si>
  <si>
    <t>OTU deubiquitinase 7B [Source:ZFIN;Acc:ZDB-GENE-060616-1]</t>
  </si>
  <si>
    <t>ENSDARG00000011740</t>
  </si>
  <si>
    <t>u2af2b</t>
  </si>
  <si>
    <t>U2 small nuclear RNA auxiliary factor 2b [Source:ZFIN;Acc:ZDB-GENE-040426-1881]</t>
  </si>
  <si>
    <t>ENSDARG00000001162</t>
  </si>
  <si>
    <t>matr3l1.1</t>
  </si>
  <si>
    <t>matrin 3-like 1.1 [Source:ZFIN;Acc:ZDB-GENE-030616-40]</t>
  </si>
  <si>
    <t>ENSDARG00000090301</t>
  </si>
  <si>
    <t>usp48</t>
  </si>
  <si>
    <t>ubiquitin specific peptidase 48 [Source:ZFIN;Acc:ZDB-GENE-050522-197]</t>
  </si>
  <si>
    <t>ENSDARG00000075599</t>
  </si>
  <si>
    <t>cdc25d</t>
  </si>
  <si>
    <t>cell division cycle 25 homolog d [Source:ZFIN;Acc:ZDB-GENE-090313-74]</t>
  </si>
  <si>
    <t>ENSDARG00000039880</t>
  </si>
  <si>
    <t>arpp19b</t>
  </si>
  <si>
    <t>cAMP-regulated phosphoprotein 19b [Source:ZFIN;Acc:ZDB-GENE-040426-930]</t>
  </si>
  <si>
    <t>ENSDARG00000036456</t>
  </si>
  <si>
    <t>anxa4</t>
  </si>
  <si>
    <t>annexin A4 [Source:ZFIN;Acc:ZDB-GENE-030707-1]</t>
  </si>
  <si>
    <t>ENSDARG00000029859</t>
  </si>
  <si>
    <t>si:ch211-241d21.5</t>
  </si>
  <si>
    <t>si:ch211-241d21.5 [Source:ZFIN;Acc:ZDB-GENE-081104-194]</t>
  </si>
  <si>
    <t>ENSDARG00000090946</t>
  </si>
  <si>
    <t>si:zfos-364h11.1</t>
  </si>
  <si>
    <t>si:zfos-364h11.1 [Source:ZFIN;Acc:ZDB-GENE-121214-26]</t>
  </si>
  <si>
    <t>ENSDARG00000095904</t>
  </si>
  <si>
    <t>prpf31</t>
  </si>
  <si>
    <t>PRP31 pre-mRNA processing factor 31 homolog (yeast) [Source:ZFIN;Acc:ZDB-GENE-040426-1561]</t>
  </si>
  <si>
    <t>ENSDARG00000068939</t>
  </si>
  <si>
    <t>xaf1</t>
  </si>
  <si>
    <t>XIAP associated factor 1 [Source:ZFIN;Acc:ZDB-GENE-060929-840]</t>
  </si>
  <si>
    <t>ENSDARG00000105449</t>
  </si>
  <si>
    <t>si:ch211-117a13.2</t>
  </si>
  <si>
    <t>si:ch211-117a13.2 [Source:ZFIN;Acc:ZDB-GENE-160113-64]</t>
  </si>
  <si>
    <t>ENSDARG00000089640</t>
  </si>
  <si>
    <t>si:dkey-117n7.5</t>
  </si>
  <si>
    <t>si:dkey-117n7.5 [Source:ZFIN;Acc:ZDB-GENE-060503-331]</t>
  </si>
  <si>
    <t>ENSDARG00000025309</t>
  </si>
  <si>
    <t>dpf3</t>
  </si>
  <si>
    <t>D4, zinc and double PHD fingers, family 3 [Source:ZFIN;Acc:ZDB-GENE-041014-190]</t>
  </si>
  <si>
    <t>ENSDARG00000030805</t>
  </si>
  <si>
    <t>znhit2</t>
  </si>
  <si>
    <t>zinc finger, HIT-type containing 2 [Source:ZFIN;Acc:ZDB-GENE-061103-46]</t>
  </si>
  <si>
    <t>ENSDARG00000051957</t>
  </si>
  <si>
    <t>selm</t>
  </si>
  <si>
    <t>selenoprotein M [Source:ZFIN;Acc:ZDB-GENE-030410-4]</t>
  </si>
  <si>
    <t>ENSDARG00000003984</t>
  </si>
  <si>
    <t>LTN1</t>
  </si>
  <si>
    <t>si:dkey-175g6.5 [Source:ZFIN;Acc:ZDB-GENE-091204-127]</t>
  </si>
  <si>
    <t>ENSDARG00000057296</t>
  </si>
  <si>
    <t>cbln1</t>
  </si>
  <si>
    <t>cerebellin 1 precursor [Source:ZFIN;Acc:ZDB-GENE-040718-226]</t>
  </si>
  <si>
    <t>ENSDARG00000032816</t>
  </si>
  <si>
    <t>tm7sf2</t>
  </si>
  <si>
    <t>transmembrane 7 superfamily member 2 [Source:ZFIN;Acc:ZDB-GENE-041212-19]</t>
  </si>
  <si>
    <t>ENSDARG00000093120</t>
  </si>
  <si>
    <t>si:dkey-117m1.4</t>
  </si>
  <si>
    <t>si:dkey-117m1.4 [Source:ZFIN;Acc:ZDB-GENE-090313-177]</t>
  </si>
  <si>
    <t>ENSDARG00000063062</t>
  </si>
  <si>
    <t>ubn2a</t>
  </si>
  <si>
    <t>ubinuclein 2a [Source:ZFIN;Acc:ZDB-GENE-070112-612]</t>
  </si>
  <si>
    <t>ENSDARG00000097692</t>
  </si>
  <si>
    <t>si:ch211-116o3.5</t>
  </si>
  <si>
    <t>si:ch211-116o3.5 [Source:ZFIN;Acc:ZDB-GENE-030131-4627]</t>
  </si>
  <si>
    <t>ENSDARG00000062448</t>
  </si>
  <si>
    <t>skor1b</t>
  </si>
  <si>
    <t>SKI family transcriptional corepressor 1b [Source:ZFIN;Acc:ZDB-GENE-050419-82]</t>
  </si>
  <si>
    <t>ENSDARG00000057879</t>
  </si>
  <si>
    <t>p3h3</t>
  </si>
  <si>
    <t>prolyl 3-hydroxylase 3 [Source:ZFIN;Acc:ZDB-GENE-060503-231]</t>
  </si>
  <si>
    <t>ENSDARG00000074889</t>
  </si>
  <si>
    <t>si:ch211-241d21.5.1</t>
  </si>
  <si>
    <t>ENSDARG00000090120</t>
  </si>
  <si>
    <t>si:dkey-248g21.1</t>
  </si>
  <si>
    <t>si:dkey-248g21.1 [Source:ZFIN;Acc:ZDB-GENE-131119-67]</t>
  </si>
  <si>
    <t>ENSDARG00000017386</t>
  </si>
  <si>
    <t>sobpb</t>
  </si>
  <si>
    <t>sine oculis binding protein homolog (Drosophila) b [Source:ZFIN;Acc:ZDB-GENE-041210-8]</t>
  </si>
  <si>
    <t>ENSDARG00000043680</t>
  </si>
  <si>
    <t>ylpm1</t>
  </si>
  <si>
    <t>YLP motif containing 1 [Source:ZFIN;Acc:ZDB-GENE-030131-2196]</t>
  </si>
  <si>
    <t>ENSDARG00000058939</t>
  </si>
  <si>
    <t>b4galnt3b</t>
  </si>
  <si>
    <t>beta-1,4-N-acetyl-galactosaminyl transferase 3b [Source:ZFIN;Acc:ZDB-GENE-030131-8615]</t>
  </si>
  <si>
    <t>ENSDARG00000057417</t>
  </si>
  <si>
    <t>nudt13</t>
  </si>
  <si>
    <t>nudix (nucleoside diphosphate linked moiety X)-type motif 13 [Source:ZFIN;Acc:ZDB-GENE-040724-60]</t>
  </si>
  <si>
    <t>ENSDARG00000087693</t>
  </si>
  <si>
    <t>atox1</t>
  </si>
  <si>
    <t>antioxidant 1 copper chaperone [Source:ZFIN;Acc:ZDB-GENE-120720-2]</t>
  </si>
  <si>
    <t>ENSDARG00000038694</t>
  </si>
  <si>
    <t>zgc:101744</t>
  </si>
  <si>
    <t>zgc:101744 [Source:ZFIN;Acc:ZDB-GENE-050320-111]</t>
  </si>
  <si>
    <t>ENSDARG00000009299</t>
  </si>
  <si>
    <t>dusp8a</t>
  </si>
  <si>
    <t>dual specificity phosphatase 8a [Source:ZFIN;Acc:ZDB-GENE-040426-1842]</t>
  </si>
  <si>
    <t>ENSDARG00000032344</t>
  </si>
  <si>
    <t>pde4a</t>
  </si>
  <si>
    <t>phosphodiesterase 4A, cAMP-specific [Source:ZFIN;Acc:ZDB-GENE-131125-7]</t>
  </si>
  <si>
    <t>ENSDARG00000057016</t>
  </si>
  <si>
    <t>cdc14ab</t>
  </si>
  <si>
    <t>cell division cycle 14Ab [Source:ZFIN;Acc:ZDB-GENE-070705-309]</t>
  </si>
  <si>
    <t>ENSDARG00000100630</t>
  </si>
  <si>
    <t>lye</t>
  </si>
  <si>
    <t>lymphocyte antigen-6, epidermis [Source:ZFIN;Acc:ZDB-GENE-120104-1]</t>
  </si>
  <si>
    <t>ENSDARG00000061468</t>
  </si>
  <si>
    <t>ncaph</t>
  </si>
  <si>
    <t>non-SMC condensin I complex, subunit H [Source:ZFIN;Acc:ZDB-GENE-070112-652]</t>
  </si>
  <si>
    <t>ENSDARG00000026712</t>
  </si>
  <si>
    <t>rab5c</t>
  </si>
  <si>
    <t>RAB5C, member RAS oncogene family [Source:ZFIN;Acc:ZDB-GENE-031118-30]</t>
  </si>
  <si>
    <t>ENSDARG00000037962</t>
  </si>
  <si>
    <t>psmb7</t>
  </si>
  <si>
    <t>proteasome subunit beta 7 [Source:ZFIN;Acc:ZDB-GENE-001208-4]</t>
  </si>
  <si>
    <t>ENSDARG00000011459</t>
  </si>
  <si>
    <t>gsna</t>
  </si>
  <si>
    <t>gelsolin a [Source:ZFIN;Acc:ZDB-GENE-030131-9653]</t>
  </si>
  <si>
    <t>ENSDARG00000038235</t>
  </si>
  <si>
    <t>pkdccb</t>
  </si>
  <si>
    <t>protein kinase domain containing, cytoplasmic b [Source:ZFIN;Acc:ZDB-GENE-130530-599]</t>
  </si>
  <si>
    <t>ENSDARG00000061145</t>
  </si>
  <si>
    <t>gfod2</t>
  </si>
  <si>
    <t>glucose-fructose oxidoreductase domain containing 2 [Source:ZFIN;Acc:ZDB-GENE-061103-64]</t>
  </si>
  <si>
    <t>ENSDARG00000086826</t>
  </si>
  <si>
    <t>sult6b1</t>
  </si>
  <si>
    <t>sulfotransferase family, cytosolic, 6b, member 1 [Source:ZFIN;Acc:ZDB-GENE-050417-228]</t>
  </si>
  <si>
    <t>ENSDARG00000094380</t>
  </si>
  <si>
    <t>zzef1</t>
  </si>
  <si>
    <t>zinc finger, ZZ-type with EF hand domain 1 [Source:ZFIN;Acc:ZDB-GENE-041222-2]</t>
  </si>
  <si>
    <t>ENSDARG00000007812</t>
  </si>
  <si>
    <t>sp3b</t>
  </si>
  <si>
    <t>Sp3b transcription factor [Source:ZFIN;Acc:ZDB-GENE-110815-3]</t>
  </si>
  <si>
    <t>ENSDARG00000009018</t>
  </si>
  <si>
    <t>rhbg</t>
  </si>
  <si>
    <t>Rh family, B glycoprotein (gene/pseudogene) [Source:ZFIN;Acc:ZDB-GENE-030131-9542]</t>
  </si>
  <si>
    <t>ENSDARG00000004537</t>
  </si>
  <si>
    <t>kmt2a</t>
  </si>
  <si>
    <t>lysine (K)-specific methyltransferase 2A [Source:ZFIN;Acc:ZDB-GENE-080521-3]</t>
  </si>
  <si>
    <t>ENSDARG00000077768</t>
  </si>
  <si>
    <t>malt1b</t>
  </si>
  <si>
    <t>MALT1 paracaspase b [Source:ZFIN;Acc:ZDB-GENE-070705-156]</t>
  </si>
  <si>
    <t>ENSDARG00000095317</t>
  </si>
  <si>
    <t>si:dkey-189d19.1</t>
  </si>
  <si>
    <t>si:dkey-189d19.1 [Source:ZFIN;Acc:ZDB-GENE-060503-148]</t>
  </si>
  <si>
    <t>ENSDARG00000095007</t>
  </si>
  <si>
    <t>fam60al</t>
  </si>
  <si>
    <t>family with sequence similarity 60, member A, like [Source:ZFIN;Acc:ZDB-GENE-031114-2]</t>
  </si>
  <si>
    <t>ENSDARG00000021556</t>
  </si>
  <si>
    <t>ubl3b</t>
  </si>
  <si>
    <t>ubiquitin-like 3b [Source:ZFIN;Acc:ZDB-GENE-040630-4]</t>
  </si>
  <si>
    <t>ENSDARG00000102199</t>
  </si>
  <si>
    <t>SIKE1</t>
  </si>
  <si>
    <t>si:ch211-286f9.3 [Source:ZFIN;Acc:ZDB-GENE-090312-146]</t>
  </si>
  <si>
    <t>ENSDARG00000058270</t>
  </si>
  <si>
    <t>COLGALT1</t>
  </si>
  <si>
    <t>si:ch211-114l13.7 [Source:ZFIN;Acc:ZDB-GENE-070424-114]</t>
  </si>
  <si>
    <t>ENSDARG00000094990</t>
  </si>
  <si>
    <t>si:dkey-91f15.1</t>
  </si>
  <si>
    <t>si:dkey-91f15.1 [Source:ZFIN;Acc:ZDB-GENE-060601-4]</t>
  </si>
  <si>
    <t>ENSDARG00000035398</t>
  </si>
  <si>
    <t>enc1</t>
  </si>
  <si>
    <t>ectodermal-neural cortex 1 [Source:ZFIN;Acc:ZDB-GENE-060531-140]</t>
  </si>
  <si>
    <t>ENSDARG00000053931</t>
  </si>
  <si>
    <t>si:dkey-42l23.5</t>
  </si>
  <si>
    <t>si:dkey-42l23.5 [Source:ZFIN;Acc:ZDB-GENE-131121-596]</t>
  </si>
  <si>
    <t>ENSDARG00000074183</t>
  </si>
  <si>
    <t>DGKK</t>
  </si>
  <si>
    <t>si:dkey-172j4.3 [Source:ZFIN;Acc:ZDB-GENE-081104-24]</t>
  </si>
  <si>
    <t>ENSDARG00000096373</t>
  </si>
  <si>
    <t>si:dkey-34m19.5</t>
  </si>
  <si>
    <t>si:dkey-34m19.5 [Source:ZFIN;Acc:ZDB-GENE-120215-182]</t>
  </si>
  <si>
    <t>ENSDARG00000026444</t>
  </si>
  <si>
    <t>apoob</t>
  </si>
  <si>
    <t>apolipoprotein O, b [Source:ZFIN;Acc:ZDB-GENE-041001-40]</t>
  </si>
  <si>
    <t>ENSDARG00000007614</t>
  </si>
  <si>
    <t>wwox</t>
  </si>
  <si>
    <t>WW domain containing oxidoreductase [Source:ZFIN;Acc:ZDB-GENE-040426-858]</t>
  </si>
  <si>
    <t>ENSDARG00000087346</t>
  </si>
  <si>
    <t>rap1ab</t>
  </si>
  <si>
    <t>RAP1A, member of RAS oncogene family b [Source:ZFIN;Acc:ZDB-GENE-040426-2738]</t>
  </si>
  <si>
    <t>ENSDARG00000069415</t>
  </si>
  <si>
    <t>col17a1a</t>
  </si>
  <si>
    <t>collagen, type XVII, alpha 1a [Source:ZFIN;Acc:ZDB-GENE-090313-107]</t>
  </si>
  <si>
    <t>ENSDARG00000005355</t>
  </si>
  <si>
    <t>larp6</t>
  </si>
  <si>
    <t>La ribonucleoprotein domain family, member 6 [Source:ZFIN;Acc:ZDB-GENE-030131-6403]</t>
  </si>
  <si>
    <t>ENSDARG00000032077</t>
  </si>
  <si>
    <t>mfsd12b</t>
  </si>
  <si>
    <t>major facilitator superfamily domain containing 12b [Source:ZFIN;Acc:ZDB-GENE-080305-1]</t>
  </si>
  <si>
    <t>ENSDARG00000004836</t>
  </si>
  <si>
    <t>dnajc5ab</t>
  </si>
  <si>
    <t>DnaJ (Hsp40) homolog, subfamily C, member 5ab [Source:ZFIN;Acc:ZDB-GENE-081021-2]</t>
  </si>
  <si>
    <t>ENSDARG00000020746</t>
  </si>
  <si>
    <t>gfi1aa</t>
  </si>
  <si>
    <t>growth factor independent 1A transcription repressor a [Source:ZFIN;Acc:ZDB-GENE-050522-534]</t>
  </si>
  <si>
    <t>ENSDARG00000067729</t>
  </si>
  <si>
    <t>arid3c</t>
  </si>
  <si>
    <t>AT rich interactive domain 3C (BRIGHT-like) [Source:ZFIN;Acc:ZDB-GENE-060526-12]</t>
  </si>
  <si>
    <t>ENSDARG00000060126</t>
  </si>
  <si>
    <t>acyp1</t>
  </si>
  <si>
    <t>acylphosphatase 1, erythrocyte (common) type [Source:ZFIN;Acc:ZDB-GENE-050309-125]</t>
  </si>
  <si>
    <t>ENSDARG00000018898</t>
  </si>
  <si>
    <t>zfand5a</t>
  </si>
  <si>
    <t>zinc finger, AN1-type domain 5a [Source:ZFIN;Acc:ZDB-GENE-040426-1979]</t>
  </si>
  <si>
    <t>ENSDARG00000012390</t>
  </si>
  <si>
    <t>kcnk5b</t>
  </si>
  <si>
    <t>potassium channel, subfamily K, member 5b [Source:ZFIN;Acc:ZDB-GENE-040426-1297]</t>
  </si>
  <si>
    <t>ENSDARG00000103759</t>
  </si>
  <si>
    <t>fahd2a</t>
  </si>
  <si>
    <t>fumarylacetoacetate hydrolase domain containing 2A [Source:ZFIN;Acc:ZDB-GENE-040426-2499]</t>
  </si>
  <si>
    <t>ENSDARG00000021115</t>
  </si>
  <si>
    <t>spata6</t>
  </si>
  <si>
    <t>spermatogenesis associated 6 [Source:ZFIN;Acc:ZDB-GENE-050417-351]</t>
  </si>
  <si>
    <t>ENSDARG00000026680</t>
  </si>
  <si>
    <t>slc25a14</t>
  </si>
  <si>
    <t>solute carrier family 25 (mitochondrial carrier, brain), member 14 [Source:ZFIN;Acc:ZDB-GENE-040426-749]</t>
  </si>
  <si>
    <t>ENSDARG00000044255</t>
  </si>
  <si>
    <t>rbm18</t>
  </si>
  <si>
    <t>RNA binding motif protein 18 [Source:ZFIN;Acc:ZDB-GENE-040426-1764]</t>
  </si>
  <si>
    <t>ENSDARG00000021402</t>
  </si>
  <si>
    <t>mcm3ap</t>
  </si>
  <si>
    <t>minichromosome maintenance complex component 3 associated protein [Source:ZFIN;Acc:ZDB-GENE-040715-1]</t>
  </si>
  <si>
    <t>ENSDARG00000103479</t>
  </si>
  <si>
    <t>ptprfa</t>
  </si>
  <si>
    <t>protein tyrosine phosphatase, receptor type, f, a [Source:ZFIN;Acc:ZDB-GENE-020107-2]</t>
  </si>
  <si>
    <t>ENSDARG00000073926</t>
  </si>
  <si>
    <t>synrg</t>
  </si>
  <si>
    <t>synergin, gamma [Source:ZFIN;Acc:ZDB-GENE-030131-9396]</t>
  </si>
  <si>
    <t>ENSDARG00000074556</t>
  </si>
  <si>
    <t>ganc</t>
  </si>
  <si>
    <t>glucosidase, alpha; neutral C [Source:ZFIN;Acc:ZDB-GENE-130530-754]</t>
  </si>
  <si>
    <t>ENSDARG00000058463</t>
  </si>
  <si>
    <t>ndufab1a</t>
  </si>
  <si>
    <t>NADH dehydrogenase (ubiquinone) 1, alpha/beta subcomplex, 1a [Source:ZFIN;Acc:ZDB-GENE-040801-1]</t>
  </si>
  <si>
    <t>ENSDARG00000029993</t>
  </si>
  <si>
    <t>si:dkey-42l23.9</t>
  </si>
  <si>
    <t>si:dkey-42l23.9 [Source:ZFIN;Acc:ZDB-GENE-131127-442]</t>
  </si>
  <si>
    <t>ENSDARG00000043687</t>
  </si>
  <si>
    <t>SAYSD1</t>
  </si>
  <si>
    <t>si:ch211-59d15.9 [Source:ZFIN;Acc:ZDB-GENE-041014-27]</t>
  </si>
  <si>
    <t>ENSDARG00000055563</t>
  </si>
  <si>
    <t>rnasen</t>
  </si>
  <si>
    <t>ribonuclease type III, nuclear [Source:ZFIN;Acc:ZDB-GENE-070209-23]</t>
  </si>
  <si>
    <t>ENSDARG00000018426</t>
  </si>
  <si>
    <t>aldh7a1</t>
  </si>
  <si>
    <t>aldehyde dehydrogenase 7 family, member A1 [Source:ZFIN;Acc:ZDB-GENE-030131-6129]</t>
  </si>
  <si>
    <t>ENSDARG00000074662</t>
  </si>
  <si>
    <t>cntf</t>
  </si>
  <si>
    <t>ciliary neurotrophic factor [Source:ZFIN;Acc:ZDB-GENE-090313-176]</t>
  </si>
  <si>
    <t>ENSDARG00000007818</t>
  </si>
  <si>
    <t>palm1b</t>
  </si>
  <si>
    <t>paralemmin 1b [Source:ZFIN;Acc:ZDB-GENE-040426-1147]</t>
  </si>
  <si>
    <t>ENSDARG00000043684</t>
  </si>
  <si>
    <t>bpnt1</t>
  </si>
  <si>
    <t>bisphosphate nucleotidase 1 [Source:ZFIN;Acc:ZDB-GENE-040718-46]</t>
  </si>
  <si>
    <t>ENSDARG00000032272</t>
  </si>
  <si>
    <t>sat1b</t>
  </si>
  <si>
    <t>spermidine/spermine N1-acetyltransferase 1b [Source:ZFIN;Acc:ZDB-GENE-041001-39]</t>
  </si>
  <si>
    <t>ENSDARG00000001220</t>
  </si>
  <si>
    <t>mycbp2</t>
  </si>
  <si>
    <t>MYC binding protein 2 [Source:ZFIN;Acc:ZDB-GENE-030616-132]</t>
  </si>
  <si>
    <t>ENSDARG00000054320</t>
  </si>
  <si>
    <t>ap2a1</t>
  </si>
  <si>
    <t>adaptor-related protein complex 2, alpha 1 subunit [Source:ZFIN;Acc:ZDB-GENE-090302-2]</t>
  </si>
  <si>
    <t>ENSDARG00000062164</t>
  </si>
  <si>
    <t>atrn</t>
  </si>
  <si>
    <t>attractin [Source:ZFIN;Acc:ZDB-GENE-090312-21]</t>
  </si>
  <si>
    <t>ENSDARG00000034326</t>
  </si>
  <si>
    <t>ing3</t>
  </si>
  <si>
    <t>inhibitor of growth family, member 3 [Source:ZFIN;Acc:ZDB-GENE-040109-3]</t>
  </si>
  <si>
    <t>ENSDARG00000097663</t>
  </si>
  <si>
    <t>si:ch211-66o10.6</t>
  </si>
  <si>
    <t>si:ch211-66o10.6 [Source:ZFIN;Acc:ZDB-GENE-131125-33]</t>
  </si>
  <si>
    <t>ENSDARG00000035882</t>
  </si>
  <si>
    <t>hrsp12</t>
  </si>
  <si>
    <t>heat-responsive protein 12 [Source:ZFIN;Acc:ZDB-GENE-040718-315]</t>
  </si>
  <si>
    <t>ENSDARG00000010717</t>
  </si>
  <si>
    <t>chchd10</t>
  </si>
  <si>
    <t>coiled-coil-helix-coiled-coil-helix domain containing 10 [Source:ZFIN;Acc:ZDB-GENE-040426-1753]</t>
  </si>
  <si>
    <t>ENSDARG00000087897</t>
  </si>
  <si>
    <t>h2afy2</t>
  </si>
  <si>
    <t>H2A histone family, member Y2 [Source:ZFIN;Acc:ZDB-GENE-050913-114]</t>
  </si>
  <si>
    <t>ENSDARG00000039828</t>
  </si>
  <si>
    <t>zp3b</t>
  </si>
  <si>
    <t>zona pellucida glycoprotein 3b [Source:ZFIN;Acc:ZDB-GENE-031124-2]</t>
  </si>
  <si>
    <t>ENSDARG00000062674</t>
  </si>
  <si>
    <t>btbd10a</t>
  </si>
  <si>
    <t>BTB (POZ) domain containing 10a [Source:ZFIN;Acc:ZDB-GENE-070410-41]</t>
  </si>
  <si>
    <t>ENSDARG00000101679</t>
  </si>
  <si>
    <t>cfap52</t>
  </si>
  <si>
    <t>cilia and flagella associated protein 52 [Source:ZFIN;Acc:ZDB-GENE-050522-296]</t>
  </si>
  <si>
    <t>ENSDARG00000040838</t>
  </si>
  <si>
    <t>dcun1d2a</t>
  </si>
  <si>
    <t>DCN1, defective in cullin neddylation 1, domain containing 2a [Source:ZFIN;Acc:ZDB-GENE-020416-2]</t>
  </si>
  <si>
    <t>ENSDARG00000003144</t>
  </si>
  <si>
    <t>pxmp2</t>
  </si>
  <si>
    <t>peroxisomal membrane protein 2 [Source:ZFIN;Acc:ZDB-GENE-040912-184]</t>
  </si>
  <si>
    <t>ENSDARG00000055115</t>
  </si>
  <si>
    <t>dtnbp1a</t>
  </si>
  <si>
    <t>dystrobrevin binding protein 1a [Source:ZFIN;Acc:ZDB-GENE-040426-1036]</t>
  </si>
  <si>
    <t>ENSDARG00000030636</t>
  </si>
  <si>
    <t>tex30</t>
  </si>
  <si>
    <t>testis expressed 30 [Source:ZFIN;Acc:ZDB-GENE-041210-219]</t>
  </si>
  <si>
    <t>ENSDARG00000032117</t>
  </si>
  <si>
    <t>ddx1</t>
  </si>
  <si>
    <t>DEAD (Asp-Glu-Ala-Asp) box helicase 1 [Source:ZFIN;Acc:ZDB-GENE-041001-215]</t>
  </si>
  <si>
    <t>ENSDARG00000045444</t>
  </si>
  <si>
    <t>fzd8a</t>
  </si>
  <si>
    <t>frizzled class receptor 8a [Source:ZFIN;Acc:ZDB-GENE-000328-3]</t>
  </si>
  <si>
    <t>ENSDARG00000059809</t>
  </si>
  <si>
    <t>caska</t>
  </si>
  <si>
    <t>calcium/calmodulin-dependent serine protein kinase a [Source:ZFIN;Acc:ZDB-GENE-020802-4]</t>
  </si>
  <si>
    <t>ENSDARG00000044265</t>
  </si>
  <si>
    <t>cdc37l1</t>
  </si>
  <si>
    <t>cell division cycle 37-like 1 [Source:ZFIN;Acc:ZDB-GENE-030131-8865]</t>
  </si>
  <si>
    <t>ENSDARG00000044751</t>
  </si>
  <si>
    <t>ddt</t>
  </si>
  <si>
    <t>D-dopachrome tautomerase [Source:ZFIN;Acc:ZDB-GENE-040625-160]</t>
  </si>
  <si>
    <t>ENSDARG00000076780</t>
  </si>
  <si>
    <t>acadsb</t>
  </si>
  <si>
    <t>acyl-CoA dehydrogenase, short/branched chain [Source:ZFIN;Acc:ZDB-GENE-070410-109]</t>
  </si>
  <si>
    <t>ENSDARG00000101476</t>
  </si>
  <si>
    <t>si:dkey-65j4.2</t>
  </si>
  <si>
    <t>si:dkey-65j4.2 [Source:ZFIN;Acc:ZDB-GENE-141219-43]</t>
  </si>
  <si>
    <t>ENSDARG00000102997</t>
  </si>
  <si>
    <t>rrn3</t>
  </si>
  <si>
    <t>RRN3 homolog, RNA polymerase I transcription factor [Source:ZFIN;Acc:ZDB-GENE-080225-1]</t>
  </si>
  <si>
    <t>ENSDARG00000009094</t>
  </si>
  <si>
    <t>gata2b</t>
  </si>
  <si>
    <t>GATA binding protein 2b [Source:ZFIN;Acc:ZDB-GENE-040718-440]</t>
  </si>
  <si>
    <t>ENSDARG00000079703</t>
  </si>
  <si>
    <t>si:dkey-18p12.4</t>
  </si>
  <si>
    <t>si:dkey-18p12.4 [Source:ZFIN;Acc:ZDB-GENE-070912-408]</t>
  </si>
  <si>
    <t>ENSDARG00000004132</t>
  </si>
  <si>
    <t>usp19</t>
  </si>
  <si>
    <t>ubiquitin specific peptidase 19 [Source:ZFIN;Acc:ZDB-GENE-030131-3055]</t>
  </si>
  <si>
    <t>ENSDARG00000102056</t>
  </si>
  <si>
    <t>si:dkeyp-94b4.1</t>
  </si>
  <si>
    <t>si:dkeyp-94b4.1 [Source:ZFIN;Acc:ZDB-GENE-081104-483]</t>
  </si>
  <si>
    <t>ENSDARG00000039493</t>
  </si>
  <si>
    <t>naa20</t>
  </si>
  <si>
    <t>N(alpha)-acetyltransferase 20, NatB catalytic subunit [Source:ZFIN;Acc:ZDB-GENE-050327-47]</t>
  </si>
  <si>
    <t>ENSDARG00000044143</t>
  </si>
  <si>
    <t>nol8</t>
  </si>
  <si>
    <t>nucleolar protein 8 [Source:ZFIN;Acc:ZDB-GENE-050208-491]</t>
  </si>
  <si>
    <t>ENSDARG00000088238</t>
  </si>
  <si>
    <t>kansl1b</t>
  </si>
  <si>
    <t>KAT8 regulatory NSL complex subunit 1b [Source:ZFIN;Acc:ZDB-GENE-121219-4]</t>
  </si>
  <si>
    <t>ENSDARG00000030573</t>
  </si>
  <si>
    <t>nudt1</t>
  </si>
  <si>
    <t>nudix (nucleoside diphosphate linked moiety X)-type motif 1 [Source:ZFIN;Acc:ZDB-GENE-040426-2757]</t>
  </si>
  <si>
    <t>ENSDARG00000060398</t>
  </si>
  <si>
    <t>rft1</t>
  </si>
  <si>
    <t>RFT1 homolog [Source:ZFIN;Acc:ZDB-GENE-110411-126]</t>
  </si>
  <si>
    <t>ENSDARG00000052515</t>
  </si>
  <si>
    <t>calcoco2</t>
  </si>
  <si>
    <t>calcium binding and coiled-coil domain 2 [Source:ZFIN;Acc:ZDB-GENE-050522-346]</t>
  </si>
  <si>
    <t>ENSDARG00000074519</t>
  </si>
  <si>
    <t>si:dkey-224j12.3</t>
  </si>
  <si>
    <t>si:dkey-224j12.3 [Source:ZFIN;Acc:ZDB-GENE-131127-167]</t>
  </si>
  <si>
    <t>ENSDARG00000032261</t>
  </si>
  <si>
    <t>rngtt</t>
  </si>
  <si>
    <t>RNA guanylyltransferase and 5'-phosphatase [Source:ZFIN;Acc:ZDB-GENE-040426-2087]</t>
  </si>
  <si>
    <t>ENSDARG00000035187</t>
  </si>
  <si>
    <t>abl1</t>
  </si>
  <si>
    <t>c-abl oncogene 1, non-receptor tyrosine kinase [Source:ZFIN;Acc:ZDB-GENE-100812-9]</t>
  </si>
  <si>
    <t>ENSDARG00000025024</t>
  </si>
  <si>
    <t>pnoca</t>
  </si>
  <si>
    <t>prepronociceptin a [Source:ZFIN;Acc:ZDB-GENE-101229-1]</t>
  </si>
  <si>
    <t>ENSDARG00000042989</t>
  </si>
  <si>
    <t>si:dkeyp-84f3.5</t>
  </si>
  <si>
    <t>si:dkeyp-84f3.5 [Source:ZFIN;Acc:ZDB-GENE-050208-162]</t>
  </si>
  <si>
    <t>ENSDARG00000028889</t>
  </si>
  <si>
    <t>ndufb10</t>
  </si>
  <si>
    <t>NADH dehydrogenase (ubiquinone) 1 beta subcomplex, 10 [Source:ZFIN;Acc:ZDB-GENE-040426-1691]</t>
  </si>
  <si>
    <t>ENSDARG00000075618</t>
  </si>
  <si>
    <t>slc36a1</t>
  </si>
  <si>
    <t>solute carrier family 36 (proton/amino acid symporter), member 1 [Source:ZFIN;Acc:ZDB-GENE-061117-1]</t>
  </si>
  <si>
    <t>ENSDARG00000102024</t>
  </si>
  <si>
    <t>chmp6b</t>
  </si>
  <si>
    <t>charged multivesicular body protein 6b [Source:ZFIN;Acc:ZDB-GENE-040924-2]</t>
  </si>
  <si>
    <t>ENSDARG00000013016</t>
  </si>
  <si>
    <t>pole4</t>
  </si>
  <si>
    <t>polymerase (DNA-directed), epsilon 4, accessory subunit [Source:ZFIN;Acc:ZDB-GENE-050522-309]</t>
  </si>
  <si>
    <t>ENSDARG00000008503</t>
  </si>
  <si>
    <t>glcci1</t>
  </si>
  <si>
    <t>glucocorticoid induced 1 [Source:ZFIN;Acc:ZDB-GENE-031010-41]</t>
  </si>
  <si>
    <t>ENSDARG00000097869</t>
  </si>
  <si>
    <t>si:dkey-1m11.6</t>
  </si>
  <si>
    <t>si:dkey-1m11.6 [Source:ZFIN;Acc:ZDB-GENE-131121-262]</t>
  </si>
  <si>
    <t>ENSDARG00000087937</t>
  </si>
  <si>
    <t>cdk4</t>
  </si>
  <si>
    <t>cyclin-dependent kinase 4 [Source:ZFIN;Acc:ZDB-GENE-060929-974]</t>
  </si>
  <si>
    <t>ENSDARG00000100313</t>
  </si>
  <si>
    <t>pip5k1cb</t>
  </si>
  <si>
    <t>phosphatidylinositol-4-phosphate 5-kinase, type I, gamma b [Source:ZFIN;Acc:ZDB-GENE-110408-21]</t>
  </si>
  <si>
    <t>ENSDARG00000033742</t>
  </si>
  <si>
    <t>nt5c1bb</t>
  </si>
  <si>
    <t>5'-nucleotidase, cytosolic IB b [Source:ZFIN;Acc:ZDB-GENE-030131-7205]</t>
  </si>
  <si>
    <t>ENSDARG00000013607</t>
  </si>
  <si>
    <t>sema3gb</t>
  </si>
  <si>
    <t>sema domain, immunoglobulin domain (Ig), short basic domain, secreted, (semaphorin) 3Gb [Source:ZFIN;Acc:ZDB-GENE-050513-4]</t>
  </si>
  <si>
    <t>ENSDARG00000015156</t>
  </si>
  <si>
    <t>fbln2</t>
  </si>
  <si>
    <t>fibulin 2 [Source:ZFIN;Acc:ZDB-GENE-060711-1]</t>
  </si>
  <si>
    <t>ENSDARG00000027381</t>
  </si>
  <si>
    <t>CCDC171</t>
  </si>
  <si>
    <t>si:ch211-116m6.4 [Source:ZFIN;Acc:ZDB-GENE-110411-270]</t>
  </si>
  <si>
    <t>ENSDARG00000015310</t>
  </si>
  <si>
    <t>pitpnbl</t>
  </si>
  <si>
    <t>phosphatidylinositol transfer protein, beta, like [Source:ZFIN;Acc:ZDB-GENE-040426-2791]</t>
  </si>
  <si>
    <t>ENSDARG00000103844</t>
  </si>
  <si>
    <t>si:ch211-266c8.1</t>
  </si>
  <si>
    <t>si:ch211-266c8.1 [Source:ZFIN;Acc:ZDB-GENE-070424-173]</t>
  </si>
  <si>
    <t>ENSDARG00000089271</t>
  </si>
  <si>
    <t>si:dkey-114c15.7</t>
  </si>
  <si>
    <t>si:dkey-114c15.7 [Source:ZFIN;Acc:ZDB-GENE-110411-102]</t>
  </si>
  <si>
    <t>ENSDARG00000053136</t>
  </si>
  <si>
    <t>b2m</t>
  </si>
  <si>
    <t>beta-2-microglobulin [Source:ZFIN;Acc:ZDB-GENE-980526-88]</t>
  </si>
  <si>
    <t>ENSDARG00000001891</t>
  </si>
  <si>
    <t>syt14b</t>
  </si>
  <si>
    <t>synaptotagmin XIVb [Source:ZFIN;Acc:ZDB-GENE-041014-36]</t>
  </si>
  <si>
    <t>ENSDARG00000035993</t>
  </si>
  <si>
    <t>sumo3b</t>
  </si>
  <si>
    <t>small ubiquitin-like modifier 3b [Source:ZFIN;Acc:ZDB-GENE-040718-426]</t>
  </si>
  <si>
    <t>ENSDARG00000067996</t>
  </si>
  <si>
    <t>csk</t>
  </si>
  <si>
    <t>c-src tyrosine kinase [Source:ZFIN;Acc:ZDB-GENE-061103-493]</t>
  </si>
  <si>
    <t>ENSDARG00000038428</t>
  </si>
  <si>
    <t>sulf1</t>
  </si>
  <si>
    <t>sulfatase 1 [Source:ZFIN;Acc:ZDB-GENE-030131-9242]</t>
  </si>
  <si>
    <t>ENSDARG00000016513</t>
  </si>
  <si>
    <t>setd3</t>
  </si>
  <si>
    <t>SET domain containing 3 [Source:ZFIN;Acc:ZDB-GENE-030131-9137]</t>
  </si>
  <si>
    <t>ENSDARG00000079457</t>
  </si>
  <si>
    <t>FAAP100</t>
  </si>
  <si>
    <t>si:dkey-57h18.1 [Source:ZFIN;Acc:ZDB-GENE-130603-100]</t>
  </si>
  <si>
    <t>ENSDARG00000079932</t>
  </si>
  <si>
    <t>zgc:152830</t>
  </si>
  <si>
    <t>zgc:152830 [Source:ZFIN;Acc:ZDB-GENE-090312-55]</t>
  </si>
  <si>
    <t>ENSDARG00000035549</t>
  </si>
  <si>
    <t>uprt</t>
  </si>
  <si>
    <t>uracil phosphoribosyltransferase (FUR1) homolog (S. cerevisiae) [Source:ZFIN;Acc:ZDB-GENE-040426-2411]</t>
  </si>
  <si>
    <t>ENSDARG00000100020</t>
  </si>
  <si>
    <t>pim1</t>
  </si>
  <si>
    <t>Pim-1 proto-oncogene, serine/threonine kinase [Source:ZFIN;Acc:ZDB-GENE-061013-139]</t>
  </si>
  <si>
    <t>ENSDARG00000051763</t>
  </si>
  <si>
    <t>sntb2</t>
  </si>
  <si>
    <t>syntrophin, beta 2 [Source:ZFIN;Acc:ZDB-GENE-131121-511]</t>
  </si>
  <si>
    <t>ENSDARG00000038577</t>
  </si>
  <si>
    <t>cox6c</t>
  </si>
  <si>
    <t>cytochrome c oxidase subunit VIc [Source:ZFIN;Acc:ZDB-GENE-040724-95]</t>
  </si>
  <si>
    <t>ENSDARG00000036056</t>
  </si>
  <si>
    <t>vrk3</t>
  </si>
  <si>
    <t>vaccinia related kinase 3 [Source:ZFIN;Acc:ZDB-GENE-030131-246]</t>
  </si>
  <si>
    <t>ENSDARG00000019834</t>
  </si>
  <si>
    <t>edrf1</t>
  </si>
  <si>
    <t>erythroid differentiation regulatory factor 1 [Source:ZFIN;Acc:ZDB-GENE-131121-620]</t>
  </si>
  <si>
    <t>ENSDARG00000098348</t>
  </si>
  <si>
    <t>znf326</t>
  </si>
  <si>
    <t>zinc finger protein 326 [Source:ZFIN;Acc:ZDB-GENE-070424-227]</t>
  </si>
  <si>
    <t>ENSDARG00000037406</t>
  </si>
  <si>
    <t>wdr19</t>
  </si>
  <si>
    <t>WD repeat domain 19 [Source:ZFIN;Acc:ZDB-GENE-090313-277]</t>
  </si>
  <si>
    <t>ENSDARG00000028900</t>
  </si>
  <si>
    <t>odf2a</t>
  </si>
  <si>
    <t>outer dense fiber of sperm tails 2a [Source:ZFIN;Acc:ZDB-GENE-091117-46]</t>
  </si>
  <si>
    <t>ENSDARG00000042562</t>
  </si>
  <si>
    <t>allc</t>
  </si>
  <si>
    <t>allantoicase [Source:ZFIN;Acc:ZDB-GENE-040718-471]</t>
  </si>
  <si>
    <t>ENSDARG00000033446</t>
  </si>
  <si>
    <t>si:dkey-57h18.2</t>
  </si>
  <si>
    <t>si:dkey-57h18.2 [Source:ZFIN;Acc:ZDB-GENE-130531-48]</t>
  </si>
  <si>
    <t>ENSDARG00000029609</t>
  </si>
  <si>
    <t>macrod1</t>
  </si>
  <si>
    <t>MACRO domain containing 1 [Source:ZFIN;Acc:ZDB-GENE-040912-100]</t>
  </si>
  <si>
    <t>ENSDARG00000069857</t>
  </si>
  <si>
    <t>coq3</t>
  </si>
  <si>
    <t>coenzyme Q3 methyltransferase [Source:ZFIN;Acc:ZDB-GENE-040718-364]</t>
  </si>
  <si>
    <t>ENSDARG00000002215</t>
  </si>
  <si>
    <t>rtca</t>
  </si>
  <si>
    <t>RNA 3'-terminal phosphate cyclase [Source:ZFIN;Acc:ZDB-GENE-030131-9687]</t>
  </si>
  <si>
    <t>ENSDARG00000077405</t>
  </si>
  <si>
    <t>PSIP1</t>
  </si>
  <si>
    <t>si:ch211-116m6.3 [Source:ZFIN;Acc:ZDB-GENE-030131-3273]</t>
  </si>
  <si>
    <t>ENSDARG00000037008</t>
  </si>
  <si>
    <t>bscl2</t>
  </si>
  <si>
    <t>Berardinelli-Seip congenital lipodystrophy 2 (seipin) [Source:ZFIN;Acc:ZDB-GENE-051113-140]</t>
  </si>
  <si>
    <t>ENSDARG00000027586</t>
  </si>
  <si>
    <t>top3b</t>
  </si>
  <si>
    <t>topoisomerase (DNA) III beta [Source:ZFIN;Acc:ZDB-GENE-070705-37]</t>
  </si>
  <si>
    <t>ENSDARG00000095638</t>
  </si>
  <si>
    <t>si:dkey-284p5.3</t>
  </si>
  <si>
    <t>si:dkey-284p5.3 [Source:ZFIN;Acc:ZDB-GENE-060503-352]</t>
  </si>
  <si>
    <t>ENSDARG00000103340</t>
  </si>
  <si>
    <t>clic1</t>
  </si>
  <si>
    <t>chloride intracellular channel 1 [Source:ZFIN;Acc:ZDB-GENE-030131-3202]</t>
  </si>
  <si>
    <t>ENSDARG00000053424</t>
  </si>
  <si>
    <t>myl2b</t>
  </si>
  <si>
    <t>myosin, light chain 2b, regulatory, cardiac, slow [Source:ZFIN;Acc:ZDB-GENE-060331-137]</t>
  </si>
  <si>
    <t>ENSDARG00000019355</t>
  </si>
  <si>
    <t>coa7</t>
  </si>
  <si>
    <t>cytochrome c oxidase assembly factor 7 [Source:ZFIN;Acc:ZDB-GENE-041014-16]</t>
  </si>
  <si>
    <t>ENSDARG00000099749</t>
  </si>
  <si>
    <t>ube2d2l</t>
  </si>
  <si>
    <t>ubiquitin-conjugating enzyme E2D 2 (UBC4/5 homolog, yeast), like [Source:ZFIN;Acc:ZDB-GENE-030131-7384]</t>
  </si>
  <si>
    <t>ENSDARG00000101778</t>
  </si>
  <si>
    <t>ca5a</t>
  </si>
  <si>
    <t>carbonic anhydrase Va [Source:ZFIN;Acc:ZDB-GENE-080220-57]</t>
  </si>
  <si>
    <t>ENSDARG00000054058</t>
  </si>
  <si>
    <t>h1fx</t>
  </si>
  <si>
    <t>H1 histone family, member X [Source:ZFIN;Acc:ZDB-GENE-030131-1228]</t>
  </si>
  <si>
    <t>ENSDARG00000102964</t>
  </si>
  <si>
    <t>axin1</t>
  </si>
  <si>
    <t>axin 1 [Source:ZFIN;Acc:ZDB-GENE-000403-1]</t>
  </si>
  <si>
    <t>ENSDARG00000035871</t>
  </si>
  <si>
    <t>rpl30</t>
  </si>
  <si>
    <t>ribosomal protein L30 [Source:ZFIN;Acc:ZDB-GENE-030131-8657]</t>
  </si>
  <si>
    <t>ENSDARG00000018643</t>
  </si>
  <si>
    <t>igf2a</t>
  </si>
  <si>
    <t>insulin-like growth factor 2a [Source:ZFIN;Acc:ZDB-GENE-991111-3]</t>
  </si>
  <si>
    <t>ENSDARG00000059333</t>
  </si>
  <si>
    <t>si:ch211-285f17.1</t>
  </si>
  <si>
    <t>si:ch211-285f17.1 [Source:ZFIN;Acc:ZDB-GENE-000607-77]</t>
  </si>
  <si>
    <t>ENSDARG00000015536</t>
  </si>
  <si>
    <t>sox6</t>
  </si>
  <si>
    <t>SRY (sex determining region Y)-box 6 [Source:ZFIN;Acc:ZDB-GENE-081120-6]</t>
  </si>
  <si>
    <t>ENSDARG00000004696</t>
  </si>
  <si>
    <t>eefsec</t>
  </si>
  <si>
    <t>eukaryotic elongation factor, selenocysteine-tRNA-specific [Source:ZFIN;Acc:ZDB-GENE-051120-72]</t>
  </si>
  <si>
    <t>ENSDARG00000102896</t>
  </si>
  <si>
    <t>jmjd6</t>
  </si>
  <si>
    <t>jumonji domain containing 6 [Source:ZFIN;Acc:ZDB-GENE-040426-17]</t>
  </si>
  <si>
    <t>ENSDARG00000071656</t>
  </si>
  <si>
    <t>si:dkey-19a16.5</t>
  </si>
  <si>
    <t>si:dkey-19a16.5 [Source:ZFIN;Acc:ZDB-GENE-050208-733]</t>
  </si>
  <si>
    <t>ENSDARG00000097844</t>
  </si>
  <si>
    <t>si:ch1073-488c15.2</t>
  </si>
  <si>
    <t>si:ch1073-488c15.2 [Source:ZFIN;Acc:ZDB-GENE-131119-66]</t>
  </si>
  <si>
    <t>ENSDARG00000011783</t>
  </si>
  <si>
    <t>stag2a</t>
  </si>
  <si>
    <t>stromal antigen 2a [Source:ZFIN;Acc:ZDB-GENE-030131-3432]</t>
  </si>
  <si>
    <t>ENSDARG00000017657</t>
  </si>
  <si>
    <t>zgc:112163</t>
  </si>
  <si>
    <t>zgc:112163 [Source:ZFIN;Acc:ZDB-GENE-050417-227]</t>
  </si>
  <si>
    <t>ENSDARG00000019418</t>
  </si>
  <si>
    <t>kcnj2a</t>
  </si>
  <si>
    <t>potassium inwardly-rectifying channel, subfamily J, member 2a [Source:ZFIN;Acc:ZDB-GENE-120319-1]</t>
  </si>
  <si>
    <t>ENSDARG00000044339</t>
  </si>
  <si>
    <t>rp2</t>
  </si>
  <si>
    <t>retinitis pigmentosa 2 (X-linked recessive) [Source:ZFIN;Acc:ZDB-GENE-040426-2795]</t>
  </si>
  <si>
    <t>ENSDARG00000022410</t>
  </si>
  <si>
    <t>rrp12</t>
  </si>
  <si>
    <t>ribosomal RNA processing 12 homolog [Source:ZFIN;Acc:ZDB-GENE-050706-182]</t>
  </si>
  <si>
    <t>ENSDARG00000058690</t>
  </si>
  <si>
    <t>cgnb</t>
  </si>
  <si>
    <t>cingulin b [Source:ZFIN;Acc:ZDB-GENE-050208-72]</t>
  </si>
  <si>
    <t>ENSDARG00000104094</t>
  </si>
  <si>
    <t>adrbk2</t>
  </si>
  <si>
    <t>adrenergic, beta, receptor kinase 2 [Source:ZFIN;Acc:ZDB-GENE-030616-382]</t>
  </si>
  <si>
    <t>ENSDARG00000073963</t>
  </si>
  <si>
    <t>si:ch211-258f14.2</t>
  </si>
  <si>
    <t>si:ch211-258f14.2 [Source:ZFIN;Acc:ZDB-GENE-070705-151]</t>
  </si>
  <si>
    <t>ENSDARG00000086762</t>
  </si>
  <si>
    <t>dfna5a</t>
  </si>
  <si>
    <t>deafness, autosomal dominant 5 a [Source:ZFIN;Acc:ZDB-GENE-120215-186]</t>
  </si>
  <si>
    <t>ENSDARG00000076585</t>
  </si>
  <si>
    <t>si:ch211-113e8.11</t>
  </si>
  <si>
    <t>si:ch211-113e8.11 [Source:ZFIN;Acc:ZDB-GENE-090313-12]</t>
  </si>
  <si>
    <t>ENSDARG00000014866</t>
  </si>
  <si>
    <t>hprt1l</t>
  </si>
  <si>
    <t>hypoxanthine phosphoribosyltransferase 1, like [Source:ZFIN;Acc:ZDB-GENE-040625-17]</t>
  </si>
  <si>
    <t>ENSDARG00000021239</t>
  </si>
  <si>
    <t>apaf1</t>
  </si>
  <si>
    <t>apoptotic peptidase activating factor 1 [Source:ZFIN;Acc:ZDB-GENE-000616-4]</t>
  </si>
  <si>
    <t>ENSDARG00000102711</t>
  </si>
  <si>
    <t>si:ch211-25b15.1</t>
  </si>
  <si>
    <t>si:ch211-25b15.1 [Source:ZFIN;Acc:ZDB-GENE-131120-71]</t>
  </si>
  <si>
    <t>ENSDARG00000033901</t>
  </si>
  <si>
    <t>msi2a</t>
  </si>
  <si>
    <t>musashi RNA-binding protein 2a [Source:ZFIN;Acc:ZDB-GENE-030826-25]</t>
  </si>
  <si>
    <t>ENSDARG00000045936</t>
  </si>
  <si>
    <t>pax6b</t>
  </si>
  <si>
    <t>paired box 6b [Source:ZFIN;Acc:ZDB-GENE-001031-1]</t>
  </si>
  <si>
    <t>ENSDARG00000037589</t>
  </si>
  <si>
    <t>gid8b</t>
  </si>
  <si>
    <t>GID complex subunit 8 homolog b (S. cerevisiae) [Source:ZFIN;Acc:ZDB-GENE-030515-4]</t>
  </si>
  <si>
    <t>ENSDARG00000000853</t>
  </si>
  <si>
    <t>dstyk</t>
  </si>
  <si>
    <t>dual serine/threonine and tyrosine protein kinase [Source:ZFIN;Acc:ZDB-GENE-040826-2]</t>
  </si>
  <si>
    <t>ENSDARG00000069755</t>
  </si>
  <si>
    <t>mtmr11</t>
  </si>
  <si>
    <t>myotubularin related protein 11 [Source:ZFIN;Acc:ZDB-GENE-130530-726]</t>
  </si>
  <si>
    <t>ENSDARG00000059993</t>
  </si>
  <si>
    <t>trpm4a</t>
  </si>
  <si>
    <t>transient receptor potential cation channel, subfamily M, member 4a [Source:ZFIN;Acc:ZDB-GENE-090302-3]</t>
  </si>
  <si>
    <t>ENSDARG00000076657</t>
  </si>
  <si>
    <t>plagl2</t>
  </si>
  <si>
    <t>pleiomorphic adenoma gene-like 2 [Source:ZFIN;Acc:ZDB-GENE-020806-1]</t>
  </si>
  <si>
    <t>ENSDARG00000063049</t>
  </si>
  <si>
    <t>thtpa</t>
  </si>
  <si>
    <t>thiamine triphosphatase [Source:ZFIN;Acc:ZDB-GENE-070502-2]</t>
  </si>
  <si>
    <t>ENSDARG00000043484</t>
  </si>
  <si>
    <t>ube2d2</t>
  </si>
  <si>
    <t>ubiquitin-conjugating enzyme E2D 2 (UBC4/5 homolog, yeast) [Source:ZFIN;Acc:ZDB-GENE-120312-1]</t>
  </si>
  <si>
    <t>ENSDARG00000062445</t>
  </si>
  <si>
    <t>pias1b</t>
  </si>
  <si>
    <t>protein inhibitor of activated STAT, 1b [Source:ZFIN;Acc:ZDB-GENE-050419-202]</t>
  </si>
  <si>
    <t>ENSDARG00000099516</t>
  </si>
  <si>
    <t>mettl23</t>
  </si>
  <si>
    <t>methyltransferase like 23 [Source:ZFIN;Acc:ZDB-GENE-030131-10056]</t>
  </si>
  <si>
    <t>ENSDARG00000098777</t>
  </si>
  <si>
    <t>AIM1L</t>
  </si>
  <si>
    <t>absent in melanoma 1-like [Source:HGNC Symbol;Acc:HGNC:17295]</t>
  </si>
  <si>
    <t>ENSDARG00000038863</t>
  </si>
  <si>
    <t>bre</t>
  </si>
  <si>
    <t>brain and reproductive organ-expressed protein [Source:ZFIN;Acc:ZDB-GENE-050417-299]</t>
  </si>
  <si>
    <t>ENSDARG00000063300</t>
  </si>
  <si>
    <t>si:ch1073-385i9.2</t>
  </si>
  <si>
    <t>si:ch1073-385i9.2 [Source:ZFIN;Acc:ZDB-GENE-131127-512]</t>
  </si>
  <si>
    <t>ENSDARG00000060435</t>
  </si>
  <si>
    <t>bnipl</t>
  </si>
  <si>
    <t>BCL2/adenovirus E1B 19kD interacting protein, like [Source:ZFIN;Acc:ZDB-GENE-060503-81]</t>
  </si>
  <si>
    <t>ENSDARG00000061328</t>
  </si>
  <si>
    <t>cdon</t>
  </si>
  <si>
    <t>cell adhesion associated, oncogene regulated [Source:ZFIN;Acc:ZDB-GENE-021115-4]</t>
  </si>
  <si>
    <t>ENSDARG00000056156</t>
  </si>
  <si>
    <t>npdc1b</t>
  </si>
  <si>
    <t>neural proliferation, differentiation and control, 1b [Source:ZFIN;Acc:ZDB-GENE-140106-58]</t>
  </si>
  <si>
    <t>ENSDARG00000095236</t>
  </si>
  <si>
    <t>si:ch73-110p20.1</t>
  </si>
  <si>
    <t>si:ch73-110p20.1 [Source:ZFIN;Acc:ZDB-GENE-081030-16]</t>
  </si>
  <si>
    <t>ENSDARG00000076008</t>
  </si>
  <si>
    <t>si:dkey-119m17.2</t>
  </si>
  <si>
    <t>si:dkey-119m17.2 [Source:ZFIN;Acc:ZDB-GENE-070705-289]</t>
  </si>
  <si>
    <t>ENSDARG00000076618</t>
  </si>
  <si>
    <t>tm2d3</t>
  </si>
  <si>
    <t>TM2 domain containing 3 [Source:ZFIN;Acc:ZDB-GENE-070620-20]</t>
  </si>
  <si>
    <t>ENSDARG00000095829</t>
  </si>
  <si>
    <t>otulina</t>
  </si>
  <si>
    <t>OTU deubiquitinase with linear linkage specificity a [Source:ZFIN;Acc:ZDB-GENE-040426-2157]</t>
  </si>
  <si>
    <t>ENSDARG00000075368</t>
  </si>
  <si>
    <t>ftsj2</t>
  </si>
  <si>
    <t>FtsJ RNA methyltransferase homolog 2 (E. coli) [Source:ZFIN;Acc:ZDB-GENE-030131-5205]</t>
  </si>
  <si>
    <t>ENSDARG00000044093</t>
  </si>
  <si>
    <t>rpl13a</t>
  </si>
  <si>
    <t>ribosomal protein L13a [Source:ZFIN;Acc:ZDB-GENE-030131-168]</t>
  </si>
  <si>
    <t>ENSDARG00000045422</t>
  </si>
  <si>
    <t>otulina.1</t>
  </si>
  <si>
    <t>ENSDARG00000057660</t>
  </si>
  <si>
    <t>dhx57</t>
  </si>
  <si>
    <t>DEAH (Asp-Glu-Ala-Asp/His) box polypeptide 57 [Source:ZFIN;Acc:ZDB-GENE-030131-4078]</t>
  </si>
  <si>
    <t>ENSDARG00000076828</t>
  </si>
  <si>
    <t>zgc:194101</t>
  </si>
  <si>
    <t>zgc:194101 [Source:ZFIN;Acc:ZDB-GENE-080723-68]</t>
  </si>
  <si>
    <t>ENSDARG00000061052</t>
  </si>
  <si>
    <t>nipblb</t>
  </si>
  <si>
    <t>nipped-B homolog b (Drosophila) [Source:ZFIN;Acc:ZDB-GENE-030131-6070]</t>
  </si>
  <si>
    <t>ENSDARG00000073728</t>
  </si>
  <si>
    <t>gal3st3</t>
  </si>
  <si>
    <t>galactose-3-O-sulfotransferase 3 [Source:ZFIN;Acc:ZDB-GENE-121001-3]</t>
  </si>
  <si>
    <t>ENSDARG00000040039</t>
  </si>
  <si>
    <t>pttg1ipb</t>
  </si>
  <si>
    <t>pituitary tumor-transforming 1 interacting protein b [Source:ZFIN;Acc:ZDB-GENE-041010-10]</t>
  </si>
  <si>
    <t>ENSDARG00000093647</t>
  </si>
  <si>
    <t>si:dkey-48g21.7</t>
  </si>
  <si>
    <t>si:dkey-48g21.7 [Source:ZFIN;Acc:ZDB-GENE-050309-95]</t>
  </si>
  <si>
    <t>ENSDARG00000020187</t>
  </si>
  <si>
    <t>GCA</t>
  </si>
  <si>
    <t>zgc:92027 [Source:ZFIN;Acc:ZDB-GENE-040930-3]</t>
  </si>
  <si>
    <t>ENSDARG00000052695</t>
  </si>
  <si>
    <t>nr2f1a</t>
  </si>
  <si>
    <t>nuclear receptor subfamily 2, group F, member 1a [Source:ZFIN;Acc:ZDB-GENE-980526-115]</t>
  </si>
  <si>
    <t>ENSDARG00000102690</t>
  </si>
  <si>
    <t>rims2b</t>
  </si>
  <si>
    <t>regulating synaptic membrane exocytosis 2b [Source:ZFIN;Acc:ZDB-GENE-060503-893]</t>
  </si>
  <si>
    <t>ENSDARG00000017748</t>
  </si>
  <si>
    <t>arhgap29b</t>
  </si>
  <si>
    <t>Rho GTPase activating protein 29b [Source:ZFIN;Acc:ZDB-GENE-031010-44]</t>
  </si>
  <si>
    <t>ENSDARG00000062693</t>
  </si>
  <si>
    <t>nrxn3b</t>
  </si>
  <si>
    <t>neurexin 3b [Source:ZFIN;Acc:ZDB-GENE-070206-10]</t>
  </si>
  <si>
    <t>ENSDARG00000103490</t>
  </si>
  <si>
    <t>dpysl4</t>
  </si>
  <si>
    <t>dihydropyrimidinase-like 4 [Source:ZFIN;Acc:ZDB-GENE-050720-3]</t>
  </si>
  <si>
    <t>ENSDARG00000059043</t>
  </si>
  <si>
    <t>ntf3</t>
  </si>
  <si>
    <t>neurotrophin 3 [Source:ZFIN;Acc:ZDB-GENE-031118-66]</t>
  </si>
  <si>
    <t>ENSDARG00000063419</t>
  </si>
  <si>
    <t>DHX35</t>
  </si>
  <si>
    <t>zgc:158828 [Source:ZFIN;Acc:ZDB-GENE-070410-11]</t>
  </si>
  <si>
    <t>ENSDARG00000104036</t>
  </si>
  <si>
    <t>si:dkey-281i8.1</t>
  </si>
  <si>
    <t>si:dkey-281i8.1 [Source:ZFIN;Acc:ZDB-GENE-060503-70]</t>
  </si>
  <si>
    <t>ENSDARG00000101999</t>
  </si>
  <si>
    <t>cog3</t>
  </si>
  <si>
    <t>component of oligomeric golgi complex 3 [Source:ZFIN;Acc:ZDB-GENE-050913-26]</t>
  </si>
  <si>
    <t>ENSDARG00000045513</t>
  </si>
  <si>
    <t>taf3</t>
  </si>
  <si>
    <t>TAF3 RNA polymerase II, TATA box binding protein (TBP)-associated facto [Source:ZFIN;Acc:ZDB-GENE-030131-6406]</t>
  </si>
  <si>
    <t>ENSDARG00000099608</t>
  </si>
  <si>
    <t>si:dkey-48g21.8</t>
  </si>
  <si>
    <t>si:dkey-48g21.8 [Source:ZFIN;Acc:ZDB-GENE-141212-378]</t>
  </si>
  <si>
    <t>ENSDARG00000088318</t>
  </si>
  <si>
    <t>ubap2a</t>
  </si>
  <si>
    <t>ubiquitin associated protein 2a [Source:ZFIN;Acc:ZDB-GENE-070424-16]</t>
  </si>
  <si>
    <t>ENSDARG00000098077</t>
  </si>
  <si>
    <t>si:dkey-238o14.3</t>
  </si>
  <si>
    <t>si:dkey-238o14.3 [Source:ZFIN;Acc:ZDB-GENE-110913-25]</t>
  </si>
  <si>
    <t>ENSDARG00000079785</t>
  </si>
  <si>
    <t>si:dkeyp-73a2.2</t>
  </si>
  <si>
    <t>si:dkeyp-73a2.2 [Source:ZFIN;Acc:ZDB-GENE-090313-390]</t>
  </si>
  <si>
    <t>ENSDARG00000086103</t>
  </si>
  <si>
    <t>slc37a1</t>
  </si>
  <si>
    <t>solute carrier family 37 (glucose-6-phosphate transporter), member 1 [Source:ZFIN;Acc:ZDB-GENE-041114-151]</t>
  </si>
  <si>
    <t>ENSDARG00000060609</t>
  </si>
  <si>
    <t>cd109</t>
  </si>
  <si>
    <t>CD109 molecule [Source:ZFIN;Acc:ZDB-GENE-120215-253]</t>
  </si>
  <si>
    <t>ENSDARG00000011122</t>
  </si>
  <si>
    <t>pptc7a</t>
  </si>
  <si>
    <t>PTC7 protein phosphatase homolog a [Source:ZFIN;Acc:ZDB-GENE-041114-74]</t>
  </si>
  <si>
    <t>ENSDARG00000097799</t>
  </si>
  <si>
    <t>zgc:194207</t>
  </si>
  <si>
    <t>zgc:194207 [Source:ZFIN;Acc:ZDB-GENE-081022-74]</t>
  </si>
  <si>
    <t>ENSDARG00000096835</t>
  </si>
  <si>
    <t>si:ch211-157b11.6</t>
  </si>
  <si>
    <t>si:ch211-157b11.6 [Source:ZFIN;Acc:ZDB-GENE-131121-44]</t>
  </si>
  <si>
    <t>ENSDARG00000033666</t>
  </si>
  <si>
    <t>pi4k2a</t>
  </si>
  <si>
    <t>phosphatidylinositol 4-kinase type 2 alpha [Source:ZFIN;Acc:ZDB-GENE-040426-2675]</t>
  </si>
  <si>
    <t>ENSDARG00000054026</t>
  </si>
  <si>
    <t>mustn1a</t>
  </si>
  <si>
    <t>musculoskeletal, embryonic nuclear protein 1a [Source:ZFIN;Acc:ZDB-GENE-111129-3]</t>
  </si>
  <si>
    <t>ENSDARG00000061414</t>
  </si>
  <si>
    <t>slx4</t>
  </si>
  <si>
    <t>SLX4 structure-specific endonuclease subunit homolog (S. cerevisiae) [Source:ZFIN;Acc:ZDB-GENE-050208-359]</t>
  </si>
  <si>
    <t>ENSDARG00000070100</t>
  </si>
  <si>
    <t>RIN1</t>
  </si>
  <si>
    <t>si:ch211-168d1.3 [Source:ZFIN;Acc:ZDB-GENE-160113-13]</t>
  </si>
  <si>
    <t>ENSDARG00000078576</t>
  </si>
  <si>
    <t>setd5</t>
  </si>
  <si>
    <t>SET domain containing 5 [Source:ZFIN;Acc:ZDB-GENE-080523-1]</t>
  </si>
  <si>
    <t>ENSDARG00000076689</t>
  </si>
  <si>
    <t>gramd1a</t>
  </si>
  <si>
    <t>GRAM domain containing 1A [Source:ZFIN;Acc:ZDB-GENE-060503-688]</t>
  </si>
  <si>
    <t>ENSDARG00000053691</t>
  </si>
  <si>
    <t>maea</t>
  </si>
  <si>
    <t>macrophage erythroblast attacher [Source:ZFIN;Acc:ZDB-GENE-030131-294]</t>
  </si>
  <si>
    <t>ENSDARG00000104359</t>
  </si>
  <si>
    <t>anxa1c</t>
  </si>
  <si>
    <t>annexin A1c [Source:ZFIN;Acc:ZDB-GENE-030131-5274]</t>
  </si>
  <si>
    <t>ENSDARG00000099153</t>
  </si>
  <si>
    <t>si:dkey-48g21.6</t>
  </si>
  <si>
    <t>si:dkey-48g21.6 [Source:ZFIN;Acc:ZDB-GENE-141212-309]</t>
  </si>
  <si>
    <t>ENSDARG00000070526</t>
  </si>
  <si>
    <t>zc2hc1c</t>
  </si>
  <si>
    <t>zinc finger, C2HC-type containing 1C [Source:ZFIN;Acc:ZDB-GENE-111020-1]</t>
  </si>
  <si>
    <t>ENSDARG00000009480</t>
  </si>
  <si>
    <t>pdcl</t>
  </si>
  <si>
    <t>phosducin-like [Source:ZFIN;Acc:ZDB-GENE-030131-2365]</t>
  </si>
  <si>
    <t>ENSDARG00000098145</t>
  </si>
  <si>
    <t>si:ch211-223g7.1</t>
  </si>
  <si>
    <t>si:ch211-223g7.1 [Source:ZFIN;Acc:ZDB-GENE-050420-154]</t>
  </si>
  <si>
    <t>ENSDARG00000059729</t>
  </si>
  <si>
    <t>si:ch211-89f7.1</t>
  </si>
  <si>
    <t>si:ch211-89f7.1 [Source:ZFIN;Acc:ZDB-GENE-060526-180]</t>
  </si>
  <si>
    <t>ENSDARG00000036625</t>
  </si>
  <si>
    <t>polr2f</t>
  </si>
  <si>
    <t>polymerase (RNA) II (DNA directed) polypeptide F [Source:ZFIN;Acc:ZDB-GENE-040718-279]</t>
  </si>
  <si>
    <t>ENSDARG00000002591</t>
  </si>
  <si>
    <t>ruvbl1</t>
  </si>
  <si>
    <t>RuvB-like AAA ATPase 1 [Source:ZFIN;Acc:ZDB-GENE-030109-2]</t>
  </si>
  <si>
    <t>ENSDARG00000069157</t>
  </si>
  <si>
    <t>tmem135</t>
  </si>
  <si>
    <t>transmembrane protein 135 [Source:ZFIN;Acc:ZDB-GENE-070424-70]</t>
  </si>
  <si>
    <t>ENSDARG00000002613</t>
  </si>
  <si>
    <t>rpa3</t>
  </si>
  <si>
    <t>replication protein A3 [Source:ZFIN;Acc:ZDB-GENE-040426-977]</t>
  </si>
  <si>
    <t>ENSDARG00000000935</t>
  </si>
  <si>
    <t>unk</t>
  </si>
  <si>
    <t>unkempt family zinc finger [Source:ZFIN;Acc:ZDB-GENE-040426-707]</t>
  </si>
  <si>
    <t>ENSDARG00000078953</t>
  </si>
  <si>
    <t>epn3a</t>
  </si>
  <si>
    <t>epsin 3a [Source:ZFIN;Acc:ZDB-GENE-131121-324]</t>
  </si>
  <si>
    <t>ENSDARG00000073845</t>
  </si>
  <si>
    <t>zgc:110843</t>
  </si>
  <si>
    <t>zgc:110843 [Source:ZFIN;Acc:ZDB-GENE-050327-15]</t>
  </si>
  <si>
    <t>ENSDARG00000058644</t>
  </si>
  <si>
    <t>dnajb2</t>
  </si>
  <si>
    <t>DnaJ (Hsp40) homolog, subfamily B, member 2 [Source:ZFIN;Acc:ZDB-GENE-061013-537]</t>
  </si>
  <si>
    <t>ENSDARG00000098453</t>
  </si>
  <si>
    <t>pank4</t>
  </si>
  <si>
    <t>pantothenate kinase 4 [Source:ZFIN;Acc:ZDB-GENE-040426-1592]</t>
  </si>
  <si>
    <t>ENSDARG00000033610</t>
  </si>
  <si>
    <t>morn5</t>
  </si>
  <si>
    <t>MORN repeat containing 5 [Source:ZFIN;Acc:ZDB-GENE-050522-267]</t>
  </si>
  <si>
    <t>ENSDARG00000103265</t>
  </si>
  <si>
    <t>si:ch211-223g7.2</t>
  </si>
  <si>
    <t>si:ch211-223g7.2 [Source:ZFIN;Acc:ZDB-GENE-050420-153]</t>
  </si>
  <si>
    <t>ENSDARG00000042969</t>
  </si>
  <si>
    <t>znf1035</t>
  </si>
  <si>
    <t>zinc finger protein 1035 [Source:ZFIN;Acc:ZDB-GENE-050309-241]</t>
  </si>
  <si>
    <t>ENSDARG00000035870</t>
  </si>
  <si>
    <t>laptm4b</t>
  </si>
  <si>
    <t>lysosomal protein transmembrane 4 beta [Source:ZFIN;Acc:ZDB-GENE-030616-616]</t>
  </si>
  <si>
    <t>ENSDARG00000023299</t>
  </si>
  <si>
    <t>snu13b</t>
  </si>
  <si>
    <t>SNU13 homolog, small nuclear ribonucleoprotein b (U4/U6.U5) [Source:ZFIN;Acc:ZDB-GENE-030131-9670]</t>
  </si>
  <si>
    <t>ENSDARG00000003564</t>
  </si>
  <si>
    <t>dohh</t>
  </si>
  <si>
    <t>deoxyhypusine hydroxylase/monooxygenase [Source:ZFIN;Acc:ZDB-GENE-030131-451]</t>
  </si>
  <si>
    <t>ENSDARG00000044521</t>
  </si>
  <si>
    <t>eef1b2</t>
  </si>
  <si>
    <t>eukaryotic translation elongation factor 1 beta 2 [Source:ZFIN;Acc:ZDB-GENE-030131-7310]</t>
  </si>
  <si>
    <t>ENSDARG00000012051</t>
  </si>
  <si>
    <t>mettl21a</t>
  </si>
  <si>
    <t>methyltransferase like 21A [Source:ZFIN;Acc:ZDB-GENE-050320-145]</t>
  </si>
  <si>
    <t>ENSDARG00000005002</t>
  </si>
  <si>
    <t>brf1b</t>
  </si>
  <si>
    <t>BRF1, RNA polymerase III transcription initiation factor b [Source:ZFIN;Acc:ZDB-GENE-030131-6248]</t>
  </si>
  <si>
    <t>ENSDARG00000098016</t>
  </si>
  <si>
    <t>si:dkeyp-84f3.11</t>
  </si>
  <si>
    <t>si:dkeyp-84f3.11 [Source:ZFIN;Acc:ZDB-GENE-131127-291]</t>
  </si>
  <si>
    <t>ENSDARG00000019213</t>
  </si>
  <si>
    <t>CTBP1</t>
  </si>
  <si>
    <t>zgc:136929 [Source:ZFIN;Acc:ZDB-GENE-060421-4235]</t>
  </si>
  <si>
    <t>ENSDARG00000012577</t>
  </si>
  <si>
    <t>waca</t>
  </si>
  <si>
    <t>WW domain containing adaptor with coiled-coil a [Source:ZFIN;Acc:ZDB-GENE-030131-2624]</t>
  </si>
  <si>
    <t>ENSDARG00000020872</t>
  </si>
  <si>
    <t>nfat5a</t>
  </si>
  <si>
    <t>nuclear factor of activated T-cells 5, tonicity-responsive a [Source:ZFIN;Acc:ZDB-GENE-030131-6322]</t>
  </si>
  <si>
    <t>ENSDARG00000059131</t>
  </si>
  <si>
    <t>spdya</t>
  </si>
  <si>
    <t>speedy/RINGO cell cycle regulator family member A [Source:ZFIN;Acc:ZDB-GENE-041010-194]</t>
  </si>
  <si>
    <t>ENSDARG00000102215</t>
  </si>
  <si>
    <t>si:ch211-227e10.6</t>
  </si>
  <si>
    <t>si:ch211-227e10.6 [Source:ZFIN;Acc:ZDB-GENE-050420-355]</t>
  </si>
  <si>
    <t>ENSDARG00000052697</t>
  </si>
  <si>
    <t>fam172a</t>
  </si>
  <si>
    <t>family with sequence similarity 172, member A [Source:ZFIN;Acc:ZDB-GENE-040426-1396]</t>
  </si>
  <si>
    <t>ENSDARG00000014274</t>
  </si>
  <si>
    <t>rfc2</t>
  </si>
  <si>
    <t>replication factor C (activator 1) 2 [Source:ZFIN;Acc:ZDB-GENE-050306-29]</t>
  </si>
  <si>
    <t>ENSDARG00000019033</t>
  </si>
  <si>
    <t>tmem59</t>
  </si>
  <si>
    <t>transmembrane protein 59 [Source:ZFIN;Acc:ZDB-GENE-070912-397]</t>
  </si>
  <si>
    <t>ENSDARG00000075441</t>
  </si>
  <si>
    <t>vwa2</t>
  </si>
  <si>
    <t>von Willebrand factor A domain containing 2 [Source:ZFIN;Acc:ZDB-GENE-100302-1]</t>
  </si>
  <si>
    <t>ENSDARG00000105443</t>
  </si>
  <si>
    <t>KLHL33</t>
  </si>
  <si>
    <t>si:ch211-63p21.8 [Source:ZFIN;Acc:ZDB-GENE-130530-652]</t>
  </si>
  <si>
    <t>ENSDARG00000045898</t>
  </si>
  <si>
    <t>si:ch211-152c2.3</t>
  </si>
  <si>
    <t>si:ch211-152c2.3 [Source:ZFIN;Acc:ZDB-GENE-030131-9914]</t>
  </si>
  <si>
    <t>ENSDARG00000098880</t>
  </si>
  <si>
    <t>pclob</t>
  </si>
  <si>
    <t>piccolo presynaptic cytomatrix protein b [Source:ZFIN;Acc:ZDB-GENE-030131-8100]</t>
  </si>
  <si>
    <t>ENSDARG00000100104</t>
  </si>
  <si>
    <t>zgc:101785</t>
  </si>
  <si>
    <t>zgc:101785 [Source:ZFIN;Acc:ZDB-GENE-041010-152]</t>
  </si>
  <si>
    <t>ENSDARG00000038397</t>
  </si>
  <si>
    <t>rpap2</t>
  </si>
  <si>
    <t>RNA polymerase II associated protein 2 [Source:ZFIN;Acc:ZDB-GENE-050522-420]</t>
  </si>
  <si>
    <t>ENSDARG00000032369</t>
  </si>
  <si>
    <t>btbd6b</t>
  </si>
  <si>
    <t>BTB (POZ) domain containing 6b [Source:ZFIN;Acc:ZDB-GENE-030829-65]</t>
  </si>
  <si>
    <t>ENSDARG00000017388</t>
  </si>
  <si>
    <t>gstt1b</t>
  </si>
  <si>
    <t>glutathione S-transferase theta 1b [Source:ZFIN;Acc:ZDB-GENE-040426-1491]</t>
  </si>
  <si>
    <t>ENSDARG00000014587</t>
  </si>
  <si>
    <t>slc38a5b</t>
  </si>
  <si>
    <t>solute carrier family 38, member 5b [Source:ZFIN;Acc:ZDB-GENE-040718-395]</t>
  </si>
  <si>
    <t>ENSDARG00000022280</t>
  </si>
  <si>
    <t>brd2a</t>
  </si>
  <si>
    <t>bromodomain containing 2a [Source:ZFIN;Acc:ZDB-GENE-990415-248]</t>
  </si>
  <si>
    <t>ENSDARG00000054063</t>
  </si>
  <si>
    <t>arpc4</t>
  </si>
  <si>
    <t>actin related protein 2/3 complex, subunit 4 [Source:ZFIN;Acc:ZDB-GENE-010724-9]</t>
  </si>
  <si>
    <t>ENSDARG00000097089</t>
  </si>
  <si>
    <t>si:dkeyp-21h4.4</t>
  </si>
  <si>
    <t>si:dkeyp-21h4.4 [Source:ZFIN;Acc:ZDB-GENE-131120-122]</t>
  </si>
  <si>
    <t>ENSDARG00000057089</t>
  </si>
  <si>
    <t>ftsj1</t>
  </si>
  <si>
    <t>FtsJ RNA methyltransferase homolog 1 (E. coli) [Source:ZFIN;Acc:ZDB-GENE-041114-83]</t>
  </si>
  <si>
    <t>ENSDARG00000003599</t>
  </si>
  <si>
    <t>rpl3</t>
  </si>
  <si>
    <t>ribosomal protein L3 [Source:ZFIN;Acc:ZDB-GENE-030131-1291]</t>
  </si>
  <si>
    <t>ENSDARG00000039082</t>
  </si>
  <si>
    <t>zgc:123010</t>
  </si>
  <si>
    <t>zgc:123010 [Source:ZFIN;Acc:ZDB-GENE-051120-15]</t>
  </si>
  <si>
    <t>ENSDARG00000055381</t>
  </si>
  <si>
    <t>bambia</t>
  </si>
  <si>
    <t>BMP and activin membrane-bound inhibitor (Xenopus laevis) homolog a [Source:ZFIN;Acc:ZDB-GENE-010416-1]</t>
  </si>
  <si>
    <t>ENSDARG00000069595</t>
  </si>
  <si>
    <t>si:ch211-214c7.4</t>
  </si>
  <si>
    <t>si:ch211-214c7.4 [Source:ZFIN;Acc:ZDB-GENE-030131-6275]</t>
  </si>
  <si>
    <t>ENSDARG00000007081</t>
  </si>
  <si>
    <t>pias4a</t>
  </si>
  <si>
    <t>protein inhibitor of activated STAT, 4a [Source:ZFIN;Acc:ZDB-GENE-040426-2734]</t>
  </si>
  <si>
    <t>ENSDARG00000075735</t>
  </si>
  <si>
    <t>cxxc5b</t>
  </si>
  <si>
    <t>CXXC finger protein 5b [Source:ZFIN;Acc:ZDB-GENE-130225-1]</t>
  </si>
  <si>
    <t>ENSDARG00000099143</t>
  </si>
  <si>
    <t>fnta</t>
  </si>
  <si>
    <t>farnesyltransferase, CAAX box, alpha [Source:ZFIN;Acc:ZDB-GENE-030131-866]</t>
  </si>
  <si>
    <t>ENSDARG00000090714</t>
  </si>
  <si>
    <t>gaa</t>
  </si>
  <si>
    <t>glucosidase, alpha; acid (Pompe disease, glycogen storage disease type II) [Source:ZFIN;Acc:ZDB-GENE-070212-2]</t>
  </si>
  <si>
    <t>ENSDARG00000067606</t>
  </si>
  <si>
    <t>rsph4a</t>
  </si>
  <si>
    <t>radial spoke head 4 homolog A (Chlamydomonas) [Source:ZFIN;Acc:ZDB-GENE-030131-7437]</t>
  </si>
  <si>
    <t>ENSDARG00000075456</t>
  </si>
  <si>
    <t>pik3ca</t>
  </si>
  <si>
    <t>phosphatidylinositol-4,5-bisphosphate 3-kinase, catalytic subunit alpha [Source:ZFIN;Acc:ZDB-GENE-130409-1]</t>
  </si>
  <si>
    <t>ENSDARG00000029761</t>
  </si>
  <si>
    <t>mpp6b</t>
  </si>
  <si>
    <t>membrane protein, palmitoylated 6b (MAGUK p55 subfamily member 6) [Source:ZFIN;Acc:ZDB-GENE-040426-775]</t>
  </si>
  <si>
    <t>ENSDARG00000086037</t>
  </si>
  <si>
    <t>jam3a</t>
  </si>
  <si>
    <t>junctional adhesion molecule 3a [Source:ZFIN;Acc:ZDB-GENE-070424-177]</t>
  </si>
  <si>
    <t>ENSDARG00000004472</t>
  </si>
  <si>
    <t>atat1</t>
  </si>
  <si>
    <t>alpha tubulin acetyltransferase 1 [Source:ZFIN;Acc:ZDB-GENE-040426-2120]</t>
  </si>
  <si>
    <t>ENSDARG00000004658</t>
  </si>
  <si>
    <t>ACTR2</t>
  </si>
  <si>
    <t>zgc:101810 [Source:ZFIN;Acc:ZDB-GENE-041121-7]</t>
  </si>
  <si>
    <t>ENSDARG00000013075</t>
  </si>
  <si>
    <t>mrpl11</t>
  </si>
  <si>
    <t>mitochondrial ribosomal protein L11 [Source:ZFIN;Acc:ZDB-GENE-040718-294]</t>
  </si>
  <si>
    <t>ENSDARG00000031783</t>
  </si>
  <si>
    <t>adcy8</t>
  </si>
  <si>
    <t>adenylate cyclase 8 (brain) [Source:ZFIN;Acc:ZDB-GENE-070912-197]</t>
  </si>
  <si>
    <t>ENSDARG00000097465</t>
  </si>
  <si>
    <t>trmt61b</t>
  </si>
  <si>
    <t>tRNA methyltransferase 61B [Source:ZFIN;Acc:ZDB-GENE-131127-35]</t>
  </si>
  <si>
    <t>ENSDARG00000063295</t>
  </si>
  <si>
    <t>myh9a</t>
  </si>
  <si>
    <t>myosin, heavy chain 9a, non-muscle [Source:ZFIN;Acc:ZDB-GENE-030131-5870]</t>
  </si>
  <si>
    <t>ENSDARG00000009930</t>
  </si>
  <si>
    <t>cadm2a</t>
  </si>
  <si>
    <t>cell adhesion molecule 2a [Source:ZFIN;Acc:ZDB-GENE-040426-1614]</t>
  </si>
  <si>
    <t>ENSDARG00000056842</t>
  </si>
  <si>
    <t>usp30</t>
  </si>
  <si>
    <t>ubiquitin specific peptidase 30 [Source:ZFIN;Acc:ZDB-GENE-060526-335]</t>
  </si>
  <si>
    <t>ENSDARG00000019060</t>
  </si>
  <si>
    <t>snx12</t>
  </si>
  <si>
    <t>sorting nexin 12 [Source:ZFIN;Acc:ZDB-GENE-040426-787]</t>
  </si>
  <si>
    <t>ENSDARG00000042837</t>
  </si>
  <si>
    <t>atp1b3b</t>
  </si>
  <si>
    <t>ATPase, Na+/K+ transporting, beta 3b polypeptide [Source:ZFIN;Acc:ZDB-GENE-001127-1]</t>
  </si>
  <si>
    <t>ENSDARG00000090764</t>
  </si>
  <si>
    <t>bcas3</t>
  </si>
  <si>
    <t>breast carcinoma amplified sequence 3 [Source:ZFIN;Acc:ZDB-GENE-040426-1257]</t>
  </si>
  <si>
    <t>ENSDARG00000011493</t>
  </si>
  <si>
    <t>DCUN1D3</t>
  </si>
  <si>
    <t>zgc:154015 [Source:ZFIN;Acc:ZDB-GENE-070928-2]</t>
  </si>
  <si>
    <t>ENSDARG00000012586</t>
  </si>
  <si>
    <t>fmnl2a</t>
  </si>
  <si>
    <t>formin-like 2a [Source:ZFIN;Acc:ZDB-GENE-081105-70]</t>
  </si>
  <si>
    <t>ENSDARG00000018325</t>
  </si>
  <si>
    <t>taf5</t>
  </si>
  <si>
    <t>TAF5 RNA polymerase II, TATA box binding protein (TBP)-associated factor [Source:ZFIN;Acc:ZDB-GENE-051120-180]</t>
  </si>
  <si>
    <t>ENSDARG00000003380</t>
  </si>
  <si>
    <t>PAOX</t>
  </si>
  <si>
    <t>si:dkey-275b16.2 [Source:ZFIN;Acc:ZDB-GENE-090312-204]</t>
  </si>
  <si>
    <t>ENSDARG00000011163</t>
  </si>
  <si>
    <t>sema3fa</t>
  </si>
  <si>
    <t>sema domain, immunoglobulin domain (Ig), short basic domain, secreted, (semaphorin) 3Fa [Source:ZFIN;Acc:ZDB-GENE-050513-1]</t>
  </si>
  <si>
    <t>ENSDARG00000036412</t>
  </si>
  <si>
    <t>LRRC71</t>
  </si>
  <si>
    <t>si:ch211-81a5.5 [Source:ZFIN;Acc:ZDB-GENE-060503-892]</t>
  </si>
  <si>
    <t>ENSDARG00000095292</t>
  </si>
  <si>
    <t>si:ch211-212i14.2</t>
  </si>
  <si>
    <t>si:ch211-212i14.2 [Source:ZFIN;Acc:ZDB-GENE-100922-29]</t>
  </si>
  <si>
    <t>ENSDARG00000051931</t>
  </si>
  <si>
    <t>edc3</t>
  </si>
  <si>
    <t>enhancer of mRNA decapping 3 homolog (S. cerevisiae) [Source:ZFIN;Acc:ZDB-GENE-050522-287]</t>
  </si>
  <si>
    <t>ENSDARG00000026582</t>
  </si>
  <si>
    <t>iscub</t>
  </si>
  <si>
    <t>iron-sulfur cluster assembly enzyme b [Source:ZFIN;Acc:ZDB-GENE-050417-332]</t>
  </si>
  <si>
    <t>ENSDARG00000075593</t>
  </si>
  <si>
    <t>trim71</t>
  </si>
  <si>
    <t>tripartite motif containing 71, E3 ubiquitin protein ligase [Source:ZFIN;Acc:ZDB-GENE-040128-1]</t>
  </si>
  <si>
    <t>ENSDARG00000002549</t>
  </si>
  <si>
    <t>eif3eb</t>
  </si>
  <si>
    <t>eukaryotic translation initiation factor 3, subunit E, b [Source:ZFIN;Acc:ZDB-GENE-050208-283]</t>
  </si>
  <si>
    <t>ENSDARG00000013500</t>
  </si>
  <si>
    <t>abca2</t>
  </si>
  <si>
    <t>ATP-binding cassette, sub-family A (ABC1), member 2 [Source:ZFIN;Acc:ZDB-GENE-050517-1]</t>
  </si>
  <si>
    <t>ENSDARG00000060415</t>
  </si>
  <si>
    <t>arhgef28</t>
  </si>
  <si>
    <t>Rho guanine nucleotide exchange factor (GEF) 28 [Source:ZFIN;Acc:ZDB-GENE-060531-28]</t>
  </si>
  <si>
    <t>ENSDARG00000090673</t>
  </si>
  <si>
    <t>si:ch1073-104i17.1</t>
  </si>
  <si>
    <t>si:ch1073-104i17.1 [Source:ZFIN;Acc:ZDB-GENE-091204-443]</t>
  </si>
  <si>
    <t>ENSDARG00000035043</t>
  </si>
  <si>
    <t>pfdn5</t>
  </si>
  <si>
    <t>prefoldin 5 [Source:ZFIN;Acc:ZDB-GENE-030131-6858]</t>
  </si>
  <si>
    <t>ENSDARG00000023220</t>
  </si>
  <si>
    <t>selt2</t>
  </si>
  <si>
    <t>selenoprotein T, 2 [Source:ZFIN;Acc:ZDB-GENE-030411-4]</t>
  </si>
  <si>
    <t>ENSDARG00000061504</t>
  </si>
  <si>
    <t>kdm4c</t>
  </si>
  <si>
    <t>lysine (K)-specific demethylase 4C [Source:ZFIN;Acc:ZDB-GENE-070209-38]</t>
  </si>
  <si>
    <t>ENSDARG00000035074</t>
  </si>
  <si>
    <t>rtel1</t>
  </si>
  <si>
    <t>regulator of telomere elongation helicase 1 [Source:ZFIN;Acc:ZDB-GENE-050306-11]</t>
  </si>
  <si>
    <t>ENSDARG00000057737</t>
  </si>
  <si>
    <t>rxraa</t>
  </si>
  <si>
    <t>retinoid X receptor, alpha a [Source:ZFIN;Acc:ZDB-GENE-070314-2]</t>
  </si>
  <si>
    <t>ENSDARG00000037018</t>
  </si>
  <si>
    <t>gab1</t>
  </si>
  <si>
    <t>GRB2-associated binding protein 1 [Source:ZFIN;Acc:ZDB-GENE-040426-2674]</t>
  </si>
  <si>
    <t>ENSDARG00000103173</t>
  </si>
  <si>
    <t>stx8</t>
  </si>
  <si>
    <t>syntaxin 8 [Source:ZFIN;Acc:ZDB-GENE-040426-1360]</t>
  </si>
  <si>
    <t>ENSDARG00000009886</t>
  </si>
  <si>
    <t>rnf114</t>
  </si>
  <si>
    <t>ring finger protein 114 [Source:ZFIN;Acc:ZDB-GENE-040813-1]</t>
  </si>
  <si>
    <t>ENSDARG00000055108</t>
  </si>
  <si>
    <t>gde1</t>
  </si>
  <si>
    <t>glycerophosphodiester phosphodiesterase 1 [Source:ZFIN;Acc:ZDB-GENE-040426-881]</t>
  </si>
  <si>
    <t>ENSDARG00000014386</t>
  </si>
  <si>
    <t>galnt6</t>
  </si>
  <si>
    <t>UDP-N-acetyl-alpha-D-galactosamine:polypeptide N-acetylgalactosaminyltransferase 6 (GalNAc-T6) [Source:ZFIN;Acc:ZDB-GENE-040426-2272]</t>
  </si>
  <si>
    <t>ENSDARG00000063212</t>
  </si>
  <si>
    <t>prmt2</t>
  </si>
  <si>
    <t>protein arginine methyltransferase 2 [Source:ZFIN;Acc:ZDB-GENE-041104-1]</t>
  </si>
  <si>
    <t>ENSDARG00000002754</t>
  </si>
  <si>
    <t>pdcd2l</t>
  </si>
  <si>
    <t>programmed cell death 2-like [Source:ZFIN;Acc:ZDB-GENE-040426-967]</t>
  </si>
  <si>
    <t>ENSDARG00000075281</t>
  </si>
  <si>
    <t>tbc1d30</t>
  </si>
  <si>
    <t>TBC1 domain family, member 30 [Source:ZFIN;Acc:ZDB-GENE-030131-2064]</t>
  </si>
  <si>
    <t>ENSDARG00000079687</t>
  </si>
  <si>
    <t>rnf10</t>
  </si>
  <si>
    <t>ring finger protein 10 [Source:ZFIN;Acc:ZDB-GENE-030131-2969]</t>
  </si>
  <si>
    <t>ENSDARG00000096003</t>
  </si>
  <si>
    <t>USMG5</t>
  </si>
  <si>
    <t>si:dkeyp-80c12.10 [Source:ZFIN;Acc:ZDB-GENE-110914-234]</t>
  </si>
  <si>
    <t>ENSDARG00000104870</t>
  </si>
  <si>
    <t>si:ch73-346g24.2</t>
  </si>
  <si>
    <t>si:ch73-346g24.2 [Source:ZFIN;Acc:ZDB-GENE-131118-29]</t>
  </si>
  <si>
    <t>ENSDARG00000076716</t>
  </si>
  <si>
    <t>palb2</t>
  </si>
  <si>
    <t>partner and localizer of BRCA2 [Source:ZFIN;Acc:ZDB-GENE-090313-43]</t>
  </si>
  <si>
    <t>ENSDARG00000077364</t>
  </si>
  <si>
    <t>mapk9</t>
  </si>
  <si>
    <t>mitogen-activated protein kinase 9 [Source:ZFIN;Acc:ZDB-GENE-091117-28]</t>
  </si>
  <si>
    <t>ENSDARG00000061256</t>
  </si>
  <si>
    <t>FAM195A</t>
  </si>
  <si>
    <t>si:dkey-44g23.5 [Source:ZFIN;Acc:ZDB-GENE-041008-233]</t>
  </si>
  <si>
    <t>ENSDARG00000063250</t>
  </si>
  <si>
    <t>spata2</t>
  </si>
  <si>
    <t>spermatogenesis associated 2 [Source:ZFIN;Acc:ZDB-GENE-070822-5]</t>
  </si>
  <si>
    <t>ENSDARG00000031971</t>
  </si>
  <si>
    <t>kdelc1</t>
  </si>
  <si>
    <t>KDEL (Lys-Asp-Glu-Leu) containing 1 [Source:ZFIN;Acc:ZDB-GENE-040426-878]</t>
  </si>
  <si>
    <t>ENSDARG00000038308</t>
  </si>
  <si>
    <t>ykt6</t>
  </si>
  <si>
    <t>YKT6 v-SNARE homolog (S. cerevisiae) [Source:ZFIN;Acc:ZDB-GENE-040426-733]</t>
  </si>
  <si>
    <t>ENSDARG00000019332</t>
  </si>
  <si>
    <t>ndufb4</t>
  </si>
  <si>
    <t>NADH dehydrogenase (ubiquinone) 1 beta subcomplex, 4 [Source:ZFIN;Acc:ZDB-GENE-040426-1973]</t>
  </si>
  <si>
    <t>ENSDARG00000023003</t>
  </si>
  <si>
    <t>ccdc12</t>
  </si>
  <si>
    <t>coiled-coil domain containing 12 [Source:ZFIN;Acc:ZDB-GENE-040801-108]</t>
  </si>
  <si>
    <t>ENSDARG00000100509</t>
  </si>
  <si>
    <t>si:dkey-82i20.2</t>
  </si>
  <si>
    <t>si:dkey-82i20.2 [Source:ZFIN;Acc:ZDB-GENE-110914-74]</t>
  </si>
  <si>
    <t>ENSDARG00000078707</t>
  </si>
  <si>
    <t>sema7a</t>
  </si>
  <si>
    <t>semaphorin 7A [Source:ZFIN;Acc:ZDB-GENE-030131-3633]</t>
  </si>
  <si>
    <t>ENSDARG00000059130</t>
  </si>
  <si>
    <t>gata1b</t>
  </si>
  <si>
    <t>GATA binding protein 1b [Source:ZFIN;Acc:ZDB-GENE-081104-43]</t>
  </si>
  <si>
    <t>ENSDARG00000004018</t>
  </si>
  <si>
    <t>CHST13</t>
  </si>
  <si>
    <t>si:ch211-236h17.3 [Source:ZFIN;Acc:ZDB-GENE-030131-738]</t>
  </si>
  <si>
    <t>ENSDARG00000089031</t>
  </si>
  <si>
    <t>larsa</t>
  </si>
  <si>
    <t>leucyl-tRNA synthetase a [Source:ZFIN;Acc:ZDB-GENE-110411-16]</t>
  </si>
  <si>
    <t>ENSDARG00000016138</t>
  </si>
  <si>
    <t>nme6</t>
  </si>
  <si>
    <t>NME/NM23 nucleoside diphosphate kinase 6 [Source:ZFIN;Acc:ZDB-GENE-000710-3]</t>
  </si>
  <si>
    <t>ENSDARG00000076757</t>
  </si>
  <si>
    <t>ephb1</t>
  </si>
  <si>
    <t>EPH receptor B1 [Source:ZFIN;Acc:ZDB-GENE-070912-219]</t>
  </si>
  <si>
    <t>ENSDARG00000087152</t>
  </si>
  <si>
    <t>sowahd</t>
  </si>
  <si>
    <t>sosondowah ankyrin repeat domain family d [Source:ZFIN;Acc:ZDB-GENE-120215-42]</t>
  </si>
  <si>
    <t>ENSDARG00000069912</t>
  </si>
  <si>
    <t>hmga2</t>
  </si>
  <si>
    <t>high mobility group AT-hook 2 [Source:ZFIN;Acc:ZDB-GENE-030131-3148]</t>
  </si>
  <si>
    <t>ENSDARG00000007722</t>
  </si>
  <si>
    <t>nudt8</t>
  </si>
  <si>
    <t>nudix (nucleoside diphosphate linked moiety X)-type motif 8 [Source:ZFIN;Acc:ZDB-GENE-061013-219]</t>
  </si>
  <si>
    <t>ENSDARG00000006392</t>
  </si>
  <si>
    <t>exosc9</t>
  </si>
  <si>
    <t>exosome component 9 [Source:ZFIN;Acc:ZDB-GENE-041010-180]</t>
  </si>
  <si>
    <t>ENSDARG00000055610</t>
  </si>
  <si>
    <t>exoc2</t>
  </si>
  <si>
    <t>exocyst complex component 2 [Source:ZFIN;Acc:ZDB-GENE-040426-1160]</t>
  </si>
  <si>
    <t>ENSDARG00000006837</t>
  </si>
  <si>
    <t>mycn</t>
  </si>
  <si>
    <t>v-myc avian myelocytomatosis viral oncogene neuroblastoma derived homolog [Source:ZFIN;Acc:ZDB-GENE-020711-1]</t>
  </si>
  <si>
    <t>ENSDARG00000044357</t>
  </si>
  <si>
    <t>tbc1d23</t>
  </si>
  <si>
    <t>TBC1 domain family, member 23 [Source:ZFIN;Acc:ZDB-GENE-040426-1253]</t>
  </si>
  <si>
    <t>ENSDARG00000055569</t>
  </si>
  <si>
    <t>ghdc</t>
  </si>
  <si>
    <t>GH3 domain containing [Source:ZFIN;Acc:ZDB-GENE-050208-165]</t>
  </si>
  <si>
    <t>ENSDARG00000005159</t>
  </si>
  <si>
    <t>cyth3b</t>
  </si>
  <si>
    <t>cytohesin 3b [Source:ZFIN;Acc:ZDB-GENE-130530-529]</t>
  </si>
  <si>
    <t>ENSDARG00000044380</t>
  </si>
  <si>
    <t>rbmx2</t>
  </si>
  <si>
    <t>RNA binding motif protein, X-linked 2 [Source:ZFIN;Acc:ZDB-GENE-050626-88]</t>
  </si>
  <si>
    <t>ENSDARG00000019365</t>
  </si>
  <si>
    <t>KRT23</t>
  </si>
  <si>
    <t>zgc:110712 [Source:ZFIN;Acc:ZDB-GENE-050417-50]</t>
  </si>
  <si>
    <t>ENSDARG00000062510</t>
  </si>
  <si>
    <t>bcl11ba</t>
  </si>
  <si>
    <t>B-cell CLL/lymphoma 11Ba (zinc finger protein) [Source:ZFIN;Acc:ZDB-GENE-061207-62]</t>
  </si>
  <si>
    <t>ENSDARG00000033285</t>
  </si>
  <si>
    <t>gsto2</t>
  </si>
  <si>
    <t>glutathione S-transferase omega 2 [Source:ZFIN;Acc:ZDB-GENE-041114-67]</t>
  </si>
  <si>
    <t>ENSDARG00000097321</t>
  </si>
  <si>
    <t>si:ch211-136a14.3</t>
  </si>
  <si>
    <t>si:ch211-136a14.3 [Source:ZFIN;Acc:ZDB-GENE-131127-7]</t>
  </si>
  <si>
    <t>ENSDARG00000007836</t>
  </si>
  <si>
    <t>ctsla</t>
  </si>
  <si>
    <t>cathepsin La [Source:ZFIN;Acc:ZDB-GENE-030131-106]</t>
  </si>
  <si>
    <t>ENSDARG00000086712</t>
  </si>
  <si>
    <t>si:dkeyp-97b10.3</t>
  </si>
  <si>
    <t>si:dkeyp-97b10.3 [Source:ZFIN;Acc:ZDB-GENE-131121-429]</t>
  </si>
  <si>
    <t>ENSDARG00000002060</t>
  </si>
  <si>
    <t>brf2</t>
  </si>
  <si>
    <t>BRF2, RNA polymerase III transcription initiation factor [Source:ZFIN;Acc:ZDB-GENE-040801-43]</t>
  </si>
  <si>
    <t>ENSDARG00000057491</t>
  </si>
  <si>
    <t>n4bp1</t>
  </si>
  <si>
    <t>nedd4 binding protein 1 [Source:ZFIN;Acc:ZDB-GENE-030131-5538]</t>
  </si>
  <si>
    <t>ENSDARG00000087911</t>
  </si>
  <si>
    <t>psme4a</t>
  </si>
  <si>
    <t>proteasome activator subunit 4a [Source:ZFIN;Acc:ZDB-GENE-091204-452]</t>
  </si>
  <si>
    <t>ENSDARG00000057074</t>
  </si>
  <si>
    <t>rpgrb</t>
  </si>
  <si>
    <t>retinitis pigmentosa GTPase regulator b [Source:ZFIN;Acc:ZDB-GENE-081015-2]</t>
  </si>
  <si>
    <t>ENSDARG00000043797</t>
  </si>
  <si>
    <t>cdc5l</t>
  </si>
  <si>
    <t>CDC5 cell division cycle 5-like (S. pombe) [Source:ZFIN;Acc:ZDB-GENE-040426-821]</t>
  </si>
  <si>
    <t>ENSDARG00000099412</t>
  </si>
  <si>
    <t>bcan</t>
  </si>
  <si>
    <t>brevican [Source:ZFIN;Acc:ZDB-GENE-030131-6045]</t>
  </si>
  <si>
    <t>ENSDARG00000010415</t>
  </si>
  <si>
    <t>sirt4</t>
  </si>
  <si>
    <t>sirtuin 4 [Source:ZFIN;Acc:ZDB-GENE-041010-65]</t>
  </si>
  <si>
    <t>ENSDARG00000089814</t>
  </si>
  <si>
    <t>znf1042</t>
  </si>
  <si>
    <t>zinc finger protein 1042 [Source:ZFIN;Acc:ZDB-GENE-120703-14]</t>
  </si>
  <si>
    <t>ENSDARG00000060005</t>
  </si>
  <si>
    <t>mtrf1l</t>
  </si>
  <si>
    <t>mitochondrial translational release factor 1-like [Source:ZFIN;Acc:ZDB-GENE-030131-8198]</t>
  </si>
  <si>
    <t>ENSDARG00000087954</t>
  </si>
  <si>
    <t>rac1b</t>
  </si>
  <si>
    <t>ras-related C3 botulinum toxin substrate 1b (rho family, small GTP binding protein Rac1) [Source:ZFIN;Acc:ZDB-GENE-060312-45]</t>
  </si>
  <si>
    <t>ENSDARG00000098315</t>
  </si>
  <si>
    <t>cyp1a</t>
  </si>
  <si>
    <t>cytochrome P450, family 1, subfamily A [Source:ZFIN;Acc:ZDB-GENE-011219-1]</t>
  </si>
  <si>
    <t>ENSDARG00000094441</t>
  </si>
  <si>
    <t>si:dkey-161j23.5</t>
  </si>
  <si>
    <t>si:dkey-161j23.5 [Source:ZFIN;Acc:ZDB-GENE-091204-373]</t>
  </si>
  <si>
    <t>ENSDARG00000102060</t>
  </si>
  <si>
    <t>zgc:92873</t>
  </si>
  <si>
    <t>zgc:92873 [Source:ZFIN;Acc:ZDB-GENE-040718-182]</t>
  </si>
  <si>
    <t>ENSDARG00000059442</t>
  </si>
  <si>
    <t>smtnb</t>
  </si>
  <si>
    <t>smoothelin b [Source:ZFIN;Acc:ZDB-GENE-070912-2]</t>
  </si>
  <si>
    <t>ENSDARG00000011049</t>
  </si>
  <si>
    <t>slc17a9b</t>
  </si>
  <si>
    <t>solute carrier family 17 (vesicular nucleotide transporter), member 9b [Source:ZFIN;Acc:ZDB-GENE-040718-380]</t>
  </si>
  <si>
    <t>ENSDARG00000075209</t>
  </si>
  <si>
    <t>p4htm</t>
  </si>
  <si>
    <t>prolyl 4-hydroxylase, transmembrane (endoplasmic reticulum) [Source:ZFIN;Acc:ZDB-GENE-110131-7]</t>
  </si>
  <si>
    <t>ENSDARG00000042187</t>
  </si>
  <si>
    <t>smek1</t>
  </si>
  <si>
    <t>SMEK homolog 1, suppressor of mek1 (Dictyostelium) [Source:ZFIN;Acc:ZDB-GENE-030131-3958]</t>
  </si>
  <si>
    <t>ENSDARG00000004470</t>
  </si>
  <si>
    <t>prkcsh</t>
  </si>
  <si>
    <t>protein kinase C substrate 80K-H [Source:ZFIN;Acc:ZDB-GENE-040426-770]</t>
  </si>
  <si>
    <t>ENSDARG00000044135</t>
  </si>
  <si>
    <t>cenpp</t>
  </si>
  <si>
    <t>centromere protein P [Source:ZFIN;Acc:ZDB-GENE-040801-74]</t>
  </si>
  <si>
    <t>ENSDARG00000102402</t>
  </si>
  <si>
    <t>fut11</t>
  </si>
  <si>
    <t>fucosyltransferase 11 (alpha (1,3) fucosyltransferase) [Source:ZFIN;Acc:ZDB-GENE-060929-728]</t>
  </si>
  <si>
    <t>ENSDARG00000023724</t>
  </si>
  <si>
    <t>cdc42se1</t>
  </si>
  <si>
    <t>CDC42 small effector 1 [Source:ZFIN;Acc:ZDB-GENE-030131-9260]</t>
  </si>
  <si>
    <t>ENSDARG00000053232</t>
  </si>
  <si>
    <t>itgb1b.1</t>
  </si>
  <si>
    <t>integrin, beta 1b.1 [Source:ZFIN;Acc:ZDB-GENE-060803-3]</t>
  </si>
  <si>
    <t>ENSDARG00000099084</t>
  </si>
  <si>
    <t>pcif1</t>
  </si>
  <si>
    <t>PDX1 C-terminal inhibiting factor 1 [Source:ZFIN;Acc:ZDB-GENE-120920-2]</t>
  </si>
  <si>
    <t>ENSDARG00000092341</t>
  </si>
  <si>
    <t>si:rp71-3c13.3</t>
  </si>
  <si>
    <t>si:rp71-3c13.3 [Source:ZFIN;Acc:ZDB-GENE-030616-68]</t>
  </si>
  <si>
    <t>ENSDARG00000076330</t>
  </si>
  <si>
    <t>dusp12</t>
  </si>
  <si>
    <t>dual specificity phosphatase 12 [Source:ZFIN;Acc:ZDB-GENE-050626-91]</t>
  </si>
  <si>
    <t>ENSDARG00000062817</t>
  </si>
  <si>
    <t>crym</t>
  </si>
  <si>
    <t>crystallin, mu [Source:ZFIN;Acc:ZDB-GENE-070112-1782]</t>
  </si>
  <si>
    <t>ENSDARG00000008953</t>
  </si>
  <si>
    <t>pofut1</t>
  </si>
  <si>
    <t>protein O-fucosyltransferase 1 [Source:ZFIN;Acc:ZDB-GENE-040303-2]</t>
  </si>
  <si>
    <t>ENSDARG00000079388</t>
  </si>
  <si>
    <t>agrn</t>
  </si>
  <si>
    <t>agrin [Source:ZFIN;Acc:ZDB-GENE-030131-1033]</t>
  </si>
  <si>
    <t>ENSDARG00000036462</t>
  </si>
  <si>
    <t>rab11fip1b</t>
  </si>
  <si>
    <t>RAB11 family interacting protein 1 (class I) b [Source:ZFIN;Acc:ZDB-GENE-091204-322]</t>
  </si>
  <si>
    <t>ENSDARG00000058076</t>
  </si>
  <si>
    <t>snf8</t>
  </si>
  <si>
    <t>SNF8, ESCRT-II complex subunit, homolog (S. cerevisiae) [Source:ZFIN;Acc:ZDB-GENE-041114-117]</t>
  </si>
  <si>
    <t>ENSDARG00000054447</t>
  </si>
  <si>
    <t>slc29a1b</t>
  </si>
  <si>
    <t>solute carrier family 29 (equilibrative nucleoside transporter), member 1b [Source:ZFIN;Acc:ZDB-GENE-130415-4]</t>
  </si>
  <si>
    <t>ENSDARG00000013845</t>
  </si>
  <si>
    <t>ttc14</t>
  </si>
  <si>
    <t>tetratricopeptide repeat domain 14 [Source:ZFIN;Acc:ZDB-GENE-050327-26]</t>
  </si>
  <si>
    <t>ENSDARG00000075397</t>
  </si>
  <si>
    <t>cipca</t>
  </si>
  <si>
    <t>CLOCK-interacting pacemaker a [Source:ZFIN;Acc:ZDB-GENE-120928-5]</t>
  </si>
  <si>
    <t>ENSDARG00000007737</t>
  </si>
  <si>
    <t>zyg11</t>
  </si>
  <si>
    <t>zyg-11 homolog (C. elegans) [Source:ZFIN;Acc:ZDB-GENE-041014-17]</t>
  </si>
  <si>
    <t>ENSDARG00000103917</t>
  </si>
  <si>
    <t>znf185</t>
  </si>
  <si>
    <t>zinc finger protein 185 (LIM domain) [Source:ZFIN;Acc:ZDB-GENE-061103-355]</t>
  </si>
  <si>
    <t>ENSDARG00000019601</t>
  </si>
  <si>
    <t>col12a1b</t>
  </si>
  <si>
    <t>collagen, type XII, alpha 1b [Source:ZFIN;Acc:ZDB-GENE-120215-116]</t>
  </si>
  <si>
    <t>ENSDARG00000077072</t>
  </si>
  <si>
    <t>si:ch73-280o22.2</t>
  </si>
  <si>
    <t>si:ch73-280o22.2 [Source:ZFIN;Acc:ZDB-GENE-141216-272]</t>
  </si>
  <si>
    <t>ENSDARG00000068036</t>
  </si>
  <si>
    <t>tmem119b</t>
  </si>
  <si>
    <t>transmembrane protein 119b [Source:ZFIN;Acc:ZDB-GENE-070410-49]</t>
  </si>
  <si>
    <t>ENSDARG00000036080</t>
  </si>
  <si>
    <t>cd81a</t>
  </si>
  <si>
    <t>CD81 molecule a [Source:ZFIN;Acc:ZDB-GENE-000831-5]</t>
  </si>
  <si>
    <t>ENSDARG00000098218</t>
  </si>
  <si>
    <t>si:dkey-261j11.1</t>
  </si>
  <si>
    <t>si:dkey-261j11.1 [Source:ZFIN;Acc:ZDB-GENE-131121-651]</t>
  </si>
  <si>
    <t>ENSDARG00000044132</t>
  </si>
  <si>
    <t>ogn</t>
  </si>
  <si>
    <t>osteoglycin [Source:ZFIN;Acc:ZDB-GENE-050208-650]</t>
  </si>
  <si>
    <t>ENSDARG00000056630</t>
  </si>
  <si>
    <t>angptl5</t>
  </si>
  <si>
    <t>angiopoietin-like 5 [Source:ZFIN;Acc:ZDB-GENE-030131-5054]</t>
  </si>
  <si>
    <t>ENSDARG00000056059</t>
  </si>
  <si>
    <t>rangap1b</t>
  </si>
  <si>
    <t>Ran GTPase activating protein 1b [Source:ZFIN;Acc:ZDB-GENE-040426-1921]</t>
  </si>
  <si>
    <t>ENSDARG00000099291</t>
  </si>
  <si>
    <t>lsr</t>
  </si>
  <si>
    <t>lipolysis stimulated lipoprotein receptor [Source:ZFIN;Acc:ZDB-GENE-050913-73]</t>
  </si>
  <si>
    <t>ENSDARG00000067912</t>
  </si>
  <si>
    <t>MAN1C1</t>
  </si>
  <si>
    <t>si:ch73-373m9.1 [Source:ZFIN;Acc:ZDB-GENE-110411-115]</t>
  </si>
  <si>
    <t>ENSDARG00000078523</t>
  </si>
  <si>
    <t>ddr1</t>
  </si>
  <si>
    <t>discoidin domain receptor tyrosine kinase 1 [Source:ZFIN;Acc:ZDB-GENE-060323-2]</t>
  </si>
  <si>
    <t>ENSDARG00000079631</t>
  </si>
  <si>
    <t>ZFP91</t>
  </si>
  <si>
    <t>si:ch211-113e8.10 [Source:ZFIN;Acc:ZDB-GENE-090313-11]</t>
  </si>
  <si>
    <t>ENSDARG00000063008</t>
  </si>
  <si>
    <t>si:dkeyp-27e10.3</t>
  </si>
  <si>
    <t>si:dkeyp-27e10.3 [Source:ZFIN;Acc:ZDB-GENE-041210-96]</t>
  </si>
  <si>
    <t>ENSDARG00000058226</t>
  </si>
  <si>
    <t>ak3</t>
  </si>
  <si>
    <t>adenylate kinase 3 [Source:ZFIN;Acc:ZDB-GENE-040426-2142]</t>
  </si>
  <si>
    <t>ENSDARG00000000349</t>
  </si>
  <si>
    <t>si:rp71-1p14.7</t>
  </si>
  <si>
    <t>si:rp71-1p14.7 [Source:ZFIN;Acc:ZDB-GENE-040724-203]</t>
  </si>
  <si>
    <t>ENSDARG00000074084</t>
  </si>
  <si>
    <t>strip1</t>
  </si>
  <si>
    <t>striatin interacting protein 1 [Source:ZFIN;Acc:ZDB-GENE-040426-2927]</t>
  </si>
  <si>
    <t>ENSDARG00000092267</t>
  </si>
  <si>
    <t>si:dkey-57i11.4</t>
  </si>
  <si>
    <t>si:dkey-57i11.4 [Source:ZFIN;Acc:ZDB-GENE-070912-556]</t>
  </si>
  <si>
    <t>ENSDARG00000014101</t>
  </si>
  <si>
    <t>pyroxd2</t>
  </si>
  <si>
    <t>pyridine nucleotide-disulphide oxidoreductase domain 2 [Source:ZFIN;Acc:ZDB-GENE-050506-147]</t>
  </si>
  <si>
    <t>ENSDARG00000039302</t>
  </si>
  <si>
    <t>terfa</t>
  </si>
  <si>
    <t>telomeric repeat binding factor a [Source:ZFIN;Acc:ZDB-GENE-020419-38]</t>
  </si>
  <si>
    <t>ENSDARG00000094977</t>
  </si>
  <si>
    <t>si:ch211-156j22.4</t>
  </si>
  <si>
    <t>si:ch211-156j22.4 [Source:ZFIN;Acc:ZDB-GENE-030131-1968]</t>
  </si>
  <si>
    <t>ENSDARG00000102118</t>
  </si>
  <si>
    <t>SLF1</t>
  </si>
  <si>
    <t>si:ch73-280o22.1 [Source:ZFIN;Acc:ZDB-GENE-141216-402]</t>
  </si>
  <si>
    <t>ENSDARG00000036061</t>
  </si>
  <si>
    <t>ogfod1</t>
  </si>
  <si>
    <t>2-oxoglutarate and iron-dependent oxygenase domain containing 1 [Source:ZFIN;Acc:ZDB-GENE-030131-3294]</t>
  </si>
  <si>
    <t>ENSDARG00000060093</t>
  </si>
  <si>
    <t>dapk1</t>
  </si>
  <si>
    <t>death-associated protein kinase 1 [Source:ZFIN;Acc:ZDB-GENE-060526-177]</t>
  </si>
  <si>
    <t>ENSDARG00000061274</t>
  </si>
  <si>
    <t>lss</t>
  </si>
  <si>
    <t>lanosterol synthase (2,3-oxidosqualene-lanosterol cyclase) [Source:ZFIN;Acc:ZDB-GENE-050119-7]</t>
  </si>
  <si>
    <t>ENSDARG00000015823</t>
  </si>
  <si>
    <t>vps26b</t>
  </si>
  <si>
    <t>VPS26 retromer complex component B [Source:ZFIN;Acc:ZDB-GENE-040426-2699]</t>
  </si>
  <si>
    <t>ENSDARG00000026654</t>
  </si>
  <si>
    <t>gosr1</t>
  </si>
  <si>
    <t>golgi SNAP receptor complex member 1 [Source:ZFIN;Acc:ZDB-GENE-050417-133]</t>
  </si>
  <si>
    <t>ENSDARG00000093677</t>
  </si>
  <si>
    <t>si:ch211-56a11.2</t>
  </si>
  <si>
    <t>si:ch211-56a11.2 [Source:ZFIN;Acc:ZDB-GENE-091204-123]</t>
  </si>
  <si>
    <t>ENSDARG00000090882</t>
  </si>
  <si>
    <t>si:rp71-36a1.5</t>
  </si>
  <si>
    <t>si:rp71-36a1.5 [Source:ZFIN;Acc:ZDB-GENE-091204-428]</t>
  </si>
  <si>
    <t>ENSDARG00000015627</t>
  </si>
  <si>
    <t>rgs6</t>
  </si>
  <si>
    <t>regulator of G-protein signaling 6 [Source:ZFIN;Acc:ZDB-GENE-030131-31]</t>
  </si>
  <si>
    <t>ENSDARG00000060477</t>
  </si>
  <si>
    <t>vps8</t>
  </si>
  <si>
    <t>vacuolar protein sorting 8 homolog (S. cerevisiae) [Source:ZFIN;Acc:ZDB-GENE-060503-348]</t>
  </si>
  <si>
    <t>ENSDARG00000070038</t>
  </si>
  <si>
    <t>rbp2a</t>
  </si>
  <si>
    <t>retinol binding protein 2a, cellular [Source:ZFIN;Acc:ZDB-GENE-020320-2]</t>
  </si>
  <si>
    <t>ENSDARG00000068655</t>
  </si>
  <si>
    <t>dnlz</t>
  </si>
  <si>
    <t>DNL-type zinc finger [Source:ZFIN;Acc:ZDB-GENE-070112-1482]</t>
  </si>
  <si>
    <t>ENSDARG00000087277</t>
  </si>
  <si>
    <t>selj</t>
  </si>
  <si>
    <t>selenoprotein J [Source:ZFIN;Acc:ZDB-GENE-030131-4163]</t>
  </si>
  <si>
    <t>ENSDARG00000059838</t>
  </si>
  <si>
    <t>myom3</t>
  </si>
  <si>
    <t>myomesin 3 [Source:ZFIN;Acc:ZDB-GENE-080326-1]</t>
  </si>
  <si>
    <t>ENSDARG00000105120</t>
  </si>
  <si>
    <t>gab2</t>
  </si>
  <si>
    <t>GRB2-associated binding protein 2 [Source:ZFIN;Acc:ZDB-GENE-130530-756]</t>
  </si>
  <si>
    <t>ENSDARG00000069045</t>
  </si>
  <si>
    <t>chtf8</t>
  </si>
  <si>
    <t>CTF8, chromosome transmission fidelity factor 8 homolog (S. cerevisiae) [Source:ZFIN;Acc:ZDB-GENE-050419-148]</t>
  </si>
  <si>
    <t>ENSDARG00000042659</t>
  </si>
  <si>
    <t>thyn1</t>
  </si>
  <si>
    <t>thymocyte nuclear protein 1 [Source:ZFIN;Acc:ZDB-GENE-040426-1585]</t>
  </si>
  <si>
    <t>ENSDARG00000038270</t>
  </si>
  <si>
    <t>PIGG</t>
  </si>
  <si>
    <t>si:ch73-49o8.1 [Source:ZFIN;Acc:ZDB-GENE-141215-6]</t>
  </si>
  <si>
    <t>ENSDARG00000037177</t>
  </si>
  <si>
    <t>zc3h13</t>
  </si>
  <si>
    <t>zinc finger CCCH-type containing 13 [Source:ZFIN;Acc:ZDB-GENE-040426-1619]</t>
  </si>
  <si>
    <t>ENSDARG00000104734</t>
  </si>
  <si>
    <t>kat2a</t>
  </si>
  <si>
    <t>K(lysine) acetyltransferase 2A [Source:ZFIN;Acc:ZDB-GENE-080403-11]</t>
  </si>
  <si>
    <t>ENSDARG00000005458</t>
  </si>
  <si>
    <t>csnk1g2a</t>
  </si>
  <si>
    <t>casein kinase 1, gamma 2a [Source:ZFIN;Acc:ZDB-GENE-030131-6445]</t>
  </si>
  <si>
    <t>ENSDARG00000030512</t>
  </si>
  <si>
    <t>tsnaxip1</t>
  </si>
  <si>
    <t>translin-associated factor X interacting protein 1 [Source:ZFIN;Acc:ZDB-GENE-070424-39]</t>
  </si>
  <si>
    <t>ENSDARG00000026988</t>
  </si>
  <si>
    <t>tbc1d22b</t>
  </si>
  <si>
    <t>TBC1 domain family, member 22B [Source:ZFIN;Acc:ZDB-GENE-091118-28]</t>
  </si>
  <si>
    <t>ENSDARG00000016336</t>
  </si>
  <si>
    <t>tmco6</t>
  </si>
  <si>
    <t>transmembrane and coiled-coil domains 6 [Source:ZFIN;Acc:ZDB-GENE-070410-47]</t>
  </si>
  <si>
    <t>ENSDARG00000097765</t>
  </si>
  <si>
    <t>si:ch211-198p11.6</t>
  </si>
  <si>
    <t>si:ch211-198p11.6 [Source:ZFIN;Acc:ZDB-GENE-131127-507]</t>
  </si>
  <si>
    <t>ENSDARG00000019797</t>
  </si>
  <si>
    <t>qrich1</t>
  </si>
  <si>
    <t>glutamine-rich 1 [Source:ZFIN;Acc:ZDB-GENE-030131-8204]</t>
  </si>
  <si>
    <t>ENSDARG00000104456</t>
  </si>
  <si>
    <t>si:dkey-8n23.2</t>
  </si>
  <si>
    <t>si:dkey-8n23.2 [Source:ZFIN;Acc:ZDB-GENE-131127-178]</t>
  </si>
  <si>
    <t>ENSDARG00000044381</t>
  </si>
  <si>
    <t>siah2l</t>
  </si>
  <si>
    <t>seven in absentia homolog 2 (Drosophila)-like [Source:ZFIN;Acc:ZDB-GENE-030922-1]</t>
  </si>
  <si>
    <t>ENSDARG00000079705</t>
  </si>
  <si>
    <t>si:ch211-152p11.4</t>
  </si>
  <si>
    <t>si:ch211-152p11.4 [Source:ZFIN;Acc:ZDB-GENE-060503-764]</t>
  </si>
  <si>
    <t>ENSDARG00000022689</t>
  </si>
  <si>
    <t>itgb1b.2</t>
  </si>
  <si>
    <t>integrin, beta 1b.2 [Source:ZFIN;Acc:ZDB-GENE-040426-2598]</t>
  </si>
  <si>
    <t>ENSDARG00000003446</t>
  </si>
  <si>
    <t>ippk</t>
  </si>
  <si>
    <t>inositol 1,3,4,5,6-pentakisphosphate 2-kinase [Source:ZFIN;Acc:ZDB-GENE-050327-41]</t>
  </si>
  <si>
    <t>ENSDARG00000097712</t>
  </si>
  <si>
    <t>si:ch1073-443n13.2</t>
  </si>
  <si>
    <t>si:ch1073-443n13.2 [Source:ZFIN;Acc:ZDB-GENE-131127-214]</t>
  </si>
  <si>
    <t>ENSDARG00000000394</t>
  </si>
  <si>
    <t>matr3l1.1.1</t>
  </si>
  <si>
    <t>ENSDARG00000101661</t>
  </si>
  <si>
    <t>ulk3</t>
  </si>
  <si>
    <t>unc-51 like kinase 3 [Source:ZFIN;Acc:ZDB-GENE-070410-33]</t>
  </si>
  <si>
    <t>ENSDARG00000032405</t>
  </si>
  <si>
    <t>CKAP4</t>
  </si>
  <si>
    <t>zgc:85975 [Source:ZFIN;Acc:ZDB-GENE-040426-2417]</t>
  </si>
  <si>
    <t>ENSDARG00000008388</t>
  </si>
  <si>
    <t>mmp14b</t>
  </si>
  <si>
    <t>matrix metallopeptidase 14b (membrane-inserted) [Source:ZFIN;Acc:ZDB-GENE-030901-2]</t>
  </si>
  <si>
    <t>ENSDARG00000043976</t>
  </si>
  <si>
    <t>etf1b</t>
  </si>
  <si>
    <t>eukaryotic translation termination factor 1b [Source:ZFIN;Acc:ZDB-GENE-021029-1]</t>
  </si>
  <si>
    <t>ENSDARG00000100594</t>
  </si>
  <si>
    <t>sez6l</t>
  </si>
  <si>
    <t>seizure related 6 homolog (mouse)-like [Source:ZFIN;Acc:ZDB-GENE-091204-162]</t>
  </si>
  <si>
    <t>ENSDARG00000042566</t>
  </si>
  <si>
    <t>rps7</t>
  </si>
  <si>
    <t>ribosomal protein S7 [Source:ZFIN;Acc:ZDB-GENE-040426-1718]</t>
  </si>
  <si>
    <t>ENSDARG00000096506</t>
  </si>
  <si>
    <t>si:dkey-58j15.11</t>
  </si>
  <si>
    <t>si:dkey-58j15.11 [Source:ZFIN;Acc:ZDB-GENE-100922-27]</t>
  </si>
  <si>
    <t>ENSDARG00000030335</t>
  </si>
  <si>
    <t>zc3h10</t>
  </si>
  <si>
    <t>zinc finger CCCH-type containing 10 [Source:ZFIN;Acc:ZDB-GENE-040426-2359]</t>
  </si>
  <si>
    <t>ENSDARG00000078520</t>
  </si>
  <si>
    <t>ikbip</t>
  </si>
  <si>
    <t>IKBKB interacting protein [Source:ZFIN;Acc:ZDB-GENE-131122-26]</t>
  </si>
  <si>
    <t>ENSDARG00000086840</t>
  </si>
  <si>
    <t>si:ch211-266k8.4</t>
  </si>
  <si>
    <t>si:ch211-266k8.4 [Source:ZFIN;Acc:ZDB-GENE-131121-469]</t>
  </si>
  <si>
    <t>ENSDARG00000076754</t>
  </si>
  <si>
    <t>slc9a7</t>
  </si>
  <si>
    <t>solute carrier family 9, subfamily A (NHE7, cation proton antiporter 7), member 7 [Source:ZFIN;Acc:ZDB-GENE-050913-8]</t>
  </si>
  <si>
    <t>ENSDARG00000069356</t>
  </si>
  <si>
    <t>adgrl2a</t>
  </si>
  <si>
    <t>adhesion G protein-coupled receptor L2a [Source:ZFIN;Acc:ZDB-GENE-000607-49]</t>
  </si>
  <si>
    <t>ENSDARG00000104916</t>
  </si>
  <si>
    <t>zgc:174178</t>
  </si>
  <si>
    <t>zgc:174178 [Source:ZFIN;Acc:ZDB-GENE-080206-3]</t>
  </si>
  <si>
    <t>ENSDARG00000089549</t>
  </si>
  <si>
    <t>BAALC</t>
  </si>
  <si>
    <t>si:ch211-101l18.9 [Source:ZFIN;Acc:ZDB-GENE-030131-7983]</t>
  </si>
  <si>
    <t>ENSDARG00000038695</t>
  </si>
  <si>
    <t>elavl1</t>
  </si>
  <si>
    <t>ELAV like RNA binding protein 1 [Source:ZFIN;Acc:ZDB-GENE-990415-245]</t>
  </si>
  <si>
    <t>ENSDARG00000073900</t>
  </si>
  <si>
    <t>fam212b</t>
  </si>
  <si>
    <t>family with sequence similarity 212, member B [Source:ZFIN;Acc:ZDB-GENE-091230-4]</t>
  </si>
  <si>
    <t>ENSDARG00000101561</t>
  </si>
  <si>
    <t>dbt</t>
  </si>
  <si>
    <t>dihydrolipoamide branched chain transacylase E2 [Source:ZFIN;Acc:ZDB-GENE-050320-85]</t>
  </si>
  <si>
    <t>ENSDARG00000062752</t>
  </si>
  <si>
    <t>mfap3l</t>
  </si>
  <si>
    <t>microfibrillar-associated protein 3-like [Source:ZFIN;Acc:ZDB-GENE-111229-2]</t>
  </si>
  <si>
    <t>ENSDARG00000061204</t>
  </si>
  <si>
    <t>ddx20</t>
  </si>
  <si>
    <t>DEAD (Asp-Glu-Ala-Asp) box polypeptide 20 [Source:ZFIN;Acc:ZDB-GENE-030131-202]</t>
  </si>
  <si>
    <t>ENSDARG00000052244</t>
  </si>
  <si>
    <t>zgc:158564</t>
  </si>
  <si>
    <t>zgc:158564 [Source:ZFIN;Acc:ZDB-GENE-070112-1662]</t>
  </si>
  <si>
    <t>ENSDARG00000077650</t>
  </si>
  <si>
    <t>tnks</t>
  </si>
  <si>
    <t>tankyrase, TRF1-interacting ankyrin-related ADP-ribose polymerase [Source:ZFIN;Acc:ZDB-GENE-030131-7450]</t>
  </si>
  <si>
    <t>ENSDARG00000096249</t>
  </si>
  <si>
    <t>ap1m1</t>
  </si>
  <si>
    <t>adaptor-related protein complex 1, mu 1 subunit [Source:ZFIN;Acc:ZDB-GENE-110126-1]</t>
  </si>
  <si>
    <t>ENSDARG00000011240</t>
  </si>
  <si>
    <t>ift46</t>
  </si>
  <si>
    <t>intraflagellar transport 46 homolog (Chlamydomonas) [Source:ZFIN;Acc:ZDB-GENE-080102-3]</t>
  </si>
  <si>
    <t>ENSDARG00000045296</t>
  </si>
  <si>
    <t>myeov2</t>
  </si>
  <si>
    <t>myeloma overexpressed 2 [Source:ZFIN;Acc:ZDB-GENE-040426-1883]</t>
  </si>
  <si>
    <t>ENSDARG00000097583</t>
  </si>
  <si>
    <t>arfgap3</t>
  </si>
  <si>
    <t>ADP-ribosylation factor GTPase activating protein 3 [Source:ZFIN;Acc:ZDB-GENE-040426-1]</t>
  </si>
  <si>
    <t>ENSDARG00000103907</t>
  </si>
  <si>
    <t>sgol1</t>
  </si>
  <si>
    <t>shugoshin-like 1 (S. pombe) [Source:ZFIN;Acc:ZDB-GENE-070112-422]</t>
  </si>
  <si>
    <t>ENSDARG00000010752</t>
  </si>
  <si>
    <t>acsl4b</t>
  </si>
  <si>
    <t>acyl-CoA synthetase long-chain family member 4b [Source:ZFIN;Acc:ZDB-GENE-030131-6493]</t>
  </si>
  <si>
    <t>ENSDARG00000039466</t>
  </si>
  <si>
    <t>hnrnph3</t>
  </si>
  <si>
    <t>heterogeneous nuclear ribonucleoprotein H3 (2H9) [Source:ZFIN;Acc:ZDB-GENE-060421-3878]</t>
  </si>
  <si>
    <t>ENSDARG00000060521</t>
  </si>
  <si>
    <t>rbm27</t>
  </si>
  <si>
    <t>RNA binding motif protein 27 [Source:ZFIN;Acc:ZDB-GENE-110411-31]</t>
  </si>
  <si>
    <t>ENSDARG00000103314</t>
  </si>
  <si>
    <t>si:dkey-84h14.1</t>
  </si>
  <si>
    <t>si:dkey-84h14.1 [Source:ZFIN;Acc:ZDB-GENE-110913-51]</t>
  </si>
  <si>
    <t>ENSDARG00000101120</t>
  </si>
  <si>
    <t>kif3b</t>
  </si>
  <si>
    <t>kinesin family member 3B [Source:ZFIN;Acc:ZDB-GENE-050119-3]</t>
  </si>
  <si>
    <t>ENSDARG00000021366</t>
  </si>
  <si>
    <t>fbp1a</t>
  </si>
  <si>
    <t>fructose-1,6-bisphosphatase 1a [Source:ZFIN;Acc:ZDB-GENE-030131-7171]</t>
  </si>
  <si>
    <t>ENSDARG00000036376</t>
  </si>
  <si>
    <t>cldn7a</t>
  </si>
  <si>
    <t>claudin 7a [Source:ZFIN;Acc:ZDB-GENE-040718-29]</t>
  </si>
  <si>
    <t>ENSDARG00000005927</t>
  </si>
  <si>
    <t>tbc1d17</t>
  </si>
  <si>
    <t>TBC1 domain family, member 17 [Source:ZFIN;Acc:ZDB-GENE-050522-79]</t>
  </si>
  <si>
    <t>ENSDARG00000098378</t>
  </si>
  <si>
    <t>si:ch211-7c8.2</t>
  </si>
  <si>
    <t>si:ch211-7c8.2 [Source:ZFIN;Acc:ZDB-GENE-141222-98]</t>
  </si>
  <si>
    <t>ENSDARG00000007034</t>
  </si>
  <si>
    <t>hnrpkl</t>
  </si>
  <si>
    <t>heterogeneous nuclear ribonucleoprotein K, like [Source:ZFIN;Acc:ZDB-GENE-040426-1923]</t>
  </si>
  <si>
    <t>ENSDARG00000096214</t>
  </si>
  <si>
    <t>si:ch211-197k17.3</t>
  </si>
  <si>
    <t>si:ch211-197k17.3 [Source:ZFIN;Acc:ZDB-GENE-110914-193]</t>
  </si>
  <si>
    <t>ENSDARG00000086626</t>
  </si>
  <si>
    <t>im:7147486</t>
  </si>
  <si>
    <t>im:7147486 [Source:ZFIN;Acc:ZDB-GENE-050208-286]</t>
  </si>
  <si>
    <t>ENSDARG00000068050</t>
  </si>
  <si>
    <t>agbl4</t>
  </si>
  <si>
    <t>ATP/GTP binding protein-like 4 [Source:ZFIN;Acc:ZDB-GENE-081104-437]</t>
  </si>
  <si>
    <t>ENSDARG00000104956</t>
  </si>
  <si>
    <t>si:dkey-165o8.2</t>
  </si>
  <si>
    <t>si:dkey-165o8.2 [Source:ZFIN;Acc:ZDB-GENE-131122-2]</t>
  </si>
  <si>
    <t>ENSDARG00000033170</t>
  </si>
  <si>
    <t>sult2st1</t>
  </si>
  <si>
    <t>sulfotransferase family 2, cytosolic sulfotransferase 1 [Source:ZFIN;Acc:ZDB-GENE-030219-114]</t>
  </si>
  <si>
    <t>ENSDARG00000042829</t>
  </si>
  <si>
    <t>si:dkey-30j22.1</t>
  </si>
  <si>
    <t>si:dkey-30j22.1 [Source:ZFIN;Acc:ZDB-GENE-041001-184]</t>
  </si>
  <si>
    <t>ENSDARG00000020000</t>
  </si>
  <si>
    <t>sh3bp4a</t>
  </si>
  <si>
    <t>SH3-domain binding protein 4a [Source:ZFIN;Acc:ZDB-GENE-040303-3]</t>
  </si>
  <si>
    <t>ENSDARG00000078322</t>
  </si>
  <si>
    <t>col12a1a</t>
  </si>
  <si>
    <t>collagen, type XII, alpha 1a [Source:ZFIN;Acc:ZDB-GENE-090728-1]</t>
  </si>
  <si>
    <t>ENSDARG00000067777</t>
  </si>
  <si>
    <t>HSPB11</t>
  </si>
  <si>
    <t>zgc:158640 [Source:ZFIN;Acc:ZDB-GENE-061215-15]</t>
  </si>
  <si>
    <t>ENSDARG00000069453</t>
  </si>
  <si>
    <t>zgc:113314</t>
  </si>
  <si>
    <t>zgc:113314 [Source:ZFIN;Acc:ZDB-GENE-050913-19]</t>
  </si>
  <si>
    <t>ENSDARG00000013880</t>
  </si>
  <si>
    <t>spata20</t>
  </si>
  <si>
    <t>spermatogenesis associated 20 [Source:ZFIN;Acc:ZDB-GENE-030131-7269]</t>
  </si>
  <si>
    <t>ENSDARG00000074508</t>
  </si>
  <si>
    <t>HAP1</t>
  </si>
  <si>
    <t>si:dkey-28e7.3 [Source:ZFIN;Acc:ZDB-GENE-141215-28]</t>
  </si>
  <si>
    <t>ENSDARG00000021564</t>
  </si>
  <si>
    <t>VDAC3</t>
  </si>
  <si>
    <t>zgc:56235 [Source:ZFIN;Acc:ZDB-GENE-040426-954]</t>
  </si>
  <si>
    <t>ENSDARG00000059485</t>
  </si>
  <si>
    <t>EMB</t>
  </si>
  <si>
    <t>si:ch211-261c8.5 [Source:ZFIN;Acc:ZDB-GENE-070705-158]</t>
  </si>
  <si>
    <t>ENSDARG00000099925</t>
  </si>
  <si>
    <t>si:dkey-27b23.3</t>
  </si>
  <si>
    <t>si:dkey-27b23.3 [Source:ZFIN;Acc:ZDB-GENE-141216-227]</t>
  </si>
  <si>
    <t>ENSDARG00000077341</t>
  </si>
  <si>
    <t>ppp1r14c</t>
  </si>
  <si>
    <t>protein phosphatase 1, regulatory (inhibitor) subunit 14C [Source:ZFIN;Acc:ZDB-GENE-050706-92]</t>
  </si>
  <si>
    <t>ENSDARG00000061445</t>
  </si>
  <si>
    <t>adcy6a</t>
  </si>
  <si>
    <t>adenylate cyclase 6a [Source:ZFIN;Acc:ZDB-GENE-060221-1]</t>
  </si>
  <si>
    <t>ENSDARG00000017562</t>
  </si>
  <si>
    <t>banp</t>
  </si>
  <si>
    <t>BTG3 associated nuclear protein [Source:ZFIN;Acc:ZDB-GENE-050522-54]</t>
  </si>
  <si>
    <t>ENSDARG00000037432</t>
  </si>
  <si>
    <t>haus7</t>
  </si>
  <si>
    <t>HAUS augmin-like complex, subunit 7 [Source:ZFIN;Acc:ZDB-GENE-050506-15]</t>
  </si>
  <si>
    <t>ENSDARG00000078014</t>
  </si>
  <si>
    <t>pacsin2</t>
  </si>
  <si>
    <t>protein kinase C and casein kinase substrate in neurons 2 [Source:ZFIN;Acc:ZDB-GENE-040426-2596]</t>
  </si>
  <si>
    <t>ENSDARG00000096522</t>
  </si>
  <si>
    <t>si:ch211-176g6.1</t>
  </si>
  <si>
    <t>si:ch211-176g6.1 [Source:ZFIN;Acc:ZDB-GENE-121214-106]</t>
  </si>
  <si>
    <t>ENSDARG00000096772</t>
  </si>
  <si>
    <t>si:ch211-221e5.1</t>
  </si>
  <si>
    <t>si:ch211-221e5.1 [Source:ZFIN;Acc:ZDB-GENE-130531-5]</t>
  </si>
  <si>
    <t>ENSDARG00000012248</t>
  </si>
  <si>
    <t>rgma</t>
  </si>
  <si>
    <t>repulsive guidance molecule family member a [Source:ZFIN;Acc:ZDB-GENE-040527-1]</t>
  </si>
  <si>
    <t>ENSDARG00000024317</t>
  </si>
  <si>
    <t>trap1</t>
  </si>
  <si>
    <t>TNF receptor-associated protein 1 [Source:ZFIN;Acc:ZDB-GENE-030131-4257]</t>
  </si>
  <si>
    <t>ENSDARG00000035905</t>
  </si>
  <si>
    <t>slc25a44b</t>
  </si>
  <si>
    <t>solute carrier family 25, member 44 b [Source:ZFIN;Acc:ZDB-GENE-050320-89]</t>
  </si>
  <si>
    <t>ENSDARG00000053452</t>
  </si>
  <si>
    <t>pop5</t>
  </si>
  <si>
    <t>POP5 homolog, ribonuclease P/MRP subunit [Source:ZFIN;Acc:ZDB-GENE-050320-123]</t>
  </si>
  <si>
    <t>ENSDARG00000075624</t>
  </si>
  <si>
    <t>bend5</t>
  </si>
  <si>
    <t>BEN domain containing 5 [Source:ZFIN;Acc:ZDB-GENE-081104-460]</t>
  </si>
  <si>
    <t>ENSDARG00000092774</t>
  </si>
  <si>
    <t>tarsl2</t>
  </si>
  <si>
    <t>threonyl-tRNA synthetase-like 2 [Source:ZFIN;Acc:ZDB-GENE-081104-490]</t>
  </si>
  <si>
    <t>ENSDARG00000098766</t>
  </si>
  <si>
    <t>pcxa</t>
  </si>
  <si>
    <t>pyruvate carboxylase a [Source:ZFIN;Acc:ZDB-GENE-090908-3]</t>
  </si>
  <si>
    <t>ENSDARG00000061789</t>
  </si>
  <si>
    <t>gnl1</t>
  </si>
  <si>
    <t>guanine nucleotide binding protein-like 1 [Source:ZFIN;Acc:ZDB-GENE-060323-1]</t>
  </si>
  <si>
    <t>ENSDARG00000094791</t>
  </si>
  <si>
    <t>si:dkey-193n17.9</t>
  </si>
  <si>
    <t>si:dkey-193n17.9 [Source:ZFIN;Acc:ZDB-GENE-070912-421]</t>
  </si>
  <si>
    <t>ENSDARG00000099368</t>
  </si>
  <si>
    <t>slc25a42</t>
  </si>
  <si>
    <t>solute carrier family 25, member 42 [Source:ZFIN;Acc:ZDB-GENE-060825-313]</t>
  </si>
  <si>
    <t>ENSDARG00000011665</t>
  </si>
  <si>
    <t>aldoaa</t>
  </si>
  <si>
    <t>aldolase a, fructose-bisphosphate, a [Source:ZFIN;Acc:ZDB-GENE-030131-8369]</t>
  </si>
  <si>
    <t>ENSDARG00000051934</t>
  </si>
  <si>
    <t>kxd1</t>
  </si>
  <si>
    <t>KxDL motif containing 1 [Source:ZFIN;Acc:ZDB-GENE-040801-207]</t>
  </si>
  <si>
    <t>ENSDARG00000015524</t>
  </si>
  <si>
    <t>prps1a</t>
  </si>
  <si>
    <t>phosphoribosyl pyrophosphate synthetase 1A [Source:ZFIN;Acc:ZDB-GENE-011212-5]</t>
  </si>
  <si>
    <t>ENSDARG00000044511</t>
  </si>
  <si>
    <t>etv5b</t>
  </si>
  <si>
    <t>ets variant 5b [Source:ZFIN;Acc:ZDB-GENE-991228-4]</t>
  </si>
  <si>
    <t>ENSDARG00000103840</t>
  </si>
  <si>
    <t>lrrc8db</t>
  </si>
  <si>
    <t>leucine rich repeat containing 8 family, member Db [Source:ZFIN;Acc:ZDB-GENE-061013-487]</t>
  </si>
  <si>
    <t>ENSDARG00000030871</t>
  </si>
  <si>
    <t>siah1</t>
  </si>
  <si>
    <t>siah E3 ubiquitin protein ligase 1 [Source:ZFIN;Acc:ZDB-GENE-010319-31]</t>
  </si>
  <si>
    <t>ENSDARG00000052037</t>
  </si>
  <si>
    <t>trim35-1</t>
  </si>
  <si>
    <t>tripartite motif containing 35-1 [Source:ZFIN;Acc:ZDB-GENE-050522-17]</t>
  </si>
  <si>
    <t>ENSDARG00000019328</t>
  </si>
  <si>
    <t>plxna4</t>
  </si>
  <si>
    <t>plexin A4 [Source:ZFIN;Acc:ZDB-GENE-030131-4663]</t>
  </si>
  <si>
    <t>ENSDARG00000033437</t>
  </si>
  <si>
    <t>rps6ka1</t>
  </si>
  <si>
    <t>ribosomal protein S6 kinase a, polypeptide 1 [Source:ZFIN;Acc:ZDB-GENE-060929-516]</t>
  </si>
  <si>
    <t>ENSDARG00000101556</t>
  </si>
  <si>
    <t>si:ch1073-475a24.1</t>
  </si>
  <si>
    <t>si:ch1073-475a24.1 [Source:ZFIN;Acc:ZDB-GENE-141216-92]</t>
  </si>
  <si>
    <t>ENSDARG00000079345</t>
  </si>
  <si>
    <t>si:ch211-217k17.10</t>
  </si>
  <si>
    <t>si:ch211-217k17.10 [Source:ZFIN;Acc:ZDB-GENE-030131-8827]</t>
  </si>
  <si>
    <t>ENSDARG00000092979</t>
  </si>
  <si>
    <t>pias2</t>
  </si>
  <si>
    <t>protein inhibitor of activated STAT, 2 [Source:ZFIN;Acc:ZDB-GENE-060424-1]</t>
  </si>
  <si>
    <t>ENSDARG00000074121</t>
  </si>
  <si>
    <t>dnmbp</t>
  </si>
  <si>
    <t>dynamin binding protein [Source:ZFIN;Acc:ZDB-GENE-101026-2]</t>
  </si>
  <si>
    <t>ENSDARG00000031426</t>
  </si>
  <si>
    <t>csrnp1a</t>
  </si>
  <si>
    <t>cysteine-serine-rich nuclear protein 1a [Source:ZFIN;Acc:ZDB-GENE-070912-475]</t>
  </si>
  <si>
    <t>ENSDARG00000030479</t>
  </si>
  <si>
    <t>hmgb1b</t>
  </si>
  <si>
    <t>high mobility group box 1b [Source:ZFIN;Acc:ZDB-GENE-030131-8480]</t>
  </si>
  <si>
    <t>ENSDARG00000100455</t>
  </si>
  <si>
    <t>pnkp</t>
  </si>
  <si>
    <t>polynucleotide kinase 3'-phosphatase [Source:ZFIN;Acc:ZDB-GENE-061013-433]</t>
  </si>
  <si>
    <t>ENSDARG00000033537</t>
  </si>
  <si>
    <t>p4ha1a</t>
  </si>
  <si>
    <t>prolyl 4-hydroxylase, alpha polypeptide I a [Source:ZFIN;Acc:ZDB-GENE-040724-91]</t>
  </si>
  <si>
    <t>ENSDARG00000074143</t>
  </si>
  <si>
    <t>myo10l3</t>
  </si>
  <si>
    <t>myosin X-like 3 [Source:ZFIN;Acc:ZDB-GENE-070912-237]</t>
  </si>
  <si>
    <t>ENSDARG00000100460</t>
  </si>
  <si>
    <t>si:dkey-217g21.3</t>
  </si>
  <si>
    <t>si:dkey-217g21.3 [Source:ZFIN;Acc:ZDB-GENE-110913-15]</t>
  </si>
  <si>
    <t>ENSDARG00000006206</t>
  </si>
  <si>
    <t>pou4f3</t>
  </si>
  <si>
    <t>POU class 4 homeobox 3 [Source:ZFIN;Acc:ZDB-GENE-990415-24]</t>
  </si>
  <si>
    <t>ENSDARG00000061272</t>
  </si>
  <si>
    <t>SLC41A3</t>
  </si>
  <si>
    <t>solute carrier family 41 member 3 [Source:HGNC Symbol;Acc:HGNC:31046]</t>
  </si>
  <si>
    <t>ENSDARG00000074064</t>
  </si>
  <si>
    <t>rem2</t>
  </si>
  <si>
    <t>RAS (RAD and GEM)-like GTP binding 2 [Source:ZFIN;Acc:ZDB-GENE-081110-1]</t>
  </si>
  <si>
    <t>ENSDARG00000074849</t>
  </si>
  <si>
    <t>rac1a</t>
  </si>
  <si>
    <t>ras-related C3 botulinum toxin substrate 1a (rho family, small GTP binding protein Rac1) [Source:ZFIN;Acc:ZDB-GENE-030131-5415]</t>
  </si>
  <si>
    <t>ENSDARG00000099911</t>
  </si>
  <si>
    <t>lrrc8c</t>
  </si>
  <si>
    <t>leucine rich repeat containing 8 family, member C [Source:ZFIN;Acc:ZDB-GENE-030131-2965]</t>
  </si>
  <si>
    <t>ENSDARG00000103893</t>
  </si>
  <si>
    <t>srsf2b</t>
  </si>
  <si>
    <t>serine/arginine-rich splicing factor 2b [Source:ZFIN;Acc:ZDB-GENE-030131-2420]</t>
  </si>
  <si>
    <t>ENSDARG00000054222</t>
  </si>
  <si>
    <t>fbxl8</t>
  </si>
  <si>
    <t>F-box and leucine-rich repeat protein 8 [Source:ZFIN;Acc:ZDB-GENE-051120-81]</t>
  </si>
  <si>
    <t>ENSDARG00000006060</t>
  </si>
  <si>
    <t>aim1b</t>
  </si>
  <si>
    <t>absent in melanoma 1b [Source:ZFIN;Acc:ZDB-GENE-030131-7179]</t>
  </si>
  <si>
    <t>ENSDARG00000103433</t>
  </si>
  <si>
    <t>rpl14</t>
  </si>
  <si>
    <t>ribosomal protein L14 [Source:ZFIN;Acc:ZDB-GENE-030131-2085]</t>
  </si>
  <si>
    <t>ENSDARG00000097580</t>
  </si>
  <si>
    <t>si:dkey-182m1.2</t>
  </si>
  <si>
    <t>si:dkey-182m1.2 [Source:ZFIN;Acc:ZDB-GENE-131125-6]</t>
  </si>
  <si>
    <t>ENSDARG00000055132</t>
  </si>
  <si>
    <t>lrfn4a</t>
  </si>
  <si>
    <t>leucine rich repeat and fibronectin type III domain containing 4a [Source:ZFIN;Acc:ZDB-GENE-091113-56]</t>
  </si>
  <si>
    <t>ENSDARG00000032866</t>
  </si>
  <si>
    <t>erh</t>
  </si>
  <si>
    <t>enhancer of rudimentary homolog (Drosophila) [Source:ZFIN;Acc:ZDB-GENE-990415-57]</t>
  </si>
  <si>
    <t>ENSDARG00000032188</t>
  </si>
  <si>
    <t>lrrc8aa</t>
  </si>
  <si>
    <t>leucine rich repeat containing 8 family, member Aa [Source:ZFIN;Acc:ZDB-GENE-030131-5853]</t>
  </si>
  <si>
    <t>ENSDARG00000044565</t>
  </si>
  <si>
    <t>ola1</t>
  </si>
  <si>
    <t>Obg-like ATPase 1 [Source:ZFIN;Acc:ZDB-GENE-030131-5063]</t>
  </si>
  <si>
    <t>ENSDARG00000038788</t>
  </si>
  <si>
    <t>dnai1.2</t>
  </si>
  <si>
    <t>dynein, axonemal, intermediate chain 1, paralog 2 [Source:ZFIN;Acc:ZDB-GENE-070112-1302]</t>
  </si>
  <si>
    <t>ENSDARG00000090428</t>
  </si>
  <si>
    <t>ctrb1</t>
  </si>
  <si>
    <t>chymotrypsinogen B1 [Source:ZFIN;Acc:ZDB-GENE-030131-1171]</t>
  </si>
  <si>
    <t>ENSDARG00000063544</t>
  </si>
  <si>
    <t>pip4k2ab</t>
  </si>
  <si>
    <t>phosphatidylinositol-5-phosphate 4-kinase, type II, alpha b [Source:ZFIN;Acc:ZDB-GENE-070912-272]</t>
  </si>
  <si>
    <t>ENSDARG00000076532</t>
  </si>
  <si>
    <t>si:ch211-222l21.1</t>
  </si>
  <si>
    <t>si:ch211-222l21.1 [Source:ZFIN;Acc:ZDB-GENE-030131-247]</t>
  </si>
  <si>
    <t>ENSDARG00000089689</t>
  </si>
  <si>
    <t>tex26</t>
  </si>
  <si>
    <t>testis expressed 26 [Source:ZFIN;Acc:ZDB-GENE-120410-5]</t>
  </si>
  <si>
    <t>ENSDARG00000074468</t>
  </si>
  <si>
    <t>prdm11</t>
  </si>
  <si>
    <t>PR domain containing 11 [Source:ZFIN;Acc:ZDB-GENE-061221-1]</t>
  </si>
  <si>
    <t>ENSDARG00000097368</t>
  </si>
  <si>
    <t>si:dkey-244a7.1</t>
  </si>
  <si>
    <t>si:dkey-244a7.1 [Source:ZFIN;Acc:ZDB-GENE-131121-581]</t>
  </si>
  <si>
    <t>ENSDARG00000058470</t>
  </si>
  <si>
    <t>mapk13</t>
  </si>
  <si>
    <t>mitogen-activated protein kinase 13 [Source:ZFIN;Acc:ZDB-GENE-041111-17]</t>
  </si>
  <si>
    <t>ENSDARG00000003867</t>
  </si>
  <si>
    <t>cdk20</t>
  </si>
  <si>
    <t>cyclin-dependent kinase 20 [Source:ZFIN;Acc:ZDB-GENE-041212-84]</t>
  </si>
  <si>
    <t>ENSDARG00000024219</t>
  </si>
  <si>
    <t>CDK5RAP2</t>
  </si>
  <si>
    <t>zgc:55582 [Source:ZFIN;Acc:ZDB-GENE-030131-6392]</t>
  </si>
  <si>
    <t>ENSDARG00000026723</t>
  </si>
  <si>
    <t>syncripl</t>
  </si>
  <si>
    <t>synaptotagmin binding, cytoplasmic RNA interacting protein, like [Source:ZFIN;Acc:ZDB-GENE-030131-3104]</t>
  </si>
  <si>
    <t>ENSDARG00000044167</t>
  </si>
  <si>
    <t>padi2</t>
  </si>
  <si>
    <t>peptidyl arginine deiminase, type II [Source:ZFIN;Acc:ZDB-GENE-031116-67]</t>
  </si>
  <si>
    <t>ENSDARG00000007135</t>
  </si>
  <si>
    <t>cnot3a</t>
  </si>
  <si>
    <t>CCR4-NOT transcription complex, subunit 3a [Source:ZFIN;Acc:ZDB-GENE-040927-6]</t>
  </si>
  <si>
    <t>ENSDARG00000006791</t>
  </si>
  <si>
    <t>arntl1a</t>
  </si>
  <si>
    <t>aryl hydrocarbon receptor nuclear translocator-like 1a [Source:ZFIN;Acc:ZDB-GENE-000509-1]</t>
  </si>
  <si>
    <t>ENSDARG00000034256</t>
  </si>
  <si>
    <t>cdk10</t>
  </si>
  <si>
    <t>cyclin-dependent kinase 10 [Source:ZFIN;Acc:ZDB-GENE-050417-94]</t>
  </si>
  <si>
    <t>ENSDARG00000102266</t>
  </si>
  <si>
    <t>isg20l2</t>
  </si>
  <si>
    <t>interferon stimulated exonuclease gene 20-like 2 [Source:ZFIN;Acc:ZDB-GENE-070928-8]</t>
  </si>
  <si>
    <t>ENSDARG00000101757</t>
  </si>
  <si>
    <t>si:dkey-27n6.4</t>
  </si>
  <si>
    <t>si:dkey-27n6.4 [Source:ZFIN;Acc:ZDB-GENE-041014-42]</t>
  </si>
  <si>
    <t>ENSDARG00000098391</t>
  </si>
  <si>
    <t>psmg3</t>
  </si>
  <si>
    <t>proteasome (prosome, macropain) assembly chaperone 3 [Source:ZFIN;Acc:ZDB-GENE-040718-262]</t>
  </si>
  <si>
    <t>ENSDARG00000063218</t>
  </si>
  <si>
    <t>ppm1la</t>
  </si>
  <si>
    <t>protein phosphatase, Mg2+/Mn2+ dependent, 1La [Source:ZFIN;Acc:ZDB-GENE-061103-118]</t>
  </si>
  <si>
    <t>ENSDARG00000076839</t>
  </si>
  <si>
    <t>ftr86</t>
  </si>
  <si>
    <t>finTRIM family, member 86 [Source:ZFIN;Acc:ZDB-GENE-060929-108]</t>
  </si>
  <si>
    <t>ENSDARG00000076144</t>
  </si>
  <si>
    <t>si:ch211-74m13.3</t>
  </si>
  <si>
    <t>si:ch211-74m13.3 [Source:ZFIN;Acc:ZDB-GENE-060503-219]</t>
  </si>
  <si>
    <t>ENSDARG00000079651</t>
  </si>
  <si>
    <t>si:ch1073-174d20.2</t>
  </si>
  <si>
    <t>si:ch1073-174d20.2 [Source:ZFIN;Acc:ZDB-GENE-121214-51]</t>
  </si>
  <si>
    <t>ENSDARG00000036057</t>
  </si>
  <si>
    <t>tradd</t>
  </si>
  <si>
    <t>tnfrsf1a-associated via death domain [Source:ZFIN;Acc:ZDB-GENE-000511-5]</t>
  </si>
  <si>
    <t>ENSDARG00000088844</t>
  </si>
  <si>
    <t>deaf1</t>
  </si>
  <si>
    <t>DEAF1 transcription factor [Source:ZFIN;Acc:ZDB-GENE-081022-163]</t>
  </si>
  <si>
    <t>ENSDARG00000054344</t>
  </si>
  <si>
    <t>gabpb2b</t>
  </si>
  <si>
    <t>GA binding protein transcription factor, beta subunit 2b [Source:ZFIN;Acc:ZDB-GENE-050208-136]</t>
  </si>
  <si>
    <t>ENSDARG00000078479</t>
  </si>
  <si>
    <t>mocs1</t>
  </si>
  <si>
    <t>molybdenum cofactor synthesis 1 [Source:ZFIN;Acc:ZDB-GENE-130215-1]</t>
  </si>
  <si>
    <t>ENSDARG00000046132</t>
  </si>
  <si>
    <t>dynlt3</t>
  </si>
  <si>
    <t>dynein, light chain, Tctex-type 3 [Source:ZFIN;Acc:ZDB-GENE-040927-24]</t>
  </si>
  <si>
    <t>ENSDARG00000101348</t>
  </si>
  <si>
    <t>plppr5b</t>
  </si>
  <si>
    <t>phospholipid phosphatase related 5b [Source:ZFIN;Acc:ZDB-GENE-070620-15]</t>
  </si>
  <si>
    <t>ENSDARG00000011088</t>
  </si>
  <si>
    <t>si:ch211-288d18.1</t>
  </si>
  <si>
    <t>si:ch211-288d18.1 [Source:ZFIN;Acc:ZDB-GENE-060503-323]</t>
  </si>
  <si>
    <t>ENSDARG00000004618</t>
  </si>
  <si>
    <t>stx2a</t>
  </si>
  <si>
    <t>syntaxin 2a [Source:ZFIN;Acc:ZDB-GENE-040801-80]</t>
  </si>
  <si>
    <t>ENSDARG00000062749</t>
  </si>
  <si>
    <t>ino80b</t>
  </si>
  <si>
    <t>INO80 complex subunit B [Source:ZFIN;Acc:ZDB-GENE-061013-69]</t>
  </si>
  <si>
    <t>ENSDARG00000061213</t>
  </si>
  <si>
    <t>rabep2</t>
  </si>
  <si>
    <t>rabaptin, RAB GTPase binding effector protein 2 [Source:ZFIN;Acc:ZDB-GENE-070112-572]</t>
  </si>
  <si>
    <t>ENSDARG00000041720</t>
  </si>
  <si>
    <t>arpc5la</t>
  </si>
  <si>
    <t>actin related protein 2/3 complex, subunit 5-like, a [Source:ZFIN;Acc:ZDB-GENE-040426-1453]</t>
  </si>
  <si>
    <t>ENSDARG00000098171</t>
  </si>
  <si>
    <t>zgc:162193</t>
  </si>
  <si>
    <t>zgc:162193 [Source:ZFIN;Acc:ZDB-GENE-030131-2035]</t>
  </si>
  <si>
    <t>ENSDARG00000008785</t>
  </si>
  <si>
    <t>dldh</t>
  </si>
  <si>
    <t>dihydrolipoamide dehydrogenase [Source:ZFIN;Acc:ZDB-GENE-040120-4]</t>
  </si>
  <si>
    <t>ENSDARG00000100407</t>
  </si>
  <si>
    <t>si:ch211-166e11.5</t>
  </si>
  <si>
    <t>si:ch211-166e11.5 [Source:ZFIN;Acc:ZDB-GENE-070912-142]</t>
  </si>
  <si>
    <t>ENSDARG00000041155</t>
  </si>
  <si>
    <t>morf4l1</t>
  </si>
  <si>
    <t>mortality factor 4 like 1 [Source:ZFIN;Acc:ZDB-GENE-040718-348]</t>
  </si>
  <si>
    <t>ENSDARG00000056651</t>
  </si>
  <si>
    <t>gfra4a</t>
  </si>
  <si>
    <t>GDNF family receptor alpha 4a [Source:ZFIN;Acc:ZDB-GENE-080402-10]</t>
  </si>
  <si>
    <t>ENSDARG00000077155</t>
  </si>
  <si>
    <t>TMEM116</t>
  </si>
  <si>
    <t>si:ch211-157p22.10 [Source:ZFIN;Acc:ZDB-GENE-060526-53]</t>
  </si>
  <si>
    <t>ENSDARG00000022203</t>
  </si>
  <si>
    <t>gtf2ird1</t>
  </si>
  <si>
    <t>GTF2I repeat domain containing 1 [Source:ZFIN;Acc:ZDB-GENE-010328-18]</t>
  </si>
  <si>
    <t>ENSDARG00000036994</t>
  </si>
  <si>
    <t>tbc1d16</t>
  </si>
  <si>
    <t>TBC1 domain family, member 16 [Source:ZFIN;Acc:ZDB-GENE-041010-179]</t>
  </si>
  <si>
    <t>ENSDARG00000005675</t>
  </si>
  <si>
    <t>sec61a1l</t>
  </si>
  <si>
    <t>Sec61 translocon alpha 1 subunit, like [Source:ZFIN;Acc:ZDB-GENE-021016-2]</t>
  </si>
  <si>
    <t>ENSDARG00000018923</t>
  </si>
  <si>
    <t>fat2</t>
  </si>
  <si>
    <t>FAT atypical cadherin 2 [Source:ZFIN;Acc:ZDB-GENE-111031-1]</t>
  </si>
  <si>
    <t>ENSDARG00000098754</t>
  </si>
  <si>
    <t>si:ch211-156p11.1.1</t>
  </si>
  <si>
    <t>ENSDARG00000038557</t>
  </si>
  <si>
    <t>anks3</t>
  </si>
  <si>
    <t>ankyrin repeat and sterile alpha motif domain containing 3 [Source:ZFIN;Acc:ZDB-GENE-080204-51]</t>
  </si>
  <si>
    <t>ENSDARG00000075092</t>
  </si>
  <si>
    <t>si:dkey-52l18.4</t>
  </si>
  <si>
    <t>si:dkey-52l18.4 [Source:ZFIN;Acc:ZDB-GENE-080303-19]</t>
  </si>
  <si>
    <t>ENSDARG00000102879</t>
  </si>
  <si>
    <t>myt1b</t>
  </si>
  <si>
    <t>myelin transcription factor 1b [Source:ZFIN;Acc:ZDB-GENE-090313-67]</t>
  </si>
  <si>
    <t>ENSDARG00000091085</t>
  </si>
  <si>
    <t>lepa</t>
  </si>
  <si>
    <t>leptin a [Source:ZFIN;Acc:ZDB-GENE-081001-1]</t>
  </si>
  <si>
    <t>ENSDARG00000004158</t>
  </si>
  <si>
    <t>tmem63c</t>
  </si>
  <si>
    <t>transmembrane protein 63C [Source:ZFIN;Acc:ZDB-GENE-120928-2]</t>
  </si>
  <si>
    <t>ENSDARG00000071173</t>
  </si>
  <si>
    <t>slc12a10.2</t>
  </si>
  <si>
    <t>solute carrier family 12 (sodium/potassium/chloride transporters), member 10, tandem duplicate 2 [Source:ZFIN;Acc:ZDB-GENE-060503-425]</t>
  </si>
  <si>
    <t>ENSDARG00000102556</t>
  </si>
  <si>
    <t>nfat5b</t>
  </si>
  <si>
    <t>nuclear factor of activated T-cells 5, tonicity-responsive b [Source:ZFIN;Acc:ZDB-GENE-140106-7]</t>
  </si>
  <si>
    <t>ENSDARG00000039770</t>
  </si>
  <si>
    <t>dync2li1</t>
  </si>
  <si>
    <t>dynein, cytoplasmic 2, light intermediate chain 1 [Source:ZFIN;Acc:ZDB-GENE-040426-1230]</t>
  </si>
  <si>
    <t>ENSDARG00000027899</t>
  </si>
  <si>
    <t>shfm1</t>
  </si>
  <si>
    <t>split hand/foot malformation (ectrodactyly) type 1 [Source:ZFIN;Acc:ZDB-GENE-030131-988]</t>
  </si>
  <si>
    <t>ENSDARG00000094038</t>
  </si>
  <si>
    <t>si:ch211-226f6.1</t>
  </si>
  <si>
    <t>si:ch211-226f6.1 [Source:ZFIN;Acc:ZDB-GENE-070912-217]</t>
  </si>
  <si>
    <t>ENSDARG00000070828</t>
  </si>
  <si>
    <t>actl6a</t>
  </si>
  <si>
    <t>actin-like 6A [Source:ZFIN;Acc:ZDB-GENE-020419-36]</t>
  </si>
  <si>
    <t>ENSDARG00000005841</t>
  </si>
  <si>
    <t>tnni2a.2</t>
  </si>
  <si>
    <t>troponin I type 2a (skeletal, fast), tandem duplicate 2 [Source:ZFIN;Acc:ZDB-GENE-040426-970]</t>
  </si>
  <si>
    <t>ENSDARG00000091140</t>
  </si>
  <si>
    <t>pik3r6</t>
  </si>
  <si>
    <t>phosphoinositide-3-kinase, regulatory subunit 6 [Source:ZFIN;Acc:ZDB-GENE-120524-1]</t>
  </si>
  <si>
    <t>ENSDARG00000019362</t>
  </si>
  <si>
    <t>ptbp1a</t>
  </si>
  <si>
    <t>polypyrimidine tract binding protein 1a [Source:ZFIN;Acc:ZDB-GENE-050522-492]</t>
  </si>
  <si>
    <t>ENSDARG00000099328</t>
  </si>
  <si>
    <t>si:dkey-27n6.5</t>
  </si>
  <si>
    <t>si:dkey-27n6.5 [Source:ZFIN;Acc:ZDB-GENE-041014-44]</t>
  </si>
  <si>
    <t>ENSDARG00000057437</t>
  </si>
  <si>
    <t>apodb</t>
  </si>
  <si>
    <t>apolipoprotein Db [Source:ZFIN;Acc:ZDB-GENE-051023-8]</t>
  </si>
  <si>
    <t>ENSDARG00000074747</t>
  </si>
  <si>
    <t>brwd1</t>
  </si>
  <si>
    <t>bromodomain and WD repeat domain containing 1 [Source:ZFIN;Acc:ZDB-GENE-041111-120]</t>
  </si>
  <si>
    <t>ENSDARG00000030472</t>
  </si>
  <si>
    <t>slc16a5a</t>
  </si>
  <si>
    <t>solute carrier family 16 (monocarboxylate transporter), member 5a [Source:ZFIN;Acc:ZDB-GENE-121108-4]</t>
  </si>
  <si>
    <t>ENSDARG00000069855</t>
  </si>
  <si>
    <t>pnisr</t>
  </si>
  <si>
    <t>PNN-interacting serine/arginine-rich protein [Source:ZFIN;Acc:ZDB-GENE-030131-362]</t>
  </si>
  <si>
    <t>ENSDARG00000034001</t>
  </si>
  <si>
    <t>tango6</t>
  </si>
  <si>
    <t>transport and golgi organization 6 homolog (Drosophila) [Source:ZFIN;Acc:ZDB-GENE-050419-237]</t>
  </si>
  <si>
    <t>ENSDARG00000062081</t>
  </si>
  <si>
    <t>tbc1d1</t>
  </si>
  <si>
    <t>TBC1 (tre-2/USP6, BUB2, cdc16) domain family, member 1 [Source:ZFIN;Acc:ZDB-GENE-060710-1]</t>
  </si>
  <si>
    <t>ENSDARG00000024090</t>
  </si>
  <si>
    <t>dnajc4</t>
  </si>
  <si>
    <t>DnaJ (Hsp40) homolog, subfamily C, member 4 [Source:ZFIN;Acc:ZDB-GENE-030131-3093]</t>
  </si>
  <si>
    <t>ENSDARG00000091320</t>
  </si>
  <si>
    <t>zgc:136791</t>
  </si>
  <si>
    <t>zgc:136791 [Source:ZFIN;Acc:ZDB-GENE-060421-8264]</t>
  </si>
  <si>
    <t>ENSDARG00000009693</t>
  </si>
  <si>
    <t>llgl1</t>
  </si>
  <si>
    <t>lethal giant larvae homolog 1 (Drosophila) [Source:ZFIN;Acc:ZDB-GENE-060825-69]</t>
  </si>
  <si>
    <t>ENSDARG00000102119</t>
  </si>
  <si>
    <t>si:ch73-359m17.2</t>
  </si>
  <si>
    <t>si:ch73-359m17.2 [Source:ZFIN;Acc:ZDB-GENE-141222-90]</t>
  </si>
  <si>
    <t>ENSDARG00000037176</t>
  </si>
  <si>
    <t>ggh</t>
  </si>
  <si>
    <t>gamma-glutamyl hydrolase (conjugase, folylpolygammaglutamyl hydrolase) [Source:ZFIN;Acc:ZDB-GENE-040426-2615]</t>
  </si>
  <si>
    <t>ENSDARG00000098691</t>
  </si>
  <si>
    <t>si:dkey-190e14.2</t>
  </si>
  <si>
    <t>si:dkey-190e14.2 [Source:ZFIN;Acc:ZDB-GENE-141216-157]</t>
  </si>
  <si>
    <t>ENSDARG00000031560</t>
  </si>
  <si>
    <t>srpk1b</t>
  </si>
  <si>
    <t>SRSF protein kinase 1b [Source:ZFIN;Acc:ZDB-GENE-070112-2292]</t>
  </si>
  <si>
    <t>ENSDARG00000057498</t>
  </si>
  <si>
    <t>habp2</t>
  </si>
  <si>
    <t>hyaluronan binding protein 2 [Source:ZFIN;Acc:ZDB-GENE-030131-4721]</t>
  </si>
  <si>
    <t>ENSDARG00000057679</t>
  </si>
  <si>
    <t>sh2b1</t>
  </si>
  <si>
    <t>SH2B adaptor protein 1 [Source:ZFIN;Acc:ZDB-GENE-070209-188]</t>
  </si>
  <si>
    <t>ENSDARG00000061566</t>
  </si>
  <si>
    <t>slc7a3b</t>
  </si>
  <si>
    <t>solute carrier family 7 (cationic amino acid transporter, y+ system), member 3b [Source:ZFIN;Acc:ZDB-GENE-120813-6]</t>
  </si>
  <si>
    <t>ENSDARG00000095300</t>
  </si>
  <si>
    <t>mxra7</t>
  </si>
  <si>
    <t>matrix-remodelling associated 7 [Source:ZFIN;Acc:ZDB-GENE-041014-95]</t>
  </si>
  <si>
    <t>ENSDARG00000102463</t>
  </si>
  <si>
    <t>cox18</t>
  </si>
  <si>
    <t>COX18 cytochrome c oxidase assembly factor [Source:ZFIN;Acc:ZDB-GENE-080204-88]</t>
  </si>
  <si>
    <t>ENSDARG00000042559</t>
  </si>
  <si>
    <t>tnni1c</t>
  </si>
  <si>
    <t>troponin I, skeletal, slow c [Source:ZFIN;Acc:ZDB-GENE-060825-192]</t>
  </si>
  <si>
    <t>ENSDARG00000045230</t>
  </si>
  <si>
    <t>cox6b1</t>
  </si>
  <si>
    <t>cytochrome c oxidase subunit VIb polypeptide 1 [Source:ZFIN;Acc:ZDB-GENE-040718-448]</t>
  </si>
  <si>
    <t>ENSDARG00000044155</t>
  </si>
  <si>
    <t>mafaa</t>
  </si>
  <si>
    <t>v-maf avian musculoaponeurotic fibrosarcoma oncogene homolog Aa [Source:ZFIN;Acc:ZDB-GENE-010605-3]</t>
  </si>
  <si>
    <t>ENSDARG00000105185</t>
  </si>
  <si>
    <t>snx7</t>
  </si>
  <si>
    <t>sorting nexin 7 [Source:ZFIN;Acc:ZDB-GENE-040704-77]</t>
  </si>
  <si>
    <t>ENSDARG00000102557</t>
  </si>
  <si>
    <t>ftr87</t>
  </si>
  <si>
    <t>finTRIM family, member 87 [Source:ZFIN;Acc:ZDB-GENE-131127-62]</t>
  </si>
  <si>
    <t>ENSDARG00000087238</t>
  </si>
  <si>
    <t>si:ch211-161h7.4</t>
  </si>
  <si>
    <t>si:ch211-161h7.4 [Source:ZFIN;Acc:ZDB-GENE-091118-108]</t>
  </si>
  <si>
    <t>ENSDARG00000044827</t>
  </si>
  <si>
    <t>wnt7aa</t>
  </si>
  <si>
    <t>wingless-type MMTV integration site family, member 7Aa [Source:ZFIN;Acc:ZDB-GENE-051129-1]</t>
  </si>
  <si>
    <t>ENSDARG00000102009</t>
  </si>
  <si>
    <t>ppp2r2d</t>
  </si>
  <si>
    <t>protein phosphatase 2, regulatory subunit B, delta [Source:ZFIN;Acc:ZDB-GENE-040426-2086]</t>
  </si>
  <si>
    <t>ENSDARG00000060992</t>
  </si>
  <si>
    <t>rpusd2</t>
  </si>
  <si>
    <t>RNA pseudouridylate synthase domain containing 2 [Source:ZFIN;Acc:ZDB-GENE-120411-43]</t>
  </si>
  <si>
    <t>ENSDARG00000054848</t>
  </si>
  <si>
    <t>pdk4</t>
  </si>
  <si>
    <t>pyruvate dehydrogenase kinase, isozyme 4 [Source:ZFIN;Acc:ZDB-GENE-060503-754]</t>
  </si>
  <si>
    <t>ENSDARG00000003695</t>
  </si>
  <si>
    <t>vdac3</t>
  </si>
  <si>
    <t>voltage-dependent anion channel 3 [Source:ZFIN;Acc:ZDB-GENE-040426-2380]</t>
  </si>
  <si>
    <t>ENSDARG00000037588</t>
  </si>
  <si>
    <t>bhlhe23</t>
  </si>
  <si>
    <t>basic helix-loop-helix family, member e23 [Source:ZFIN;Acc:ZDB-GENE-050913-22]</t>
  </si>
  <si>
    <t>ENSDARG00000077473</t>
  </si>
  <si>
    <t>mych</t>
  </si>
  <si>
    <t>myelocytomatosis oncogene homolog [Source:ZFIN;Acc:ZDB-GENE-030219-51]</t>
  </si>
  <si>
    <t>ENSDARG00000039020</t>
  </si>
  <si>
    <t>fbxo5</t>
  </si>
  <si>
    <t>F-box protein 5 [Source:ZFIN;Acc:ZDB-GENE-030131-4027]</t>
  </si>
  <si>
    <t>ENSDARG00000063661</t>
  </si>
  <si>
    <t>nuak2</t>
  </si>
  <si>
    <t>NUAK family, SNF1-like kinase, 2 [Source:ZFIN;Acc:ZDB-GENE-050208-563]</t>
  </si>
  <si>
    <t>ENSDARG00000018006</t>
  </si>
  <si>
    <t>vrk1</t>
  </si>
  <si>
    <t>vaccinia related kinase 1 [Source:ZFIN;Acc:ZDB-GENE-040426-2709]</t>
  </si>
  <si>
    <t>ENSDARG00000071010</t>
  </si>
  <si>
    <t>tuft1b</t>
  </si>
  <si>
    <t>tuftelin 1b [Source:ZFIN;Acc:ZDB-GENE-060503-150]</t>
  </si>
  <si>
    <t>ENSDARG00000095945</t>
  </si>
  <si>
    <t>trmt13</t>
  </si>
  <si>
    <t>ENSDARG00000040432</t>
  </si>
  <si>
    <t>klf2b</t>
  </si>
  <si>
    <t>Kruppel-like factor 2b [Source:ZFIN;Acc:ZDB-GENE-011109-2]</t>
  </si>
  <si>
    <t>ENSDARG00000097863</t>
  </si>
  <si>
    <t>si:dkeyp-84f3.9</t>
  </si>
  <si>
    <t>si:dkeyp-84f3.9 [Source:ZFIN;Acc:ZDB-GENE-131127-66]</t>
  </si>
  <si>
    <t>ENSDARG00000012460</t>
  </si>
  <si>
    <t>rassf4</t>
  </si>
  <si>
    <t>Ras association (RalGDS/AF-6) domain family member 4 [Source:ZFIN;Acc:ZDB-GENE-050102-3]</t>
  </si>
  <si>
    <t>ENSDARG00000070656</t>
  </si>
  <si>
    <t>si:ch211-69g19.2</t>
  </si>
  <si>
    <t>si:ch211-69g19.2 [Source:ZFIN;Acc:ZDB-GENE-030804-13]</t>
  </si>
  <si>
    <t>ENSDARG00000058041</t>
  </si>
  <si>
    <t>ndufa8</t>
  </si>
  <si>
    <t>NADH dehydrogenase (ubiquinone) 1 alpha subcomplex, 8 [Source:ZFIN;Acc:ZDB-GENE-040426-1688]</t>
  </si>
  <si>
    <t>ENSDARG00000015254</t>
  </si>
  <si>
    <t>fzr1a</t>
  </si>
  <si>
    <t>fizzy/cell division cycle 20 related 1a [Source:ZFIN;Acc:ZDB-GENE-040426-712]</t>
  </si>
  <si>
    <t>ENSDARG00000003068</t>
  </si>
  <si>
    <t>gorasp1a</t>
  </si>
  <si>
    <t>golgi reassembly stacking protein 1a [Source:ZFIN;Acc:ZDB-GENE-030826-23]</t>
  </si>
  <si>
    <t>ENSDARG00000104538</t>
  </si>
  <si>
    <t>tmem184a</t>
  </si>
  <si>
    <t>transmembrane protein 184a [Source:ZFIN;Acc:ZDB-GENE-040426-2925]</t>
  </si>
  <si>
    <t>ENSDARG00000035910</t>
  </si>
  <si>
    <t>znf281b</t>
  </si>
  <si>
    <t>zinc finger protein 281b [Source:ZFIN;Acc:ZDB-GENE-050220-1]</t>
  </si>
  <si>
    <t>ENSDARG00000018106</t>
  </si>
  <si>
    <t>eif2b3</t>
  </si>
  <si>
    <t>eukaryotic translation initiation factor 2B, subunit 3 gamma [Source:ZFIN;Acc:ZDB-GENE-040426-1039]</t>
  </si>
  <si>
    <t>ENSDARG00000044619</t>
  </si>
  <si>
    <t>birc2</t>
  </si>
  <si>
    <t>baculoviral IAP repeat containing 2 [Source:ZFIN;Acc:ZDB-GENE-030825-6]</t>
  </si>
  <si>
    <t>ENSDARG00000004274</t>
  </si>
  <si>
    <t>zgc:112496</t>
  </si>
  <si>
    <t>zgc:112496 [Source:ZFIN;Acc:ZDB-GENE-050320-25]</t>
  </si>
  <si>
    <t>ENSDARG00000040674</t>
  </si>
  <si>
    <t>ctdsp1</t>
  </si>
  <si>
    <t>CTD (carboxy-terminal domain, RNA polymerase II, polypeptide A) small phosphatase 1 [Source:ZFIN;Acc:ZDB-GENE-050522-523]</t>
  </si>
  <si>
    <t>ENSDARG00000094646</t>
  </si>
  <si>
    <t>dyrk2</t>
  </si>
  <si>
    <t>dual-specificity tyrosine-(Y)-phosphorylation regulated kinase 2 [Source:ZFIN;Acc:ZDB-GENE-030131-2804]</t>
  </si>
  <si>
    <t>ENSDARG00000092439</t>
  </si>
  <si>
    <t>si:dkey-222l20.1</t>
  </si>
  <si>
    <t>si:dkey-222l20.1 [Source:ZFIN;Acc:ZDB-GENE-081104-377]</t>
  </si>
  <si>
    <t>ENSDARG00000056239</t>
  </si>
  <si>
    <t>tmem45b</t>
  </si>
  <si>
    <t>transmembrane protein 45B [Source:ZFIN;Acc:ZDB-GENE-040426-1904]</t>
  </si>
  <si>
    <t>ENSDARG00000061268</t>
  </si>
  <si>
    <t>ago2</t>
  </si>
  <si>
    <t>argonaute RISC catalytic component 2 [Source:ZFIN;Acc:ZDB-GENE-110606-6]</t>
  </si>
  <si>
    <t>ENSDARG00000012801</t>
  </si>
  <si>
    <t>pfkpb</t>
  </si>
  <si>
    <t>phosphofructokinase, platelet b [Source:ZFIN;Acc:ZDB-GENE-070912-634]</t>
  </si>
  <si>
    <t>ENSDARG00000069264</t>
  </si>
  <si>
    <t>si:ch211-196h16.5</t>
  </si>
  <si>
    <t>si:ch211-196h16.5 [Source:ZFIN;Acc:ZDB-GENE-081029-8]</t>
  </si>
  <si>
    <t>ENSDARG00000058221</t>
  </si>
  <si>
    <t>ugcg</t>
  </si>
  <si>
    <t>UDP-glucose ceramide glucosyltransferase [Source:ZFIN;Acc:ZDB-GENE-030131-9885]</t>
  </si>
  <si>
    <t>ENSDARG00000019293</t>
  </si>
  <si>
    <t>tfdp1a</t>
  </si>
  <si>
    <t>transcription factor Dp-1, a [Source:ZFIN;Acc:ZDB-GENE-040426-2883]</t>
  </si>
  <si>
    <t>ENSDARG00000104435</t>
  </si>
  <si>
    <t>MAP7</t>
  </si>
  <si>
    <t>si:ch73-217b7.1 [Source:ZFIN;Acc:ZDB-GENE-050208-210]</t>
  </si>
  <si>
    <t>ENSDARG00000101936</t>
  </si>
  <si>
    <t>tmem106ba</t>
  </si>
  <si>
    <t>transmembrane protein 106Ba [Source:ZFIN;Acc:ZDB-GENE-040426-1336]</t>
  </si>
  <si>
    <t>ENSDARG00000060095</t>
  </si>
  <si>
    <t>kcnb1</t>
  </si>
  <si>
    <t>potassium voltage-gated channel, Shab-related subfamily, member 1 [Source:ZFIN;Acc:ZDB-GENE-090831-3]</t>
  </si>
  <si>
    <t>ENSDARG00000006220</t>
  </si>
  <si>
    <t>ugt1a1</t>
  </si>
  <si>
    <t>UDP glucuronosyltransferase 1 family, polypeptide A1 [Source:ZFIN;Acc:ZDB-GENE-071004-4]</t>
  </si>
  <si>
    <t>ENSDARG00000025507</t>
  </si>
  <si>
    <t>wdr24</t>
  </si>
  <si>
    <t>WD repeat domain 24 [Source:ZFIN;Acc:ZDB-GENE-040426-2012]</t>
  </si>
  <si>
    <t>ENSDARG00000033443</t>
  </si>
  <si>
    <t>mdm2</t>
  </si>
  <si>
    <t>MDM2 oncogene, E3 ubiquitin protein ligase [Source:ZFIN;Acc:ZDB-GENE-990415-153]</t>
  </si>
  <si>
    <t>ENSDARG00000091512</t>
  </si>
  <si>
    <t>nfrkb</t>
  </si>
  <si>
    <t>nuclear factor related to kappaB binding protein [Source:ZFIN;Acc:ZDB-GENE-030131-6419]</t>
  </si>
  <si>
    <t>ENSDARG00000000212</t>
  </si>
  <si>
    <t>krt97</t>
  </si>
  <si>
    <t>keratin 97 [Source:ZFIN;Acc:ZDB-GENE-040718-78]</t>
  </si>
  <si>
    <t>ENSDARG00000036058</t>
  </si>
  <si>
    <t>gnao1b</t>
  </si>
  <si>
    <t>guanine nucleotide binding protein (G protein), alpha activating activity polypeptide O, b [Source:ZFIN;Acc:ZDB-GENE-040426-1693]</t>
  </si>
  <si>
    <t>ENSDARG00000044298</t>
  </si>
  <si>
    <t>phax</t>
  </si>
  <si>
    <t>phosphorylated adaptor for RNA export [Source:ZFIN;Acc:ZDB-GENE-040822-42]</t>
  </si>
  <si>
    <t>ENSDARG00000038439</t>
  </si>
  <si>
    <t>fabp10a</t>
  </si>
  <si>
    <t>fatty acid binding protein 10a, liver basic [Source:ZFIN;Acc:ZDB-GENE-020318-1]</t>
  </si>
  <si>
    <t>ENSDARG00000079310</t>
  </si>
  <si>
    <t>st3gal1l</t>
  </si>
  <si>
    <t>ST3 beta-galactoside alpha-2,3-sialyltransferase 1, like [Source:ZFIN;Acc:ZDB-GENE-060321-2]</t>
  </si>
  <si>
    <t>ENSDARG00000055588</t>
  </si>
  <si>
    <t>stat5b</t>
  </si>
  <si>
    <t>signal transducer and activator of transcription 5b [Source:ZFIN;Acc:ZDB-GENE-040818-1]</t>
  </si>
  <si>
    <t>ENSDARG00000042087</t>
  </si>
  <si>
    <t>dmap1</t>
  </si>
  <si>
    <t>DNA methyltransferase 1 associated protein 1 [Source:ZFIN;Acc:ZDB-GENE-040426-748]</t>
  </si>
  <si>
    <t>ENSDARG00000011909</t>
  </si>
  <si>
    <t>itpr2</t>
  </si>
  <si>
    <t>inositol 1,4,5-trisphosphate receptor, type 2 [Source:ZFIN;Acc:ZDB-GENE-050419-192]</t>
  </si>
  <si>
    <t>ENSDARG00000008979</t>
  </si>
  <si>
    <t>golga1</t>
  </si>
  <si>
    <t>golgin A1 [Source:ZFIN;Acc:ZDB-GENE-040426-1237]</t>
  </si>
  <si>
    <t>ENSDARG00000103785</t>
  </si>
  <si>
    <t>sult2st2</t>
  </si>
  <si>
    <t>sulfotransferase family 2, cytosolic sulfotransferase 2 [Source:ZFIN;Acc:ZDB-GENE-061117-5]</t>
  </si>
  <si>
    <t>ENSDARG00000045447</t>
  </si>
  <si>
    <t>slc35g2b</t>
  </si>
  <si>
    <t>solute carrier family 35, member G2b [Source:ZFIN;Acc:ZDB-GENE-050320-142]</t>
  </si>
  <si>
    <t>ENSDARG00000098883</t>
  </si>
  <si>
    <t>stac3</t>
  </si>
  <si>
    <t>SH3 and cysteine rich domain 3 [Source:ZFIN;Acc:ZDB-GENE-040801-248]</t>
  </si>
  <si>
    <t>ENSDARG00000038248</t>
  </si>
  <si>
    <t>ggact.2</t>
  </si>
  <si>
    <t>gamma-glutamylamine cyclotransferase, tandem duplicate 2 [Source:ZFIN;Acc:ZDB-GENE-040912-8]</t>
  </si>
  <si>
    <t>ENSDARG00000100553</t>
  </si>
  <si>
    <t>lsm14ab</t>
  </si>
  <si>
    <t>LSM14A mRNA processing body assembly factor b [Source:ZFIN;Acc:ZDB-GENE-040426-2462]</t>
  </si>
  <si>
    <t>ENSDARG00000005762</t>
  </si>
  <si>
    <t>col14a1a</t>
  </si>
  <si>
    <t>collagen, type XIV, alpha 1a [Source:ZFIN;Acc:ZDB-GENE-030131-9889]</t>
  </si>
  <si>
    <t>ENSDARG00000093449</t>
  </si>
  <si>
    <t>si:dkey-189o20.1</t>
  </si>
  <si>
    <t>si:dkey-189o20.1 [Source:ZFIN;Acc:ZDB-GENE-091116-57]</t>
  </si>
  <si>
    <t>ENSDARG00000105321</t>
  </si>
  <si>
    <t>aspscr1</t>
  </si>
  <si>
    <t>alveolar soft part sarcoma chromosome region, candidate 1 [Source:ZFIN;Acc:ZDB-GENE-050417-31]</t>
  </si>
  <si>
    <t>ENSDARG00000091757</t>
  </si>
  <si>
    <t>adgrf6</t>
  </si>
  <si>
    <t>adhesion G protein-coupled receptor F6 [Source:ZFIN;Acc:ZDB-GENE-041001-212]</t>
  </si>
  <si>
    <t>ENSDARG00000075369</t>
  </si>
  <si>
    <t>nck1b</t>
  </si>
  <si>
    <t>NCK adaptor protein 1b [Source:ZFIN;Acc:ZDB-GENE-090317-1]</t>
  </si>
  <si>
    <t>ENSDARG00000040076</t>
  </si>
  <si>
    <t>pycard</t>
  </si>
  <si>
    <t>PYD and CARD domain containing [Source:ZFIN;Acc:ZDB-GENE-000511-2]</t>
  </si>
  <si>
    <t>ENSDARG00000036316</t>
  </si>
  <si>
    <t>rpl39</t>
  </si>
  <si>
    <t>ribosomal protein L39 [Source:ZFIN;Acc:ZDB-GENE-040625-51]</t>
  </si>
  <si>
    <t>ENSDARG00000044622</t>
  </si>
  <si>
    <t>polq</t>
  </si>
  <si>
    <t>polymerase (DNA directed), theta [Source:ZFIN;Acc:ZDB-GENE-040724-232]</t>
  </si>
  <si>
    <t>ENSDARG00000099846</t>
  </si>
  <si>
    <t>si:ch211-154o6.3</t>
  </si>
  <si>
    <t>si:ch211-154o6.3 [Source:ZFIN;Acc:ZDB-GENE-030131-1030]</t>
  </si>
  <si>
    <t>ENSDARG00000042291</t>
  </si>
  <si>
    <t>dlx6a</t>
  </si>
  <si>
    <t>distal-less homeobox 6a [Source:ZFIN;Acc:ZDB-GENE-980526-448]</t>
  </si>
  <si>
    <t>ENSDARG00000102632</t>
  </si>
  <si>
    <t>ubc</t>
  </si>
  <si>
    <t>ubiquitin C [Source:ZFIN;Acc:ZDB-GENE-061110-88]</t>
  </si>
  <si>
    <t>ENSDARG00000055395</t>
  </si>
  <si>
    <t>foxq1b</t>
  </si>
  <si>
    <t>forkhead box Q1b [Source:ZFIN;Acc:ZDB-GENE-040426-2090]</t>
  </si>
  <si>
    <t>ENSDARG00000038556</t>
  </si>
  <si>
    <t>zgc:112185</t>
  </si>
  <si>
    <t>zgc:112185 [Source:ZFIN;Acc:ZDB-GENE-050320-14]</t>
  </si>
  <si>
    <t>ENSDARG00000070579</t>
  </si>
  <si>
    <t>ggact.3</t>
  </si>
  <si>
    <t>gamma-glutamylamine cyclotransferase, tandem duplicate 3 [Source:ZFIN;Acc:ZDB-GENE-070424-26]</t>
  </si>
  <si>
    <t>ENSDARG00000003544</t>
  </si>
  <si>
    <t>adarb1b</t>
  </si>
  <si>
    <t>adenosine deaminase, RNA-specific, B1b [Source:ZFIN;Acc:ZDB-GENE-030219-15]</t>
  </si>
  <si>
    <t>ENSDARG00000059908</t>
  </si>
  <si>
    <t>CCDC86</t>
  </si>
  <si>
    <t>si:ch211-217k17.7 [Source:ZFIN;Acc:ZDB-GENE-061009-11]</t>
  </si>
  <si>
    <t>ENSDARG00000007449</t>
  </si>
  <si>
    <t>slc25a39</t>
  </si>
  <si>
    <t>solute carrier family 25, member 39 [Source:ZFIN;Acc:ZDB-GENE-040426-1250]</t>
  </si>
  <si>
    <t>ENSDARG00000079241</t>
  </si>
  <si>
    <t>wdr90</t>
  </si>
  <si>
    <t>WD repeat domain 90 [Source:ZFIN;Acc:ZDB-GENE-070424-67]</t>
  </si>
  <si>
    <t>ENSDARG00000038563</t>
  </si>
  <si>
    <t>pitrm1</t>
  </si>
  <si>
    <t>pitrilysin metallopeptidase 1 [Source:ZFIN;Acc:ZDB-GENE-040426-2876]</t>
  </si>
  <si>
    <t>ENSDARG00000069250</t>
  </si>
  <si>
    <t>uacaa</t>
  </si>
  <si>
    <t>uveal autoantigen with coiled-coil domains and ankyrin repeats a [Source:ZFIN;Acc:ZDB-GENE-050419-37]</t>
  </si>
  <si>
    <t>ENSDARG00000008243</t>
  </si>
  <si>
    <t>cct8</t>
  </si>
  <si>
    <t>chaperonin containing TCP1, subunit 8 (theta) [Source:ZFIN;Acc:ZDB-GENE-040426-876]</t>
  </si>
  <si>
    <t>ENSDARG00000071449</t>
  </si>
  <si>
    <t>fam234a</t>
  </si>
  <si>
    <t>family with sequence similarity 234, member A [Source:ZFIN;Acc:ZDB-GENE-091204-17]</t>
  </si>
  <si>
    <t>ENSDARG00000077639</t>
  </si>
  <si>
    <t>intu</t>
  </si>
  <si>
    <t>inturned planar cell polarity protein [Source:ZFIN;Acc:ZDB-GENE-110914-91]</t>
  </si>
  <si>
    <t>ENSDARG00000014159</t>
  </si>
  <si>
    <t>mtdha</t>
  </si>
  <si>
    <t>metadherin a [Source:ZFIN;Acc:ZDB-GENE-030616-615]</t>
  </si>
  <si>
    <t>ENSDARG00000019897</t>
  </si>
  <si>
    <t>gpat4</t>
  </si>
  <si>
    <t>glycerol-3-phosphate acyltransferase 4 [Source:ZFIN;Acc:ZDB-GENE-060421-5102]</t>
  </si>
  <si>
    <t>ENSDARG00000009285</t>
  </si>
  <si>
    <t>rpl15</t>
  </si>
  <si>
    <t>ribosomal protein L15 [Source:ZFIN;Acc:ZDB-GENE-040801-183]</t>
  </si>
  <si>
    <t>ENSDARG00000100371</t>
  </si>
  <si>
    <t>eef2b</t>
  </si>
  <si>
    <t>eukaryotic translation elongation factor 2b [Source:ZFIN;Acc:ZDB-GENE-030131-5128]</t>
  </si>
  <si>
    <t>ENSDARG00000099545</t>
  </si>
  <si>
    <t>snx25</t>
  </si>
  <si>
    <t>sorting nexin 25 [Source:ZFIN;Acc:ZDB-GENE-121105-11]</t>
  </si>
  <si>
    <t>ENSDARG00000024325</t>
  </si>
  <si>
    <t>col4a3bpa</t>
  </si>
  <si>
    <t>collagen, type IV, alpha 3 (Goodpasture antigen) binding protein a [Source:ZFIN;Acc:ZDB-GENE-080724-10]</t>
  </si>
  <si>
    <t>ENSDARG00000036059</t>
  </si>
  <si>
    <t>tmppe</t>
  </si>
  <si>
    <t>transmembrane protein with metallophosphoesterase domain [Source:ZFIN;Acc:ZDB-GENE-061013-104]</t>
  </si>
  <si>
    <t>ENSDARG00000042296</t>
  </si>
  <si>
    <t>dlx5a</t>
  </si>
  <si>
    <t>distal-less homeobox 5a [Source:ZFIN;Acc:ZDB-GENE-990415-49]</t>
  </si>
  <si>
    <t>ENSDARG00000071209</t>
  </si>
  <si>
    <t>oprl1</t>
  </si>
  <si>
    <t>opiate receptor-like 1 [Source:ZFIN;Acc:ZDB-GENE-040312-4]</t>
  </si>
  <si>
    <t>ENSDARG00000020134</t>
  </si>
  <si>
    <t>sipa1l1</t>
  </si>
  <si>
    <t>signal-induced proliferation-associated 1 like 1 [Source:ZFIN;Acc:ZDB-GENE-030131-9909]</t>
  </si>
  <si>
    <t>ENSDARG00000073893</t>
  </si>
  <si>
    <t>dnase2</t>
  </si>
  <si>
    <t>deoxyribonuclease II, lysosomal [Source:ZFIN;Acc:ZDB-GENE-010724-16]</t>
  </si>
  <si>
    <t>ENSDARG00000097277</t>
  </si>
  <si>
    <t>si:dkey-8f9.3</t>
  </si>
  <si>
    <t>si:dkey-8f9.3 [Source:ZFIN;Acc:ZDB-GENE-131120-46]</t>
  </si>
  <si>
    <t>ENSDARG00000052994</t>
  </si>
  <si>
    <t>slc25a28</t>
  </si>
  <si>
    <t>solute carrier family 25 (mitochondrial iron transporter), member 28 [Source:ZFIN;Acc:ZDB-GENE-040426-2125]</t>
  </si>
  <si>
    <t>ENSDARG00000105448</t>
  </si>
  <si>
    <t>mirlet7f</t>
  </si>
  <si>
    <t>microRNA let7f [Source:ZFIN;Acc:ZDB-GENE-081203-16]</t>
  </si>
  <si>
    <t>ENSDARG00000027638</t>
  </si>
  <si>
    <t>adra1ab</t>
  </si>
  <si>
    <t>adrenoceptor alpha 1Ab [Source:ZFIN;Acc:ZDB-GENE-060503-384]</t>
  </si>
  <si>
    <t>ENSDARG00000040568</t>
  </si>
  <si>
    <t>pdzd3a</t>
  </si>
  <si>
    <t>PDZ domain containing 3a [Source:ZFIN;Acc:ZDB-GENE-080430-1]</t>
  </si>
  <si>
    <t>ENSDARG00000045514</t>
  </si>
  <si>
    <t>atp5c1</t>
  </si>
  <si>
    <t>ATP synthase, H+ transporting, mitochondrial F1 complex, gamma polypeptide 1 [Source:ZFIN;Acc:ZDB-GENE-030131-8901]</t>
  </si>
  <si>
    <t>ENSDARG00000097284</t>
  </si>
  <si>
    <t>si:ch211-261d7.3</t>
  </si>
  <si>
    <t>si:ch211-261d7.3 [Source:ZFIN;Acc:ZDB-GENE-131121-179]</t>
  </si>
  <si>
    <t>ENSDARG00000067564</t>
  </si>
  <si>
    <t>DUSP21</t>
  </si>
  <si>
    <t>zgc:153044 [Source:ZFIN;Acc:ZDB-GENE-060825-247]</t>
  </si>
  <si>
    <t>ENSDARG00000068199</t>
  </si>
  <si>
    <t>pld3</t>
  </si>
  <si>
    <t>phospholipase D family, member 3 [Source:ZFIN;Acc:ZDB-GENE-050419-212]</t>
  </si>
  <si>
    <t>ENSDARG00000040566</t>
  </si>
  <si>
    <t>phykpl</t>
  </si>
  <si>
    <t>5-phosphohydroxy-L-lysine phospho-lyase [Source:ZFIN;Acc:ZDB-GENE-051127-33]</t>
  </si>
  <si>
    <t>ENSDARG00000104251</t>
  </si>
  <si>
    <t>prdm10</t>
  </si>
  <si>
    <t>PR domain containing 10 [Source:ZFIN;Acc:ZDB-GENE-050419-74]</t>
  </si>
  <si>
    <t>ENSDARG00000102458</t>
  </si>
  <si>
    <t>hip1rb</t>
  </si>
  <si>
    <t>huntingtin interacting protein 1 related b [Source:ZFIN;Acc:ZDB-GENE-070209-59]</t>
  </si>
  <si>
    <t>ENSDARG00000089886</t>
  </si>
  <si>
    <t>si:dkey-19e4.5</t>
  </si>
  <si>
    <t>si:dkey-19e4.5 [Source:ZFIN;Acc:ZDB-GENE-030131-1852]</t>
  </si>
  <si>
    <t>ENSDARG00000042571</t>
  </si>
  <si>
    <t>rnaseh1</t>
  </si>
  <si>
    <t>ribonuclease H1 [Source:ZFIN;Acc:ZDB-GENE-040718-407]</t>
  </si>
  <si>
    <t>ENSDARG00000099527</t>
  </si>
  <si>
    <t>nkiras1</t>
  </si>
  <si>
    <t>NFKB inhibitor interacting Ras-like 1 [Source:ZFIN;Acc:ZDB-GENE-040718-215]</t>
  </si>
  <si>
    <t>ENSDARG00000034823</t>
  </si>
  <si>
    <t>copg2</t>
  </si>
  <si>
    <t>coatomer protein complex, subunit gamma 2 [Source:ZFIN;Acc:ZDB-GENE-000208-8]</t>
  </si>
  <si>
    <t>ENSDARG00000021812</t>
  </si>
  <si>
    <t>cherp</t>
  </si>
  <si>
    <t>calcium homeostasis endoplasmic reticulum protein [Source:ZFIN;Acc:ZDB-GENE-040407-1]</t>
  </si>
  <si>
    <t>ENSDARG00000006427</t>
  </si>
  <si>
    <t>fabp2</t>
  </si>
  <si>
    <t>fatty acid binding protein 2, intestinal [Source:ZFIN;Acc:ZDB-GENE-991019-5]</t>
  </si>
  <si>
    <t>ENSDARG00000070155</t>
  </si>
  <si>
    <t>tuba8l3</t>
  </si>
  <si>
    <t>tubulin, alpha 8 like 3 [Source:ZFIN;Acc:ZDB-GENE-040801-77]</t>
  </si>
  <si>
    <t>ENSDARG00000038559</t>
  </si>
  <si>
    <t>h1f0</t>
  </si>
  <si>
    <t>H1 histone family, member 0 [Source:ZFIN;Acc:ZDB-GENE-030131-337]</t>
  </si>
  <si>
    <t>ENSDARG00000056587</t>
  </si>
  <si>
    <t>cyp2r1</t>
  </si>
  <si>
    <t>cytochrome P450, family 2, subfamily R, polypeptide 1 [Source:ZFIN;Acc:ZDB-GENE-110114-1]</t>
  </si>
  <si>
    <t>ENSDARG00000021370</t>
  </si>
  <si>
    <t>actr6</t>
  </si>
  <si>
    <t>ARP6 actin-related protein 6 homolog (yeast) [Source:ZFIN;Acc:ZDB-GENE-030131-3543]</t>
  </si>
  <si>
    <t>ENSDARG00000067838</t>
  </si>
  <si>
    <t>zgc:162967</t>
  </si>
  <si>
    <t>zgc:162967 [Source:ZFIN;Acc:ZDB-GENE-041008-221]</t>
  </si>
  <si>
    <t>ENSDARG00000094796</t>
  </si>
  <si>
    <t>CLEC17A.5</t>
  </si>
  <si>
    <t>si:ch211-133n4.11 [Source:ZFIN;Acc:ZDB-GENE-070424-124]</t>
  </si>
  <si>
    <t>ENSDARG00000052379</t>
  </si>
  <si>
    <t>ccdc22</t>
  </si>
  <si>
    <t>coiled-coil domain containing 22 [Source:ZFIN;Acc:ZDB-GENE-050913-93]</t>
  </si>
  <si>
    <t>ENSDARG00000099180</t>
  </si>
  <si>
    <t>si:ch211-145h19.1</t>
  </si>
  <si>
    <t>si:ch211-145h19.1 [Source:ZFIN;Acc:ZDB-GENE-110914-136]</t>
  </si>
  <si>
    <t>ENSDARG00000044752</t>
  </si>
  <si>
    <t>p2rx4a</t>
  </si>
  <si>
    <t>purinergic receptor P2X, ligand-gated ion channel, 4a [Source:ZFIN;Acc:ZDB-GENE-020806-2]</t>
  </si>
  <si>
    <t>ENSDARG00000060445</t>
  </si>
  <si>
    <t>elp6</t>
  </si>
  <si>
    <t>elongator acetyltransferase complex subunit 6 [Source:ZFIN;Acc:ZDB-GENE-060825-249]</t>
  </si>
  <si>
    <t>ENSDARG00000040571</t>
  </si>
  <si>
    <t>ube4a</t>
  </si>
  <si>
    <t>ubiquitination factor E4A (UFD2 homolog, yeast) [Source:ZFIN;Acc:ZDB-GENE-070410-21]</t>
  </si>
  <si>
    <t>ENSDARG00000032114</t>
  </si>
  <si>
    <t>slain2</t>
  </si>
  <si>
    <t>SLAIN motif family, member 2 [Source:ZFIN;Acc:ZDB-GENE-041014-251]</t>
  </si>
  <si>
    <t>ENSDARG00000062089</t>
  </si>
  <si>
    <t>uggt2</t>
  </si>
  <si>
    <t>UDP-glucose glycoprotein glucosyltransferase 2 [Source:ZFIN;Acc:ZDB-GENE-050517-21]</t>
  </si>
  <si>
    <t>ENSDARG00000099669</t>
  </si>
  <si>
    <t>si:ch211-145h19.2</t>
  </si>
  <si>
    <t>si:ch211-145h19.2 [Source:ZFIN;Acc:ZDB-GENE-110914-65]</t>
  </si>
  <si>
    <t>ENSDARG00000090751</t>
  </si>
  <si>
    <t>zc3h3</t>
  </si>
  <si>
    <t>zinc finger CCCH-type containing 3 [Source:ZFIN;Acc:ZDB-GENE-030131-9399]</t>
  </si>
  <si>
    <t>ENSDARG00000101557</t>
  </si>
  <si>
    <t>scarb1</t>
  </si>
  <si>
    <t>scavenger receptor class B, member 1 [Source:ZFIN;Acc:ZDB-GENE-031126-1]</t>
  </si>
  <si>
    <t>ENSDARG00000027797</t>
  </si>
  <si>
    <t>adcy6b</t>
  </si>
  <si>
    <t>adenylate cyclase 6b [Source:ZFIN;Acc:ZDB-GENE-090127-2]</t>
  </si>
  <si>
    <t>ENSDARG00000098441</t>
  </si>
  <si>
    <t>nars2</t>
  </si>
  <si>
    <t>asparaginyl-tRNA synthetase 2, mitochondrial (putative) [Source:ZFIN;Acc:ZDB-GENE-060929-596]</t>
  </si>
  <si>
    <t>ENSDARG00000036754</t>
  </si>
  <si>
    <t>hmgn3</t>
  </si>
  <si>
    <t>high mobility group nucleosomal binding domain 3 [Source:ZFIN;Acc:ZDB-GENE-041114-180]</t>
  </si>
  <si>
    <t>ENSDARG00000068484</t>
  </si>
  <si>
    <t>zgc:158270</t>
  </si>
  <si>
    <t>zgc:158270 [Source:ZFIN;Acc:ZDB-GENE-070112-1442]</t>
  </si>
  <si>
    <t>ENSDARG00000027687</t>
  </si>
  <si>
    <t>tmem230a</t>
  </si>
  <si>
    <t>transmembrane protein 230a [Source:ZFIN;Acc:ZDB-GENE-040822-20]</t>
  </si>
  <si>
    <t>ENSDARG00000079731</t>
  </si>
  <si>
    <t>kif13ba</t>
  </si>
  <si>
    <t>kinesin family member 13Ba [Source:ZFIN;Acc:ZDB-GENE-070521-1]</t>
  </si>
  <si>
    <t>ENSDARG00000089033</t>
  </si>
  <si>
    <t>rrnad1</t>
  </si>
  <si>
    <t>ribosomal RNA adenine dimethylase domain containing 1 [Source:ZFIN;Acc:ZDB-GENE-050522-515]</t>
  </si>
  <si>
    <t>ENSDARG00000070955</t>
  </si>
  <si>
    <t>hmx3a</t>
  </si>
  <si>
    <t>H6 family homeobox 3a [Source:ZFIN;Acc:ZDB-GENE-001020-1]</t>
  </si>
  <si>
    <t>ENSDARG00000017571</t>
  </si>
  <si>
    <t>mccc2</t>
  </si>
  <si>
    <t>methylcrotonoyl-CoA carboxylase 2 (beta) [Source:ZFIN;Acc:ZDB-GENE-040426-2493]</t>
  </si>
  <si>
    <t>ENSDARG00000103351</t>
  </si>
  <si>
    <t>si:ch211-149f21.3</t>
  </si>
  <si>
    <t>si:ch211-149f21.3 [Source:ZFIN;Acc:ZDB-GENE-131121-251]</t>
  </si>
  <si>
    <t>ENSDARG00000028971</t>
  </si>
  <si>
    <t>cpsf2</t>
  </si>
  <si>
    <t>cleavage and polyadenylation specific factor 2 [Source:ZFIN;Acc:ZDB-GENE-040718-79]</t>
  </si>
  <si>
    <t>ENSDARG00000070954</t>
  </si>
  <si>
    <t>hmx2</t>
  </si>
  <si>
    <t>H6 family homeobox 2 [Source:ZFIN;Acc:ZDB-GENE-080506-2]</t>
  </si>
  <si>
    <t>ENSDARG00000040064</t>
  </si>
  <si>
    <t>acp6</t>
  </si>
  <si>
    <t>acid phosphatase 6, lysophosphatidic [Source:ZFIN;Acc:ZDB-GENE-050208-290]</t>
  </si>
  <si>
    <t>ENSDARG00000102195</t>
  </si>
  <si>
    <t>zc3h7a</t>
  </si>
  <si>
    <t>zinc finger CCCH-type containing 7A [Source:ZFIN;Acc:ZDB-GENE-040426-2776]</t>
  </si>
  <si>
    <t>ENSDARG00000012820</t>
  </si>
  <si>
    <t>nop56</t>
  </si>
  <si>
    <t>NOP56 ribonucleoprotein homolog [Source:ZFIN;Acc:ZDB-GENE-040109-1]</t>
  </si>
  <si>
    <t>ENSDARG00000090153</t>
  </si>
  <si>
    <t>cyldl</t>
  </si>
  <si>
    <t>cylindromatosis (turban tumor syndrome), like [Source:ZFIN;Acc:ZDB-GENE-131127-190]</t>
  </si>
  <si>
    <t>ENSDARG00000094214</t>
  </si>
  <si>
    <t>si:dkeyp-117b8.4</t>
  </si>
  <si>
    <t>si:dkeyp-117b8.4 [Source:ZFIN;Acc:ZDB-GENE-060526-362]</t>
  </si>
  <si>
    <t>ENSDARG00000040179</t>
  </si>
  <si>
    <t>zgc:101562</t>
  </si>
  <si>
    <t>zgc:101562 [Source:ZFIN;Acc:ZDB-GENE-041010-74]</t>
  </si>
  <si>
    <t>ENSDARG00000020871</t>
  </si>
  <si>
    <t>ptprz1b</t>
  </si>
  <si>
    <t>protein tyrosine phosphatase, receptor-type, Z polypeptide 1b [Source:ZFIN;Acc:ZDB-GENE-050506-100]</t>
  </si>
  <si>
    <t>ENSDARG00000031336</t>
  </si>
  <si>
    <t>hsd20b2</t>
  </si>
  <si>
    <t>hydroxysteroid (20-beta) dehydrogenase 2 [Source:ZFIN;Acc:ZDB-GENE-030804-21]</t>
  </si>
  <si>
    <t>ENSDARG00000051936</t>
  </si>
  <si>
    <t>ergic2</t>
  </si>
  <si>
    <t>ERGIC and golgi 2 [Source:ZFIN;Acc:ZDB-GENE-040426-1331]</t>
  </si>
  <si>
    <t>ENSDARG00000067605</t>
  </si>
  <si>
    <t>napaa</t>
  </si>
  <si>
    <t>N-ethylmaleimide-sensitive factor attachment protein, alpha a [Source:ZFIN;Acc:ZDB-GENE-060531-160]</t>
  </si>
  <si>
    <t>ENSDARG00000002216</t>
  </si>
  <si>
    <t>tbx3a</t>
  </si>
  <si>
    <t>T-box 3a [Source:ZFIN;Acc:ZDB-GENE-070209-80]</t>
  </si>
  <si>
    <t>ENSDARG00000054572</t>
  </si>
  <si>
    <t>wdr95</t>
  </si>
  <si>
    <t>WD40 repeat domain 95 [Source:ZFIN;Acc:ZDB-GENE-131127-243]</t>
  </si>
  <si>
    <t>ENSDARG00000094258</t>
  </si>
  <si>
    <t>commd9</t>
  </si>
  <si>
    <t>COMM domain containing 9 [Source:ZFIN;Acc:ZDB-GENE-070424-139]</t>
  </si>
  <si>
    <t>ENSDARG00000089213</t>
  </si>
  <si>
    <t>adam15</t>
  </si>
  <si>
    <t>ADAM metallopeptidase domain 15 [Source:ZFIN;Acc:ZDB-GENE-070809-4]</t>
  </si>
  <si>
    <t>ENSDARG00000073944</t>
  </si>
  <si>
    <t>si:ch73-386h18.1</t>
  </si>
  <si>
    <t>si:ch73-386h18.1 [Source:ZFIN;Acc:ZDB-GENE-050309-237]</t>
  </si>
  <si>
    <t>ENSDARG00000038879</t>
  </si>
  <si>
    <t>ift80</t>
  </si>
  <si>
    <t>intraflagellar transport 80 homolog (Chlamydomonas) [Source:ZFIN;Acc:ZDB-GENE-041212-50]</t>
  </si>
  <si>
    <t>ENSDARG00000098820</t>
  </si>
  <si>
    <t>ftr67</t>
  </si>
  <si>
    <t>finTRIM family, member 67 [Source:ZFIN;Acc:ZDB-GENE-060312-27]</t>
  </si>
  <si>
    <t>ENSDARG00000030097</t>
  </si>
  <si>
    <t>sdcbp</t>
  </si>
  <si>
    <t>syndecan binding protein (syntenin) [Source:ZFIN;Acc:ZDB-GENE-081104-57]</t>
  </si>
  <si>
    <t>ENSDARG00000003189</t>
  </si>
  <si>
    <t>psmd1</t>
  </si>
  <si>
    <t>proteasome 26S subunit, non-ATPase 1 [Source:ZFIN;Acc:ZDB-GENE-040426-810]</t>
  </si>
  <si>
    <t>ENSDARG00000010145</t>
  </si>
  <si>
    <t>tor4aa</t>
  </si>
  <si>
    <t>torsin family 4, member Aa [Source:ZFIN;Acc:ZDB-GENE-050417-9]</t>
  </si>
  <si>
    <t>ENSDARG00000100560</t>
  </si>
  <si>
    <t>zfpm2b</t>
  </si>
  <si>
    <t>zinc finger protein, FOG family member 2b [Source:ZFIN;Acc:ZDB-GENE-060130-5]</t>
  </si>
  <si>
    <t>ENSDARG00000021193</t>
  </si>
  <si>
    <t>coro1cb</t>
  </si>
  <si>
    <t>coronin, actin binding protein, 1Cb [Source:ZFIN;Acc:ZDB-GENE-030131-418]</t>
  </si>
  <si>
    <t>ENSDARG00000052039</t>
  </si>
  <si>
    <t>caspb</t>
  </si>
  <si>
    <t>caspase b [Source:ZFIN;Acc:ZDB-GENE-020812-1]</t>
  </si>
  <si>
    <t>ENSDARG00000045658</t>
  </si>
  <si>
    <t>msrb3</t>
  </si>
  <si>
    <t>methionine sulfoxide reductase B3 [Source:ZFIN;Acc:ZDB-GENE-040625-74]</t>
  </si>
  <si>
    <t>ENSDARG00000079434</t>
  </si>
  <si>
    <t>si:ch211-208h7.4</t>
  </si>
  <si>
    <t>si:ch211-208h7.4 [Source:ZFIN;Acc:ZDB-GENE-030131-6110]</t>
  </si>
  <si>
    <t>ENSDARG00000016607</t>
  </si>
  <si>
    <t>echdc2</t>
  </si>
  <si>
    <t>enoyl CoA hydratase domain containing 2 [Source:ZFIN;Acc:ZDB-GENE-030219-147]</t>
  </si>
  <si>
    <t>ENSDARG00000092482</t>
  </si>
  <si>
    <t>si:dkeyp-110g5.4</t>
  </si>
  <si>
    <t>si:dkeyp-110g5.4 [Source:ZFIN;Acc:ZDB-GENE-081104-452]</t>
  </si>
  <si>
    <t>ENSDARG00000074238</t>
  </si>
  <si>
    <t>brpf3b</t>
  </si>
  <si>
    <t>bromodomain and PHD finger containing, 3b [Source:ZFIN;Acc:ZDB-GENE-081104-468]</t>
  </si>
  <si>
    <t>ENSDARG00000010085</t>
  </si>
  <si>
    <t>p4ha2</t>
  </si>
  <si>
    <t>procollagen-proline, 2-oxoglutarate 4-dioxygenase (proline 4-hydroxylase), alpha polypeptide 2 [Source:ZFIN;Acc:ZDB-GENE-030827-1]</t>
  </si>
  <si>
    <t>ENSDARG00000045023</t>
  </si>
  <si>
    <t>lhfpl5a</t>
  </si>
  <si>
    <t>lipoma HMGIC fusion partner-like 5a [Source:ZFIN;Acc:ZDB-GENE-110131-8]</t>
  </si>
  <si>
    <t>ENSDARG00000037958</t>
  </si>
  <si>
    <t>nosip</t>
  </si>
  <si>
    <t>nitric oxide synthase interacting protein [Source:ZFIN;Acc:ZDB-GENE-041114-146]</t>
  </si>
  <si>
    <t>ENSDARG00000104636</t>
  </si>
  <si>
    <t>si:dkey-112a7.4</t>
  </si>
  <si>
    <t>si:dkey-112a7.4 [Source:ZFIN;Acc:ZDB-GENE-030131-9661]</t>
  </si>
  <si>
    <t>ENSDARG00000092775</t>
  </si>
  <si>
    <t>si:dkey-4j21.1</t>
  </si>
  <si>
    <t>si:dkey-4j21.1 [Source:ZFIN;Acc:ZDB-GENE-120709-66]</t>
  </si>
  <si>
    <t>ENSDARG00000055101</t>
  </si>
  <si>
    <t>hmox2a</t>
  </si>
  <si>
    <t>heme oxygenase 2a [Source:ZFIN;Acc:ZDB-GENE-040914-13]</t>
  </si>
  <si>
    <t>ENSDARG00000014761</t>
  </si>
  <si>
    <t>mfsd6l</t>
  </si>
  <si>
    <t>major facilitator superfamily domain containing 6-like [Source:ZFIN;Acc:ZDB-GENE-040801-105]</t>
  </si>
  <si>
    <t>ENSDARG00000092826</t>
  </si>
  <si>
    <t>si:ch211-243g18.3</t>
  </si>
  <si>
    <t>si:ch211-243g18.3 [Source:ZFIN;Acc:ZDB-GENE-091120-5]</t>
  </si>
  <si>
    <t>ENSDARG00000004594</t>
  </si>
  <si>
    <t>znf800a</t>
  </si>
  <si>
    <t>zinc finger protein 800a [Source:ZFIN;Acc:ZDB-GENE-041008-151]</t>
  </si>
  <si>
    <t>ENSDARG00000062019</t>
  </si>
  <si>
    <t>rufy2</t>
  </si>
  <si>
    <t>RUN and FYVE domain containing 2 [Source:ZFIN;Acc:ZDB-GENE-070424-66]</t>
  </si>
  <si>
    <t>ENSDARG00000102934</t>
  </si>
  <si>
    <t>noa1</t>
  </si>
  <si>
    <t>nitric oxide associated 1 [Source:ZFIN;Acc:ZDB-GENE-080220-18]</t>
  </si>
  <si>
    <t>ENSDARG00000059053</t>
  </si>
  <si>
    <t>slc13a4</t>
  </si>
  <si>
    <t>solute carrier family 13 (sodium/sulfate symporter), member 4 [Source:ZFIN;Acc:ZDB-GENE-070424-71]</t>
  </si>
  <si>
    <t>ENSDARG00000042658</t>
  </si>
  <si>
    <t>acad8</t>
  </si>
  <si>
    <t>acyl-CoA dehydrogenase family, member 8 [Source:ZFIN;Acc:ZDB-GENE-040426-828]</t>
  </si>
  <si>
    <t>ENSDARG00000062278</t>
  </si>
  <si>
    <t>C1GALT1</t>
  </si>
  <si>
    <t>si:dkey-202e17.1 [Source:ZFIN;Acc:ZDB-GENE-060503-810]</t>
  </si>
  <si>
    <t>ENSDARG00000092825</t>
  </si>
  <si>
    <t>EFCAB10</t>
  </si>
  <si>
    <t>si:dkey-42p14.3 [Source:ZFIN;Acc:ZDB-GENE-041111-13]</t>
  </si>
  <si>
    <t>ENSDARG00000029445</t>
  </si>
  <si>
    <t>EIF1B</t>
  </si>
  <si>
    <t>zgc:56676 [Source:ZFIN;Acc:ZDB-GENE-040426-1109]</t>
  </si>
  <si>
    <t>ENSDARG00000027403</t>
  </si>
  <si>
    <t>zgpat</t>
  </si>
  <si>
    <t>zinc finger, CCCH-type with G patch domain [Source:ZFIN;Acc:ZDB-GENE-040426-1248]</t>
  </si>
  <si>
    <t>ENSDARG00000094466</t>
  </si>
  <si>
    <t>si:ch73-199e17.1</t>
  </si>
  <si>
    <t>si:ch73-199e17.1 [Source:ZFIN;Acc:ZDB-GENE-100921-8]</t>
  </si>
  <si>
    <t>ENSDARG00000100396</t>
  </si>
  <si>
    <t>pip5k1aa</t>
  </si>
  <si>
    <t>phosphatidylinositol-4-phosphate 5-kinase, type I, alpha, a [Source:ZFIN;Acc:ZDB-GENE-050522-517]</t>
  </si>
  <si>
    <t>ENSDARG00000033367</t>
  </si>
  <si>
    <t>rrm2b</t>
  </si>
  <si>
    <t>ribonucleotide reductase M2 b [Source:ZFIN;Acc:ZDB-GENE-030616-614]</t>
  </si>
  <si>
    <t>ENSDARG00000063588</t>
  </si>
  <si>
    <t>uba5</t>
  </si>
  <si>
    <t>ubiquitin-like modifier activating enzyme 5 [Source:ZFIN;Acc:ZDB-GENE-031112-2]</t>
  </si>
  <si>
    <t>ENSDARG00000059604</t>
  </si>
  <si>
    <t>mtss1</t>
  </si>
  <si>
    <t>metastasis suppressor 1 [Source:ZFIN;Acc:ZDB-GENE-081105-141]</t>
  </si>
  <si>
    <t>ENSDARG00000101085</t>
  </si>
  <si>
    <t>ss18l2</t>
  </si>
  <si>
    <t>synovial sarcoma translocation gene on chromosome 18-like 2 [Source:ZFIN;Acc:ZDB-GENE-050417-268]</t>
  </si>
  <si>
    <t>ENSDARG00000077870</t>
  </si>
  <si>
    <t>taf9</t>
  </si>
  <si>
    <t>TAF9 RNA polymerase II, TATA box binding protein (TBP)-associated factor [Source:ZFIN;Acc:ZDB-GENE-030131-204]</t>
  </si>
  <si>
    <t>ENSDARG00000102634</t>
  </si>
  <si>
    <t>parn</t>
  </si>
  <si>
    <t>poly(A)-specific ribonuclease (deadenylation nuclease) [Source:ZFIN;Acc:ZDB-GENE-040426-880]</t>
  </si>
  <si>
    <t>ENSDARG00000036092</t>
  </si>
  <si>
    <t>sdhaf3</t>
  </si>
  <si>
    <t>succinate dehydrogenase complex assembly factor 3 [Source:ZFIN;Acc:ZDB-GENE-041010-94]</t>
  </si>
  <si>
    <t>ENSDARG00000062973</t>
  </si>
  <si>
    <t>ttll7</t>
  </si>
  <si>
    <t>tubulin tyrosine ligase-like family, member 7 [Source:ZFIN;Acc:ZDB-GENE-070112-2112]</t>
  </si>
  <si>
    <t>ENSDARG00000029639</t>
  </si>
  <si>
    <t>tomm70a</t>
  </si>
  <si>
    <t>translocase of outer mitochondrial membrane 70 homolog A (S. cerevisiae) [Source:ZFIN;Acc:ZDB-GENE-030131-8173]</t>
  </si>
  <si>
    <t>ENSDARG00000037865</t>
  </si>
  <si>
    <t>cln3</t>
  </si>
  <si>
    <t>ceroid-lipofuscinosis, neuronal 3 [Source:ZFIN;Acc:ZDB-GENE-041114-174]</t>
  </si>
  <si>
    <t>ENSDARG00000095967</t>
  </si>
  <si>
    <t>nsfa</t>
  </si>
  <si>
    <t>ENSDARG00000037961</t>
  </si>
  <si>
    <t>rcn3</t>
  </si>
  <si>
    <t>reticulocalbin 3, EF-hand calcium binding domain [Source:ZFIN;Acc:ZDB-GENE-040625-175]</t>
  </si>
  <si>
    <t>ENSDARG00000061216</t>
  </si>
  <si>
    <t>hexdc</t>
  </si>
  <si>
    <t>hexosaminidase (glycosyl hydrolase family 20, catalytic domain) containing [Source:ZFIN;Acc:ZDB-GENE-060929-448]</t>
  </si>
  <si>
    <t>ENSDARG00000102317</t>
  </si>
  <si>
    <t>rpl26</t>
  </si>
  <si>
    <t>ribosomal protein L26 [Source:ZFIN;Acc:ZDB-GENE-040426-2117]</t>
  </si>
  <si>
    <t>ENSDARG00000057974</t>
  </si>
  <si>
    <t>parp12b</t>
  </si>
  <si>
    <t>poly (ADP-ribose) polymerase family, member 12b [Source:ZFIN;Acc:ZDB-GENE-030131-2617]</t>
  </si>
  <si>
    <t>ENSDARG00000012519</t>
  </si>
  <si>
    <t>hcfc1b</t>
  </si>
  <si>
    <t>host cell factor C1b [Source:ZFIN;Acc:ZDB-GENE-030131-2411]</t>
  </si>
  <si>
    <t>ENSDARG00000078261</t>
  </si>
  <si>
    <t>nphp3</t>
  </si>
  <si>
    <t>nephronophthisis 3 [Source:ZFIN;Acc:ZDB-GENE-091204-117]</t>
  </si>
  <si>
    <t>ENSDARG00000099361</t>
  </si>
  <si>
    <t>si:dkey-30e9.6</t>
  </si>
  <si>
    <t>si:dkey-30e9.6 [Source:ZFIN;Acc:ZDB-GENE-131121-308]</t>
  </si>
  <si>
    <t>ENSDARG00000092916</t>
  </si>
  <si>
    <t>mlnl</t>
  </si>
  <si>
    <t>motilin-like [Source:ZFIN;Acc:ZDB-GENE-091204-289]</t>
  </si>
  <si>
    <t>ENSDARG00000104404</t>
  </si>
  <si>
    <t>b4galt1l</t>
  </si>
  <si>
    <t>DP-Gal:betaGlcNAc beta 1,4- galactosyltransferase, polypeptide 1, like [Source:ZFIN;Acc:ZDB-GENE-061013-84]</t>
  </si>
  <si>
    <t>ENSDARG00000056499</t>
  </si>
  <si>
    <t>ca6</t>
  </si>
  <si>
    <t>carbonic anhydrase VI [Source:ZFIN;Acc:ZDB-GENE-030131-7091]</t>
  </si>
  <si>
    <t>ENSDARG00000055100</t>
  </si>
  <si>
    <t>cxcl12b</t>
  </si>
  <si>
    <t>chemokine (C-X-C motif) ligand 12b (stromal cell-derived factor 1) [Source:ZFIN;Acc:ZDB-GENE-030721-1]</t>
  </si>
  <si>
    <t>ENSDARG00000103914</t>
  </si>
  <si>
    <t>THEM6</t>
  </si>
  <si>
    <t>si:ch73-52e5.2 [Source:ZFIN;Acc:ZDB-GENE-070912-341]</t>
  </si>
  <si>
    <t>ENSDARG00000055118</t>
  </si>
  <si>
    <t>mylipb</t>
  </si>
  <si>
    <t>myosin regulatory light chain interacting protein b [Source:ZFIN;Acc:ZDB-GENE-061027-67]</t>
  </si>
  <si>
    <t>ENSDARG00000036897</t>
  </si>
  <si>
    <t>SGMS2</t>
  </si>
  <si>
    <t>zgc:100911 [Source:ZFIN;Acc:ZDB-GENE-040801-162]</t>
  </si>
  <si>
    <t>ENSDARG00000057484</t>
  </si>
  <si>
    <t>srsf2a</t>
  </si>
  <si>
    <t>serine/arginine-rich splicing factor 2a [Source:ZFIN;Acc:ZDB-GENE-040426-2706]</t>
  </si>
  <si>
    <t>ENSDARG00000097652</t>
  </si>
  <si>
    <t>si:dkey-234i14.2</t>
  </si>
  <si>
    <t>si:dkey-234i14.2 [Source:ZFIN;Acc:ZDB-GENE-131127-595]</t>
  </si>
  <si>
    <t>ENSDARG00000099345</t>
  </si>
  <si>
    <t>si:rp71-1d10.8</t>
  </si>
  <si>
    <t>si:rp71-1d10.8 [Source:ZFIN;Acc:ZDB-GENE-141216-274]</t>
  </si>
  <si>
    <t>ENSDARG00000098334</t>
  </si>
  <si>
    <t>exosc3</t>
  </si>
  <si>
    <t>exosome component 3 [Source:ZFIN;Acc:ZDB-GENE-050706-140]</t>
  </si>
  <si>
    <t>ENSDARG00000025875</t>
  </si>
  <si>
    <t>kctd2</t>
  </si>
  <si>
    <t>potassium channel tetramerization domain containing 2 [Source:ZFIN;Acc:ZDB-GENE-060825-85]</t>
  </si>
  <si>
    <t>ENSDARG00000044261</t>
  </si>
  <si>
    <t>si:ch211-243g18.2</t>
  </si>
  <si>
    <t>si:ch211-243g18.2 [Source:ZFIN;Acc:ZDB-GENE-030131-2830]</t>
  </si>
  <si>
    <t>ENSDARG00000060682</t>
  </si>
  <si>
    <t>agr1</t>
  </si>
  <si>
    <t>anterior gradient 1 [Source:ZFIN;Acc:ZDB-GENE-030131-7249]</t>
  </si>
  <si>
    <t>ENSDARG00000076755</t>
  </si>
  <si>
    <t>ap5s1</t>
  </si>
  <si>
    <t>adaptor-related protein complex 5, sigma 1 subunit [Source:ZFIN;Acc:ZDB-GENE-090313-184]</t>
  </si>
  <si>
    <t>ENSDARG00000101794</t>
  </si>
  <si>
    <t>atp6v0e1</t>
  </si>
  <si>
    <t>ATPase, H+ transporting, lysosomal V0 subunit e1 [Source:ZFIN;Acc:ZDB-GENE-041010-133]</t>
  </si>
  <si>
    <t>ENSDARG00000089913</t>
  </si>
  <si>
    <t>cacna1g</t>
  </si>
  <si>
    <t>calcium channel, voltage-dependent, T type, alpha 1G subunit [Source:ZFIN;Acc:ZDB-GENE-090514-2]</t>
  </si>
  <si>
    <t>ENSDARG00000059646</t>
  </si>
  <si>
    <t>nt5dc2</t>
  </si>
  <si>
    <t>5'-nucleotidase domain containing 2 [Source:ZFIN;Acc:ZDB-GENE-060810-17]</t>
  </si>
  <si>
    <t>ENSDARG00000014239</t>
  </si>
  <si>
    <t>esyt1b</t>
  </si>
  <si>
    <t>extended synaptotagmin-like protein 1b [Source:ZFIN;Acc:ZDB-GENE-040724-209]</t>
  </si>
  <si>
    <t>ENSDARG00000092677</t>
  </si>
  <si>
    <t>coa6</t>
  </si>
  <si>
    <t>cytochrome c oxidase assembly factor 6 [Source:ZFIN;Acc:ZDB-GENE-070705-152]</t>
  </si>
  <si>
    <t>ENSDARG00000092714</t>
  </si>
  <si>
    <t>si:ch211-266a5.12</t>
  </si>
  <si>
    <t>si:ch211-266a5.12 [Source:ZFIN;Acc:ZDB-GENE-081104-210]</t>
  </si>
  <si>
    <t>ENSDARG00000090889</t>
  </si>
  <si>
    <t>LECT2</t>
  </si>
  <si>
    <t>si:ch211-132p1.3 [Source:ZFIN;Acc:ZDB-GENE-130530-1010]</t>
  </si>
  <si>
    <t>ENSDARG00000100947</t>
  </si>
  <si>
    <t>mafk</t>
  </si>
  <si>
    <t>v-maf avian musculoaponeurotic fibrosarcoma oncogene homolog K [Source:ZFIN;Acc:ZDB-GENE-040624-9]</t>
  </si>
  <si>
    <t>ENSDARG00000035399</t>
  </si>
  <si>
    <t>ankra2</t>
  </si>
  <si>
    <t>ankyrin repeat, family A (RFXANK-like), 2 [Source:ZFIN;Acc:ZDB-GENE-040426-2141]</t>
  </si>
  <si>
    <t>ENSDARG00000074628</t>
  </si>
  <si>
    <t>si:dkey-10o6.2</t>
  </si>
  <si>
    <t>si:dkey-10o6.2 [Source:ZFIN;Acc:ZDB-GENE-070705-284]</t>
  </si>
  <si>
    <t>ENSDARG00000090193</t>
  </si>
  <si>
    <t>si:ch73-286h23.4</t>
  </si>
  <si>
    <t>si:ch73-286h23.4 [Source:ZFIN;Acc:ZDB-GENE-070705-237]</t>
  </si>
  <si>
    <t>ENSDARG00000003520</t>
  </si>
  <si>
    <t>tbc1d14</t>
  </si>
  <si>
    <t>TBC1 domain family, member 14 [Source:ZFIN;Acc:ZDB-GENE-030131-6136]</t>
  </si>
  <si>
    <t>ENSDARG00000093824</t>
  </si>
  <si>
    <t>si:dkey-20f20.3</t>
  </si>
  <si>
    <t>si:dkey-20f20.3 [Source:ZFIN;Acc:ZDB-GENE-070912-434]</t>
  </si>
  <si>
    <t>ENSDARG00000103046</t>
  </si>
  <si>
    <t>rest</t>
  </si>
  <si>
    <t>RE1-silencing transcription factor [Source:ZFIN;Acc:ZDB-GENE-080415-1]</t>
  </si>
  <si>
    <t>ENSDARG00000029170</t>
  </si>
  <si>
    <t>si:ch211-200p22.4</t>
  </si>
  <si>
    <t>si:ch211-200p22.4 [Source:ZFIN;Acc:ZDB-GENE-081104-61]</t>
  </si>
  <si>
    <t>ENSDARG00000001241</t>
  </si>
  <si>
    <t>puf60b</t>
  </si>
  <si>
    <t>poly-U binding splicing factor b [Source:ZFIN;Acc:ZDB-GENE-040625-116]</t>
  </si>
  <si>
    <t>ENSDARG00000061908</t>
  </si>
  <si>
    <t>mfsd12a</t>
  </si>
  <si>
    <t>major facilitator superfamily domain containing 12a [Source:ZFIN;Acc:ZDB-GENE-030131-4642]</t>
  </si>
  <si>
    <t>ENSDARG00000103737</t>
  </si>
  <si>
    <t>CNNM4</t>
  </si>
  <si>
    <t>si:ch211-230g14.6 [Source:ZFIN;Acc:ZDB-GENE-081105-134]</t>
  </si>
  <si>
    <t>ENSDARG00000012553</t>
  </si>
  <si>
    <t>rap1aa</t>
  </si>
  <si>
    <t>RAP1A, member of RAS oncogene family a [Source:ZFIN;Acc:ZDB-GENE-040625-167]</t>
  </si>
  <si>
    <t>ENSDARG00000074309</t>
  </si>
  <si>
    <t>cnnm4b</t>
  </si>
  <si>
    <t>cyclin and CBS domain divalent metal cation transport mediator 4b [Source:ZFIN;Acc:ZDB-GENE-070705-181]</t>
  </si>
  <si>
    <t>ENSDARG00000005593</t>
  </si>
  <si>
    <t>rxrga</t>
  </si>
  <si>
    <t>retinoid x receptor, gamma a [Source:ZFIN;Acc:ZDB-GENE-980526-36]</t>
  </si>
  <si>
    <t>ENSDARG00000062154</t>
  </si>
  <si>
    <t>dip2ca</t>
  </si>
  <si>
    <t>disco-interacting protein 2 homolog Ca [Source:ZFIN;Acc:ZDB-GENE-031118-39]</t>
  </si>
  <si>
    <t>ENSDARG00000098822</t>
  </si>
  <si>
    <t>tcerg1a</t>
  </si>
  <si>
    <t>transcription elongation regulator 1a (CA150) [Source:ZFIN;Acc:ZDB-GENE-030131-1791]</t>
  </si>
  <si>
    <t>ENSDARG00000002020</t>
  </si>
  <si>
    <t>rictorb</t>
  </si>
  <si>
    <t>RPTOR independent companion of MTOR, complex 2b [Source:ZFIN;Acc:ZDB-GENE-070810-5]</t>
  </si>
  <si>
    <t>ENSDARG00000005651</t>
  </si>
  <si>
    <t>hrasb</t>
  </si>
  <si>
    <t>-Ha-ras Harvey rat sarcoma viral oncogene homolog b [Source:ZFIN;Acc:ZDB-GENE-050522-466]</t>
  </si>
  <si>
    <t>ENSDARG00000032933</t>
  </si>
  <si>
    <t>dtx2</t>
  </si>
  <si>
    <t>deltex 2, E3 ubiquitin ligase [Source:ZFIN;Acc:ZDB-GENE-081022-150]</t>
  </si>
  <si>
    <t>ENSDARG00000076155</t>
  </si>
  <si>
    <t>mtpap</t>
  </si>
  <si>
    <t>mitochondrial poly(A) polymerase [Source:ZFIN;Acc:ZDB-GENE-101208-3]</t>
  </si>
  <si>
    <t>ENSDARG00000090997</t>
  </si>
  <si>
    <t>VEGFB</t>
  </si>
  <si>
    <t>si:ch211-245d7.5 [Source:ZFIN;Acc:ZDB-GENE-141222-16]</t>
  </si>
  <si>
    <t>ENSDARG00000025332</t>
  </si>
  <si>
    <t>rbm28</t>
  </si>
  <si>
    <t>RNA binding motif protein 28 [Source:ZFIN;Acc:ZDB-GENE-040426-960]</t>
  </si>
  <si>
    <t>ENSDARG00000013892</t>
  </si>
  <si>
    <t>sorl1</t>
  </si>
  <si>
    <t>sortilin-related receptor, L(DLR class) A repeats containing [Source:ZFIN;Acc:ZDB-GENE-050208-22]</t>
  </si>
  <si>
    <t>ENSDARG00000043816</t>
  </si>
  <si>
    <t>st6galnac1.2</t>
  </si>
  <si>
    <t>ST6 (alpha-N-acetyl-neuraminyl-2,3-beta-galactosyl-1,3)-N-acetylgalactosaminide alpha-2,6-sialyltransferase 1, tandem duplicate 2 [Source:ZFIN;Acc:ZDB-GENE-041014-161]</t>
  </si>
  <si>
    <t>ENSDARG00000101791</t>
  </si>
  <si>
    <t>ccbl2</t>
  </si>
  <si>
    <t>cysteine conjugate-beta lyase 2 [Source:ZFIN;Acc:ZDB-GENE-040426-1299]</t>
  </si>
  <si>
    <t>ENSDARG00000101438</t>
  </si>
  <si>
    <t>lonp2</t>
  </si>
  <si>
    <t>lon peptidase 2, peroxisomal [Source:ZFIN;Acc:ZDB-GENE-041212-1]</t>
  </si>
  <si>
    <t>ENSDARG00000020913</t>
  </si>
  <si>
    <t>ddx56</t>
  </si>
  <si>
    <t>DEAD (Asp-Glu-Ala-Asp) box helicase 56 [Source:ZFIN;Acc:ZDB-GENE-040825-3]</t>
  </si>
  <si>
    <t>ENSDARG00000040180</t>
  </si>
  <si>
    <t>slc35a1</t>
  </si>
  <si>
    <t>solute carrier family 35 (CMP-sialic acid transporter), member A1 [Source:ZFIN;Acc:ZDB-GENE-080716-17]</t>
  </si>
  <si>
    <t>ENSDARG00000036060</t>
  </si>
  <si>
    <t>exosc6</t>
  </si>
  <si>
    <t>exosome component 6 [Source:ZFIN;Acc:ZDB-GENE-050522-362]</t>
  </si>
  <si>
    <t>ENSDARG00000020232</t>
  </si>
  <si>
    <t>eif6</t>
  </si>
  <si>
    <t>eukaryotic translation initiation factor 6 [Source:ZFIN;Acc:ZDB-GENE-031118-110]</t>
  </si>
  <si>
    <t>ENSDARG00000036291</t>
  </si>
  <si>
    <t>nucb2b</t>
  </si>
  <si>
    <t>nucleobindin 2b [Source:ZFIN;Acc:ZDB-GENE-030131-4775]</t>
  </si>
  <si>
    <t>ENSDARG00000105288</t>
  </si>
  <si>
    <t>si:ch211-79l17.1</t>
  </si>
  <si>
    <t>si:ch211-79l17.1 [Source:ZFIN;Acc:ZDB-GENE-050419-127]</t>
  </si>
  <si>
    <t>ENSDARG00000058719</t>
  </si>
  <si>
    <t>si:dkey-119f1.1</t>
  </si>
  <si>
    <t>si:dkey-119f1.1 [Source:ZFIN;Acc:ZDB-GENE-070705-287]</t>
  </si>
  <si>
    <t>ENSDARG00000070452</t>
  </si>
  <si>
    <t>saraf</t>
  </si>
  <si>
    <t>store-operated calcium entry-associated regulatory factor [Source:ZFIN;Acc:ZDB-GENE-060929-208]</t>
  </si>
  <si>
    <t>ENSDARG00000024116</t>
  </si>
  <si>
    <t>vamp8</t>
  </si>
  <si>
    <t>vesicle-associated membrane protein 8 (endobrevin) [Source:ZFIN;Acc:ZDB-GENE-030131-5215]</t>
  </si>
  <si>
    <t>ENSDARG00000098845</t>
  </si>
  <si>
    <t>lrp12</t>
  </si>
  <si>
    <t>low density lipoprotein receptor-related protein 12 [Source:ZFIN;Acc:ZDB-GENE-060503-399]</t>
  </si>
  <si>
    <t>ENSDARG00000035869</t>
  </si>
  <si>
    <t>azin1b</t>
  </si>
  <si>
    <t>antizyme inhibitor 1b [Source:ZFIN;Acc:ZDB-GENE-030121-1]</t>
  </si>
  <si>
    <t>ENSDARG00000088452</t>
  </si>
  <si>
    <t>si:dkey-24i24.3</t>
  </si>
  <si>
    <t>si:dkey-24i24.3 [Source:ZFIN;Acc:ZDB-GENE-110411-103]</t>
  </si>
  <si>
    <t>ENSDARG00000012314</t>
  </si>
  <si>
    <t>usp25</t>
  </si>
  <si>
    <t>ubiquitin specific peptidase 25 [Source:ZFIN;Acc:ZDB-GENE-040426-2847]</t>
  </si>
  <si>
    <t>ENSDARG00000032277</t>
  </si>
  <si>
    <t>rars2</t>
  </si>
  <si>
    <t>arginyl-tRNA synthetase 2, mitochondrial (putative) [Source:ZFIN;Acc:ZDB-GENE-040426-1244]</t>
  </si>
  <si>
    <t>ENSDARG00000043548</t>
  </si>
  <si>
    <t>atg4da</t>
  </si>
  <si>
    <t>autophagy related 4D, cysteine peptidase a [Source:ZFIN;Acc:ZDB-GENE-041111-102]</t>
  </si>
  <si>
    <t>ENSDARG00000054290</t>
  </si>
  <si>
    <t>acin1a</t>
  </si>
  <si>
    <t>apoptotic chromatin condensation inducer 1a [Source:ZFIN;Acc:ZDB-GENE-030616-583]</t>
  </si>
  <si>
    <t>ENSDARG00000006003</t>
  </si>
  <si>
    <t>mycla</t>
  </si>
  <si>
    <t>v-myc avian myelocytomatosis viral oncogene lung carcinoma derived homolog a [Source:ZFIN;Acc:ZDB-GENE-040426-2439]</t>
  </si>
  <si>
    <t>ENSDARG00000041243</t>
  </si>
  <si>
    <t>setdb1a</t>
  </si>
  <si>
    <t>SET domain, bifurcated 1a [Source:ZFIN;Acc:ZDB-GENE-030131-2421]</t>
  </si>
  <si>
    <t>ENSDARG00000071724</t>
  </si>
  <si>
    <t>ankha</t>
  </si>
  <si>
    <t>ANKH inorganic pyrophosphate transport regulator a [Source:ZFIN;Acc:ZDB-GENE-050913-33]</t>
  </si>
  <si>
    <t>ENSDARG00000016427</t>
  </si>
  <si>
    <t>fignl1</t>
  </si>
  <si>
    <t>fidgetin-like 1 [Source:ZFIN;Acc:ZDB-GENE-030131-1862]</t>
  </si>
  <si>
    <t>ENSDARG00000030630</t>
  </si>
  <si>
    <t>mfsd2aa</t>
  </si>
  <si>
    <t>major facilitator superfamily domain containing 2aa [Source:ZFIN;Acc:ZDB-GENE-041114-166]</t>
  </si>
  <si>
    <t>ENSDARG00000099918</t>
  </si>
  <si>
    <t>arl4aa</t>
  </si>
  <si>
    <t>ADP-ribosylation factor-like 4aa [Source:ZFIN;Acc:ZDB-GENE-040426-1878]</t>
  </si>
  <si>
    <t>ENSDARG00000019728</t>
  </si>
  <si>
    <t>bmpr1aa</t>
  </si>
  <si>
    <t>bone morphogenetic protein receptor, type IAa [Source:ZFIN;Acc:ZDB-GENE-000502-1]</t>
  </si>
  <si>
    <t>ENSDARG00000073902</t>
  </si>
  <si>
    <t>ptpn9b</t>
  </si>
  <si>
    <t>protein tyrosine phosphatase, non-receptor type 9, b [Source:ZFIN;Acc:ZDB-GENE-090313-52]</t>
  </si>
  <si>
    <t>ENSDARG00000092348</t>
  </si>
  <si>
    <t>si:dkey-15h14.4</t>
  </si>
  <si>
    <t>si:dkey-15h14.4 [Source:ZFIN;Acc:ZDB-GENE-070912-383]</t>
  </si>
  <si>
    <t>ENSDARG00000041904</t>
  </si>
  <si>
    <t>ankzf1</t>
  </si>
  <si>
    <t>ankyrin repeat and zinc finger domain containing 1 [Source:ZFIN;Acc:ZDB-GENE-050309-80]</t>
  </si>
  <si>
    <t>ENSDARG00000031372</t>
  </si>
  <si>
    <t>efna2a</t>
  </si>
  <si>
    <t>ephrin-A2a [Source:ZFIN;Acc:ZDB-GENE-990415-66]</t>
  </si>
  <si>
    <t>ENSDARG00000057671</t>
  </si>
  <si>
    <t>epas1b</t>
  </si>
  <si>
    <t>endothelial PAS domain protein 1b [Source:ZFIN;Acc:ZDB-GENE-060607-11]</t>
  </si>
  <si>
    <t>ENSDARG00000059327</t>
  </si>
  <si>
    <t>gata2a</t>
  </si>
  <si>
    <t>GATA binding protein 2a [Source:ZFIN;Acc:ZDB-GENE-980526-260]</t>
  </si>
  <si>
    <t>ENSDARG00000033411</t>
  </si>
  <si>
    <t>cabp1b</t>
  </si>
  <si>
    <t>calcium binding protein 1b [Source:ZFIN;Acc:ZDB-GENE-040718-111]</t>
  </si>
  <si>
    <t>ENSDARG00000038917</t>
  </si>
  <si>
    <t>rad50</t>
  </si>
  <si>
    <t>RAD50 homolog, double strand break repair protein [Source:ZFIN;Acc:ZDB-GENE-050506-110]</t>
  </si>
  <si>
    <t>ENSDARG00000100190</t>
  </si>
  <si>
    <t>MSLN</t>
  </si>
  <si>
    <t>si:ch211-188p14.4 [Source:ZFIN;Acc:ZDB-GENE-121214-355]</t>
  </si>
  <si>
    <t>ENSDARG00000100095</t>
  </si>
  <si>
    <t>anxa1b</t>
  </si>
  <si>
    <t>annexin A1b [Source:ZFIN;Acc:ZDB-GENE-030131-6554]</t>
  </si>
  <si>
    <t>ENSDARG00000009733</t>
  </si>
  <si>
    <t>kif21b</t>
  </si>
  <si>
    <t>kinesin family member 21B [Source:ZFIN;Acc:ZDB-GENE-130530-537]</t>
  </si>
  <si>
    <t>ENSDARG00000022952</t>
  </si>
  <si>
    <t>zgc:66448</t>
  </si>
  <si>
    <t>zgc:66448 [Source:ZFIN;Acc:ZDB-GENE-030131-5612]</t>
  </si>
  <si>
    <t>ENSDARG00000043818</t>
  </si>
  <si>
    <t>CASKIN2</t>
  </si>
  <si>
    <t>si:ch211-119c20.2 [Source:ZFIN;Acc:ZDB-GENE-041001-137]</t>
  </si>
  <si>
    <t>ENSDARG00000098783</t>
  </si>
  <si>
    <t>polr2b</t>
  </si>
  <si>
    <t>polymerase (RNA) II (DNA directed) polypeptide B [Source:ZFIN;Acc:ZDB-GENE-041008-1]</t>
  </si>
  <si>
    <t>ENSDARG00000002909</t>
  </si>
  <si>
    <t>tjp3</t>
  </si>
  <si>
    <t>tight junction protein 3 [Source:ZFIN;Acc:ZDB-GENE-030828-10]</t>
  </si>
  <si>
    <t>ENSDARG00000101291</t>
  </si>
  <si>
    <t>txndc11</t>
  </si>
  <si>
    <t>thioredoxin domain containing 11 [Source:ZFIN;Acc:ZDB-GENE-041008-112]</t>
  </si>
  <si>
    <t>ENSDARG00000037963</t>
  </si>
  <si>
    <t>nek6</t>
  </si>
  <si>
    <t>NIMA-related kinase 6 [Source:ZFIN;Acc:ZDB-GENE-040724-133]</t>
  </si>
  <si>
    <t>ENSDARG00000060094</t>
  </si>
  <si>
    <t>ptgis</t>
  </si>
  <si>
    <t>prostaglandin I2 (prostacyclin) synthase [Source:ZFIN;Acc:ZDB-GENE-070116-1]</t>
  </si>
  <si>
    <t>ENSDARG00000007382</t>
  </si>
  <si>
    <t>ubtd1a</t>
  </si>
  <si>
    <t>ubiquitin domain containing 1a [Source:ZFIN;Acc:ZDB-GENE-070424-93]</t>
  </si>
  <si>
    <t>ENSDARG00000075333</t>
  </si>
  <si>
    <t>tbc1d25</t>
  </si>
  <si>
    <t>TBC1 domain family, member 25 [Source:ZFIN;Acc:ZDB-GENE-041111-25]</t>
  </si>
  <si>
    <t>ENSDARG00000011597</t>
  </si>
  <si>
    <t>atxn2l</t>
  </si>
  <si>
    <t>ataxin 2-like [Source:ZFIN;Acc:ZDB-GENE-030131-3246]</t>
  </si>
  <si>
    <t>ENSDARG00000042553</t>
  </si>
  <si>
    <t>pex7</t>
  </si>
  <si>
    <t>peroxisomal biogenesis factor 7 [Source:ZFIN;Acc:ZDB-GENE-050320-105]</t>
  </si>
  <si>
    <t>ENSDARG00000060978</t>
  </si>
  <si>
    <t>atp2a3</t>
  </si>
  <si>
    <t>ATPase, Ca++ transporting, ubiquitous [Source:ZFIN;Acc:ZDB-GENE-060531-103]</t>
  </si>
  <si>
    <t>ENSDARG00000029955</t>
  </si>
  <si>
    <t>glb1l</t>
  </si>
  <si>
    <t>galactosidase, beta 1-like [Source:ZFIN;Acc:ZDB-GENE-050309-196]</t>
  </si>
  <si>
    <t>ENSDARG00000076002</t>
  </si>
  <si>
    <t>osbpl5</t>
  </si>
  <si>
    <t>oxysterol binding protein-like 5 [Source:ZFIN;Acc:ZDB-GENE-030131-5872]</t>
  </si>
  <si>
    <t>ENSDARG00000013076</t>
  </si>
  <si>
    <t>bmi1b</t>
  </si>
  <si>
    <t>bmi1 polycomb ring finger oncogene 1b [Source:ZFIN;Acc:ZDB-GENE-040116-4]</t>
  </si>
  <si>
    <t>ENSDARG00000010956</t>
  </si>
  <si>
    <t>sh3glb1b</t>
  </si>
  <si>
    <t>SH3-domain GRB2-like endophilin B1b [Source:ZFIN;Acc:ZDB-GENE-030131-6851]</t>
  </si>
  <si>
    <t>ENSDARG00000060176</t>
  </si>
  <si>
    <t>trmt10b</t>
  </si>
  <si>
    <t>tRNA methyltransferase 10B [Source:ZFIN;Acc:ZDB-GENE-061013-313]</t>
  </si>
  <si>
    <t>ENSDARG00000095912</t>
  </si>
  <si>
    <t>si:dkey-229b18.3</t>
  </si>
  <si>
    <t>si:dkey-229b18.3 [Source:ZFIN;Acc:ZDB-GENE-030131-6870]</t>
  </si>
  <si>
    <t>ENSDARG00000060687</t>
  </si>
  <si>
    <t>chd2</t>
  </si>
  <si>
    <t>chromodomain helicase DNA binding protein 2 [Source:ZFIN;Acc:ZDB-GENE-050419-256]</t>
  </si>
  <si>
    <t>ENSDARG00000071685</t>
  </si>
  <si>
    <t>slco5a1</t>
  </si>
  <si>
    <t>solute carrier organic anion transporter family, member 5A1 [Source:ZFIN;Acc:ZDB-GENE-090316-1]</t>
  </si>
  <si>
    <t>ENSDARG00000102607</t>
  </si>
  <si>
    <t>pmpca</t>
  </si>
  <si>
    <t>peptidase (mitochondrial processing) alpha [Source:ZFIN;Acc:ZDB-GENE-030131-5809]</t>
  </si>
  <si>
    <t>ENSDARG00000038870</t>
  </si>
  <si>
    <t>slu7</t>
  </si>
  <si>
    <t>SLU7 homolog, splicing factor [Source:ZFIN;Acc:ZDB-GENE-041114-62]</t>
  </si>
  <si>
    <t>ENSDARG00000022415</t>
  </si>
  <si>
    <t>srsf10a</t>
  </si>
  <si>
    <t>serine/arginine-rich splicing factor 10a [Source:ZFIN;Acc:ZDB-GENE-131121-145]</t>
  </si>
  <si>
    <t>ENSDARG00000100955</t>
  </si>
  <si>
    <t>stk24a</t>
  </si>
  <si>
    <t>serine/threonine kinase 24a (STE20 homolog, yeast) [Source:ZFIN;Acc:ZDB-GENE-070424-52]</t>
  </si>
  <si>
    <t>ENSDARG00000074311</t>
  </si>
  <si>
    <t>mast2</t>
  </si>
  <si>
    <t>microtubule associated serine/threonine kinase 2 [Source:ZFIN;Acc:ZDB-GENE-050309-150]</t>
  </si>
  <si>
    <t>ENSDARG00000000489</t>
  </si>
  <si>
    <t>upf3b</t>
  </si>
  <si>
    <t>UPF3 regulator of nonsense transcripts homolog B (yeast) [Source:ZFIN;Acc:ZDB-GENE-040426-1630]</t>
  </si>
  <si>
    <t>ENSDARG00000099024</t>
  </si>
  <si>
    <t>MSLN.1</t>
  </si>
  <si>
    <t>si:ch211-188p14.5 [Source:ZFIN;Acc:ZDB-GENE-121214-312]</t>
  </si>
  <si>
    <t>ENSDARG00000100260</t>
  </si>
  <si>
    <t>THEM6.1</t>
  </si>
  <si>
    <t>si:ch73-52e5.1 [Source:ZFIN;Acc:ZDB-GENE-070912-340]</t>
  </si>
  <si>
    <t>ENSDARG00000033498</t>
  </si>
  <si>
    <t>rorb</t>
  </si>
  <si>
    <t>RAR-related orphan receptor B [Source:ZFIN;Acc:ZDB-GENE-061204-2]</t>
  </si>
  <si>
    <t>ENSDARG00000104138</t>
  </si>
  <si>
    <t>igfbp7</t>
  </si>
  <si>
    <t>insulin-like growth factor binding protein 7 [Source:ZFIN;Acc:ZDB-GENE-040426-2423]</t>
  </si>
  <si>
    <t>ENSDARG00000102367</t>
  </si>
  <si>
    <t>ndfip1l</t>
  </si>
  <si>
    <t>Nedd4 family interacting protein 1, like [Source:ZFIN;Acc:ZDB-GENE-040718-207]</t>
  </si>
  <si>
    <t>ENSDARG00000044915</t>
  </si>
  <si>
    <t>sfmbt1</t>
  </si>
  <si>
    <t>Scm-like with four mbt domains 1 [Source:ZFIN;Acc:ZDB-GENE-030131-2592]</t>
  </si>
  <si>
    <t>ENSDARG00000077385</t>
  </si>
  <si>
    <t>rgs19</t>
  </si>
  <si>
    <t>regulator of G-protein signaling 19 [Source:ZFIN;Acc:ZDB-GENE-080723-72]</t>
  </si>
  <si>
    <t>ENSDARG00000036415</t>
  </si>
  <si>
    <t>glb1</t>
  </si>
  <si>
    <t>galactosidase, beta 1 [Source:ZFIN;Acc:ZDB-GENE-050410-9]</t>
  </si>
  <si>
    <t>ENSDARG00000020224</t>
  </si>
  <si>
    <t>ERGIC2</t>
  </si>
  <si>
    <t>si:ch211-225b10.3 [Source:ZFIN;Acc:ZDB-GENE-130531-53]</t>
  </si>
  <si>
    <t>ENSDARG00000044199</t>
  </si>
  <si>
    <t>gnat1</t>
  </si>
  <si>
    <t>guanine nucleotide binding protein (G protein), alpha transducing activity polypeptide 1 [Source:ZFIN;Acc:ZDB-GENE-011128-11]</t>
  </si>
  <si>
    <t>ENSDARG00000058256</t>
  </si>
  <si>
    <t>draxin</t>
  </si>
  <si>
    <t>dorsal inhibitory axon guidance protein [Source:ZFIN;Acc:ZDB-GENE-050913-20]</t>
  </si>
  <si>
    <t>ENSDARG00000044753</t>
  </si>
  <si>
    <t>idh3b</t>
  </si>
  <si>
    <t>isocitrate dehydrogenase 3 (NAD+) beta [Source:ZFIN;Acc:ZDB-GENE-040625-174]</t>
  </si>
  <si>
    <t>ENSDARG00000069090</t>
  </si>
  <si>
    <t>atp6v0d1</t>
  </si>
  <si>
    <t>ATPase, H+ transporting, lysosomal V0 subunit d1 [Source:ZFIN;Acc:ZDB-GENE-030131-1531]</t>
  </si>
  <si>
    <t>ENSDARG00000013441</t>
  </si>
  <si>
    <t>hey2</t>
  </si>
  <si>
    <t>hes-related family bHLH transcription factor with YRPW motif 2 [Source:ZFIN;Acc:ZDB-GENE-000526-1]</t>
  </si>
  <si>
    <t>ENSDARG00000104641</t>
  </si>
  <si>
    <t>si:ch211-261d7.6</t>
  </si>
  <si>
    <t>si:ch211-261d7.6 [Source:ZFIN;Acc:ZDB-GENE-141216-266]</t>
  </si>
  <si>
    <t>ENSDARG00000005612</t>
  </si>
  <si>
    <t>aph1b</t>
  </si>
  <si>
    <t>APH1B gamma secretase subunit [Source:ZFIN;Acc:ZDB-GENE-031118-31]</t>
  </si>
  <si>
    <t>ENSDARG00000102403</t>
  </si>
  <si>
    <t>cry2</t>
  </si>
  <si>
    <t>cryptochrome circadian clock 2 [Source:ZFIN;Acc:ZDB-GENE-010426-6]</t>
  </si>
  <si>
    <t>ENSDARG00000076891</t>
  </si>
  <si>
    <t>rfxap</t>
  </si>
  <si>
    <t>regulatory factor X-associated protein [Source:ZFIN;Acc:ZDB-GENE-091204-321]</t>
  </si>
  <si>
    <t>ENSDARG00000059498</t>
  </si>
  <si>
    <t>arl16</t>
  </si>
  <si>
    <t>ADP-ribosylation factor-like 16 [Source:ZFIN;Acc:ZDB-GENE-070410-114]</t>
  </si>
  <si>
    <t>ENSDARG00000093402</t>
  </si>
  <si>
    <t>si:dkey-286j17.4</t>
  </si>
  <si>
    <t>si:dkey-286j17.4 [Source:ZFIN;Acc:ZDB-GENE-130530-2]</t>
  </si>
  <si>
    <t>ENSDARG00000011618</t>
  </si>
  <si>
    <t>slc26a2</t>
  </si>
  <si>
    <t>solute carrier family 26 (anion exchanger), member 2 [Source:ZFIN;Acc:ZDB-GENE-030717-3]</t>
  </si>
  <si>
    <t>ENSDARG00000059028</t>
  </si>
  <si>
    <t>srrd</t>
  </si>
  <si>
    <t>SRR1 domain containing [Source:ZFIN;Acc:ZDB-GENE-060825-269]</t>
  </si>
  <si>
    <t>ENSDARG00000097931</t>
  </si>
  <si>
    <t>si:dkeyp-86b9.5</t>
  </si>
  <si>
    <t>si:dkeyp-86b9.5 [Source:ZFIN;Acc:ZDB-GENE-131121-109]</t>
  </si>
  <si>
    <t>ENSDARG00000012914</t>
  </si>
  <si>
    <t>arhgef4</t>
  </si>
  <si>
    <t>Rho guanine nucleotide exchange factor (GEF) 4 [Source:ZFIN;Acc:ZDB-GENE-070912-575]</t>
  </si>
  <si>
    <t>ENSDARG00000094836</t>
  </si>
  <si>
    <t>si:ch211-195b15.8</t>
  </si>
  <si>
    <t>si:ch211-195b15.8 [Source:ZFIN;Acc:ZDB-GENE-131127-627]</t>
  </si>
  <si>
    <t>ENSDARG00000059835</t>
  </si>
  <si>
    <t>zfyve27</t>
  </si>
  <si>
    <t>zinc finger, FYVE domain containing 27 [Source:ZFIN;Acc:ZDB-GENE-061013-502]</t>
  </si>
  <si>
    <t>ENSDARG00000039095</t>
  </si>
  <si>
    <t>nkx2.3</t>
  </si>
  <si>
    <t>NK2 homeobox 3 [Source:ZFIN;Acc:ZDB-GENE-990415-178]</t>
  </si>
  <si>
    <t>ENSDARG00000001057</t>
  </si>
  <si>
    <t>bysl</t>
  </si>
  <si>
    <t>bystin-like [Source:ZFIN;Acc:ZDB-GENE-040426-1287]</t>
  </si>
  <si>
    <t>ENSDARG00000094451</t>
  </si>
  <si>
    <t>cfp</t>
  </si>
  <si>
    <t>complement factor properdin [Source:ZFIN;Acc:ZDB-GENE-030131-9247]</t>
  </si>
  <si>
    <t>ENSDARG00000023656</t>
  </si>
  <si>
    <t>he1a</t>
  </si>
  <si>
    <t>hatching enzyme 1a [Source:ZFIN;Acc:ZDB-GENE-021211-3]</t>
  </si>
  <si>
    <t>ENSDARG00000100573</t>
  </si>
  <si>
    <t>ckap2l</t>
  </si>
  <si>
    <t>cytoskeleton associated protein 2-like [Source:ZFIN;Acc:ZDB-GENE-030131-6690]</t>
  </si>
  <si>
    <t>ENSDARG00000021938</t>
  </si>
  <si>
    <t>smad9</t>
  </si>
  <si>
    <t>SMAD family member 9 [Source:ZFIN;Acc:ZDB-GENE-031014-1]</t>
  </si>
  <si>
    <t>ENSDARG00000069230</t>
  </si>
  <si>
    <t>IQCA1L</t>
  </si>
  <si>
    <t>zgc:153738 [Source:ZFIN;Acc:ZDB-GENE-061013-622]</t>
  </si>
  <si>
    <t>ENSDARG00000099973</t>
  </si>
  <si>
    <t>ctage5</t>
  </si>
  <si>
    <t>CTAGE family, member 5 [Source:ZFIN;Acc:ZDB-GENE-040426-872]</t>
  </si>
  <si>
    <t>ENSDARG00000005468</t>
  </si>
  <si>
    <t>irf2bp1</t>
  </si>
  <si>
    <t>interferon regulatory factor 2 binding protein 1 [Source:ZFIN;Acc:ZDB-GENE-050420-389]</t>
  </si>
  <si>
    <t>ENSDARG00000070873</t>
  </si>
  <si>
    <t>ccl25b</t>
  </si>
  <si>
    <t>chemokine (C-C motif) ligand 25b [Source:ZFIN;Acc:ZDB-GENE-110222-2]</t>
  </si>
  <si>
    <t>ENSDARG00000044341</t>
  </si>
  <si>
    <t>chst7</t>
  </si>
  <si>
    <t>carbohydrate (N-acetylglucosamine 6-O) sulfotransferase 7 [Source:ZFIN;Acc:ZDB-GENE-131121-150]</t>
  </si>
  <si>
    <t>ENSDARG00000075354</t>
  </si>
  <si>
    <t>espl1</t>
  </si>
  <si>
    <t>extra spindle pole bodies like 1, separase [Source:ZFIN;Acc:ZDB-GENE-030131-5188]</t>
  </si>
  <si>
    <t>ENSDARG00000060169</t>
  </si>
  <si>
    <t>mns1</t>
  </si>
  <si>
    <t>meiosis-specific nuclear structural 1 [Source:ZFIN;Acc:ZDB-GENE-030521-42]</t>
  </si>
  <si>
    <t>ENSDARG00000036158</t>
  </si>
  <si>
    <t>nudcd1</t>
  </si>
  <si>
    <t>NudC domain containing 1 [Source:ZFIN;Acc:ZDB-GENE-050522-483]</t>
  </si>
  <si>
    <t>ENSDARG00000004204</t>
  </si>
  <si>
    <t>efhc2</t>
  </si>
  <si>
    <t>EF-hand domain (C-terminal) containing 2 [Source:ZFIN;Acc:ZDB-GENE-031001-10]</t>
  </si>
  <si>
    <t>ENSDARG00000012340</t>
  </si>
  <si>
    <t>ptpn11b</t>
  </si>
  <si>
    <t>protein tyrosine phosphatase, non-receptor type 11, b [Source:ZFIN;Acc:ZDB-GENE-040426-1158]</t>
  </si>
  <si>
    <t>ENSDARG00000036541</t>
  </si>
  <si>
    <t>rhbdf1a</t>
  </si>
  <si>
    <t>rhomboid 5 homolog 1a (Drosophila) [Source:ZFIN;Acc:ZDB-GENE-040704-75]</t>
  </si>
  <si>
    <t>ENSDARG00000036338</t>
  </si>
  <si>
    <t>vps11</t>
  </si>
  <si>
    <t>vacuolar protein sorting 11 [Source:ZFIN;Acc:ZDB-GENE-050731-5]</t>
  </si>
  <si>
    <t>ENSDARG00000067976</t>
  </si>
  <si>
    <t>ar</t>
  </si>
  <si>
    <t>androgen receptor [Source:ZFIN;Acc:ZDB-GENE-060131-1]</t>
  </si>
  <si>
    <t>ENSDARG00000076796</t>
  </si>
  <si>
    <t>dlg3</t>
  </si>
  <si>
    <t>discs, large homolog 3 (Drosophila) [Source:ZFIN;Acc:ZDB-GENE-050208-93]</t>
  </si>
  <si>
    <t>ENSDARG00000070581</t>
  </si>
  <si>
    <t>ggact.1</t>
  </si>
  <si>
    <t>gamma-glutamylamine cyclotransferase, tandem duplicate 1 [Source:ZFIN;Acc:ZDB-GENE-061103-94]</t>
  </si>
  <si>
    <t>ENSDARG00000103912</t>
  </si>
  <si>
    <t>si:ch211-227e10.3</t>
  </si>
  <si>
    <t>si:ch211-227e10.3 [Source:ZFIN;Acc:ZDB-GENE-050420-291]</t>
  </si>
  <si>
    <t>ENSDARG00000008560</t>
  </si>
  <si>
    <t>brap</t>
  </si>
  <si>
    <t>BRCA1 associated protein [Source:ZFIN;Acc:ZDB-GENE-040718-168]</t>
  </si>
  <si>
    <t>ENSDARG00000015222</t>
  </si>
  <si>
    <t>cbll1</t>
  </si>
  <si>
    <t>Cbl proto-oncogene-like 1, E3 ubiquitin protein ligase [Source:ZFIN;Acc:ZDB-GENE-040426-691]</t>
  </si>
  <si>
    <t>ENSDARG00000104727</t>
  </si>
  <si>
    <t>ino80da</t>
  </si>
  <si>
    <t>INO80 complex subunit Da [Source:ZFIN;Acc:ZDB-GENE-091204-416]</t>
  </si>
  <si>
    <t>ENSDARG00000096899</t>
  </si>
  <si>
    <t>si:ch73-166c6.1</t>
  </si>
  <si>
    <t>si:ch73-166c6.1 [Source:ZFIN;Acc:ZDB-GENE-131119-5]</t>
  </si>
  <si>
    <t>ENSDARG00000061774</t>
  </si>
  <si>
    <t>mbd3a</t>
  </si>
  <si>
    <t>methyl-CpG binding domain protein 3a [Source:ZFIN;Acc:ZDB-GENE-030131-9077]</t>
  </si>
  <si>
    <t>ENSDARG00000061214</t>
  </si>
  <si>
    <t>lipin2</t>
  </si>
  <si>
    <t>lipin 2 [Source:ZFIN;Acc:ZDB-GENE-060503-153]</t>
  </si>
  <si>
    <t>ENSDARG00000016207</t>
  </si>
  <si>
    <t>zgc:112408</t>
  </si>
  <si>
    <t>zgc:112408 [Source:ZFIN;Acc:ZDB-GENE-050417-63]</t>
  </si>
  <si>
    <t>ENSDARG00000092181</t>
  </si>
  <si>
    <t>im:7140055</t>
  </si>
  <si>
    <t>im:7140055 [Source:ZFIN;Acc:ZDB-GENE-041111-101]</t>
  </si>
  <si>
    <t>ENSDARG00000079745</t>
  </si>
  <si>
    <t>si:ch211-166a6.5</t>
  </si>
  <si>
    <t>si:ch211-166a6.5 [Source:ZFIN;Acc:ZDB-GENE-030131-9913]</t>
  </si>
  <si>
    <t>ENSDARG00000061120</t>
  </si>
  <si>
    <t>slc43a2b</t>
  </si>
  <si>
    <t>solute carrier family 43 (amino acid system L transporter), member 2b [Source:ZFIN;Acc:ZDB-GENE-041212-6]</t>
  </si>
  <si>
    <t>ENSDARG00000091896</t>
  </si>
  <si>
    <t>si:dkey-4c15.4</t>
  </si>
  <si>
    <t>si:dkey-4c15.4 [Source:ZFIN;Acc:ZDB-GENE-050420-348]</t>
  </si>
  <si>
    <t>ENSDARG00000040815</t>
  </si>
  <si>
    <t>tsku</t>
  </si>
  <si>
    <t>tsukushi small leucine rich proteoglycan homolog (Xenopus laevis) [Source:ZFIN;Acc:ZDB-GENE-030131-4683]</t>
  </si>
  <si>
    <t>ENSDARG00000003098</t>
  </si>
  <si>
    <t>kdm5bb</t>
  </si>
  <si>
    <t>lysine (K)-specific demethylase 5Bb [Source:ZFIN;Acc:ZDB-GENE-030424-1]</t>
  </si>
  <si>
    <t>ENSDARG00000018782</t>
  </si>
  <si>
    <t>kdm4aa</t>
  </si>
  <si>
    <t>lysine (K)-specific demethylase 4A, genome duplicate a [Source:ZFIN;Acc:ZDB-GENE-110609-4]</t>
  </si>
  <si>
    <t>ENSDARG00000029150</t>
  </si>
  <si>
    <t>hsp90ab1</t>
  </si>
  <si>
    <t>heat shock protein 90, alpha (cytosolic), class B member 1 [Source:ZFIN;Acc:ZDB-GENE-990415-95]</t>
  </si>
  <si>
    <t>ENSDARG00000077934</t>
  </si>
  <si>
    <t>tegt</t>
  </si>
  <si>
    <t>testis enhanced gene transcript (BAX inhibitor 1) [Source:ZFIN;Acc:ZDB-GENE-030826-10]</t>
  </si>
  <si>
    <t>ENSDARG00000098785</t>
  </si>
  <si>
    <t>glrx3</t>
  </si>
  <si>
    <t>glutaredoxin 3 [Source:ZFIN;Acc:ZDB-GENE-041010-22]</t>
  </si>
  <si>
    <t>ENSDARG00000013719</t>
  </si>
  <si>
    <t>gtse1</t>
  </si>
  <si>
    <t>G-2 and S-phase expressed 1 [Source:ZFIN;Acc:ZDB-GENE-050522-493]</t>
  </si>
  <si>
    <t>ENSDARG00000095938</t>
  </si>
  <si>
    <t>si:ch211-79h18.2</t>
  </si>
  <si>
    <t>si:ch211-79h18.2 [Source:ZFIN;Acc:ZDB-GENE-110411-181]</t>
  </si>
  <si>
    <t>ENSDARG00000092027</t>
  </si>
  <si>
    <t>si:dkey-20i20.9</t>
  </si>
  <si>
    <t>si:dkey-20i20.9 [Source:ZFIN;Acc:ZDB-GENE-060503-152]</t>
  </si>
  <si>
    <t>ENSDARG00000026865</t>
  </si>
  <si>
    <t>fam107b</t>
  </si>
  <si>
    <t>family with sequence similarity 107, member B [Source:ZFIN;Acc:ZDB-GENE-031030-12]</t>
  </si>
  <si>
    <t>ENSDARG00000045549</t>
  </si>
  <si>
    <t>bik</t>
  </si>
  <si>
    <t>BCL2-interacting killer (apoptosis-inducing) [Source:ZFIN;Acc:ZDB-GENE-041210-181]</t>
  </si>
  <si>
    <t>ENSDARG00000058267</t>
  </si>
  <si>
    <t>glmna</t>
  </si>
  <si>
    <t>glomulin, FKBP associated protein a [Source:ZFIN;Acc:ZDB-GENE-041114-120]</t>
  </si>
  <si>
    <t>ENSDARG00000105119</t>
  </si>
  <si>
    <t>si:ch211-258f1.3</t>
  </si>
  <si>
    <t>si:ch211-258f1.3 [Source:ZFIN;Acc:ZDB-GENE-070912-252]</t>
  </si>
  <si>
    <t>ENSDARG00000074868</t>
  </si>
  <si>
    <t>si:dkey-4c15.11</t>
  </si>
  <si>
    <t>si:dkey-4c15.11 [Source:ZFIN;Acc:ZDB-GENE-050420-216]</t>
  </si>
  <si>
    <t>ENSDARG00000022788</t>
  </si>
  <si>
    <t>cops7a</t>
  </si>
  <si>
    <t>COP9 constitutive photomorphogenic homolog subunit 7A [Source:ZFIN;Acc:ZDB-GENE-030131-8680]</t>
  </si>
  <si>
    <t>ENSDARG00000055398</t>
  </si>
  <si>
    <t>foxc1b</t>
  </si>
  <si>
    <t>forkhead box C1b [Source:ZFIN;Acc:ZDB-GENE-010302-2]</t>
  </si>
  <si>
    <t>ENSDARG00000039483</t>
  </si>
  <si>
    <t>si:dkey-51a16.9</t>
  </si>
  <si>
    <t>si:dkey-51a16.9 [Source:ZFIN;Acc:ZDB-GENE-030616-560]</t>
  </si>
  <si>
    <t>ENSDARG00000055903</t>
  </si>
  <si>
    <t>luc7l</t>
  </si>
  <si>
    <t>LUC7-like (S. cerevisiae) [Source:ZFIN;Acc:ZDB-GENE-040625-111]</t>
  </si>
  <si>
    <t>ENSDARG00000035308</t>
  </si>
  <si>
    <t>grb10b</t>
  </si>
  <si>
    <t>growth factor receptor-bound protein 10b [Source:ZFIN;Acc:ZDB-GENE-091020-12]</t>
  </si>
  <si>
    <t>ENSDARG00000097102</t>
  </si>
  <si>
    <t>si:ch73-281n10.2</t>
  </si>
  <si>
    <t>si:ch73-281n10.2 [Source:ZFIN;Acc:ZDB-GENE-131120-172]</t>
  </si>
  <si>
    <t>ENSDARG00000054292</t>
  </si>
  <si>
    <t>si:ch211-14a17.11</t>
  </si>
  <si>
    <t>si:ch211-14a17.11 [Source:ZFIN;Acc:ZDB-GENE-030616-582]</t>
  </si>
  <si>
    <t>ENSDARG00000069893</t>
  </si>
  <si>
    <t>sphk2</t>
  </si>
  <si>
    <t>sphingosine kinase 2 [Source:ZFIN;Acc:ZDB-GENE-100922-225]</t>
  </si>
  <si>
    <t>ENSDARG00000038918</t>
  </si>
  <si>
    <t>drd1b</t>
  </si>
  <si>
    <t>dopamine receptor D1b [Source:ZFIN;Acc:ZDB-GENE-070524-2]</t>
  </si>
  <si>
    <t>ENSDARG00000091655</t>
  </si>
  <si>
    <t>gcsha</t>
  </si>
  <si>
    <t>glycine cleavage system protein H (aminomethyl carrier), a [Source:ZFIN;Acc:ZDB-GENE-050320-18]</t>
  </si>
  <si>
    <t>ENSDARG00000075567</t>
  </si>
  <si>
    <t>fbxl20</t>
  </si>
  <si>
    <t>F-box and leucine-rich repeat protein 20 [Source:ZFIN;Acc:ZDB-GENE-081031-27]</t>
  </si>
  <si>
    <t>ENSDARG00000093044</t>
  </si>
  <si>
    <t>si:ch211-161h7.5</t>
  </si>
  <si>
    <t>si:ch211-161h7.5 [Source:ZFIN;Acc:ZDB-GENE-091204-265]</t>
  </si>
  <si>
    <t>ENSDARG00000036295</t>
  </si>
  <si>
    <t>golga7ba</t>
  </si>
  <si>
    <t>golgin A7 family, member Ba [Source:ZFIN;Acc:ZDB-GENE-050417-14]</t>
  </si>
  <si>
    <t>ENSDARG00000087869</t>
  </si>
  <si>
    <t>si:ch211-11k18.4</t>
  </si>
  <si>
    <t>si:ch211-11k18.4 [Source:ZFIN;Acc:ZDB-GENE-070912-22]</t>
  </si>
  <si>
    <t>ENSDARG00000038743</t>
  </si>
  <si>
    <t>copb2</t>
  </si>
  <si>
    <t>coatomer protein complex, subunit beta 2 [Source:ZFIN;Acc:ZDB-GENE-010724-7]</t>
  </si>
  <si>
    <t>ENSDARG00000103367</t>
  </si>
  <si>
    <t>si:ch211-127m7.2</t>
  </si>
  <si>
    <t>si:ch211-127m7.2 [Source:ZFIN;Acc:ZDB-GENE-141212-148]</t>
  </si>
  <si>
    <t>ENSDARG00000098025</t>
  </si>
  <si>
    <t>si:dkey-189a9.4</t>
  </si>
  <si>
    <t>si:dkey-189a9.4 [Source:ZFIN;Acc:ZDB-GENE-131121-238]</t>
  </si>
  <si>
    <t>ENSDARG00000029011</t>
  </si>
  <si>
    <t>xpnpep1</t>
  </si>
  <si>
    <t>X-prolyl aminopeptidase (aminopeptidase P) 1, soluble [Source:ZFIN;Acc:ZDB-GENE-040426-999]</t>
  </si>
  <si>
    <t>ENSDARG00000061656</t>
  </si>
  <si>
    <t>ptpdc1a</t>
  </si>
  <si>
    <t>protein tyrosine phosphatase domain containing 1a [Source:ZFIN;Acc:ZDB-GENE-070112-632]</t>
  </si>
  <si>
    <t>ENSDARG00000103939</t>
  </si>
  <si>
    <t>si:dkeyp-79b7.10</t>
  </si>
  <si>
    <t>si:dkeyp-79b7.10 [Source:ZFIN;Acc:ZDB-GENE-050208-641]</t>
  </si>
  <si>
    <t>ENSDARG00000091003</t>
  </si>
  <si>
    <t>il34</t>
  </si>
  <si>
    <t>interleukin 34 [Source:ZFIN;Acc:ZDB-GENE-050419-150]</t>
  </si>
  <si>
    <t>ENSDARG00000042182</t>
  </si>
  <si>
    <t>drc1</t>
  </si>
  <si>
    <t>dynein regulatory complex subunit 1 homolog (Chlamydomonas) [Source:ZFIN;Acc:ZDB-GENE-041001-218]</t>
  </si>
  <si>
    <t>ENSDARG00000078247</t>
  </si>
  <si>
    <t>vip</t>
  </si>
  <si>
    <t>vasoactive intestinal peptide [Source:ZFIN;Acc:ZDB-GENE-080204-3]</t>
  </si>
  <si>
    <t>ENSDARG00000021899</t>
  </si>
  <si>
    <t>b4galt7</t>
  </si>
  <si>
    <t>xylosylprotein beta 1,4-galactosyltransferase, polypeptide 7 (galactosyltransferase I) [Source:ZFIN;Acc:ZDB-GENE-040727-3]</t>
  </si>
  <si>
    <t>ENSDARG00000076153</t>
  </si>
  <si>
    <t>lca5</t>
  </si>
  <si>
    <t>Leber congenital amaurosis 5 [Source:ZFIN;Acc:ZDB-GENE-090313-268]</t>
  </si>
  <si>
    <t>ENSDARG00000103004</t>
  </si>
  <si>
    <t>tpra</t>
  </si>
  <si>
    <t>translocated promoter region a, nuclear basket protein [Source:ZFIN;Acc:ZDB-GENE-081104-2]</t>
  </si>
  <si>
    <t>ENSDARG00000089780</t>
  </si>
  <si>
    <t>si:dkey-288a3.2</t>
  </si>
  <si>
    <t>si:dkey-288a3.2 [Source:ZFIN;Acc:ZDB-GENE-131127-351]</t>
  </si>
  <si>
    <t>ENSDARG00000103294</t>
  </si>
  <si>
    <t>si:ch211-221j21.3</t>
  </si>
  <si>
    <t>si:ch211-221j21.3 [Source:ZFIN;Acc:ZDB-GENE-030131-1805]</t>
  </si>
  <si>
    <t>ENSDARG00000016375</t>
  </si>
  <si>
    <t>asns</t>
  </si>
  <si>
    <t>asparagine synthetase [Source:ZFIN;Acc:ZDB-GENE-040426-1091]</t>
  </si>
  <si>
    <t>ENSDARG00000093070</t>
  </si>
  <si>
    <t>thumpd2</t>
  </si>
  <si>
    <t>THUMP domain containing 2 [Source:ZFIN;Acc:ZDB-GENE-090428-2]</t>
  </si>
  <si>
    <t>ENSDARG00000102299</t>
  </si>
  <si>
    <t>cxcl8b.1</t>
  </si>
  <si>
    <t>chemokine (C-X-C motif) ligand 8b, duplicate 1 [Source:ZFIN;Acc:ZDB-GENE-101026-3]</t>
  </si>
  <si>
    <t>ENSDARG00000102678</t>
  </si>
  <si>
    <t>si:dkey-15h8.12</t>
  </si>
  <si>
    <t>si:dkey-15h8.12 [Source:ZFIN;Acc:ZDB-GENE-050208-386]</t>
  </si>
  <si>
    <t>ENSDARG00000044091</t>
  </si>
  <si>
    <t>pitpnab</t>
  </si>
  <si>
    <t>phosphatidylinositol transfer protein, alpha b [Source:ZFIN;Acc:ZDB-GENE-110408-51]</t>
  </si>
  <si>
    <t>ENSDARG00000012574</t>
  </si>
  <si>
    <t>slkb</t>
  </si>
  <si>
    <t>STE20-like kinase b [Source:ZFIN;Acc:ZDB-GENE-030131-1684]</t>
  </si>
  <si>
    <t>ENSDARG00000096473</t>
  </si>
  <si>
    <t>mcat</t>
  </si>
  <si>
    <t>mcat.1</t>
  </si>
  <si>
    <t>malonyl CoA:ACP acyltransferase (mitochondrial) [Source:ZFIN;Acc:ZDB-GENE-041111-231]</t>
  </si>
  <si>
    <t>ENSDARG00000089019</t>
  </si>
  <si>
    <t>si:ch211-175m2.5</t>
  </si>
  <si>
    <t>si:ch211-175m2.5 [Source:ZFIN;Acc:ZDB-GENE-130530-947]</t>
  </si>
  <si>
    <t>ENSDARG00000056443</t>
  </si>
  <si>
    <t>zgc:152753</t>
  </si>
  <si>
    <t>zgc:152753 [Source:ZFIN;Acc:ZDB-GENE-060818-8]</t>
  </si>
  <si>
    <t>ENSDARG00000015010</t>
  </si>
  <si>
    <t>ccdc114</t>
  </si>
  <si>
    <t>coiled-coil domain containing 114 [Source:ZFIN;Acc:ZDB-GENE-041114-110]</t>
  </si>
  <si>
    <t>ENSDARG00000003866</t>
  </si>
  <si>
    <t>tm9sf2</t>
  </si>
  <si>
    <t>transmembrane 9 superfamily member 2 [Source:ZFIN;Acc:ZDB-GENE-030131-6302]</t>
  </si>
  <si>
    <t>ENSDARG00000094590</t>
  </si>
  <si>
    <t>c2cd5</t>
  </si>
  <si>
    <t>C2 calcium-dependent domain containing 5 [Source:ZFIN;Acc:ZDB-GENE-041114-193]</t>
  </si>
  <si>
    <t>ENSDARG00000091092</t>
  </si>
  <si>
    <t>zcchc10</t>
  </si>
  <si>
    <t>zinc finger, CCHC domain containing 10 [Source:ZFIN;Acc:ZDB-GENE-030131-6172]</t>
  </si>
  <si>
    <t>ENSDARG00000078246</t>
  </si>
  <si>
    <t>si:ch211-114l13.4</t>
  </si>
  <si>
    <t>si:ch211-114l13.4 [Source:ZFIN;Acc:ZDB-GENE-070424-113]</t>
  </si>
  <si>
    <t>ENSDARG00000009074</t>
  </si>
  <si>
    <t>cbr4</t>
  </si>
  <si>
    <t>carbonyl reductase 4 [Source:ZFIN;Acc:ZDB-GENE-040426-1796]</t>
  </si>
  <si>
    <t>ENSDARG00000015543</t>
  </si>
  <si>
    <t>s100a1</t>
  </si>
  <si>
    <t>S100 calcium binding protein A1 [Source:ZFIN;Acc:ZDB-GENE-040916-1]</t>
  </si>
  <si>
    <t>ENSDARG00000068262</t>
  </si>
  <si>
    <t>vamp5</t>
  </si>
  <si>
    <t>vesicle-associated membrane protein 5 [Source:ZFIN;Acc:ZDB-GENE-030131-4209]</t>
  </si>
  <si>
    <t>ENSDARG00000099428</t>
  </si>
  <si>
    <t>si:dkey-15h8.17</t>
  </si>
  <si>
    <t>si:dkey-15h8.17 [Source:ZFIN;Acc:ZDB-GENE-141222-9]</t>
  </si>
  <si>
    <t>ENSDARG00000006395</t>
  </si>
  <si>
    <t>rbm25b</t>
  </si>
  <si>
    <t>RNA binding motif protein 25b [Source:ZFIN;Acc:ZDB-GENE-030131-5547]</t>
  </si>
  <si>
    <t>ENSDARG00000052279</t>
  </si>
  <si>
    <t>osgn1</t>
  </si>
  <si>
    <t>oxidative stress induced growth inhibitor 1 [Source:ZFIN;Acc:ZDB-GENE-040426-864]</t>
  </si>
  <si>
    <t>ENSDARG00000043757</t>
  </si>
  <si>
    <t>ptbp3</t>
  </si>
  <si>
    <t>polypyrimidine tract binding protein 3 [Source:ZFIN;Acc:ZDB-GENE-091116-1]</t>
  </si>
  <si>
    <t>ENSDARG00000052734</t>
  </si>
  <si>
    <t>hmgcra</t>
  </si>
  <si>
    <t>3-hydroxy-3-methylglutaryl-CoA reductase a [Source:ZFIN;Acc:ZDB-GENE-040401-2]</t>
  </si>
  <si>
    <t>ENSDARG00000004754</t>
  </si>
  <si>
    <t>hspa4a</t>
  </si>
  <si>
    <t>heat shock protein 4a [Source:ZFIN;Acc:ZDB-GENE-040426-2832]</t>
  </si>
  <si>
    <t>ENSDARG00000099441</t>
  </si>
  <si>
    <t>cbx4</t>
  </si>
  <si>
    <t>chromobox homolog 4 (Pc class homolog, Drosophila) [Source:ZFIN;Acc:ZDB-GENE-040329-2]</t>
  </si>
  <si>
    <t>ENSDARG00000044094</t>
  </si>
  <si>
    <t>gfpt2</t>
  </si>
  <si>
    <t>glutamine-fructose-6-phosphate transaminase 2 [Source:ZFIN;Acc:ZDB-GENE-071113-1]</t>
  </si>
  <si>
    <t>ENSDARG00000077845</t>
  </si>
  <si>
    <t>si:ch211-67f13.7</t>
  </si>
  <si>
    <t>si:ch211-67f13.7 [Source:ZFIN;Acc:ZDB-GENE-090313-126]</t>
  </si>
  <si>
    <t>ENSDARG00000060862</t>
  </si>
  <si>
    <t>atxn1b</t>
  </si>
  <si>
    <t>ataxin 1b [Source:ZFIN;Acc:ZDB-GENE-061218-2]</t>
  </si>
  <si>
    <t>ENSDARG00000032237</t>
  </si>
  <si>
    <t>anapc4</t>
  </si>
  <si>
    <t>anaphase promoting complex subunit 4 [Source:ZFIN;Acc:ZDB-GENE-041212-10]</t>
  </si>
  <si>
    <t>ENSDARG00000006128</t>
  </si>
  <si>
    <t>cep170aa</t>
  </si>
  <si>
    <t>centrosomal protein 170Aa [Source:ZFIN;Acc:ZDB-GENE-090312-109]</t>
  </si>
  <si>
    <t>ENSDARG00000004891</t>
  </si>
  <si>
    <t>pex19</t>
  </si>
  <si>
    <t>peroxisomal biogenesis factor 19 [Source:ZFIN;Acc:ZDB-GENE-050417-424]</t>
  </si>
  <si>
    <t>ENSDARG00000075192</t>
  </si>
  <si>
    <t>yme1l1a</t>
  </si>
  <si>
    <t>YME1-like 1a [Source:ZFIN;Acc:ZDB-GENE-091113-41]</t>
  </si>
  <si>
    <t>ENSDARG00000021378</t>
  </si>
  <si>
    <t>phf21ab</t>
  </si>
  <si>
    <t>PHD finger protein 21Ab [Source:ZFIN;Acc:ZDB-GENE-030131-6456]</t>
  </si>
  <si>
    <t>ENSDARG00000054864</t>
  </si>
  <si>
    <t>aplp2</t>
  </si>
  <si>
    <t>amyloid beta (A4) precursor-like protein 2 [Source:ZFIN;Acc:ZDB-GENE-061009-28]</t>
  </si>
  <si>
    <t>ENSDARG00000007808</t>
  </si>
  <si>
    <t>zdhhc16a</t>
  </si>
  <si>
    <t>zinc finger, DHHC-type containing 16a [Source:ZFIN;Acc:ZDB-GENE-040426-1621]</t>
  </si>
  <si>
    <t>ENSDARG00000001975</t>
  </si>
  <si>
    <t>hsd11b2</t>
  </si>
  <si>
    <t>hydroxysteroid (11-beta) dehydrogenase 2 [Source:ZFIN;Acc:ZDB-GENE-030131-6030]</t>
  </si>
  <si>
    <t>ENSDARG00000067656</t>
  </si>
  <si>
    <t>kcmf1</t>
  </si>
  <si>
    <t>potassium channel modulatory factor 1 [Source:ZFIN;Acc:ZDB-GENE-040426-1383]</t>
  </si>
  <si>
    <t>ENSDARG00000007727</t>
  </si>
  <si>
    <t>rgl2</t>
  </si>
  <si>
    <t>ral guanine nucleotide dissociation stimulator-like 2 [Source:ZFIN;Acc:ZDB-GENE-010131-1]</t>
  </si>
  <si>
    <t>ENSDARG00000017211</t>
  </si>
  <si>
    <t>plxnb1b</t>
  </si>
  <si>
    <t>plexin b1b [Source:ZFIN;Acc:ZDB-GENE-090812-4]</t>
  </si>
  <si>
    <t>ENSDARG00000078159</t>
  </si>
  <si>
    <t>zgc:175284</t>
  </si>
  <si>
    <t>zgc:175284 [Source:ZFIN;Acc:ZDB-GENE-080219-49]</t>
  </si>
  <si>
    <t>ENSDARG00000063050</t>
  </si>
  <si>
    <t>rc3h2</t>
  </si>
  <si>
    <t>ring finger and CCCH-type domains 2 [Source:ZFIN;Acc:ZDB-GENE-060503-694]</t>
  </si>
  <si>
    <t>ENSDARG00000003193</t>
  </si>
  <si>
    <t>rassf7b</t>
  </si>
  <si>
    <t>Ras association (RalGDS/AF-6) domain family (N-terminal) member 7b [Source:ZFIN;Acc:ZDB-GENE-030429-1]</t>
  </si>
  <si>
    <t>ENSDARG00000099768</t>
  </si>
  <si>
    <t>ANKRD30B</t>
  </si>
  <si>
    <t>si:ch211-272n13.3 [Source:ZFIN;Acc:ZDB-GENE-081104-216]</t>
  </si>
  <si>
    <t>ENSDARG00000002523</t>
  </si>
  <si>
    <t>hsdl2</t>
  </si>
  <si>
    <t>hydroxysteroid dehydrogenase like 2 [Source:ZFIN;Acc:ZDB-GENE-030131-1066]</t>
  </si>
  <si>
    <t>ENSDARG00000026484</t>
  </si>
  <si>
    <t>rab15</t>
  </si>
  <si>
    <t>RAB15, member RAS oncogene family [Source:ZFIN;Acc:ZDB-GENE-040718-2]</t>
  </si>
  <si>
    <t>ENSDARG00000019208</t>
  </si>
  <si>
    <t>camsap1a</t>
  </si>
  <si>
    <t>calmodulin regulated spectrin-associated protein 1a [Source:ZFIN;Acc:ZDB-GENE-060518-4]</t>
  </si>
  <si>
    <t>ENSDARG00000099888</t>
  </si>
  <si>
    <t>snn</t>
  </si>
  <si>
    <t>stannin [Source:ZFIN;Acc:ZDB-GENE-040426-1987]</t>
  </si>
  <si>
    <t>ENSDARG00000104581</t>
  </si>
  <si>
    <t>tom1</t>
  </si>
  <si>
    <t>target of myb1 membrane trafficking protein [Source:ZFIN;Acc:ZDB-GENE-060721-1]</t>
  </si>
  <si>
    <t>ENSDARG00000094456</t>
  </si>
  <si>
    <t>si:ch211-105d18.8</t>
  </si>
  <si>
    <t>si:ch211-105d18.8 [Source:ZFIN;Acc:ZDB-GENE-130531-4]</t>
  </si>
  <si>
    <t>ENSDARG00000068894</t>
  </si>
  <si>
    <t>nrip1b</t>
  </si>
  <si>
    <t>nuclear receptor interacting protein 1b [Source:ZFIN;Acc:ZDB-GENE-030131-4173]</t>
  </si>
  <si>
    <t>ENSDARG00000079781</t>
  </si>
  <si>
    <t>slitrk4</t>
  </si>
  <si>
    <t>SLIT and NTRK-like family, member 4 [Source:ZFIN;Acc:ZDB-GENE-140303-1]</t>
  </si>
  <si>
    <t>ENSDARG00000020595</t>
  </si>
  <si>
    <t>gnl3l</t>
  </si>
  <si>
    <t>guanine nucleotide binding protein-like 3 (nucleolar)-like [Source:ZFIN;Acc:ZDB-GENE-040723-1]</t>
  </si>
  <si>
    <t>ENSDARG00000101885</t>
  </si>
  <si>
    <t>si:dkey-20i20.11</t>
  </si>
  <si>
    <t>si:dkey-20i20.11 [Source:ZFIN;Acc:ZDB-GENE-060503-58]</t>
  </si>
  <si>
    <t>ENSDARG00000003769</t>
  </si>
  <si>
    <t>tada2b</t>
  </si>
  <si>
    <t>transcriptional adaptor 2B [Source:ZFIN;Acc:ZDB-GENE-050522-557]</t>
  </si>
  <si>
    <t>ENSDARG00000015890</t>
  </si>
  <si>
    <t>mafa</t>
  </si>
  <si>
    <t>v-maf avian musculoaponeurotic fibrosarcoma oncogene homolog a (paralog a) [Source:ZFIN;Acc:ZDB-GENE-010605-2]</t>
  </si>
  <si>
    <t>ENSDARG00000052178</t>
  </si>
  <si>
    <t>eif2s1b</t>
  </si>
  <si>
    <t>eukaryotic translation initiation factor 2, subunit 1 alpha b [Source:ZFIN;Acc:ZDB-GENE-030131-283]</t>
  </si>
  <si>
    <t>ENSDARG00000071294</t>
  </si>
  <si>
    <t>tonsl</t>
  </si>
  <si>
    <t>tonsoku-like, DNA repair protein [Source:ZFIN;Acc:ZDB-GENE-041111-230]</t>
  </si>
  <si>
    <t>ENSDARG00000100915</t>
  </si>
  <si>
    <t>si:ch211-255f4.7</t>
  </si>
  <si>
    <t>si:ch211-255f4.7 [Source:ZFIN;Acc:ZDB-GENE-050208-628]</t>
  </si>
  <si>
    <t>ENSDARG00000046006</t>
  </si>
  <si>
    <t>med20</t>
  </si>
  <si>
    <t>mediator complex subunit 20 [Source:ZFIN;Acc:ZDB-GENE-040801-104]</t>
  </si>
  <si>
    <t>ENSDARG00000045027</t>
  </si>
  <si>
    <t>rab9a</t>
  </si>
  <si>
    <t>RAB9A, member RAS oncogene family [Source:ZFIN;Acc:ZDB-GENE-060825-293]</t>
  </si>
  <si>
    <t>ENSDARG00000034957</t>
  </si>
  <si>
    <t>hddc2</t>
  </si>
  <si>
    <t>HD domain containing 2 [Source:ZFIN;Acc:ZDB-GENE-050522-394]</t>
  </si>
  <si>
    <t>ENSDARG00000039241</t>
  </si>
  <si>
    <t>prkca</t>
  </si>
  <si>
    <t>protein kinase C, alpha [Source:ZFIN;Acc:ZDB-GENE-050208-100]</t>
  </si>
  <si>
    <t>ENSDARG00000094771</t>
  </si>
  <si>
    <t>si:dkey-280e8.1</t>
  </si>
  <si>
    <t>si:dkey-280e8.1 [Source:ZFIN;Acc:ZDB-GENE-070705-454]</t>
  </si>
  <si>
    <t>ENSDARG00000094387</t>
  </si>
  <si>
    <t>si:dkeyp-30e7.2</t>
  </si>
  <si>
    <t>si:dkeyp-30e7.2 [Source:ZFIN;Acc:ZDB-GENE-081104-498]</t>
  </si>
  <si>
    <t>ENSDARG00000104018</t>
  </si>
  <si>
    <t>mtpn</t>
  </si>
  <si>
    <t>myotrophin [Source:ZFIN;Acc:ZDB-GENE-040426-2166]</t>
  </si>
  <si>
    <t>ENSDARG00000076964</t>
  </si>
  <si>
    <t>cables2a</t>
  </si>
  <si>
    <t>Cdk5 and Abl enzyme substrate 2a [Source:ZFIN;Acc:ZDB-GENE-091118-58]</t>
  </si>
  <si>
    <t>ENSDARG00000004218</t>
  </si>
  <si>
    <t>rnd1l</t>
  </si>
  <si>
    <t>Rho family GTPase 1 like [Source:ZFIN;Acc:ZDB-GENE-060315-7]</t>
  </si>
  <si>
    <t>ENSDARG00000095090</t>
  </si>
  <si>
    <t>tspan37</t>
  </si>
  <si>
    <t>tetraspanin 37 [Source:ZFIN;Acc:ZDB-GENE-070912-550]</t>
  </si>
  <si>
    <t>ENSDARG00000075013</t>
  </si>
  <si>
    <t>usp45</t>
  </si>
  <si>
    <t>ubiquitin specific peptidase 45 [Source:ZFIN;Acc:ZDB-GENE-100211-2]</t>
  </si>
  <si>
    <t>ENSDARG00000070239</t>
  </si>
  <si>
    <t>casc5</t>
  </si>
  <si>
    <t>cancer susceptibility candidate 5 [Source:ZFIN;Acc:ZDB-GENE-030131-5437]</t>
  </si>
  <si>
    <t>ENSDARG00000102053</t>
  </si>
  <si>
    <t>si:dkeyp-79b7.4</t>
  </si>
  <si>
    <t>si:dkeyp-79b7.4 [Source:ZFIN;Acc:ZDB-GENE-050208-802]</t>
  </si>
  <si>
    <t>ENSDARG00000087251</t>
  </si>
  <si>
    <t>si:ch73-50f9.4</t>
  </si>
  <si>
    <t>si:ch73-50f9.4 [Source:ZFIN;Acc:ZDB-GENE-131122-9]</t>
  </si>
  <si>
    <t>ENSDARG00000099876</t>
  </si>
  <si>
    <t>si:dkey-53f14.5</t>
  </si>
  <si>
    <t>si:dkey-53f14.5 [Source:ZFIN;Acc:ZDB-GENE-131119-70]</t>
  </si>
  <si>
    <t>ENSDARG00000077830</t>
  </si>
  <si>
    <t>borcs5</t>
  </si>
  <si>
    <t>BLOC-1 related complex subunit 5 [Source:ZFIN;Acc:ZDB-GENE-041010-83]</t>
  </si>
  <si>
    <t>ENSDARG00000079219</t>
  </si>
  <si>
    <t>mfn1b</t>
  </si>
  <si>
    <t>mitofusin 1b [Source:ZFIN;Acc:ZDB-GENE-040426-1553]</t>
  </si>
  <si>
    <t>ENSDARG00000039863</t>
  </si>
  <si>
    <t>lifrb</t>
  </si>
  <si>
    <t>leukemia inhibitory factor receptor alpha b [Source:ZFIN;Acc:ZDB-GENE-080107-2]</t>
  </si>
  <si>
    <t>ENSDARG00000004308</t>
  </si>
  <si>
    <t>fam8a1b</t>
  </si>
  <si>
    <t>family with sequence similarity 8, member A1b [Source:ZFIN;Acc:ZDB-GENE-050410-14]</t>
  </si>
  <si>
    <t>ENSDARG00000039577</t>
  </si>
  <si>
    <t>ptk2bb</t>
  </si>
  <si>
    <t>protein tyrosine kinase 2 beta, b [Source:ZFIN;Acc:ZDB-GENE-020507-1]</t>
  </si>
  <si>
    <t>ENSDARG00000099877</t>
  </si>
  <si>
    <t>si:dkeyp-72e1.6</t>
  </si>
  <si>
    <t>si:dkeyp-72e1.6 [Source:ZFIN;Acc:ZDB-GENE-120215-228]</t>
  </si>
  <si>
    <t>ENSDARG00000090581</t>
  </si>
  <si>
    <t>wdr4</t>
  </si>
  <si>
    <t>WD repeat domain 4 [Source:ZFIN;Acc:ZDB-GENE-060810-10]</t>
  </si>
  <si>
    <t>ENSDARG00000007886</t>
  </si>
  <si>
    <t>slc35b2</t>
  </si>
  <si>
    <t>solute carrier family 35 (adenosine 3'-phospho 5'-phosphosulfate transporter), member B2 [Source:ZFIN;Acc:ZDB-GENE-050213-1]</t>
  </si>
  <si>
    <t>ENSDARG00000070535</t>
  </si>
  <si>
    <t>ripply2</t>
  </si>
  <si>
    <t>ripply transcriptional repressor 2 [Source:ZFIN;Acc:ZDB-GENE-060113-2]</t>
  </si>
  <si>
    <t>ENSDARG00000028082</t>
  </si>
  <si>
    <t>mapkapk5</t>
  </si>
  <si>
    <t>mitogen-activated protein kinase-activated protein kinase 5 [Source:ZFIN;Acc:ZDB-GENE-040718-25]</t>
  </si>
  <si>
    <t>ENSDARG00000018587</t>
  </si>
  <si>
    <t>zgc:152658</t>
  </si>
  <si>
    <t>zgc:152658 [Source:ZFIN;Acc:ZDB-GENE-060929-68]</t>
  </si>
  <si>
    <t>ENSDARG00000054122</t>
  </si>
  <si>
    <t>TMEM30B</t>
  </si>
  <si>
    <t>zgc:91908 [Source:ZFIN;Acc:ZDB-GENE-040704-17]</t>
  </si>
  <si>
    <t>ENSDARG00000056050</t>
  </si>
  <si>
    <t>kctd17</t>
  </si>
  <si>
    <t>potassium channel tetramerization domain containing 17 [Source:ZFIN;Acc:ZDB-GENE-130531-80]</t>
  </si>
  <si>
    <t>ENSDARG00000056557</t>
  </si>
  <si>
    <t>copb1</t>
  </si>
  <si>
    <t>coatomer protein complex, subunit beta 1 [Source:ZFIN;Acc:ZDB-GENE-030219-38]</t>
  </si>
  <si>
    <t>ENSDARG00000058370</t>
  </si>
  <si>
    <t>ropn1l</t>
  </si>
  <si>
    <t>rhophilin associated tail protein 1-like [Source:ZFIN;Acc:ZDB-GENE-040724-235]</t>
  </si>
  <si>
    <t>ENSDARG00000086309</t>
  </si>
  <si>
    <t>erlec1</t>
  </si>
  <si>
    <t>endoplasmic reticulum lectin 1 [Source:ZFIN;Acc:ZDB-GENE-030521-15]</t>
  </si>
  <si>
    <t>ENSDARG00000060184</t>
  </si>
  <si>
    <t>pkn1a</t>
  </si>
  <si>
    <t>protein kinase N1a [Source:ZFIN;Acc:ZDB-GENE-061207-17]</t>
  </si>
  <si>
    <t>ENSDARG00000027599</t>
  </si>
  <si>
    <t>fam221a</t>
  </si>
  <si>
    <t>family with sequence similarity 221, member A [Source:ZFIN;Acc:ZDB-GENE-050320-27]</t>
  </si>
  <si>
    <t>ENSDARG00000040009</t>
  </si>
  <si>
    <t>palld</t>
  </si>
  <si>
    <t>palladin, cytoskeletal associated protein [Source:ZFIN;Acc:ZDB-GENE-041014-252]</t>
  </si>
  <si>
    <t>ENSDARG00000036175</t>
  </si>
  <si>
    <t>pcdh1b</t>
  </si>
  <si>
    <t>protocadherin 1b [Source:ZFIN;Acc:ZDB-GENE-091015-2]</t>
  </si>
  <si>
    <t>ENSDARG00000011175</t>
  </si>
  <si>
    <t>atp6v1d</t>
  </si>
  <si>
    <t>ATPase, H+ transporting, lysosomal V1 subunit D [Source:ZFIN;Acc:ZDB-GENE-040426-727]</t>
  </si>
  <si>
    <t>ENSDARG00000030463</t>
  </si>
  <si>
    <t>tppp3</t>
  </si>
  <si>
    <t>tubulin polymerization-promoting protein family member 3 [Source:ZFIN;Acc:ZDB-GENE-040426-1909]</t>
  </si>
  <si>
    <t>ENSDARG00000068587</t>
  </si>
  <si>
    <t>rabggtb</t>
  </si>
  <si>
    <t>Rab geranylgeranyltransferase, beta subunit [Source:ZFIN;Acc:ZDB-GENE-040426-2116]</t>
  </si>
  <si>
    <t>ENSDARG00000100755</t>
  </si>
  <si>
    <t>si:ch1073-261d9.1</t>
  </si>
  <si>
    <t>si:ch1073-261d9.1 [Source:ZFIN;Acc:ZDB-GENE-141216-152]</t>
  </si>
  <si>
    <t>ENSDARG00000019874</t>
  </si>
  <si>
    <t>hsph1</t>
  </si>
  <si>
    <t>heat shock 105/110 protein 1 [Source:ZFIN;Acc:ZDB-GENE-120410-4]</t>
  </si>
  <si>
    <t>ENSDARG00000098613</t>
  </si>
  <si>
    <t>si:dkey-15h8.16</t>
  </si>
  <si>
    <t>si:dkey-15h8.16 [Source:ZFIN;Acc:ZDB-GENE-050208-707]</t>
  </si>
  <si>
    <t>ENSDARG00000042620</t>
  </si>
  <si>
    <t>gstr</t>
  </si>
  <si>
    <t>glutathione S-transferase rho [Source:ZFIN;Acc:ZDB-GENE-090507-1]</t>
  </si>
  <si>
    <t>ENSDARG00000010300</t>
  </si>
  <si>
    <t>traf3ip1</t>
  </si>
  <si>
    <t>TNF receptor-associated factor 3 interacting protein 1 [Source:ZFIN;Acc:ZDB-GENE-040426-1146]</t>
  </si>
  <si>
    <t>ENSDARG00000002509</t>
  </si>
  <si>
    <t>zgc:153911</t>
  </si>
  <si>
    <t>zgc:153911 [Source:ZFIN;Acc:ZDB-GENE-061013-174]</t>
  </si>
  <si>
    <t>ENSDARG00000095907</t>
  </si>
  <si>
    <t>si:ch211-274k16.6</t>
  </si>
  <si>
    <t>si:ch211-274k16.6 [Source:ZFIN;Acc:ZDB-GENE-110408-32]</t>
  </si>
  <si>
    <t>ENSDARG00000078481</t>
  </si>
  <si>
    <t>OGFOD3</t>
  </si>
  <si>
    <t>zgc:195081 [Source:ZFIN;Acc:ZDB-GENE-081022-180]</t>
  </si>
  <si>
    <t>ENSDARG00000028546</t>
  </si>
  <si>
    <t>ndufs1</t>
  </si>
  <si>
    <t>NADH dehydrogenase (ubiquinone) Fe-S protein 1 [Source:ZFIN;Acc:ZDB-GENE-030131-478]</t>
  </si>
  <si>
    <t>ENSDARG00000062506</t>
  </si>
  <si>
    <t>zc3h18</t>
  </si>
  <si>
    <t>zinc finger CCCH-type containing 18 [Source:ZFIN;Acc:ZDB-GENE-050419-13]</t>
  </si>
  <si>
    <t>ENSDARG00000008310</t>
  </si>
  <si>
    <t>ip6k2a</t>
  </si>
  <si>
    <t>inositol hexakisphosphate kinase 2a [Source:ZFIN;Acc:ZDB-GENE-030131-760]</t>
  </si>
  <si>
    <t>ENSDARG00000053509</t>
  </si>
  <si>
    <t>kazald3</t>
  </si>
  <si>
    <t>Kazal-type serine peptidase inhibitor domain 3 [Source:ZFIN;Acc:ZDB-GENE-050208-155]</t>
  </si>
  <si>
    <t>ENSDARG00000097660</t>
  </si>
  <si>
    <t>trappc2</t>
  </si>
  <si>
    <t>trafficking protein particle complex 2 [Source:ZFIN;Acc:ZDB-GENE-060929-1266]</t>
  </si>
  <si>
    <t>ENSDARG00000035880</t>
  </si>
  <si>
    <t>atp6v1c1b</t>
  </si>
  <si>
    <t>ATPase, H+ transporting, lysosomal, V1 subunit C1b [Source:ZFIN;Acc:ZDB-GENE-041010-104]</t>
  </si>
  <si>
    <t>ENSDARG00000076328</t>
  </si>
  <si>
    <t>osbpl11</t>
  </si>
  <si>
    <t>oxysterol binding protein-like 11 [Source:ZFIN;Acc:ZDB-GENE-081105-135]</t>
  </si>
  <si>
    <t>ENSDARG00000017494</t>
  </si>
  <si>
    <t>tgfbr1a</t>
  </si>
  <si>
    <t>transforming growth factor, beta receptor 1 a [Source:ZFIN;Acc:ZDB-GENE-051120-75]</t>
  </si>
  <si>
    <t>ENSDARG00000043635</t>
  </si>
  <si>
    <t>cmc2</t>
  </si>
  <si>
    <t>C-x(9)-C motif containing 2 [Source:ZFIN;Acc:ZDB-GENE-030616-409]</t>
  </si>
  <si>
    <t>ENSDARG00000044299</t>
  </si>
  <si>
    <t>lmnb1</t>
  </si>
  <si>
    <t>lamin B1 [Source:ZFIN;Acc:ZDB-GENE-020424-2]</t>
  </si>
  <si>
    <t>ENSDARG00000103799</t>
  </si>
  <si>
    <t>kars</t>
  </si>
  <si>
    <t>lysyl-tRNA synthetase [Source:ZFIN;Acc:ZDB-GENE-021115-8]</t>
  </si>
  <si>
    <t>ENSDARG00000070787</t>
  </si>
  <si>
    <t>jupa</t>
  </si>
  <si>
    <t>junction plakoglobin a [Source:ZFIN;Acc:ZDB-GENE-991207-22]</t>
  </si>
  <si>
    <t>ENSDARG00000087779</t>
  </si>
  <si>
    <t>pum3</t>
  </si>
  <si>
    <t>pumilio RNA-binding family member 3 [Source:ZFIN;Acc:ZDB-GENE-030131-9808]</t>
  </si>
  <si>
    <t>ENSDARG00000055540</t>
  </si>
  <si>
    <t>pfkfb4a</t>
  </si>
  <si>
    <t>6-phosphofructo-2-kinase/fructose-2,6-biphosphatase 4a [Source:ZFIN;Acc:ZDB-GENE-051120-51]</t>
  </si>
  <si>
    <t>ENSDARG00000014775</t>
  </si>
  <si>
    <t>zgc:113220</t>
  </si>
  <si>
    <t>zgc:113220 [Source:ZFIN;Acc:ZDB-GENE-050320-64]</t>
  </si>
  <si>
    <t>ENSDARG00000039093</t>
  </si>
  <si>
    <t>got1</t>
  </si>
  <si>
    <t>glutamic-oxaloacetic transaminase 1, soluble [Source:ZFIN;Acc:ZDB-GENE-040426-2003]</t>
  </si>
  <si>
    <t>ENSDARG00000071403</t>
  </si>
  <si>
    <t>oaz1a</t>
  </si>
  <si>
    <t>ornithine decarboxylase antizyme 1a [Source:ZFIN;Acc:ZDB-GENE-020731-4]</t>
  </si>
  <si>
    <t>ENSDARG00000041586</t>
  </si>
  <si>
    <t>dhx40</t>
  </si>
  <si>
    <t>DEAH (Asp-Glu-Ala-His) box polypeptide 40 [Source:ZFIN;Acc:ZDB-GENE-080507-1]</t>
  </si>
  <si>
    <t>ENSDARG00000056519</t>
  </si>
  <si>
    <t>si:dkey-280e21.3</t>
  </si>
  <si>
    <t>si:dkey-280e21.3 [Source:ZFIN;Acc:ZDB-GENE-140106-61]</t>
  </si>
  <si>
    <t>ENSDARG00000103137</t>
  </si>
  <si>
    <t>rmi2</t>
  </si>
  <si>
    <t>RecQ mediated genome instability 2 [Source:ZFIN;Acc:ZDB-GENE-131125-13]</t>
  </si>
  <si>
    <t>ENSDARG00000070427</t>
  </si>
  <si>
    <t>s100v1</t>
  </si>
  <si>
    <t>S100 calcium binding protein V1 [Source:ZFIN;Acc:ZDB-GENE-080407-1]</t>
  </si>
  <si>
    <t>ENSDARG00000022905</t>
  </si>
  <si>
    <t>si:dkey-20i20.12</t>
  </si>
  <si>
    <t>si:dkey-20i20.12 [Source:ZFIN;Acc:ZDB-GENE-060503-151]</t>
  </si>
  <si>
    <t>ENSDARG00000060783</t>
  </si>
  <si>
    <t>acap2</t>
  </si>
  <si>
    <t>ArfGAP with coiled-coil, ankyrin repeat and PH domains 2 [Source:ZFIN;Acc:ZDB-GENE-050208-640]</t>
  </si>
  <si>
    <t>ENSDARG00000103483</t>
  </si>
  <si>
    <t>litaf</t>
  </si>
  <si>
    <t>lipopolysaccharide-induced TNF factor [Source:ZFIN;Acc:ZDB-GENE-040704-23]</t>
  </si>
  <si>
    <t>ENSDARG00000101955</t>
  </si>
  <si>
    <t>si:dkey-1b17.14</t>
  </si>
  <si>
    <t>si:dkey-1b17.14 [Source:ZFIN;Acc:ZDB-GENE-050208-794]</t>
  </si>
  <si>
    <t>ENSDARG00000010021</t>
  </si>
  <si>
    <t>grpel1</t>
  </si>
  <si>
    <t>GrpE-like 1, mitochondrial [Source:ZFIN;Acc:ZDB-GENE-051120-111]</t>
  </si>
  <si>
    <t>ENSDARG00000009473</t>
  </si>
  <si>
    <t>ppardb</t>
  </si>
  <si>
    <t>peroxisome proliferator-activated receptor delta b [Source:ZFIN;Acc:ZDB-GENE-000112-47]</t>
  </si>
  <si>
    <t>ENSDARG00000100361</t>
  </si>
  <si>
    <t>si:dkey-15h8.7</t>
  </si>
  <si>
    <t>si:dkey-15h8.7 [Source:ZFIN;Acc:ZDB-GENE-050208-785]</t>
  </si>
  <si>
    <t>ENSDARG00000093253</t>
  </si>
  <si>
    <t>MFSD3</t>
  </si>
  <si>
    <t>si:dkey-229d2.4 [Source:ZFIN;Acc:ZDB-GENE-060526-263]</t>
  </si>
  <si>
    <t>ENSDARG00000070454</t>
  </si>
  <si>
    <t>pla2g12a</t>
  </si>
  <si>
    <t>phospholipase A2, group XIIA [Source:ZFIN;Acc:ZDB-GENE-070410-18]</t>
  </si>
  <si>
    <t>ENSDARG00000071215</t>
  </si>
  <si>
    <t>palm3</t>
  </si>
  <si>
    <t>paralemmin 3 [Source:ZFIN;Acc:ZDB-GENE-061215-74]</t>
  </si>
  <si>
    <t>ENSDARG00000045515</t>
  </si>
  <si>
    <t>kin</t>
  </si>
  <si>
    <t>Kin17 DNA and RNA binding protein [Source:ZFIN;Acc:ZDB-GENE-030131-3689]</t>
  </si>
  <si>
    <t>ENSDARG00000034773</t>
  </si>
  <si>
    <t>ncapd3</t>
  </si>
  <si>
    <t>non-SMC condensin II complex, subunit D3 [Source:ZFIN;Acc:ZDB-GENE-040426-737]</t>
  </si>
  <si>
    <t>ENSDARG00000005371</t>
  </si>
  <si>
    <t>gprc6a</t>
  </si>
  <si>
    <t>G protein-coupled receptor, class C, group 6, member A [Source:ZFIN;Acc:ZDB-GENE-041217-22]</t>
  </si>
  <si>
    <t>ENSDARG00000038429</t>
  </si>
  <si>
    <t>csrnp1b</t>
  </si>
  <si>
    <t>cysteine-serine-rich nuclear protein 1b [Source:ZFIN;Acc:ZDB-GENE-030131-1515]</t>
  </si>
  <si>
    <t>ENSDARG00000100419</t>
  </si>
  <si>
    <t>ints1</t>
  </si>
  <si>
    <t>integrator complex subunit 1 [Source:ZFIN;Acc:ZDB-GENE-030131-6523]</t>
  </si>
  <si>
    <t>ENSDARG00000077264</t>
  </si>
  <si>
    <t>wdr43</t>
  </si>
  <si>
    <t>WD repeat domain 43 [Source:ZFIN;Acc:ZDB-GENE-021231-3]</t>
  </si>
  <si>
    <t>ENSDARG00000101933</t>
  </si>
  <si>
    <t>CELF6</t>
  </si>
  <si>
    <t>si:dkey-205h23.2 [Source:ZFIN;Acc:ZDB-GENE-120215-101]</t>
  </si>
  <si>
    <t>ENSDARG00000012405</t>
  </si>
  <si>
    <t>col1a1a</t>
  </si>
  <si>
    <t>collagen, type I, alpha 1a [Source:ZFIN;Acc:ZDB-GENE-030131-9102]</t>
  </si>
  <si>
    <t>ENSDARG00000044760</t>
  </si>
  <si>
    <t>gnaia</t>
  </si>
  <si>
    <t>guanine nucleotide binding protein (G protein), alpha inhibiting activity polypeptide a [Source:ZFIN;Acc:ZDB-GENE-030131-2229]</t>
  </si>
  <si>
    <t>ENSDARG00000092158</t>
  </si>
  <si>
    <t>cbx3b</t>
  </si>
  <si>
    <t>chromobox homolog 3b [Source:ZFIN;Acc:ZDB-GENE-070628-2]</t>
  </si>
  <si>
    <t>ENSDARG00000098838</t>
  </si>
  <si>
    <t>sdr42e1</t>
  </si>
  <si>
    <t>short chain dehydrogenase/reductase family 42E, member 1 [Source:ZFIN;Acc:ZDB-GENE-051120-63]</t>
  </si>
  <si>
    <t>ENSDARG00000098800</t>
  </si>
  <si>
    <t>si:dkey-15h8.11</t>
  </si>
  <si>
    <t>si:dkey-15h8.11 [Source:ZFIN;Acc:ZDB-GENE-050208-787]</t>
  </si>
  <si>
    <t>ENSDARG00000006584</t>
  </si>
  <si>
    <t>phf8</t>
  </si>
  <si>
    <t>PHD finger protein 8 [Source:ZFIN;Acc:ZDB-GENE-060419-1]</t>
  </si>
  <si>
    <t>ENSDARG00000079071</t>
  </si>
  <si>
    <t>jam2b</t>
  </si>
  <si>
    <t>junctional adhesion molecule 2b [Source:ZFIN;Acc:ZDB-GENE-080229-3]</t>
  </si>
  <si>
    <t>ENSDARG00000057635</t>
  </si>
  <si>
    <t>wdr34</t>
  </si>
  <si>
    <t>WD repeat domain 34 [Source:ZFIN;Acc:ZDB-GENE-070928-9]</t>
  </si>
  <si>
    <t>ENSDARG00000098141</t>
  </si>
  <si>
    <t>supt3h</t>
  </si>
  <si>
    <t>SPT3 homolog, SAGA and STAGA complex component [Source:ZFIN;Acc:ZDB-GENE-040718-370]</t>
  </si>
  <si>
    <t>ENSDARG00000075349</t>
  </si>
  <si>
    <t>si:ch73-138n13.1</t>
  </si>
  <si>
    <t>si:ch73-138n13.1 [Source:ZFIN;Acc:ZDB-GENE-091204-448]</t>
  </si>
  <si>
    <t>ENSDARG00000014674</t>
  </si>
  <si>
    <t>acsl3b</t>
  </si>
  <si>
    <t>acyl-CoA synthetase long-chain family member 3b [Source:ZFIN;Acc:ZDB-GENE-030131-492]</t>
  </si>
  <si>
    <t>ENSDARG00000090793</t>
  </si>
  <si>
    <t>si:ch211-207j7.2</t>
  </si>
  <si>
    <t>si:ch211-207j7.2 [Source:ZFIN;Acc:ZDB-GENE-120215-232]</t>
  </si>
  <si>
    <t>ENSDARG00000061282</t>
  </si>
  <si>
    <t>glg1a</t>
  </si>
  <si>
    <t>golgi glycoprotein 1a [Source:ZFIN;Acc:ZDB-GENE-030131-6448]</t>
  </si>
  <si>
    <t>ENSDARG00000070654</t>
  </si>
  <si>
    <t>pex5</t>
  </si>
  <si>
    <t>peroxisomal biogenesis factor 5 [Source:ZFIN;Acc:ZDB-GENE-040426-981]</t>
  </si>
  <si>
    <t>ENSDARG00000098514</t>
  </si>
  <si>
    <t>si:ch211-59d8.3</t>
  </si>
  <si>
    <t>si:ch211-59d8.3 [Source:ZFIN;Acc:ZDB-GENE-120709-11]</t>
  </si>
  <si>
    <t>ENSDARG00000038801</t>
  </si>
  <si>
    <t>klhl20</t>
  </si>
  <si>
    <t>kelch-like family member 20 [Source:ZFIN;Acc:ZDB-GENE-040426-1935]</t>
  </si>
  <si>
    <t>ENSDARG00000077178</t>
  </si>
  <si>
    <t>zgc:152977</t>
  </si>
  <si>
    <t>zgc:152977 [Source:ZFIN;Acc:ZDB-GENE-060825-353]</t>
  </si>
  <si>
    <t>ENSDARG00000094965</t>
  </si>
  <si>
    <t>nfil3-5</t>
  </si>
  <si>
    <t>nuclear factor, interleukin 3 regulated, member 5 [Source:ZFIN;Acc:ZDB-GENE-030131-7677]</t>
  </si>
  <si>
    <t>ENSDARG00000071719</t>
  </si>
  <si>
    <t>si:dkey-20i20.2</t>
  </si>
  <si>
    <t>si:dkey-20i20.2 [Source:ZFIN;Acc:ZDB-GENE-060503-528]</t>
  </si>
  <si>
    <t>ENSDARG00000095197</t>
  </si>
  <si>
    <t>si:ch211-280c20.7</t>
  </si>
  <si>
    <t>si:ch211-280c20.7 [Source:ZFIN;Acc:ZDB-GENE-100922-69]</t>
  </si>
  <si>
    <t>ENSDARG00000104457</t>
  </si>
  <si>
    <t>MPV17L</t>
  </si>
  <si>
    <t>si:dkeyp-72e1.7 [Source:ZFIN;Acc:ZDB-GENE-120215-229]</t>
  </si>
  <si>
    <t>ENSDARG00000017400</t>
  </si>
  <si>
    <t>klf1</t>
  </si>
  <si>
    <t>Kruppel-like factor 1 (erythroid) [Source:ZFIN;Acc:ZDB-GENE-980526-55]</t>
  </si>
  <si>
    <t>ENSDARG00000103322</t>
  </si>
  <si>
    <t>si:ch73-347e22.8</t>
  </si>
  <si>
    <t>si:ch73-347e22.8 [Source:ZFIN;Acc:ZDB-GENE-030131-8455]</t>
  </si>
  <si>
    <t>ENSDARG00000075864</t>
  </si>
  <si>
    <t>igsf9a</t>
  </si>
  <si>
    <t>immunoglobulin superfamily, member 9a [Source:ZFIN;Acc:ZDB-GENE-060503-288]</t>
  </si>
  <si>
    <t>ENSDARG00000043640</t>
  </si>
  <si>
    <t>cenpn</t>
  </si>
  <si>
    <t>centromere protein N [Source:ZFIN;Acc:ZDB-GENE-030616-408]</t>
  </si>
  <si>
    <t>ENSDARG00000022261</t>
  </si>
  <si>
    <t>pdzk1</t>
  </si>
  <si>
    <t>PDZ domain containing 1 [Source:ZFIN;Acc:ZDB-GENE-031222-1]</t>
  </si>
  <si>
    <t>ENSDARG00000015128</t>
  </si>
  <si>
    <t>rpl27</t>
  </si>
  <si>
    <t>ribosomal protein L27 [Source:ZFIN;Acc:ZDB-GENE-030131-4343]</t>
  </si>
  <si>
    <t>ENSDARG00000036501</t>
  </si>
  <si>
    <t>rab39bb</t>
  </si>
  <si>
    <t>RAB39B, member RAS oncogene family b [Source:ZFIN;Acc:ZDB-GENE-061215-104]</t>
  </si>
  <si>
    <t>ENSDARG00000053301</t>
  </si>
  <si>
    <t>insm1b</t>
  </si>
  <si>
    <t>insulinoma-associated 1b [Source:ZFIN;Acc:ZDB-GENE-030131-2602]</t>
  </si>
  <si>
    <t>ENSDARG00000010878</t>
  </si>
  <si>
    <t>cdkn1ca</t>
  </si>
  <si>
    <t>cyclin-dependent kinase inhibitor 1Ca [Source:ZFIN;Acc:ZDB-GENE-040123-1]</t>
  </si>
  <si>
    <t>ENSDARG00000103179</t>
  </si>
  <si>
    <t>si:dkey-109a10.1</t>
  </si>
  <si>
    <t>si:dkey-109a10.1 [Source:ZFIN;Acc:ZDB-GENE-141212-360]</t>
  </si>
  <si>
    <t>ENSDARG00000091860</t>
  </si>
  <si>
    <t>zgc:194007</t>
  </si>
  <si>
    <t>zgc:194007 [Source:ZFIN;Acc:ZDB-GENE-081022-49]</t>
  </si>
  <si>
    <t>ENSDARG00000105293</t>
  </si>
  <si>
    <t>srsf4</t>
  </si>
  <si>
    <t>serine/arginine-rich splicing factor 4 [Source:ZFIN;Acc:ZDB-GENE-030131-591]</t>
  </si>
  <si>
    <t>ENSDARG00000062727</t>
  </si>
  <si>
    <t>cep290</t>
  </si>
  <si>
    <t>centrosomal protein 290 [Source:ZFIN;Acc:ZDB-GENE-041111-243]</t>
  </si>
  <si>
    <t>ENSDARG00000070651</t>
  </si>
  <si>
    <t>prkcdb</t>
  </si>
  <si>
    <t>protein kinase C, delta b [Source:ZFIN;Acc:ZDB-GENE-111129-1]</t>
  </si>
  <si>
    <t>ENSDARG00000023445</t>
  </si>
  <si>
    <t>atp2b3b</t>
  </si>
  <si>
    <t>ATPase, Ca++ transporting, plasma membrane 3b [Source:ZFIN;Acc:ZDB-GENE-080409-2]</t>
  </si>
  <si>
    <t>ENSDARG00000019231</t>
  </si>
  <si>
    <t>spna2</t>
  </si>
  <si>
    <t>spectrin alpha 2 [Source:ZFIN;Acc:ZDB-GENE-051113-60]</t>
  </si>
  <si>
    <t>ENSDARG00000027310</t>
  </si>
  <si>
    <t>lsp1</t>
  </si>
  <si>
    <t>lymphocyte-specific protein 1 [Source:ZFIN;Acc:ZDB-GENE-131127-171]</t>
  </si>
  <si>
    <t>ENSDARG00000035868</t>
  </si>
  <si>
    <t>spire1a</t>
  </si>
  <si>
    <t>spire-type actin nucleation factor 1a [Source:ZFIN;Acc:ZDB-GENE-061013-119]</t>
  </si>
  <si>
    <t>ENSDARG00000074588</t>
  </si>
  <si>
    <t>METTL18</t>
  </si>
  <si>
    <t>si:dkey-15f17.8 [Source:ZFIN;Acc:ZDB-GENE-090313-192]</t>
  </si>
  <si>
    <t>ENSDARG00000102752</t>
  </si>
  <si>
    <t>znf1048</t>
  </si>
  <si>
    <t>zinc finger protein 1048 [Source:ZFIN;Acc:ZDB-GENE-110913-13]</t>
  </si>
  <si>
    <t>ENSDARG00000099843</t>
  </si>
  <si>
    <t>nedd4a</t>
  </si>
  <si>
    <t>neural precursor cell expressed, developmentally down-regulated 4a [Source:ZFIN;Acc:ZDB-GENE-051005-2]</t>
  </si>
  <si>
    <t>ENSDARG00000008890</t>
  </si>
  <si>
    <t>ctns</t>
  </si>
  <si>
    <t>cystinosin, lysosomal cystine transporter [Source:ZFIN;Acc:ZDB-GENE-050522-352]</t>
  </si>
  <si>
    <t>ENSDARG00000012927</t>
  </si>
  <si>
    <t>tcea2</t>
  </si>
  <si>
    <t>transcription elongation factor A (SII), 2 [Source:ZFIN;Acc:ZDB-GENE-040426-985]</t>
  </si>
  <si>
    <t>ENSDARG00000000529</t>
  </si>
  <si>
    <t>ofd1</t>
  </si>
  <si>
    <t>oral-facial-digital syndrome 1 [Source:ZFIN;Acc:ZDB-GENE-030131-5427]</t>
  </si>
  <si>
    <t>ENSDARG00000077275</t>
  </si>
  <si>
    <t>crispld1a</t>
  </si>
  <si>
    <t>cysteine-rich secretory protein LCCL domain containing 1a [Source:ZFIN;Acc:ZDB-GENE-090612-1]</t>
  </si>
  <si>
    <t>ENSDARG00000059323</t>
  </si>
  <si>
    <t>rpn1</t>
  </si>
  <si>
    <t>ribophorin I [Source:ZFIN;Acc:ZDB-GENE-030131-4286]</t>
  </si>
  <si>
    <t>ENSDARG00000054007</t>
  </si>
  <si>
    <t>ppp1r2</t>
  </si>
  <si>
    <t>protein phosphatase 1, regulatory (inhibitor) subunit 2 [Source:ZFIN;Acc:ZDB-GENE-040426-1814]</t>
  </si>
  <si>
    <t>ENSDARG00000008165</t>
  </si>
  <si>
    <t>caspa</t>
  </si>
  <si>
    <t>caspase a [Source:ZFIN;Acc:ZDB-GENE-000616-3]</t>
  </si>
  <si>
    <t>ENSDARG00000098881</t>
  </si>
  <si>
    <t>si:dkey-238i5.3</t>
  </si>
  <si>
    <t>si:dkey-238i5.3 [Source:ZFIN;Acc:ZDB-GENE-141222-86]</t>
  </si>
  <si>
    <t>ENSDARG00000087999</t>
  </si>
  <si>
    <t>si:dkey-286j17.3</t>
  </si>
  <si>
    <t>si:dkey-286j17.3 [Source:ZFIN;Acc:ZDB-GENE-050208-552]</t>
  </si>
  <si>
    <t>ENSDARG00000091728</t>
  </si>
  <si>
    <t>HIST1H2BA.10</t>
  </si>
  <si>
    <t>zgc:114046 [Source:ZFIN;Acc:ZDB-GENE-050320-24]</t>
  </si>
  <si>
    <t>ENSDARG00000037423</t>
  </si>
  <si>
    <t>smim19</t>
  </si>
  <si>
    <t>small integral membrane protein 19 [Source:ZFIN;Acc:ZDB-GENE-050913-125]</t>
  </si>
  <si>
    <t>ENSDARG00000075530</t>
  </si>
  <si>
    <t>pigu</t>
  </si>
  <si>
    <t>phosphatidylinositol glycan anchor biosynthesis, class U [Source:ZFIN;Acc:ZDB-GENE-100629-1]</t>
  </si>
  <si>
    <t>ENSDARG00000075030</t>
  </si>
  <si>
    <t>stx10</t>
  </si>
  <si>
    <t>syntaxin 10 [Source:ZFIN;Acc:ZDB-GENE-041111-53]</t>
  </si>
  <si>
    <t>ENSDARG00000099410</t>
  </si>
  <si>
    <t>si:dkeyp-79b7.3</t>
  </si>
  <si>
    <t>si:dkeyp-79b7.3 [Source:ZFIN;Acc:ZDB-GENE-050208-721]</t>
  </si>
  <si>
    <t>ENSDARG00000075743</t>
  </si>
  <si>
    <t>mrpl47</t>
  </si>
  <si>
    <t>mitochondrial ribosomal protein L47 [Source:ZFIN;Acc:ZDB-GENE-030219-177]</t>
  </si>
  <si>
    <t>ENSDARG00000093684</t>
  </si>
  <si>
    <t>tmem238a</t>
  </si>
  <si>
    <t>transmembrane protein 238a [Source:ZFIN;Acc:ZDB-GENE-060503-785]</t>
  </si>
  <si>
    <t>ENSDARG00000098087</t>
  </si>
  <si>
    <t>si:dkey-30f3.2</t>
  </si>
  <si>
    <t>si:dkey-30f3.2 [Source:ZFIN;Acc:ZDB-GENE-110913-70]</t>
  </si>
  <si>
    <t>ENSDARG00000097819</t>
  </si>
  <si>
    <t>znf576.1</t>
  </si>
  <si>
    <t>zinc finger protein 576, tandem duplicate 1 [Source:ZFIN;Acc:ZDB-GENE-131120-125]</t>
  </si>
  <si>
    <t>ENSDARG00000071790</t>
  </si>
  <si>
    <t>zgc:171318</t>
  </si>
  <si>
    <t>zgc:171318 [Source:ZFIN;Acc:ZDB-GENE-071004-83]</t>
  </si>
  <si>
    <t>ENSDARG00000034229</t>
  </si>
  <si>
    <t>kcnip3a</t>
  </si>
  <si>
    <t>Kv channel interacting protein 3a, calsenilin [Source:ZFIN;Acc:ZDB-GENE-040426-1791]</t>
  </si>
  <si>
    <t>ENSDARG00000102999</t>
  </si>
  <si>
    <t>si:dkey-179k24.4</t>
  </si>
  <si>
    <t>si:dkey-179k24.4 [Source:ZFIN;Acc:ZDB-GENE-110913-101]</t>
  </si>
  <si>
    <t>ENSDARG00000042835</t>
  </si>
  <si>
    <t>tfdp2</t>
  </si>
  <si>
    <t>transcription factor Dp-2 [Source:ZFIN;Acc:ZDB-GENE-030219-104]</t>
  </si>
  <si>
    <t>ENSDARG00000026635</t>
  </si>
  <si>
    <t>asb1</t>
  </si>
  <si>
    <t>ankyrin repeat and SOCS box containing 1 [Source:ZFIN;Acc:ZDB-GENE-040718-234]</t>
  </si>
  <si>
    <t>ENSDARG00000005372</t>
  </si>
  <si>
    <t>camk4</t>
  </si>
  <si>
    <t>calcium/calmodulin-dependent protein kinase IV [Source:ZFIN;Acc:ZDB-GENE-050417-76]</t>
  </si>
  <si>
    <t>ENSDARG00000087327</t>
  </si>
  <si>
    <t>cbx8a</t>
  </si>
  <si>
    <t>chromobox homolog 8a (Pc class homolog, Drosophila) [Source:ZFIN;Acc:ZDB-GENE-040405-1]</t>
  </si>
  <si>
    <t>ENSDARG00000099377</t>
  </si>
  <si>
    <t>si:cabz01030277.1</t>
  </si>
  <si>
    <t>si:cabz01030277.1 [Source:ZFIN;Acc:ZDB-GENE-160114-55]</t>
  </si>
  <si>
    <t>ENSDARG00000031981</t>
  </si>
  <si>
    <t>pcbd1</t>
  </si>
  <si>
    <t>pterin-4 alpha-carbinolamine dehydratase/dimerization cofactor of hepatocyte nuclear factor 1 alpha [Source:ZFIN;Acc:ZDB-GENE-040426-1787]</t>
  </si>
  <si>
    <t>ENSDARG00000073962</t>
  </si>
  <si>
    <t>ccdc32</t>
  </si>
  <si>
    <t>coiled-coil domain containing 32 [Source:ZFIN;Acc:ZDB-GENE-131127-581]</t>
  </si>
  <si>
    <t>ENSDARG00000022418</t>
  </si>
  <si>
    <t>faf1</t>
  </si>
  <si>
    <t>Fas (TNFRSF6) associated factor 1 [Source:ZFIN;Acc:ZDB-GENE-040426-2863]</t>
  </si>
  <si>
    <t>ENSDARG00000054054</t>
  </si>
  <si>
    <t>zgc:153219</t>
  </si>
  <si>
    <t>zgc:153219 [Source:ZFIN;Acc:ZDB-GENE-060929-144]</t>
  </si>
  <si>
    <t>ENSDARG00000074667</t>
  </si>
  <si>
    <t>akt1s1</t>
  </si>
  <si>
    <t>AKT1 substrate 1 (proline-rich) [Source:ZFIN;Acc:ZDB-GENE-030131-482]</t>
  </si>
  <si>
    <t>ENSDARG00000090830</t>
  </si>
  <si>
    <t>tmem132e</t>
  </si>
  <si>
    <t>transmembrane protein 132E [Source:ZFIN;Acc:ZDB-GENE-120926-3]</t>
  </si>
  <si>
    <t>ENSDARG00000095455</t>
  </si>
  <si>
    <t>si:dkey-20i20.10</t>
  </si>
  <si>
    <t>si:dkey-20i20.10 [Source:ZFIN;Acc:ZDB-GENE-060503-905]</t>
  </si>
  <si>
    <t>ENSDARG00000078182</t>
  </si>
  <si>
    <t>zgc:194443</t>
  </si>
  <si>
    <t>zgc:194443 [Source:ZFIN;Acc:ZDB-GENE-080723-6]</t>
  </si>
  <si>
    <t>ENSDARG00000056473</t>
  </si>
  <si>
    <t>chaf1b</t>
  </si>
  <si>
    <t>chromatin assembly factor 1, subunit B [Source:ZFIN;Acc:ZDB-GENE-040426-1947]</t>
  </si>
  <si>
    <t>ENSDARG00000000229</t>
  </si>
  <si>
    <t>usp49</t>
  </si>
  <si>
    <t>ubiquitin specific peptidase 49 [Source:ZFIN;Acc:ZDB-GENE-050208-484]</t>
  </si>
  <si>
    <t>ENSDARG00000105140</t>
  </si>
  <si>
    <t>si:dkey-205h23.1</t>
  </si>
  <si>
    <t>si:dkey-205h23.1 [Source:ZFIN;Acc:ZDB-GENE-120215-163]</t>
  </si>
  <si>
    <t>ENSDARG00000018485</t>
  </si>
  <si>
    <t>cyp2v1</t>
  </si>
  <si>
    <t>cytochrome P450, family 2, subfamily V, polypeptide 1 [Source:ZFIN;Acc:ZDB-GENE-040912-139]</t>
  </si>
  <si>
    <t>ENSDARG00000104065</t>
  </si>
  <si>
    <t>si:dkey-1b17.11</t>
  </si>
  <si>
    <t>si:dkey-1b17.11 [Source:ZFIN;Acc:ZDB-GENE-050208-786]</t>
  </si>
  <si>
    <t>ENSDARG00000102673</t>
  </si>
  <si>
    <t>si:dkey-26i24.1</t>
  </si>
  <si>
    <t>si:dkey-26i24.1 [Source:ZFIN;Acc:ZDB-GENE-110913-88]</t>
  </si>
  <si>
    <t>ENSDARG00000005134</t>
  </si>
  <si>
    <t>psmd11b</t>
  </si>
  <si>
    <t>proteasome 26S subunit, non-ATPase 11b [Source:ZFIN;Acc:ZDB-GENE-030131-984]</t>
  </si>
  <si>
    <t>ENSDARG00000062695</t>
  </si>
  <si>
    <t>ccdc126</t>
  </si>
  <si>
    <t>coiled-coil domain containing 126 [Source:ZFIN;Acc:ZDB-GENE-060503-11]</t>
  </si>
  <si>
    <t>ENSDARG00000042848</t>
  </si>
  <si>
    <t>pcmtl</t>
  </si>
  <si>
    <t>l-isoaspartyl protein carboxyl methyltransferase, like [Source:ZFIN;Acc:ZDB-GENE-040426-1738]</t>
  </si>
  <si>
    <t>ENSDARG00000025033</t>
  </si>
  <si>
    <t>stx5a</t>
  </si>
  <si>
    <t>syntaxin 5A [Source:ZFIN;Acc:ZDB-GENE-040718-18]</t>
  </si>
  <si>
    <t>ENSDARG00000094739</t>
  </si>
  <si>
    <t>si:dkey-51a16.10</t>
  </si>
  <si>
    <t>si:dkey-51a16.10 [Source:ZFIN;Acc:ZDB-GENE-081107-69]</t>
  </si>
  <si>
    <t>ENSDARG00000075446</t>
  </si>
  <si>
    <t>naa25</t>
  </si>
  <si>
    <t>N(alpha)-acetyltransferase 25, NatB auxiliary subunit [Source:ZFIN;Acc:ZDB-GENE-041111-190]</t>
  </si>
  <si>
    <t>ENSDARG00000092274</t>
  </si>
  <si>
    <t>si:dkey-3k20.1</t>
  </si>
  <si>
    <t>si:dkey-3k20.1 [Source:ZFIN;Acc:ZDB-GENE-050208-745]</t>
  </si>
  <si>
    <t>ENSDARG00000058471</t>
  </si>
  <si>
    <t>plk1</t>
  </si>
  <si>
    <t>polo-like kinase 1 (Drosophila) [Source:ZFIN;Acc:ZDB-GENE-021115-7]</t>
  </si>
  <si>
    <t>ENSDARG00000104500</t>
  </si>
  <si>
    <t>fyco1a</t>
  </si>
  <si>
    <t>FYVE and coiled-coil domain containing 1a [Source:ZFIN;Acc:ZDB-GENE-110411-276]</t>
  </si>
  <si>
    <t>ENSDARG00000090472</t>
  </si>
  <si>
    <t>ttll10</t>
  </si>
  <si>
    <t>tubulin tyrosine ligase-like family, member 10 [Source:ZFIN;Acc:ZDB-GENE-081104-350]</t>
  </si>
  <si>
    <t>ENSDARG00000002787</t>
  </si>
  <si>
    <t>tle3a</t>
  </si>
  <si>
    <t>transducin-like enhancer of split 3a [Source:ZFIN;Acc:ZDB-GENE-990415-86]</t>
  </si>
  <si>
    <t>ENSDARG00000017794</t>
  </si>
  <si>
    <t>sdr16c5b</t>
  </si>
  <si>
    <t>short chain dehydrogenase/reductase family 16C, member 5b [Source:ZFIN;Acc:ZDB-GENE-040426-2861]</t>
  </si>
  <si>
    <t>ENSDARG00000028295</t>
  </si>
  <si>
    <t>mkrn4</t>
  </si>
  <si>
    <t>makorin, ring finger protein, 4 [Source:ZFIN;Acc:ZDB-GENE-030131-5954]</t>
  </si>
  <si>
    <t>ENSDARG00000071833</t>
  </si>
  <si>
    <t>zgc:113418</t>
  </si>
  <si>
    <t>zgc:113418 [Source:ZFIN;Acc:ZDB-GENE-050220-5]</t>
  </si>
  <si>
    <t>ENSDARG00000017023</t>
  </si>
  <si>
    <t>ak7b</t>
  </si>
  <si>
    <t>adenylate kinase 7b [Source:ZFIN;Acc:ZDB-GENE-050309-170]</t>
  </si>
  <si>
    <t>ENSDARG00000069968</t>
  </si>
  <si>
    <t>pcsk7</t>
  </si>
  <si>
    <t>proprotein convertase subtilisin/kexin type 7 [Source:ZFIN;Acc:ZDB-GENE-030131-7293]</t>
  </si>
  <si>
    <t>ENSDARG00000035088</t>
  </si>
  <si>
    <t>si:ch211-254c8.3</t>
  </si>
  <si>
    <t>si:ch211-254c8.3 [Source:ZFIN;Acc:ZDB-GENE-100922-130]</t>
  </si>
  <si>
    <t>ENSDARG00000056491</t>
  </si>
  <si>
    <t>ikzf5</t>
  </si>
  <si>
    <t>IKAROS family zinc finger 5 [Source:ZFIN;Acc:ZDB-GENE-040801-209]</t>
  </si>
  <si>
    <t>ENSDARG00000002196</t>
  </si>
  <si>
    <t>bach1b</t>
  </si>
  <si>
    <t>BTB and CNC homology 1, basic leucine zipper transcription factor 1 b [Source:ZFIN;Acc:ZDB-GENE-050522-220]</t>
  </si>
  <si>
    <t>ENSDARG00000095921</t>
  </si>
  <si>
    <t>si:ch1073-325m22.2</t>
  </si>
  <si>
    <t>si:ch1073-325m22.2 [Source:ZFIN;Acc:ZDB-GENE-030131-6614]</t>
  </si>
  <si>
    <t>ENSDARG00000001769</t>
  </si>
  <si>
    <t>ptpra</t>
  </si>
  <si>
    <t>protein tyrosine phosphatase, receptor type, A [Source:ZFIN;Acc:ZDB-GENE-020107-1]</t>
  </si>
  <si>
    <t>ENSDARG00000075072</t>
  </si>
  <si>
    <t>rpap1</t>
  </si>
  <si>
    <t>RNA polymerase II associated protein 1 [Source:ZFIN;Acc:ZDB-GENE-090914-1]</t>
  </si>
  <si>
    <t>ENSDARG00000094109</t>
  </si>
  <si>
    <t>si:dkey-15h8.2</t>
  </si>
  <si>
    <t>si:dkey-15h8.2 [Source:ZFIN;Acc:ZDB-GENE-050208-703]</t>
  </si>
  <si>
    <t>ENSDARG00000092605</t>
  </si>
  <si>
    <t>znf1003</t>
  </si>
  <si>
    <t>zinc finger protein 1003 [Source:ZFIN;Acc:ZDB-GENE-080219-42]</t>
  </si>
  <si>
    <t>ENSDARG00000017230</t>
  </si>
  <si>
    <t>fbxw11b</t>
  </si>
  <si>
    <t>F-box and WD repeat domain containing 11b [Source:ZFIN;Acc:ZDB-GENE-040426-2903]</t>
  </si>
  <si>
    <t>ENSDARG00000069552</t>
  </si>
  <si>
    <t>atoh7</t>
  </si>
  <si>
    <t>atonal bHLH transcription factor 7 [Source:ZFIN;Acc:ZDB-GENE-000926-1]</t>
  </si>
  <si>
    <t>ENSDARG00000062335</t>
  </si>
  <si>
    <t>nudt14</t>
  </si>
  <si>
    <t>nudix (nucleoside diphosphate linked moiety X)-type motif 14 [Source:ZFIN;Acc:ZDB-GENE-041014-254]</t>
  </si>
  <si>
    <t>ENSDARG00000094308</t>
  </si>
  <si>
    <t>si:dkey-247i3.6</t>
  </si>
  <si>
    <t>si:dkey-247i3.6 [Source:ZFIN;Acc:ZDB-GENE-110913-83]</t>
  </si>
  <si>
    <t>ENSDARG00000003058</t>
  </si>
  <si>
    <t>fgfr1op</t>
  </si>
  <si>
    <t>FGFR1 oncogene partner [Source:ZFIN;Acc:ZDB-GENE-090417-1]</t>
  </si>
  <si>
    <t>ENSDARG00000071590</t>
  </si>
  <si>
    <t>si:ch211-236g6.1</t>
  </si>
  <si>
    <t>si:ch211-236g6.1 [Source:ZFIN;Acc:ZDB-GENE-050208-448]</t>
  </si>
  <si>
    <t>ENSDARG00000026629</t>
  </si>
  <si>
    <t>gmds</t>
  </si>
  <si>
    <t>GDP-mannose 4,6-dehydratase [Source:ZFIN;Acc:ZDB-GENE-050419-45]</t>
  </si>
  <si>
    <t>ENSDARG00000017365</t>
  </si>
  <si>
    <t>slc23a2</t>
  </si>
  <si>
    <t>solute carrier family 23 (ascorbic acid transporter), member 2 [Source:ZFIN;Acc:ZDB-GENE-090521-3]</t>
  </si>
  <si>
    <t>ENSDARG00000093672</t>
  </si>
  <si>
    <t>si:dkey-4c15.10</t>
  </si>
  <si>
    <t>si:dkey-4c15.10 [Source:ZFIN;Acc:ZDB-GENE-050420-148]</t>
  </si>
  <si>
    <t>ENSDARG00000068822</t>
  </si>
  <si>
    <t>purba</t>
  </si>
  <si>
    <t>purine-rich element binding protein Ba [Source:ZFIN;Acc:ZDB-GENE-060531-100]</t>
  </si>
  <si>
    <t>ENSDARG00000052480</t>
  </si>
  <si>
    <t>pdcd11</t>
  </si>
  <si>
    <t>programmed cell death 11 [Source:ZFIN;Acc:ZDB-GENE-030131-4076]</t>
  </si>
  <si>
    <t>ENSDARG00000006863</t>
  </si>
  <si>
    <t>CFAP65</t>
  </si>
  <si>
    <t>si:ch1073-349o24.2 [Source:ZFIN;Acc:ZDB-GENE-081104-83]</t>
  </si>
  <si>
    <t>ENSDARG00000100882</t>
  </si>
  <si>
    <t>zgc:174563</t>
  </si>
  <si>
    <t>zgc:174563 [Source:ZFIN;Acc:ZDB-GENE-080218-28]</t>
  </si>
  <si>
    <t>ENSDARG00000045408</t>
  </si>
  <si>
    <t>tagln</t>
  </si>
  <si>
    <t>transgelin [Source:ZFIN;Acc:ZDB-GENE-070912-1]</t>
  </si>
  <si>
    <t>ENSDARG00000062846</t>
  </si>
  <si>
    <t>tmtc3</t>
  </si>
  <si>
    <t>transmembrane and tetratricopeptide repeat containing 3 [Source:ZFIN;Acc:ZDB-GENE-061221-2]</t>
  </si>
  <si>
    <t>ENSDARG00000037284</t>
  </si>
  <si>
    <t>ptges3a</t>
  </si>
  <si>
    <t>prostaglandin E synthase 3a (cytosolic) [Source:ZFIN;Acc:ZDB-GENE-040426-2200]</t>
  </si>
  <si>
    <t>ENSDARG00000060034</t>
  </si>
  <si>
    <t>tmem151ba</t>
  </si>
  <si>
    <t>transmembrane protein 151Ba [Source:ZFIN;Acc:ZDB-GENE-070820-12]</t>
  </si>
  <si>
    <t>ENSDARG00000098330</t>
  </si>
  <si>
    <t>spef2</t>
  </si>
  <si>
    <t>sperm flagellar 2 [Source:ZFIN;Acc:ZDB-GENE-060526-47]</t>
  </si>
  <si>
    <t>ENSDARG00000039915</t>
  </si>
  <si>
    <t>bola1</t>
  </si>
  <si>
    <t>bolA family member 1 [Source:ZFIN;Acc:ZDB-GENE-040801-76]</t>
  </si>
  <si>
    <t>ENSDARG00000021462</t>
  </si>
  <si>
    <t>daw1</t>
  </si>
  <si>
    <t>dynein assembly factor with WDR repeat domains 1 [Source:ZFIN;Acc:ZDB-GENE-050419-255]</t>
  </si>
  <si>
    <t>ENSDARG00000030241</t>
  </si>
  <si>
    <t>vbp1</t>
  </si>
  <si>
    <t>von Hippel-Lindau binding protein 1 [Source:ZFIN;Acc:ZDB-GENE-050522-494]</t>
  </si>
  <si>
    <t>ENSDARG00000099079</t>
  </si>
  <si>
    <t>aclya</t>
  </si>
  <si>
    <t>ATP citrate lyase a [Source:ZFIN;Acc:ZDB-GENE-031113-1]</t>
  </si>
  <si>
    <t>ENSDARG00000090814</t>
  </si>
  <si>
    <t>si:dkey-18a10.3</t>
  </si>
  <si>
    <t>si:dkey-18a10.3 [Source:ZFIN;Acc:ZDB-GENE-091204-174]</t>
  </si>
  <si>
    <t>ENSDARG00000100244</t>
  </si>
  <si>
    <t>ebf3a</t>
  </si>
  <si>
    <t>early B-cell factor 3a [Source:ZFIN;Acc:ZDB-GENE-070112-292]</t>
  </si>
  <si>
    <t>ENSDARG00000011925</t>
  </si>
  <si>
    <t>spns1</t>
  </si>
  <si>
    <t>spinster homolog 1 (Drosophila) [Source:ZFIN;Acc:ZDB-GENE-020228-1]</t>
  </si>
  <si>
    <t>ENSDARG00000094410</t>
  </si>
  <si>
    <t>si:dkey-4c15.14</t>
  </si>
  <si>
    <t>si:dkey-4c15.14 [Source:ZFIN;Acc:ZDB-GENE-050420-79]</t>
  </si>
  <si>
    <t>ENSDARG00000045785</t>
  </si>
  <si>
    <t>zgc:103499</t>
  </si>
  <si>
    <t>zgc:103499 [Source:ZFIN;Acc:ZDB-GENE-041212-30]</t>
  </si>
  <si>
    <t>ENSDARG00000035198</t>
  </si>
  <si>
    <t>gcnt4a</t>
  </si>
  <si>
    <t>glucosaminyl (N-acetyl) transferase 4, core 2, a [Source:ZFIN;Acc:ZDB-GENE-030131-3231]</t>
  </si>
  <si>
    <t>ENSDARG00000026028</t>
  </si>
  <si>
    <t>ankrd44</t>
  </si>
  <si>
    <t>ankyrin repeat domain 44 [Source:ZFIN;Acc:ZDB-GENE-070912-605]</t>
  </si>
  <si>
    <t>ENSDARG00000074271</t>
  </si>
  <si>
    <t>wrb</t>
  </si>
  <si>
    <t>tryptophan rich basic protein [Source:ZFIN;Acc:ZDB-GENE-030131-7696]</t>
  </si>
  <si>
    <t>ENSDARG00000104148</t>
  </si>
  <si>
    <t>crebbpb</t>
  </si>
  <si>
    <t>CREB binding protein b [Source:ZFIN;Acc:ZDB-GENE-050302-102]</t>
  </si>
  <si>
    <t>ENSDARG00000077387</t>
  </si>
  <si>
    <t>tcte1</t>
  </si>
  <si>
    <t>t-complex-associated-testis-expressed 1 [Source:ZFIN;Acc:ZDB-GENE-120406-12]</t>
  </si>
  <si>
    <t>ENSDARG00000025766</t>
  </si>
  <si>
    <t>DTX3</t>
  </si>
  <si>
    <t>zgc:66440 [Source:ZFIN;Acc:ZDB-GENE-040426-1640]</t>
  </si>
  <si>
    <t>ENSDARG00000003320</t>
  </si>
  <si>
    <t>fam91a1</t>
  </si>
  <si>
    <t>family with sequence similarity 91, member A1 [Source:ZFIN;Acc:ZDB-GENE-040426-1187]</t>
  </si>
  <si>
    <t>ENSDARG00000042548</t>
  </si>
  <si>
    <t>tpd52l1</t>
  </si>
  <si>
    <t>tumor protein D52-like 1 [Source:ZFIN;Acc:ZDB-GENE-050522-121]</t>
  </si>
  <si>
    <t>ENSDARG00000013382</t>
  </si>
  <si>
    <t>cwc15</t>
  </si>
  <si>
    <t>CWC15 spliceosome-associated protein homolog (S. cerevisiae) [Source:ZFIN;Acc:ZDB-GENE-040625-10]</t>
  </si>
  <si>
    <t>ENSDARG00000070138</t>
  </si>
  <si>
    <t>HTRA2</t>
  </si>
  <si>
    <t>HTRA2.8</t>
  </si>
  <si>
    <t>si:dkey-84o3.3 [Source:ZFIN;Acc:ZDB-GENE-091113-21]</t>
  </si>
  <si>
    <t>ENSDARG00000077442</t>
  </si>
  <si>
    <t>tubgcp5</t>
  </si>
  <si>
    <t>tubulin, gamma complex associated protein 5 [Source:ZFIN;Acc:ZDB-GENE-050522-344]</t>
  </si>
  <si>
    <t>ENSDARG00000086342</t>
  </si>
  <si>
    <t>zgc:101566</t>
  </si>
  <si>
    <t>zgc:101566 [Source:ZFIN;Acc:ZDB-GENE-041010-73]</t>
  </si>
  <si>
    <t>ENSDARG00000101886</t>
  </si>
  <si>
    <t>pdxdc1</t>
  </si>
  <si>
    <t>pyridoxal-dependent decarboxylase domain containing 1 [Source:ZFIN;Acc:ZDB-GENE-040912-16]</t>
  </si>
  <si>
    <t>ENSDARG00000028164</t>
  </si>
  <si>
    <t>cst14a.1</t>
  </si>
  <si>
    <t>cystatin 14a, tandem duplicate 1 [Source:ZFIN;Acc:ZDB-GENE-141031-1]</t>
  </si>
  <si>
    <t>ENSDARG00000079155</t>
  </si>
  <si>
    <t>si:ch211-67f13.8</t>
  </si>
  <si>
    <t>si:ch211-67f13.8 [Source:ZFIN;Acc:ZDB-GENE-090312-114]</t>
  </si>
  <si>
    <t>ENSDARG00000061490</t>
  </si>
  <si>
    <t>u2surp</t>
  </si>
  <si>
    <t>U2 snRNP-associated SURP domain containing [Source:ZFIN;Acc:ZDB-GENE-070912-400]</t>
  </si>
  <si>
    <t>ENSDARG00000042874</t>
  </si>
  <si>
    <t>phlda2</t>
  </si>
  <si>
    <t>pleckstrin homology-like domain, family A, member 2 [Source:ZFIN;Acc:ZDB-GENE-050522-73]</t>
  </si>
  <si>
    <t>ENSDARG00000089681</t>
  </si>
  <si>
    <t>btf3l4</t>
  </si>
  <si>
    <t>basic transcription factor 3-like 4 [Source:ZFIN;Acc:ZDB-GENE-040426-1650]</t>
  </si>
  <si>
    <t>ENSDARG00000029865</t>
  </si>
  <si>
    <t>rassf2a</t>
  </si>
  <si>
    <t>Ras association (RalGDS/AF-6) domain family member 2a [Source:ZFIN;Acc:ZDB-GENE-040912-124]</t>
  </si>
  <si>
    <t>ENSDARG00000037421</t>
  </si>
  <si>
    <t>egr1</t>
  </si>
  <si>
    <t>early growth response 1 [Source:ZFIN;Acc:ZDB-GENE-980526-320]</t>
  </si>
  <si>
    <t>ENSDARG00000078164</t>
  </si>
  <si>
    <t>znf576.2</t>
  </si>
  <si>
    <t>zinc finger protein 576, tandem duplicate 2 [Source:ZFIN;Acc:ZDB-GENE-030131-1738]</t>
  </si>
  <si>
    <t>ENSDARG00000075292</t>
  </si>
  <si>
    <t>myo15aa</t>
  </si>
  <si>
    <t>myosin XVAa [Source:ZFIN;Acc:ZDB-GENE-080425-2]</t>
  </si>
  <si>
    <t>ENSDARG00000022650</t>
  </si>
  <si>
    <t>cyp2ad3</t>
  </si>
  <si>
    <t>cytochrome P450, family 2, subfamily AD, polypeptide 3 [Source:ZFIN;Acc:ZDB-GENE-041001-156]</t>
  </si>
  <si>
    <t>ENSDARG00000025595</t>
  </si>
  <si>
    <t>agmo</t>
  </si>
  <si>
    <t>alkylglycerol monooxygenase [Source:ZFIN;Acc:ZDB-GENE-040426-2207]</t>
  </si>
  <si>
    <t>ENSDARG00000020581</t>
  </si>
  <si>
    <t>otofb</t>
  </si>
  <si>
    <t>otoferlin b [Source:ZFIN;Acc:ZDB-GENE-110406-5]</t>
  </si>
  <si>
    <t>ENSDARG00000001857</t>
  </si>
  <si>
    <t>aff4</t>
  </si>
  <si>
    <t>AF4/FMR2 family, member 4 [Source:ZFIN;Acc:ZDB-GENE-100910-5]</t>
  </si>
  <si>
    <t>ENSDARG00000020497</t>
  </si>
  <si>
    <t>rab7</t>
  </si>
  <si>
    <t>RAB7, member RAS oncogene family [Source:ZFIN;Acc:ZDB-GENE-040426-1352]</t>
  </si>
  <si>
    <t>ENSDARG00000040822</t>
  </si>
  <si>
    <t>fundc1</t>
  </si>
  <si>
    <t>FUN14 domain containing 1 [Source:ZFIN;Acc:ZDB-GENE-040718-466]</t>
  </si>
  <si>
    <t>ENSDARG00000101628</t>
  </si>
  <si>
    <t>ascl1b</t>
  </si>
  <si>
    <t>achaete-scute family bHLH transcription factor 1b [Source:ZFIN;Acc:ZDB-GENE-980526-174]</t>
  </si>
  <si>
    <t>ENSDARG00000057610</t>
  </si>
  <si>
    <t>cdkn2c</t>
  </si>
  <si>
    <t>cyclin-dependent kinase inhibitor 2C (p18, inhibits CDK4) [Source:ZFIN;Acc:ZDB-GENE-081104-145]</t>
  </si>
  <si>
    <t>ENSDARG00000070571</t>
  </si>
  <si>
    <t>zgc:153953</t>
  </si>
  <si>
    <t>zgc:153953 [Source:ZFIN;Acc:ZDB-GENE-061103-190]</t>
  </si>
  <si>
    <t>ENSDARG00000058208</t>
  </si>
  <si>
    <t>slc25a26</t>
  </si>
  <si>
    <t>solute carrier family 25 (S-adenosylmethionine carrier), member 26 [Source:ZFIN;Acc:ZDB-GENE-050913-126]</t>
  </si>
  <si>
    <t>ENSDARG00000070272</t>
  </si>
  <si>
    <t>casp8l2</t>
  </si>
  <si>
    <t>caspase 8, apoptosis-related cysteine peptidase, like 2 [Source:ZFIN;Acc:ZDB-GENE-070608-2]</t>
  </si>
  <si>
    <t>ENSDARG00000091513</t>
  </si>
  <si>
    <t>si:dkey-22o12.2</t>
  </si>
  <si>
    <t>si:dkey-22o12.2 [Source:ZFIN;Acc:ZDB-GENE-060503-443]</t>
  </si>
  <si>
    <t>ENSDARG00000040635</t>
  </si>
  <si>
    <t>rnf11b</t>
  </si>
  <si>
    <t>ring finger protein 11b [Source:ZFIN;Acc:ZDB-GENE-050913-69]</t>
  </si>
  <si>
    <t>ENSDARG00000052386</t>
  </si>
  <si>
    <t>cldnd1b</t>
  </si>
  <si>
    <t>claudin domain containing 1b [Source:ZFIN;Acc:ZDB-GENE-040808-4]</t>
  </si>
  <si>
    <t>ENSDARG00000009040</t>
  </si>
  <si>
    <t>si:ch73-141c7.1</t>
  </si>
  <si>
    <t>si:ch73-141c7.1 [Source:ZFIN;Acc:ZDB-GENE-040426-1760]</t>
  </si>
  <si>
    <t>ENSDARG00000059826</t>
  </si>
  <si>
    <t>crtac1a</t>
  </si>
  <si>
    <t>cartilage acidic protein 1a [Source:ZFIN;Acc:ZDB-GENE-030131-9704]</t>
  </si>
  <si>
    <t>ENSDARG00000019976</t>
  </si>
  <si>
    <t>idi1</t>
  </si>
  <si>
    <t>isopentenyl-diphosphate delta isomerase 1 [Source:ZFIN;Acc:ZDB-GENE-050913-44]</t>
  </si>
  <si>
    <t>ENSDARG00000095451</t>
  </si>
  <si>
    <t>si:ch211-196l7.4</t>
  </si>
  <si>
    <t>si:ch211-196l7.4 [Source:ZFIN;Acc:ZDB-GENE-050419-122]</t>
  </si>
  <si>
    <t>ENSDARG00000022456</t>
  </si>
  <si>
    <t>eno1a</t>
  </si>
  <si>
    <t>enolase 1a, (alpha) [Source:ZFIN;Acc:ZDB-GENE-030131-6048]</t>
  </si>
  <si>
    <t>ENSDARG00000034497</t>
  </si>
  <si>
    <t>fbxl14a</t>
  </si>
  <si>
    <t>F-box and leucine-rich repeat protein 14a [Source:ZFIN;Acc:ZDB-GENE-030131-5920]</t>
  </si>
  <si>
    <t>ENSDARG00000060235</t>
  </si>
  <si>
    <t>mst1ra</t>
  </si>
  <si>
    <t>macrophage stimulating 1 receptor a [Source:ZFIN;Acc:ZDB-GENE-071218-2]</t>
  </si>
  <si>
    <t>ENSDARG00000008852</t>
  </si>
  <si>
    <t>elp4</t>
  </si>
  <si>
    <t>elongator acetyltransferase complex subunit 4 [Source:ZFIN;Acc:ZDB-GENE-050417-114]</t>
  </si>
  <si>
    <t>ENSDARG00000074125</t>
  </si>
  <si>
    <t>si:dkey-4c15.5</t>
  </si>
  <si>
    <t>si:dkey-4c15.5 [Source:ZFIN;Acc:ZDB-GENE-050420-11]</t>
  </si>
  <si>
    <t>ENSDARG00000074930</t>
  </si>
  <si>
    <t>MSMP</t>
  </si>
  <si>
    <t>si:ch1073-70f20.1 [Source:ZFIN;Acc:ZDB-GENE-081104-94]</t>
  </si>
  <si>
    <t>ENSDARG00000015824</t>
  </si>
  <si>
    <t>lemd3</t>
  </si>
  <si>
    <t>LEM domain containing 3 [Source:ZFIN;Acc:ZDB-GENE-030131-490]</t>
  </si>
  <si>
    <t>ENSDARG00000035570</t>
  </si>
  <si>
    <t>zgc:101016</t>
  </si>
  <si>
    <t>zgc:101016 [Source:ZFIN;Acc:ZDB-GENE-040822-14]</t>
  </si>
  <si>
    <t>ENSDARG00000055510</t>
  </si>
  <si>
    <t>ypel3</t>
  </si>
  <si>
    <t>yippee-like 3 [Source:ZFIN;Acc:ZDB-GENE-030516-4]</t>
  </si>
  <si>
    <t>ENSDARG00000078309</t>
  </si>
  <si>
    <t>fam83b</t>
  </si>
  <si>
    <t>family with sequence similarity 83, member B [Source:ZFIN;Acc:ZDB-GENE-030131-7066]</t>
  </si>
  <si>
    <t>ENSDARG00000035256</t>
  </si>
  <si>
    <t>eef2l2</t>
  </si>
  <si>
    <t>eukaryotic translation elongation factor 2, like 2 [Source:ZFIN;Acc:ZDB-GENE-030131-8112]</t>
  </si>
  <si>
    <t>ENSDARG00000007597</t>
  </si>
  <si>
    <t>bloc1s4</t>
  </si>
  <si>
    <t>biogenesis of lysosomal organelles complex-1, subunit 4, cappuccino [Source:ZFIN;Acc:ZDB-GENE-040801-215]</t>
  </si>
  <si>
    <t>ENSDARG00000068870</t>
  </si>
  <si>
    <t>fance</t>
  </si>
  <si>
    <t>Fanconi anemia, complementation group E [Source:ZFIN;Acc:ZDB-GENE-060510-5]</t>
  </si>
  <si>
    <t>ENSDARG00000045352</t>
  </si>
  <si>
    <t>cst14a.2</t>
  </si>
  <si>
    <t>cystatin 14a, tandem duplicate 2 [Source:ZFIN;Acc:ZDB-GENE-040426-1065]</t>
  </si>
  <si>
    <t>ENSDARG00000061020</t>
  </si>
  <si>
    <t>ccdc186</t>
  </si>
  <si>
    <t>si:ch211-225b10.4 [Source:ZFIN;Acc:ZDB-GENE-100318-3]</t>
  </si>
  <si>
    <t>ENSDARG00000027916</t>
  </si>
  <si>
    <t>fntb</t>
  </si>
  <si>
    <t>farnesyltransferase, CAAX box, beta [Source:ZFIN;Acc:ZDB-GENE-030131-2220]</t>
  </si>
  <si>
    <t>ENSDARG00000052438</t>
  </si>
  <si>
    <t>actr2a</t>
  </si>
  <si>
    <t>ARP2 actin-related protein 2a homolog (yeast) [Source:ZFIN;Acc:ZDB-GENE-040426-2894]</t>
  </si>
  <si>
    <t>ENSDARG00000034677</t>
  </si>
  <si>
    <t>scel</t>
  </si>
  <si>
    <t>sciellin [Source:ZFIN;Acc:ZDB-GENE-030616-15]</t>
  </si>
  <si>
    <t>ENSDARG00000036894</t>
  </si>
  <si>
    <t>AIMP1</t>
  </si>
  <si>
    <t>zgc:101853 [Source:ZFIN;Acc:ZDB-GENE-041212-13]</t>
  </si>
  <si>
    <t>ENSDARG00000077284</t>
  </si>
  <si>
    <t>gdpd5a</t>
  </si>
  <si>
    <t>glycerophosphodiester phosphodiesterase domain containing 5a [Source:ZFIN;Acc:ZDB-GENE-091204-253]</t>
  </si>
  <si>
    <t>ENSDARG00000044949</t>
  </si>
  <si>
    <t>rnf8</t>
  </si>
  <si>
    <t>ring finger protein 8, E3 ubiquitin protein ligase [Source:ZFIN;Acc:ZDB-GENE-040426-849]</t>
  </si>
  <si>
    <t>ENSDARG00000105147</t>
  </si>
  <si>
    <t>osbpl1a</t>
  </si>
  <si>
    <t>oxysterol binding protein-like 1A [Source:ZFIN;Acc:ZDB-GENE-050208-657]</t>
  </si>
  <si>
    <t>ENSDARG00000073872</t>
  </si>
  <si>
    <t>tpst1</t>
  </si>
  <si>
    <t>tyrosylprotein sulfotransferase 1 [Source:ZFIN;Acc:ZDB-GENE-000210-10]</t>
  </si>
  <si>
    <t>ENSDARG00000039455</t>
  </si>
  <si>
    <t>tspan15</t>
  </si>
  <si>
    <t>tetraspanin 15 [Source:ZFIN;Acc:ZDB-GENE-050417-295]</t>
  </si>
  <si>
    <t>ENSDARG00000060380</t>
  </si>
  <si>
    <t>coq6</t>
  </si>
  <si>
    <t>coenzyme Q6 monooxygenase [Source:ZFIN;Acc:ZDB-GENE-060825-297]</t>
  </si>
  <si>
    <t>ENSDARG00000024381</t>
  </si>
  <si>
    <t>msto1</t>
  </si>
  <si>
    <t>misato 1, mitochondrial distribution and morphology regulator [Source:ZFIN;Acc:ZDB-GENE-030131-6238]</t>
  </si>
  <si>
    <t>ENSDARG00000091962</t>
  </si>
  <si>
    <t>RUNDC1</t>
  </si>
  <si>
    <t>si:dkey-151m15.5 [Source:ZFIN;Acc:ZDB-GENE-120215-63]</t>
  </si>
  <si>
    <t>ENSDARG00000042956</t>
  </si>
  <si>
    <t>cyp2ad6</t>
  </si>
  <si>
    <t>cytochrome P450, family 2, subfamily AD, polypeptide 6 [Source:ZFIN;Acc:ZDB-GENE-041001-157]</t>
  </si>
  <si>
    <t>ENSDARG00000074910</t>
  </si>
  <si>
    <t>crtc2</t>
  </si>
  <si>
    <t>CREB regulated transcription coactivator 2 [Source:ZFIN;Acc:ZDB-GENE-030131-2214]</t>
  </si>
  <si>
    <t>ENSDARG00000098235</t>
  </si>
  <si>
    <t>actr5</t>
  </si>
  <si>
    <t>ARP5 actin-related protein 5 homolog [Source:ZFIN;Acc:ZDB-GENE-040426-2877]</t>
  </si>
  <si>
    <t>ENSDARG00000013670</t>
  </si>
  <si>
    <t>hyou1</t>
  </si>
  <si>
    <t>hypoxia up-regulated 1 [Source:ZFIN;Acc:ZDB-GENE-030131-5344]</t>
  </si>
  <si>
    <t>ENSDARG00000063219</t>
  </si>
  <si>
    <t>ubap2l</t>
  </si>
  <si>
    <t>ubiquitin associated protein 2-like [Source:ZFIN;Acc:ZDB-GENE-060503-244]</t>
  </si>
  <si>
    <t>ENSDARG00000078094</t>
  </si>
  <si>
    <t>lmf2a</t>
  </si>
  <si>
    <t>lipase maturation factor 2a [Source:ZFIN;Acc:ZDB-GENE-080723-47]</t>
  </si>
  <si>
    <t>ENSDARG00000095065</t>
  </si>
  <si>
    <t>si:ch211-113e8.9</t>
  </si>
  <si>
    <t>si:ch211-113e8.9 [Source:ZFIN;Acc:ZDB-GENE-090313-14]</t>
  </si>
  <si>
    <t>ENSDARG00000045951</t>
  </si>
  <si>
    <t>kat5b</t>
  </si>
  <si>
    <t>K(lysine) acetyltransferase 5b [Source:ZFIN;Acc:ZDB-GENE-030131-985]</t>
  </si>
  <si>
    <t>ENSDARG00000025949</t>
  </si>
  <si>
    <t>irak1</t>
  </si>
  <si>
    <t>interleukin-1 receptor-associated kinase 1 [Source:ZFIN;Acc:ZDB-GENE-071116-5]</t>
  </si>
  <si>
    <t>ENSDARG00000052594</t>
  </si>
  <si>
    <t>nkiras2</t>
  </si>
  <si>
    <t>NFKB inhibitor interacting Ras-like 2 [Source:ZFIN;Acc:ZDB-GENE-040801-166]</t>
  </si>
  <si>
    <t>ENSDARG00000078512</t>
  </si>
  <si>
    <t>acaca</t>
  </si>
  <si>
    <t>acetyl-CoA carboxylase alpha [Source:ZFIN;Acc:ZDB-GENE-060526-74]</t>
  </si>
  <si>
    <t>ENSDARG00000096011</t>
  </si>
  <si>
    <t>si:dkeyp-4f2.3</t>
  </si>
  <si>
    <t>si:dkeyp-4f2.3 [Source:ZFIN;Acc:ZDB-GENE-110914-117]</t>
  </si>
  <si>
    <t>ENSDARG00000075612</t>
  </si>
  <si>
    <t>ercc6</t>
  </si>
  <si>
    <t>excision repair cross-complementation group 6 [Source:ZFIN;Acc:ZDB-GENE-070228-1]</t>
  </si>
  <si>
    <t>ENSDARG00000089467</t>
  </si>
  <si>
    <t>fam161b</t>
  </si>
  <si>
    <t>family with sequence similarity 161, member B [Source:ZFIN;Acc:ZDB-GENE-120928-1]</t>
  </si>
  <si>
    <t>ENSDARG00000096140</t>
  </si>
  <si>
    <t>znf1120</t>
  </si>
  <si>
    <t>zinc finger protein 1120 [Source:ZFIN;Acc:ZDB-GENE-110914-3]</t>
  </si>
  <si>
    <t>ENSDARG00000059125</t>
  </si>
  <si>
    <t>prkacbb</t>
  </si>
  <si>
    <t>protein kinase, cAMP-dependent, catalytic, beta b [Source:ZFIN;Acc:ZDB-GENE-050904-4]</t>
  </si>
  <si>
    <t>ENSDARG00000104039</t>
  </si>
  <si>
    <t>errfi1</t>
  </si>
  <si>
    <t>ERBB receptor feedback inhibitor 1 [Source:ZFIN;Acc:ZDB-GENE-030131-6256]</t>
  </si>
  <si>
    <t>ENSDARG00000058220</t>
  </si>
  <si>
    <t>tada3l</t>
  </si>
  <si>
    <t>transcriptional adaptor 3 (NGG1 homolog, yeast)-like [Source:ZFIN;Acc:ZDB-GENE-030131-6725]</t>
  </si>
  <si>
    <t>ENSDARG00000042337</t>
  </si>
  <si>
    <t>chrac1</t>
  </si>
  <si>
    <t>chromatin accessibility complex 1 [Source:ZFIN;Acc:ZDB-GENE-050227-18]</t>
  </si>
  <si>
    <t>ENSDARG00000054032</t>
  </si>
  <si>
    <t>rab24</t>
  </si>
  <si>
    <t>RAB24, member RAS oncogene family [Source:ZFIN;Acc:ZDB-GENE-050706-110]</t>
  </si>
  <si>
    <t>ENSDARG00000090366</t>
  </si>
  <si>
    <t>znf1065</t>
  </si>
  <si>
    <t>zinc finger protein 1065 [Source:ZFIN;Acc:ZDB-GENE-071004-94]</t>
  </si>
  <si>
    <t>ENSDARG00000058148</t>
  </si>
  <si>
    <t>dnajc7</t>
  </si>
  <si>
    <t>DnaJ (Hsp40) homolog, subfamily C, member 7 [Source:ZFIN;Acc:ZDB-GENE-040426-2483]</t>
  </si>
  <si>
    <t>ENSDARG00000070471</t>
  </si>
  <si>
    <t>tarbp2</t>
  </si>
  <si>
    <t>TAR (HIV) RNA binding protein 2 [Source:ZFIN;Acc:ZDB-GENE-030131-8085]</t>
  </si>
  <si>
    <t>ENSDARG00000094736</t>
  </si>
  <si>
    <t>zgc:162358</t>
  </si>
  <si>
    <t>zgc:162358 [Source:ZFIN;Acc:ZDB-GENE-070424-89]</t>
  </si>
  <si>
    <t>ENSDARG00000045673</t>
  </si>
  <si>
    <t>il22</t>
  </si>
  <si>
    <t>interleukin 22 [Source:ZFIN;Acc:ZDB-GENE-060209-3]</t>
  </si>
  <si>
    <t>ENSDARG00000006553</t>
  </si>
  <si>
    <t>rras</t>
  </si>
  <si>
    <t>related RAS viral (r-ras) oncogene homolog [Source:ZFIN;Acc:ZDB-GENE-041010-217]</t>
  </si>
  <si>
    <t>ENSDARG00000036090</t>
  </si>
  <si>
    <t>pard6gb</t>
  </si>
  <si>
    <t>par-6 family cell polarity regulator gamma b [Source:ZFIN;Acc:ZDB-GENE-010319-35]</t>
  </si>
  <si>
    <t>ENSDARG00000105479</t>
  </si>
  <si>
    <t>si:ch211-126c2.4</t>
  </si>
  <si>
    <t>si:ch211-126c2.4 [Source:ZFIN;Acc:ZDB-GENE-030131-3087]</t>
  </si>
  <si>
    <t>ENSDARG00000016058</t>
  </si>
  <si>
    <t>fibpa</t>
  </si>
  <si>
    <t>fibroblast growth factor (acidic) intracellular binding protein a [Source:ZFIN;Acc:ZDB-GENE-040426-1363]</t>
  </si>
  <si>
    <t>ENSDARG00000097176</t>
  </si>
  <si>
    <t>si:dkey-16m19.1</t>
  </si>
  <si>
    <t>ENSDARG00000095521</t>
  </si>
  <si>
    <t>znf1090</t>
  </si>
  <si>
    <t>zinc finger protein 1090 [Source:ZFIN;Acc:ZDB-GENE-110914-10]</t>
  </si>
  <si>
    <t>ENSDARG00000091598</t>
  </si>
  <si>
    <t>si:ch73-91k6.2</t>
  </si>
  <si>
    <t>si:ch73-91k6.2 [Source:ZFIN;Acc:ZDB-GENE-050208-270]</t>
  </si>
  <si>
    <t>ENSDARG00000096186</t>
  </si>
  <si>
    <t>si:dkey-247i3.5</t>
  </si>
  <si>
    <t>si:dkey-247i3.5 [Source:ZFIN;Acc:ZDB-GENE-110914-32]</t>
  </si>
  <si>
    <t>ENSDARG00000097026</t>
  </si>
  <si>
    <t>si:dkey-16m19.1.1</t>
  </si>
  <si>
    <t>si:dkey-16m19.1 [Source:ZFIN;Acc:ZDB-GENE-030131-7281]</t>
  </si>
  <si>
    <t>ENSDARG00000009447</t>
  </si>
  <si>
    <t>atp5g3b</t>
  </si>
  <si>
    <t>ATP synthase, H+ transporting, mitochondrial F0 complex, subunit c3 (subunit 9) b [Source:ZFIN;Acc:ZDB-GENE-020814-1]</t>
  </si>
  <si>
    <t>ENSDARG00000088378</t>
  </si>
  <si>
    <t>znf1000</t>
  </si>
  <si>
    <t>zinc finger protein 1000 [Source:ZFIN;Acc:ZDB-GENE-110913-165]</t>
  </si>
  <si>
    <t>ENSDARG00000093562</t>
  </si>
  <si>
    <t>si:dkey-20i20.7</t>
  </si>
  <si>
    <t>si:dkey-20i20.7 [Source:ZFIN;Acc:ZDB-GENE-060503-906]</t>
  </si>
  <si>
    <t>ENSDARG00000060340</t>
  </si>
  <si>
    <t>si:dkey-157l19.2</t>
  </si>
  <si>
    <t>si:dkey-157l19.2 [Source:ZFIN;Acc:ZDB-GENE-090313-190]</t>
  </si>
  <si>
    <t>ENSDARG00000098844</t>
  </si>
  <si>
    <t>prkacbb.1</t>
  </si>
  <si>
    <t>ENSDARG00000041750</t>
  </si>
  <si>
    <t>ccdc92</t>
  </si>
  <si>
    <t>coiled-coil domain containing 92 [Source:ZFIN;Acc:ZDB-GENE-051113-120]</t>
  </si>
  <si>
    <t>ENSDARG00000073724</t>
  </si>
  <si>
    <t>nlrx1</t>
  </si>
  <si>
    <t>NLR family member X1 [Source:ZFIN;Acc:ZDB-GENE-071119-3]</t>
  </si>
  <si>
    <t>ENSDARG00000076252</t>
  </si>
  <si>
    <t>si:dkey-247i3.1</t>
  </si>
  <si>
    <t>si:dkey-247i3.1 [Source:ZFIN;Acc:ZDB-GENE-110913-84]</t>
  </si>
  <si>
    <t>ENSDARG00000043624</t>
  </si>
  <si>
    <t>pqlc2</t>
  </si>
  <si>
    <t>PQ loop repeat containing 2 [Source:ZFIN;Acc:ZDB-GENE-050306-4]</t>
  </si>
  <si>
    <t>ENSDARG00000004055</t>
  </si>
  <si>
    <t>uhrf1bp1l</t>
  </si>
  <si>
    <t>UHRF1 binding protein 1-like [Source:ZFIN;Acc:ZDB-GENE-041210-177]</t>
  </si>
  <si>
    <t>ENSDARG00000005915</t>
  </si>
  <si>
    <t>tcf3a</t>
  </si>
  <si>
    <t>transcription factor 3a [Source:ZFIN;Acc:ZDB-GENE-990415-51]</t>
  </si>
  <si>
    <t>ENSDARG00000056517</t>
  </si>
  <si>
    <t>thoc3</t>
  </si>
  <si>
    <t>THO complex 3 [Source:ZFIN;Acc:ZDB-GENE-040808-14]</t>
  </si>
  <si>
    <t>ENSDARG00000068820</t>
  </si>
  <si>
    <t>h2afva</t>
  </si>
  <si>
    <t>H2A histone family, member Va [Source:ZFIN;Acc:ZDB-GENE-020717-1]</t>
  </si>
  <si>
    <t>ENSDARG00000077471</t>
  </si>
  <si>
    <t>hmces</t>
  </si>
  <si>
    <t>5-hydroxymethylcytosine (hmC) binding, ES cell-specific [Source:ZFIN;Acc:ZDB-GENE-070620-10]</t>
  </si>
  <si>
    <t>ENSDARG00000073917</t>
  </si>
  <si>
    <t>b3glcta</t>
  </si>
  <si>
    <t>beta 3-glucosyltransferase a [Source:ZFIN;Acc:ZDB-GENE-110411-147]</t>
  </si>
  <si>
    <t>ENSDARG00000075919</t>
  </si>
  <si>
    <t>ccser1</t>
  </si>
  <si>
    <t>coiled-coil serine-rich protein 1 [Source:ZFIN;Acc:ZDB-GENE-081104-422]</t>
  </si>
  <si>
    <t>ENSDARG00000103553</t>
  </si>
  <si>
    <t>sf3b3</t>
  </si>
  <si>
    <t>splicing factor 3b, subunit 3 [Source:ZFIN;Acc:ZDB-GENE-040426-2901]</t>
  </si>
  <si>
    <t>ENSDARG00000087048</t>
  </si>
  <si>
    <t>si:dkey-165n16.1</t>
  </si>
  <si>
    <t>si:dkey-165n16.1 [Source:ZFIN;Acc:ZDB-GENE-100922-224]</t>
  </si>
  <si>
    <t>ENSDARG00000098094</t>
  </si>
  <si>
    <t>si:dkey-146c18.5</t>
  </si>
  <si>
    <t>si:dkey-146c18.5 [Source:ZFIN;Acc:ZDB-GENE-131119-41]</t>
  </si>
  <si>
    <t>ENSDARG00000104274</t>
  </si>
  <si>
    <t>TMEM200B</t>
  </si>
  <si>
    <t>si:ch211-204a13.2 [Source:ZFIN;Acc:ZDB-GENE-060503-303]</t>
  </si>
  <si>
    <t>ENSDARG00000077983</t>
  </si>
  <si>
    <t>GPR89B</t>
  </si>
  <si>
    <t>si:ch73-390b10.2 [Source:ZFIN;Acc:ZDB-GENE-110411-241]</t>
  </si>
  <si>
    <t>ENSDARG00000044655</t>
  </si>
  <si>
    <t>st14b</t>
  </si>
  <si>
    <t>suppression of tumorigenicity 14 (colon carcinoma) b [Source:ZFIN;Acc:ZDB-GENE-061103-613]</t>
  </si>
  <si>
    <t>ENSDARG00000095704</t>
  </si>
  <si>
    <t>si:dkey-4c15.13</t>
  </si>
  <si>
    <t>si:dkey-4c15.13 [Source:ZFIN;Acc:ZDB-GENE-030131-2023]</t>
  </si>
  <si>
    <t>ENSDARG00000042905</t>
  </si>
  <si>
    <t>rpl10a</t>
  </si>
  <si>
    <t>ribosomal protein L10a [Source:ZFIN;Acc:ZDB-GENE-030131-2025]</t>
  </si>
  <si>
    <t>ENSDARG00000074131</t>
  </si>
  <si>
    <t>kif5ba</t>
  </si>
  <si>
    <t>kinesin family member 5B, a [Source:ZFIN;Acc:ZDB-GENE-070629-2]</t>
  </si>
  <si>
    <t>ENSDARG00000045675</t>
  </si>
  <si>
    <t>mdm1</t>
  </si>
  <si>
    <t>Mdm1 nuclear protein homolog (mouse) [Source:ZFIN;Acc:ZDB-GENE-041210-117]</t>
  </si>
  <si>
    <t>ENSDARG00000071648</t>
  </si>
  <si>
    <t>zgc:113298</t>
  </si>
  <si>
    <t>zgc:113298 [Source:ZFIN;Acc:ZDB-GENE-050522-40]</t>
  </si>
  <si>
    <t>ENSDARG00000006639</t>
  </si>
  <si>
    <t>lnpb</t>
  </si>
  <si>
    <t>limb and neural patterns b [Source:ZFIN;Acc:ZDB-GENE-030131-9455]</t>
  </si>
  <si>
    <t>ENSDARG00000100002</t>
  </si>
  <si>
    <t>ctbs</t>
  </si>
  <si>
    <t>chitobiase, di-N-acetyl- [Source:ZFIN;Acc:ZDB-GENE-050522-422]</t>
  </si>
  <si>
    <t>ENSDARG00000058140</t>
  </si>
  <si>
    <t>ttc25</t>
  </si>
  <si>
    <t>tetratricopeptide repeat domain 25 [Source:ZFIN;Acc:ZDB-GENE-040426-995]</t>
  </si>
  <si>
    <t>ENSDARG00000104613</t>
  </si>
  <si>
    <t>si:dkey-15h8.1</t>
  </si>
  <si>
    <t>si:dkey-15h8.1 [Source:ZFIN;Acc:ZDB-GENE-050208-622]</t>
  </si>
  <si>
    <t>ENSDARG00000060944</t>
  </si>
  <si>
    <t>rnf217</t>
  </si>
  <si>
    <t>ring finger protein 217 [Source:ZFIN;Acc:ZDB-GENE-060503-400]</t>
  </si>
  <si>
    <t>ENSDARG00000078441</t>
  </si>
  <si>
    <t>ppip5k2</t>
  </si>
  <si>
    <t>diphosphoinositol pentakisphosphate kinase 2 [Source:ZFIN;Acc:ZDB-GENE-091204-125]</t>
  </si>
  <si>
    <t>ENSDARG00000098349</t>
  </si>
  <si>
    <t>hdac4</t>
  </si>
  <si>
    <t>histone deacetylase 4 [Source:ZFIN;Acc:ZDB-GENE-061013-95]</t>
  </si>
  <si>
    <t>ENSDARG00000070560</t>
  </si>
  <si>
    <t>nap1l4a</t>
  </si>
  <si>
    <t>nucleosome assembly protein 1-like 4a [Source:ZFIN;Acc:ZDB-GENE-030131-9099]</t>
  </si>
  <si>
    <t>ENSDARG00000097349</t>
  </si>
  <si>
    <t>si:ch211-87m19.4</t>
  </si>
  <si>
    <t>si:ch211-87m19.4 [Source:ZFIN;Acc:ZDB-GENE-131122-62]</t>
  </si>
  <si>
    <t>ENSDARG00000100265</t>
  </si>
  <si>
    <t>rhcgb</t>
  </si>
  <si>
    <t>Rh family, C glycoprotein b [Source:ZFIN;Acc:ZDB-GENE-040426-2595]</t>
  </si>
  <si>
    <t>ENSDARG00000026482</t>
  </si>
  <si>
    <t>arhgap12b</t>
  </si>
  <si>
    <t>Rho GTPase activating protein 12b [Source:ZFIN;Acc:ZDB-GENE-040426-1727]</t>
  </si>
  <si>
    <t>ENSDARG00000100192</t>
  </si>
  <si>
    <t>si:dkeyp-79b7.2</t>
  </si>
  <si>
    <t>si:dkeyp-79b7.2 [Source:ZFIN;Acc:ZDB-GENE-050208-712]</t>
  </si>
  <si>
    <t>ENSDARG00000078308</t>
  </si>
  <si>
    <t>spry2</t>
  </si>
  <si>
    <t>sprouty RTK signaling antagonist 2 [Source:ZFIN;Acc:ZDB-GENE-030131-7038]</t>
  </si>
  <si>
    <t>ENSDARG00000001829</t>
  </si>
  <si>
    <t>zgc:112982</t>
  </si>
  <si>
    <t>zgc:112982 [Source:ZFIN;Acc:ZDB-GENE-050306-55]</t>
  </si>
  <si>
    <t>ENSDARG00000058225</t>
  </si>
  <si>
    <t>arpc4l</t>
  </si>
  <si>
    <t>actin related protein 2/3 complex, subunit 4, like [Source:ZFIN;Acc:ZDB-GENE-040808-18]</t>
  </si>
  <si>
    <t>ENSDARG00000027461</t>
  </si>
  <si>
    <t>zgc:56719</t>
  </si>
  <si>
    <t>zgc:56719 [Source:ZFIN;Acc:ZDB-GENE-031118-200]</t>
  </si>
  <si>
    <t>ENSDARG00000036876</t>
  </si>
  <si>
    <t>zgc:153284</t>
  </si>
  <si>
    <t>zgc:153284 [Source:ZFIN;Acc:ZDB-GENE-060825-317]</t>
  </si>
  <si>
    <t>ENSDARG00000069729</t>
  </si>
  <si>
    <t>mpg</t>
  </si>
  <si>
    <t>N-methylpurine DNA glycosylase [Source:ZFIN;Acc:ZDB-GENE-070410-121]</t>
  </si>
  <si>
    <t>ENSDARG00000075954</t>
  </si>
  <si>
    <t>serpinh1a</t>
  </si>
  <si>
    <t>serpin peptidase inhibitor, clade H (heat shock protein 47), member 1a [Source:ZFIN;Acc:ZDB-GENE-080219-21]</t>
  </si>
  <si>
    <t>ENSDARG00000001169</t>
  </si>
  <si>
    <t>hsd17b8</t>
  </si>
  <si>
    <t>hydroxysteroid (17-beta) dehydrogenase 8 [Source:ZFIN;Acc:ZDB-GENE-010110-1]</t>
  </si>
  <si>
    <t>ENSDARG00000007271</t>
  </si>
  <si>
    <t>mynn</t>
  </si>
  <si>
    <t>myoneurin [Source:ZFIN;Acc:ZDB-GENE-030131-5378]</t>
  </si>
  <si>
    <t>ENSDARG00000069619</t>
  </si>
  <si>
    <t>atf7ip</t>
  </si>
  <si>
    <t>activating transcription factor 7 interacting protein [Source:ZFIN;Acc:ZDB-GENE-061103-178]</t>
  </si>
  <si>
    <t>ENSDARG00000005423</t>
  </si>
  <si>
    <t>pgam1a</t>
  </si>
  <si>
    <t>phosphoglycerate mutase 1a [Source:ZFIN;Acc:ZDB-GENE-030131-1827]</t>
  </si>
  <si>
    <t>ENSDARG00000075687</t>
  </si>
  <si>
    <t>anapc1</t>
  </si>
  <si>
    <t>anaphase promoting complex subunit 1 [Source:ZFIN;Acc:ZDB-GENE-081107-12]</t>
  </si>
  <si>
    <t>ENSDARG00000005738</t>
  </si>
  <si>
    <t>rpf1</t>
  </si>
  <si>
    <t>ribosome production factor 1 homolog [Source:ZFIN;Acc:ZDB-GENE-040625-177]</t>
  </si>
  <si>
    <t>ENSDARG00000034203</t>
  </si>
  <si>
    <t>HIST1H2BA.11</t>
  </si>
  <si>
    <t>si:dkey-108k21.9 [Source:ZFIN;Acc:ZDB-GENE-131127-89]</t>
  </si>
  <si>
    <t>ENSDARG00000105305</t>
  </si>
  <si>
    <t>si:dkeyp-79b7.12</t>
  </si>
  <si>
    <t>si:dkeyp-79b7.12 [Source:ZFIN;Acc:ZDB-GENE-050208-803]</t>
  </si>
  <si>
    <t>ENSDARG00000071143</t>
  </si>
  <si>
    <t>si:dkey-208m12.2</t>
  </si>
  <si>
    <t>si:dkey-208m12.2 [Source:ZFIN;Acc:ZDB-GENE-060503-716]</t>
  </si>
  <si>
    <t>ENSDARG00000091627</t>
  </si>
  <si>
    <t>si:dkey-271j15.3</t>
  </si>
  <si>
    <t>si:dkey-271j15.3 [Source:ZFIN;Acc:ZDB-GENE-100921-27]</t>
  </si>
  <si>
    <t>ENSDARG00000040469</t>
  </si>
  <si>
    <t>enpp6</t>
  </si>
  <si>
    <t>ectonucleotide pyrophosphatase/phosphodiesterase 6 [Source:ZFIN;Acc:ZDB-GENE-031205-1]</t>
  </si>
  <si>
    <t>ENSDARG00000094181</t>
  </si>
  <si>
    <t>shroom1</t>
  </si>
  <si>
    <t>shroom family member 1 [Source:ZFIN;Acc:ZDB-GENE-091204-385]</t>
  </si>
  <si>
    <t>ENSDARG00000019949</t>
  </si>
  <si>
    <t>serpinh1b</t>
  </si>
  <si>
    <t>serpin peptidase inhibitor, clade H (heat shock protein 47), member 1b [Source:ZFIN;Acc:ZDB-GENE-990415-93]</t>
  </si>
  <si>
    <t>ENSDARG00000068709</t>
  </si>
  <si>
    <t>fam174b</t>
  </si>
  <si>
    <t>family with sequence similarity 174, member B [Source:ZFIN;Acc:ZDB-GENE-050419-78]</t>
  </si>
  <si>
    <t>ENSDARG00000070822</t>
  </si>
  <si>
    <t>cnp</t>
  </si>
  <si>
    <t>2',3'-cyclic nucleotide 3' phosphodiesterase [Source:ZFIN;Acc:ZDB-GENE-030521-29]</t>
  </si>
  <si>
    <t>ENSDARG00000036875</t>
  </si>
  <si>
    <t>rps12</t>
  </si>
  <si>
    <t>ribosomal protein S12 [Source:ZFIN;Acc:ZDB-GENE-030131-8951]</t>
  </si>
  <si>
    <t>ENSDARG00000071084</t>
  </si>
  <si>
    <t>wipf1b</t>
  </si>
  <si>
    <t>WAS/WASL interacting protein family, member 1b [Source:ZFIN;Acc:ZDB-GENE-110815-1]</t>
  </si>
  <si>
    <t>ENSDARG00000032859</t>
  </si>
  <si>
    <t>fam84b</t>
  </si>
  <si>
    <t>family with sequence similarity 84, member B [Source:ZFIN;Acc:ZDB-GENE-060929-1130]</t>
  </si>
  <si>
    <t>ENSDARG00000095350</t>
  </si>
  <si>
    <t>si:dkey-4c15.12</t>
  </si>
  <si>
    <t>si:dkey-4c15.12 [Source:ZFIN;Acc:ZDB-GENE-050420-351]</t>
  </si>
  <si>
    <t>ENSDARG00000016188</t>
  </si>
  <si>
    <t>SBNO2</t>
  </si>
  <si>
    <t>si:ch73-63e15.2 [Source:ZFIN;Acc:ZDB-GENE-091204-463]</t>
  </si>
  <si>
    <t>ENSDARG00000091937</t>
  </si>
  <si>
    <t>si:dkey-16m19.4</t>
  </si>
  <si>
    <t>si:dkey-16m19.4 [Source:ZFIN;Acc:ZDB-GENE-060503-618]</t>
  </si>
  <si>
    <t>ENSDARG00000042646</t>
  </si>
  <si>
    <t>ROBO3</t>
  </si>
  <si>
    <t>zgc:77784 [Source:ZFIN;Acc:ZDB-GENE-040426-1874]</t>
  </si>
  <si>
    <t>ENSDARG00000036863</t>
  </si>
  <si>
    <t>MYO1D</t>
  </si>
  <si>
    <t>si:ch211-94l19.4 [Source:ZFIN;Acc:ZDB-GENE-130531-15]</t>
  </si>
  <si>
    <t>ENSDARG00000059166</t>
  </si>
  <si>
    <t>SLC22A13</t>
  </si>
  <si>
    <t>zgc:153639 [Source:ZFIN;Acc:ZDB-GENE-061013-532]</t>
  </si>
  <si>
    <t>ENSDARG00000018691</t>
  </si>
  <si>
    <t>phf2</t>
  </si>
  <si>
    <t>PHD finger protein 2 [Source:ZFIN;Acc:ZDB-GENE-050302-10]</t>
  </si>
  <si>
    <t>ENSDARG00000099867</t>
  </si>
  <si>
    <t>si:dkey-16m19.6</t>
  </si>
  <si>
    <t>si:dkey-16m19.6 [Source:ZFIN;Acc:ZDB-GENE-060503-712]</t>
  </si>
  <si>
    <t>ENSDARG00000009021</t>
  </si>
  <si>
    <t>chrna1</t>
  </si>
  <si>
    <t>cholinergic receptor, nicotinic, alpha 1 (muscle) [Source:ZFIN;Acc:ZDB-GENE-980526-137]</t>
  </si>
  <si>
    <t>ENSDARG00000000069</t>
  </si>
  <si>
    <t>dap</t>
  </si>
  <si>
    <t>death-associated protein [Source:ZFIN;Acc:ZDB-GENE-000511-3]</t>
  </si>
  <si>
    <t>ENSDARG00000078768</t>
  </si>
  <si>
    <t>abhd15a</t>
  </si>
  <si>
    <t>abhydrolase domain containing 15a [Source:ZFIN;Acc:ZDB-GENE-131121-270]</t>
  </si>
  <si>
    <t>ENSDARG00000009594</t>
  </si>
  <si>
    <t>nr1d2b</t>
  </si>
  <si>
    <t>nuclear receptor subfamily 1, group D, member 2b [Source:ZFIN;Acc:ZDB-GENE-990415-244]</t>
  </si>
  <si>
    <t>ENSDARG00000017860</t>
  </si>
  <si>
    <t>rgs5b</t>
  </si>
  <si>
    <t>regulator of G-protein signaling 5b [Source:ZFIN;Acc:ZDB-GENE-050417-359]</t>
  </si>
  <si>
    <t>ENSDARG00000071714</t>
  </si>
  <si>
    <t>znf983</t>
  </si>
  <si>
    <t>zinc finger protein 983 [Source:ZFIN;Acc:ZDB-GENE-060503-812]</t>
  </si>
  <si>
    <t>ENSDARG00000044718</t>
  </si>
  <si>
    <t>vav2</t>
  </si>
  <si>
    <t>vav 2 guanine nucleotide exchange factor [Source:ZFIN;Acc:ZDB-GENE-091204-420]</t>
  </si>
  <si>
    <t>ENSDARG00000073786</t>
  </si>
  <si>
    <t>cmbl</t>
  </si>
  <si>
    <t>carboxymethylenebutenolidase homolog (Pseudomonas) [Source:ZFIN;Acc:ZDB-GENE-071004-21]</t>
  </si>
  <si>
    <t>ENSDARG00000034423</t>
  </si>
  <si>
    <t>sncga</t>
  </si>
  <si>
    <t>synuclein, gamma a [Source:ZFIN;Acc:ZDB-GENE-050417-18]</t>
  </si>
  <si>
    <t>ENSDARG00000093774</t>
  </si>
  <si>
    <t>rbp2b</t>
  </si>
  <si>
    <t>retinol binding protein 2b, cellular [Source:ZFIN;Acc:ZDB-GENE-040715-7]</t>
  </si>
  <si>
    <t>ENSDARG00000021896</t>
  </si>
  <si>
    <t>asap3</t>
  </si>
  <si>
    <t>ArfGAP with SH3 domain, ankyrin repeat and PH domain 3 [Source:ZFIN;Acc:ZDB-GENE-050913-39]</t>
  </si>
  <si>
    <t>ENSDARG00000014218</t>
  </si>
  <si>
    <t>mecp2</t>
  </si>
  <si>
    <t>methyl CpG binding protein 2 [Source:ZFIN;Acc:ZDB-GENE-030131-7190]</t>
  </si>
  <si>
    <t>ENSDARG00000099203</t>
  </si>
  <si>
    <t>atp1b2a</t>
  </si>
  <si>
    <t>ATPase, Na+/K+ transporting, beta 2a polypeptide [Source:ZFIN;Acc:ZDB-GENE-001127-2]</t>
  </si>
  <si>
    <t>ENSDARG00000102671</t>
  </si>
  <si>
    <t>dpyda.1</t>
  </si>
  <si>
    <t>dihydropyrimidine dehydrogenase a, tandem duplicate 1 [Source:ZFIN;Acc:ZDB-GENE-061013-727]</t>
  </si>
  <si>
    <t>ENSDARG00000077861</t>
  </si>
  <si>
    <t>sowahaa</t>
  </si>
  <si>
    <t>sosondowah ankyrin repeat domain family member Aa [Source:ZFIN;Acc:ZDB-GENE-100910-3]</t>
  </si>
  <si>
    <t>ENSDARG00000100003</t>
  </si>
  <si>
    <t>glulb</t>
  </si>
  <si>
    <t>glutamate-ammonia ligase (glutamine synthase) b [Source:ZFIN;Acc:ZDB-GENE-030131-8417]</t>
  </si>
  <si>
    <t>ENSDARG00000094309</t>
  </si>
  <si>
    <t>si:ch73-92e7.6</t>
  </si>
  <si>
    <t>si:ch73-92e7.6 [Source:ZFIN;Acc:ZDB-GENE-081031-35]</t>
  </si>
  <si>
    <t>ENSDARG00000095643</t>
  </si>
  <si>
    <t>si:dkey-253d23.3</t>
  </si>
  <si>
    <t>si:dkey-253d23.3 [Source:ZFIN;Acc:ZDB-GENE-050208-330]</t>
  </si>
  <si>
    <t>ENSDARG00000006636</t>
  </si>
  <si>
    <t>slitrk2</t>
  </si>
  <si>
    <t>SLIT and NTRK-like family, member 2 [Source:ZFIN;Acc:ZDB-GENE-080327-7]</t>
  </si>
  <si>
    <t>ENSDARG00000014420</t>
  </si>
  <si>
    <t>elavl3</t>
  </si>
  <si>
    <t>ELAV like neuron-specific RNA binding protein 3 [Source:ZFIN;Acc:ZDB-GENE-980526-76]</t>
  </si>
  <si>
    <t>ENSDARG00000035400</t>
  </si>
  <si>
    <t>btf3</t>
  </si>
  <si>
    <t>basic transcription factor 3 [Source:ZFIN;Acc:ZDB-GENE-030131-8731]</t>
  </si>
  <si>
    <t>ENSDARG00000094563</t>
  </si>
  <si>
    <t>znf1144</t>
  </si>
  <si>
    <t>znf1144.1</t>
  </si>
  <si>
    <t>zinc finger protein 1144 [Source:ZFIN;Acc:ZDB-GENE-050420-78]</t>
  </si>
  <si>
    <t>ENSDARG00000100973</t>
  </si>
  <si>
    <t>arhgap24</t>
  </si>
  <si>
    <t>Rho GTPase activating protein 24 [Source:ZFIN;Acc:ZDB-GENE-091118-20]</t>
  </si>
  <si>
    <t>ENSDARG00000004436</t>
  </si>
  <si>
    <t>fam92a1</t>
  </si>
  <si>
    <t>family with sequence similarity 92, member A1 [Source:ZFIN;Acc:ZDB-GENE-040801-123]</t>
  </si>
  <si>
    <t>ENSDARG00000045399</t>
  </si>
  <si>
    <t>cct5</t>
  </si>
  <si>
    <t>chaperonin containing TCP1, subunit 5 (epsilon) [Source:ZFIN;Acc:ZDB-GENE-030131-977]</t>
  </si>
  <si>
    <t>ENSDARG00000057148</t>
  </si>
  <si>
    <t>si:dkey-48n15.2</t>
  </si>
  <si>
    <t>si:dkey-48n15.2 [Source:ZFIN;Acc:ZDB-GENE-090313-314]</t>
  </si>
  <si>
    <t>ENSDARG00000055046</t>
  </si>
  <si>
    <t>ponzr5</t>
  </si>
  <si>
    <t>plac8 onzin related protein 5 [Source:ZFIN;Acc:ZDB-GENE-081104-325]</t>
  </si>
  <si>
    <t>ENSDARG00000091006</t>
  </si>
  <si>
    <t>cobl</t>
  </si>
  <si>
    <t>cordon-bleu WH2 repeat protein [Source:ZFIN;Acc:ZDB-GENE-091020-11]</t>
  </si>
  <si>
    <t>ENSDARG00000075508</t>
  </si>
  <si>
    <t>si:dkey-108k21.10</t>
  </si>
  <si>
    <t>si:dkey-108k21.10 [Source:ZFIN;Acc:ZDB-GENE-131127-26]</t>
  </si>
  <si>
    <t>ENSDARG00000097155</t>
  </si>
  <si>
    <t>GDPGP1</t>
  </si>
  <si>
    <t>zgc:153343 [Source:ZFIN;Acc:ZDB-GENE-060929-280]</t>
  </si>
  <si>
    <t>ENSDARG00000062138</t>
  </si>
  <si>
    <t>ranbp10</t>
  </si>
  <si>
    <t>RAN binding protein 10 [Source:ZFIN;Acc:ZDB-GENE-070705-86]</t>
  </si>
  <si>
    <t>ENSDARG00000096731</t>
  </si>
  <si>
    <t>si:dkey-14i17.1</t>
  </si>
  <si>
    <t>si:dkey-14i17.1 [Source:ZFIN;Acc:ZDB-GENE-130603-18]</t>
  </si>
  <si>
    <t>ENSDARG00000089016</t>
  </si>
  <si>
    <t>mapkapk3</t>
  </si>
  <si>
    <t>mitogen-activated protein kinase-activated protein kinase 3 [Source:ZFIN;Acc:ZDB-GENE-061215-124]</t>
  </si>
  <si>
    <t>ENSDARG00000098972</t>
  </si>
  <si>
    <t>mrps16</t>
  </si>
  <si>
    <t>mitochondrial ribosomal protein S16 [Source:ZFIN;Acc:ZDB-GENE-041010-123]</t>
  </si>
  <si>
    <t>ENSDARG00000096837</t>
  </si>
  <si>
    <t>si:dkey-167o9.3</t>
  </si>
  <si>
    <t>si:dkey-167o9.3 [Source:ZFIN;Acc:ZDB-GENE-131125-29]</t>
  </si>
  <si>
    <t>ENSDARG00000044688</t>
  </si>
  <si>
    <t>dusp4</t>
  </si>
  <si>
    <t>dual specificity phosphatase 4 [Source:ZFIN;Acc:ZDB-GENE-040426-709]</t>
  </si>
  <si>
    <t>ENSDARG00000071589</t>
  </si>
  <si>
    <t>si:dkey-253d23.2</t>
  </si>
  <si>
    <t>si:dkey-253d23.2 [Source:ZFIN;Acc:ZDB-GENE-050208-410]</t>
  </si>
  <si>
    <t>ENSDARG00000087863</t>
  </si>
  <si>
    <t>cd44a</t>
  </si>
  <si>
    <t>CD44 molecule (Indian blood group) a [Source:ZFIN;Acc:ZDB-GENE-110429-1]</t>
  </si>
  <si>
    <t>ENSDARG00000045351</t>
  </si>
  <si>
    <t>ccdc58</t>
  </si>
  <si>
    <t>coiled-coil domain containing 58 [Source:ZFIN;Acc:ZDB-GENE-040426-1780]</t>
  </si>
  <si>
    <t>ENSDARG00000092246</t>
  </si>
  <si>
    <t>si:dkey-20i20.3</t>
  </si>
  <si>
    <t>si:dkey-20i20.3 [Source:ZFIN;Acc:ZDB-GENE-060503-623]</t>
  </si>
  <si>
    <t>ENSDARG00000000542</t>
  </si>
  <si>
    <t>gtf2e1</t>
  </si>
  <si>
    <t>general transcription factor IIE, polypeptide 1, alpha [Source:ZFIN;Acc:ZDB-GENE-041210-221]</t>
  </si>
  <si>
    <t>ENSDARG00000063726</t>
  </si>
  <si>
    <t>cdk12</t>
  </si>
  <si>
    <t>cyclin-dependent kinase 12 [Source:ZFIN;Acc:ZDB-GENE-081104-294]</t>
  </si>
  <si>
    <t>ENSDARG00000087530</t>
  </si>
  <si>
    <t>wu:fe05a04</t>
  </si>
  <si>
    <t>wu:fe05a04 [Source:ZFIN;Acc:ZDB-GENE-030131-4873]</t>
  </si>
  <si>
    <t>ENSDARG00000060366</t>
  </si>
  <si>
    <t>slc12a9</t>
  </si>
  <si>
    <t>solute carrier family 12, member 9 [Source:ZFIN;Acc:ZDB-GENE-050208-222]</t>
  </si>
  <si>
    <t>ENSDARG00000103954</t>
  </si>
  <si>
    <t>si:dkey-1b17.9</t>
  </si>
  <si>
    <t>si:dkey-1b17.9 [Source:ZFIN;Acc:ZDB-GENE-050208-546]</t>
  </si>
  <si>
    <t>ENSDARG00000096978</t>
  </si>
  <si>
    <t>si:ch1073-147e4.1</t>
  </si>
  <si>
    <t>si:ch1073-147e4.1 [Source:ZFIN;Acc:ZDB-GENE-131121-500]</t>
  </si>
  <si>
    <t>ENSDARG00000094042</t>
  </si>
  <si>
    <t>si:dkey-20i20.4</t>
  </si>
  <si>
    <t>si:dkey-20i20.4 [Source:ZFIN;Acc:ZDB-GENE-060503-717]</t>
  </si>
  <si>
    <t>ENSDARG00000045695</t>
  </si>
  <si>
    <t>myca</t>
  </si>
  <si>
    <t>v-myc avian myelocytomatosis viral oncogene homolog a [Source:ZFIN;Acc:ZDB-GENE-990415-162]</t>
  </si>
  <si>
    <t>ENSDARG00000086628</t>
  </si>
  <si>
    <t>stk19</t>
  </si>
  <si>
    <t>serine/threonine kinase 19 [Source:ZFIN;Acc:ZDB-GENE-000616-11]</t>
  </si>
  <si>
    <t>ENSDARG00000005162</t>
  </si>
  <si>
    <t>tpm3</t>
  </si>
  <si>
    <t>tropomyosin 3 [Source:ZFIN;Acc:ZDB-GENE-030826-16]</t>
  </si>
  <si>
    <t>ENSDARG00000092074</t>
  </si>
  <si>
    <t>hcst</t>
  </si>
  <si>
    <t>hematopoietic cell signal transducer [Source:ZFIN;Acc:ZDB-GENE-061130-1]</t>
  </si>
  <si>
    <t>ENSDARG00000061375</t>
  </si>
  <si>
    <t>sgpl1</t>
  </si>
  <si>
    <t>sphingosine-1-phosphate lyase 1 [Source:ZFIN;Acc:ZDB-GENE-070410-24]</t>
  </si>
  <si>
    <t>ENSDARG00000044540</t>
  </si>
  <si>
    <t>fkbp2</t>
  </si>
  <si>
    <t>FK506 binding protein 2 [Source:ZFIN;Acc:ZDB-GENE-040912-126]</t>
  </si>
  <si>
    <t>ENSDARG00000041110</t>
  </si>
  <si>
    <t>dnajc3a</t>
  </si>
  <si>
    <t>DnaJ (Hsp40) homolog, subfamily C, member 3a [Source:ZFIN;Acc:ZDB-GENE-030131-1264]</t>
  </si>
  <si>
    <t>ENSDARG00000040163</t>
  </si>
  <si>
    <t>prim1</t>
  </si>
  <si>
    <t>primase, DNA, polypeptide 1 [Source:ZFIN;Acc:ZDB-GENE-990603-6]</t>
  </si>
  <si>
    <t>ENSDARG00000087205</t>
  </si>
  <si>
    <t>akt3b</t>
  </si>
  <si>
    <t>v-akt murine thymoma viral oncogene homolog 3b [Source:ZFIN;Acc:ZDB-GENE-110309-3]</t>
  </si>
  <si>
    <t>ENSDARG00000062745</t>
  </si>
  <si>
    <t>socs5b</t>
  </si>
  <si>
    <t>suppressor of cytokine signaling 5b [Source:ZFIN;Acc:ZDB-GENE-080722-18]</t>
  </si>
  <si>
    <t>ENSDARG00000038186</t>
  </si>
  <si>
    <t>RDM1</t>
  </si>
  <si>
    <t>zgc:103564 [Source:ZFIN;Acc:ZDB-GENE-041114-14]</t>
  </si>
  <si>
    <t>ENSDARG00000103554</t>
  </si>
  <si>
    <t>notch1a</t>
  </si>
  <si>
    <t>notch 1a [Source:ZFIN;Acc:ZDB-GENE-990415-173]</t>
  </si>
  <si>
    <t>ENSDARG00000007863</t>
  </si>
  <si>
    <t>tra2a</t>
  </si>
  <si>
    <t>transformer 2 alpha homolog (Drosophila) [Source:ZFIN;Acc:ZDB-GENE-040426-1391]</t>
  </si>
  <si>
    <t>ENSDARG00000098153</t>
  </si>
  <si>
    <t>lhfpl2b</t>
  </si>
  <si>
    <t>lipoma HMGIC fusion partner-like 2b [Source:ZFIN;Acc:ZDB-GENE-050417-10]</t>
  </si>
  <si>
    <t>ENSDARG00000000966</t>
  </si>
  <si>
    <t>ncor2</t>
  </si>
  <si>
    <t>nuclear receptor corepressor 2 [Source:ZFIN;Acc:ZDB-GENE-030616-81]</t>
  </si>
  <si>
    <t>ENSDARG00000097189</t>
  </si>
  <si>
    <t>si:ch1073-235i16.2</t>
  </si>
  <si>
    <t>si:ch1073-235i16.2 [Source:ZFIN;Acc:ZDB-GENE-131125-93]</t>
  </si>
  <si>
    <t>ENSDARG00000068374</t>
  </si>
  <si>
    <t>si:ch211-132b12.7</t>
  </si>
  <si>
    <t>si:ch211-132b12.7 [Source:ZFIN;Acc:ZDB-GENE-050419-250]</t>
  </si>
  <si>
    <t>ENSDARG00000062977</t>
  </si>
  <si>
    <t>samd13</t>
  </si>
  <si>
    <t>sterile alpha motif domain containing 13 [Source:ZFIN;Acc:ZDB-GENE-060929-676]</t>
  </si>
  <si>
    <t>ENSDARG00000103403</t>
  </si>
  <si>
    <t>sar1b</t>
  </si>
  <si>
    <t>secretion associated, Ras related GTPase 1B [Source:ZFIN;Acc:ZDB-GENE-040426-1958]</t>
  </si>
  <si>
    <t>ENSDARG00000091975</t>
  </si>
  <si>
    <t>si:ch211-1e14.4</t>
  </si>
  <si>
    <t>si:ch211-1e14.4 [Source:ZFIN;Acc:ZDB-GENE-070705-91]</t>
  </si>
  <si>
    <t>ENSDARG00000055294</t>
  </si>
  <si>
    <t>atoh1a</t>
  </si>
  <si>
    <t>atonal bHLH transcription factor 1a [Source:ZFIN;Acc:ZDB-GENE-990415-17]</t>
  </si>
  <si>
    <t>ENSDARG00000077726</t>
  </si>
  <si>
    <t>nocta</t>
  </si>
  <si>
    <t>nocturnin a [Source:ZFIN;Acc:ZDB-GENE-050208-306]</t>
  </si>
  <si>
    <t>ENSDARG00000062268</t>
  </si>
  <si>
    <t>jarid2b</t>
  </si>
  <si>
    <t>jumonji, AT rich interactive domain 2b [Source:ZFIN;Acc:ZDB-GENE-060503-246]</t>
  </si>
  <si>
    <t>ENSDARG00000053217</t>
  </si>
  <si>
    <t>cox7a2a</t>
  </si>
  <si>
    <t>cytochrome c oxidase subunit VIIa polypeptide 2a (liver) [Source:ZFIN;Acc:ZDB-GENE-050522-153]</t>
  </si>
  <si>
    <t>ENSDARG00000063361</t>
  </si>
  <si>
    <t>si:ch211-1e14.1</t>
  </si>
  <si>
    <t>si:ch211-1e14.1 [Source:ZFIN;Acc:ZDB-GENE-050420-149]</t>
  </si>
  <si>
    <t>ENSDARG00000036558</t>
  </si>
  <si>
    <t>col18a1</t>
  </si>
  <si>
    <t>collagen type XVIII, alpha 1 [Source:ZFIN;Acc:ZDB-GENE-030516-3]</t>
  </si>
  <si>
    <t>ENSDARG00000076017</t>
  </si>
  <si>
    <t>tmem69</t>
  </si>
  <si>
    <t>transmembrane protein 69 [Source:ZFIN;Acc:ZDB-GENE-081022-98]</t>
  </si>
  <si>
    <t>ENSDARG00000055302</t>
  </si>
  <si>
    <t>grid2</t>
  </si>
  <si>
    <t>glutamate receptor, ionotropic, delta 2 [Source:ZFIN;Acc:ZDB-GENE-040913-1]</t>
  </si>
  <si>
    <t>ENSDARG00000011360</t>
  </si>
  <si>
    <t>nfatc2ip</t>
  </si>
  <si>
    <t>nuclear factor of activated T-cells, cytoplasmic, calcineurin-dependent 2 interacting protein [Source:ZFIN;Acc:ZDB-GENE-030131-9520]</t>
  </si>
  <si>
    <t>ENSDARG00000021372</t>
  </si>
  <si>
    <t>tob1b</t>
  </si>
  <si>
    <t>transducer of ERBB2, 1b [Source:ZFIN;Acc:ZDB-GENE-040426-2151]</t>
  </si>
  <si>
    <t>ENSDARG00000095949</t>
  </si>
  <si>
    <t>si:dkey-22i16.9</t>
  </si>
  <si>
    <t>si:dkey-22i16.9 [Source:ZFIN;Acc:ZDB-GENE-090313-261]</t>
  </si>
  <si>
    <t>ENSDARG00000018788</t>
  </si>
  <si>
    <t>st8sia2</t>
  </si>
  <si>
    <t>ST8 alpha-N-acetyl-neuraminide alpha-2,8-sialyltransferase 2 [Source:ZFIN;Acc:ZDB-GENE-020919-4]</t>
  </si>
  <si>
    <t>ENSDARG00000104375</t>
  </si>
  <si>
    <t>sec24a</t>
  </si>
  <si>
    <t>SEC24 homolog A, COPII coat complex component [Source:ZFIN;Acc:ZDB-GENE-120926-1]</t>
  </si>
  <si>
    <t>ENSDARG00000056638</t>
  </si>
  <si>
    <t>pir</t>
  </si>
  <si>
    <t>pirin [Source:ZFIN;Acc:ZDB-GENE-040718-288]</t>
  </si>
  <si>
    <t>ENSDARG00000071741</t>
  </si>
  <si>
    <t>zgc:112977</t>
  </si>
  <si>
    <t>zgc:112977 [Source:ZFIN;Acc:ZDB-GENE-050327-98]</t>
  </si>
  <si>
    <t>ENSDARG00000021455</t>
  </si>
  <si>
    <t>strbp</t>
  </si>
  <si>
    <t>spermatid perinuclear RNA binding protein [Source:ZFIN;Acc:ZDB-GENE-030729-18]</t>
  </si>
  <si>
    <t>ENSDARG00000060023</t>
  </si>
  <si>
    <t>ncapg2</t>
  </si>
  <si>
    <t>non-SMC condensin II complex, subunit G2 [Source:ZFIN;Acc:ZDB-GENE-070410-100]</t>
  </si>
  <si>
    <t>ENSDARG00000079553</t>
  </si>
  <si>
    <t>cd83</t>
  </si>
  <si>
    <t>CD83 molecule [Source:ZFIN;Acc:ZDB-GENE-060503-762]</t>
  </si>
  <si>
    <t>ENSDARG00000078155</t>
  </si>
  <si>
    <t>si:ch211-163l21.4</t>
  </si>
  <si>
    <t>si:ch211-163l21.4 [Source:ZFIN;Acc:ZDB-GENE-081105-161]</t>
  </si>
  <si>
    <t>ENSDARG00000033950</t>
  </si>
  <si>
    <t>lamb2l</t>
  </si>
  <si>
    <t>laminin, beta 2-like [Source:ZFIN;Acc:ZDB-GENE-030131-4205]</t>
  </si>
  <si>
    <t>ENSDARG00000104571</t>
  </si>
  <si>
    <t>gadd45ab</t>
  </si>
  <si>
    <t>growth arrest and DNA-damage-inducible, alpha, b [Source:ZFIN;Acc:ZDB-GENE-040704-60]</t>
  </si>
  <si>
    <t>ENSDARG00000099618</t>
  </si>
  <si>
    <t>ZNF197</t>
  </si>
  <si>
    <t>ZNF197.2</t>
  </si>
  <si>
    <t>si:dkey-1b17.6 [Source:ZFIN;Acc:ZDB-GENE-050208-384]</t>
  </si>
  <si>
    <t>ENSDARG00000071230</t>
  </si>
  <si>
    <t>lrfn5a</t>
  </si>
  <si>
    <t>leucine rich repeat and fibronectin type III domain containing 5a [Source:ZFIN;Acc:ZDB-GENE-080327-17]</t>
  </si>
  <si>
    <t>ENSDARG00000025094</t>
  </si>
  <si>
    <t>edem1</t>
  </si>
  <si>
    <t>ER degradation enhancer, mannosidase alpha-like 1 [Source:ZFIN;Acc:ZDB-GENE-040426-808]</t>
  </si>
  <si>
    <t>ENSDARG00000053804</t>
  </si>
  <si>
    <t>osbpl2a</t>
  </si>
  <si>
    <t>oxysterol binding protein-like 2a [Source:ZFIN;Acc:ZDB-GENE-091116-46]</t>
  </si>
  <si>
    <t>ENSDARG00000035332</t>
  </si>
  <si>
    <t>c10h21orf59</t>
  </si>
  <si>
    <t>c10h21orf59 homolog (H. sapiens) [Source:ZFIN;Acc:ZDB-GENE-040930-8]</t>
  </si>
  <si>
    <t>ENSDARG00000007024</t>
  </si>
  <si>
    <t>uox</t>
  </si>
  <si>
    <t>urate oxidase [Source:ZFIN;Acc:ZDB-GENE-030826-24]</t>
  </si>
  <si>
    <t>ENSDARG00000102619</t>
  </si>
  <si>
    <t>si:dkeyp-79b7.13</t>
  </si>
  <si>
    <t>si:dkeyp-79b7.13 [Source:ZFIN;Acc:ZDB-GENE-141216-222]</t>
  </si>
  <si>
    <t>ENSDARG00000061992</t>
  </si>
  <si>
    <t>dot1l</t>
  </si>
  <si>
    <t>DOT1-like histone H3K79 methyltransferase [Source:ZFIN;Acc:ZDB-GENE-060503-341]</t>
  </si>
  <si>
    <t>ENSDARG00000070922</t>
  </si>
  <si>
    <t>cnbpb</t>
  </si>
  <si>
    <t>CCHC-type zinc finger, nucleic acid binding protein b [Source:ZFIN;Acc:ZDB-GENE-030131-7782]</t>
  </si>
  <si>
    <t>ENSDARG00000061918</t>
  </si>
  <si>
    <t>cplx2</t>
  </si>
  <si>
    <t>complexin 2 [Source:ZFIN;Acc:ZDB-GENE-081113-1]</t>
  </si>
  <si>
    <t>ENSDARG00000074611</t>
  </si>
  <si>
    <t>wdr37</t>
  </si>
  <si>
    <t>WD repeat domain 37 [Source:ZFIN;Acc:ZDB-GENE-030131-8101]</t>
  </si>
  <si>
    <t>ENSDARG00000099554</t>
  </si>
  <si>
    <t>sec16b</t>
  </si>
  <si>
    <t>SEC16 homolog B, endoplasmic reticulum export factor [Source:ZFIN;Acc:ZDB-GENE-050208-274]</t>
  </si>
  <si>
    <t>ENSDARG00000068156</t>
  </si>
  <si>
    <t>chchd7</t>
  </si>
  <si>
    <t>coiled-coil-helix-coiled-coil-helix domain containing 7 [Source:ZFIN;Acc:ZDB-GENE-080204-55]</t>
  </si>
  <si>
    <t>ENSDARG00000097017</t>
  </si>
  <si>
    <t>mical3a</t>
  </si>
  <si>
    <t>microtubule associated monooxygenase, calponin and LIM domain containing 3a [Source:ZFIN;Acc:ZDB-GENE-050126-2]</t>
  </si>
  <si>
    <t>ENSDARG00000077078</t>
  </si>
  <si>
    <t>zgc:173726</t>
  </si>
  <si>
    <t>zgc:173726 [Source:ZFIN;Acc:ZDB-GENE-071004-108]</t>
  </si>
  <si>
    <t>ENSDARG00000037603</t>
  </si>
  <si>
    <t>zgc:162144</t>
  </si>
  <si>
    <t>zgc:162144 [Source:ZFIN;Acc:ZDB-GENE-030131-7630]</t>
  </si>
  <si>
    <t>ENSDARG00000003373</t>
  </si>
  <si>
    <t>commd2</t>
  </si>
  <si>
    <t>COMM domain containing 2 [Source:ZFIN;Acc:ZDB-GENE-040718-118]</t>
  </si>
  <si>
    <t>ENSDARG00000099315</t>
  </si>
  <si>
    <t>nsdhl</t>
  </si>
  <si>
    <t>NAD(P) dependent steroid dehydrogenase-like [Source:ZFIN;Acc:ZDB-GENE-050417-163]</t>
  </si>
  <si>
    <t>ENSDARG00000073686</t>
  </si>
  <si>
    <t>heatr6</t>
  </si>
  <si>
    <t>HEAT repeat containing 6 [Source:ZFIN;Acc:ZDB-GENE-080204-118]</t>
  </si>
  <si>
    <t>ENSDARG00000059322</t>
  </si>
  <si>
    <t>topbp1</t>
  </si>
  <si>
    <t>topoisomerase (DNA) II binding protein 1 [Source:ZFIN;Acc:ZDB-GENE-060626-1]</t>
  </si>
  <si>
    <t>ENSDARG00000103926</t>
  </si>
  <si>
    <t>inpp5e</t>
  </si>
  <si>
    <t>inositol polyphosphate-5-phosphatase E [Source:ZFIN;Acc:ZDB-GENE-050809-23]</t>
  </si>
  <si>
    <t>ENSDARG00000028087</t>
  </si>
  <si>
    <t>aldh2.2</t>
  </si>
  <si>
    <t>aldehyde dehydrogenase 2 family (mitochondrial), tandem duplicate 2 [Source:ZFIN;Acc:ZDB-GENE-030326-5]</t>
  </si>
  <si>
    <t>ENSDARG00000094894</t>
  </si>
  <si>
    <t>tyrobp</t>
  </si>
  <si>
    <t>TYRO protein tyrosine kinase binding protein [Source:ZFIN;Acc:ZDB-GENE-061130-2]</t>
  </si>
  <si>
    <t>ENSDARG00000010792</t>
  </si>
  <si>
    <t>cdc25b</t>
  </si>
  <si>
    <t>cell division cycle 25B [Source:ZFIN;Acc:ZDB-GENE-000330-5]</t>
  </si>
  <si>
    <t>ENSDARG00000042623</t>
  </si>
  <si>
    <t>acbd3</t>
  </si>
  <si>
    <t>acyl-Coenzyme A binding domain containing 3 [Source:ZFIN;Acc:ZDB-GENE-040426-1930]</t>
  </si>
  <si>
    <t>ENSDARG00000035136</t>
  </si>
  <si>
    <t>sepw1</t>
  </si>
  <si>
    <t>selenoprotein W, 1 [Source:ZFIN;Acc:ZDB-GENE-030410-5]</t>
  </si>
  <si>
    <t>ENSDARG00000020841</t>
  </si>
  <si>
    <t>rbm7</t>
  </si>
  <si>
    <t>RNA binding motif protein 7 [Source:ZFIN;Acc:ZDB-GENE-030131-6724]</t>
  </si>
  <si>
    <t>ENSDARG00000071250</t>
  </si>
  <si>
    <t>tmem79a</t>
  </si>
  <si>
    <t>transmembrane protein 79a [Source:ZFIN;Acc:ZDB-GENE-060503-538]</t>
  </si>
  <si>
    <t>ENSDARG00000061543</t>
  </si>
  <si>
    <t>ccdc85b</t>
  </si>
  <si>
    <t>coiled-coil domain containing 85B [Source:ZFIN;Acc:ZDB-GENE-060130-56]</t>
  </si>
  <si>
    <t>ENSDARG00000076296</t>
  </si>
  <si>
    <t>triqk</t>
  </si>
  <si>
    <t>triple QxxK/R motif containing [Source:ZFIN;Acc:ZDB-GENE-070705-75]</t>
  </si>
  <si>
    <t>ENSDARG00000035571</t>
  </si>
  <si>
    <t>abhd17b</t>
  </si>
  <si>
    <t>abhydrolase domain containing 17B [Source:ZFIN;Acc:ZDB-GENE-040718-244]</t>
  </si>
  <si>
    <t>ENSDARG00000099283</t>
  </si>
  <si>
    <t>epb41a</t>
  </si>
  <si>
    <t>erythrocyte membrane protein band 4.1a [Source:ZFIN;Acc:ZDB-GENE-070705-81]</t>
  </si>
  <si>
    <t>ENSDARG00000093584</t>
  </si>
  <si>
    <t>zgc:193505</t>
  </si>
  <si>
    <t>zgc:193505 [Source:ZFIN;Acc:ZDB-GENE-030131-7103]</t>
  </si>
  <si>
    <t>ENSDARG00000086744</t>
  </si>
  <si>
    <t>si:dkeyp-79b7.9</t>
  </si>
  <si>
    <t>si:dkeyp-79b7.9 [Source:ZFIN;Acc:ZDB-GENE-050208-482]</t>
  </si>
  <si>
    <t>ENSDARG00000006924</t>
  </si>
  <si>
    <t>fbxo38</t>
  </si>
  <si>
    <t>F-box protein 38 [Source:ZFIN;Acc:ZDB-GENE-030131-2797]</t>
  </si>
  <si>
    <t>ENSDARG00000070824</t>
  </si>
  <si>
    <t>ndufb5</t>
  </si>
  <si>
    <t>NADH dehydrogenase (ubiquinone) 1 beta subcomplex 5 [Source:ZFIN;Acc:ZDB-GENE-011010-1]</t>
  </si>
  <si>
    <t>ENSDARG00000041098</t>
  </si>
  <si>
    <t>barx2</t>
  </si>
  <si>
    <t>BARX homeobox 2 [Source:ZFIN;Acc:ZDB-GENE-081120-4]</t>
  </si>
  <si>
    <t>ENSDARG00000059792</t>
  </si>
  <si>
    <t>trpm5</t>
  </si>
  <si>
    <t>transient receptor potential cation channel, subfamily M, member 5 [Source:ZFIN;Acc:ZDB-GENE-060503-736]</t>
  </si>
  <si>
    <t>ENSDARG00000105187</t>
  </si>
  <si>
    <t>gcshb</t>
  </si>
  <si>
    <t>glycine cleavage system protein H (aminomethyl carrier), b [Source:ZFIN;Acc:ZDB-GENE-040718-319]</t>
  </si>
  <si>
    <t>ENSDARG00000044457</t>
  </si>
  <si>
    <t>gfi1ab</t>
  </si>
  <si>
    <t>growth factor independent 1A transcription repressor b [Source:ZFIN;Acc:ZDB-GENE-040116-8]</t>
  </si>
  <si>
    <t>ENSDARG00000019459</t>
  </si>
  <si>
    <t>elf2a</t>
  </si>
  <si>
    <t>E74-like factor 2a (ets domain transcription factor) [Source:ZFIN;Acc:ZDB-GENE-040822-41]</t>
  </si>
  <si>
    <t>ENSDARG00000062865</t>
  </si>
  <si>
    <t>mras</t>
  </si>
  <si>
    <t>muscle RAS oncogene homolog [Source:ZFIN;Acc:ZDB-GENE-050208-495]</t>
  </si>
  <si>
    <t>ENSDARG00000096433</t>
  </si>
  <si>
    <t>rock2b</t>
  </si>
  <si>
    <t>rho-associated, coiled-coil containing protein kinase 2b [Source:ZFIN;Acc:ZDB-GENE-060125-2]</t>
  </si>
  <si>
    <t>ENSDARG00000102308</t>
  </si>
  <si>
    <t>ttc39c</t>
  </si>
  <si>
    <t>tetratricopeptide repeat domain 39C [Source:ZFIN;Acc:ZDB-GENE-050522-194]</t>
  </si>
  <si>
    <t>ENSDARG00000005541</t>
  </si>
  <si>
    <t>wif1</t>
  </si>
  <si>
    <t>wnt inhibitory factor 1 [Source:ZFIN;Acc:ZDB-GENE-990712-17]</t>
  </si>
  <si>
    <t>ENSDARG00000078917</t>
  </si>
  <si>
    <t>zgc:195245</t>
  </si>
  <si>
    <t>zgc:195245 [Source:ZFIN;Acc:ZDB-GENE-081022-200]</t>
  </si>
  <si>
    <t>ENSDARG00000010918</t>
  </si>
  <si>
    <t>nprl3</t>
  </si>
  <si>
    <t>NPR3-like, GATOR1 complex subunit [Source:ZFIN;Acc:ZDB-GENE-030131-1348]</t>
  </si>
  <si>
    <t>ENSDARG00000021979</t>
  </si>
  <si>
    <t>mical3a.1</t>
  </si>
  <si>
    <t>ENSDARG00000016181</t>
  </si>
  <si>
    <t>trim33</t>
  </si>
  <si>
    <t>tripartite motif containing 33 [Source:ZFIN;Acc:ZDB-GENE-030131-2773]</t>
  </si>
  <si>
    <t>ENSDARG00000019457</t>
  </si>
  <si>
    <t>tfe3b</t>
  </si>
  <si>
    <t>transcription factor binding to IGHM enhancer 3b [Source:ZFIN;Acc:ZDB-GENE-010919-3]</t>
  </si>
  <si>
    <t>ENSDARG00000045123</t>
  </si>
  <si>
    <t>oplah</t>
  </si>
  <si>
    <t>5-oxoprolinase (ATP-hydrolysing) [Source:ZFIN;Acc:ZDB-GENE-121214-293]</t>
  </si>
  <si>
    <t>ENSDARG00000009864</t>
  </si>
  <si>
    <t>ddx55</t>
  </si>
  <si>
    <t>DEAD (Asp-Glu-Ala-Asp) box polypeptide 55 [Source:ZFIN;Acc:ZDB-GENE-021212-1]</t>
  </si>
  <si>
    <t>ENSDARG00000096780</t>
  </si>
  <si>
    <t>si:ch211-225b10.2</t>
  </si>
  <si>
    <t>si:ch211-225b10.2 [Source:ZFIN;Acc:ZDB-GENE-130531-28]</t>
  </si>
  <si>
    <t>ENSDARG00000096134</t>
  </si>
  <si>
    <t>si:dkeyp-85d8.4</t>
  </si>
  <si>
    <t>si:dkeyp-85d8.4 [Source:ZFIN;Acc:ZDB-GENE-110914-186]</t>
  </si>
  <si>
    <t>ENSDARG00000037361</t>
  </si>
  <si>
    <t>kdelr2b</t>
  </si>
  <si>
    <t>KDEL (Lys-Asp-Glu-Leu) endoplasmic reticulum protein retention receptor 2b [Source:ZFIN;Acc:ZDB-GENE-030131-4189]</t>
  </si>
  <si>
    <t>ENSDARG00000000606</t>
  </si>
  <si>
    <t>dnah7l</t>
  </si>
  <si>
    <t>dynein, axonemal, heavy polypeptide 7 like [Source:ZFIN;Acc:ZDB-GENE-030616-623]</t>
  </si>
  <si>
    <t>ENSDARG00000007788</t>
  </si>
  <si>
    <t>atp2b1b</t>
  </si>
  <si>
    <t>ATPase, Ca++ transporting, plasma membrane 1b [Source:ZFIN;Acc:ZDB-GENE-080409-1]</t>
  </si>
  <si>
    <t>ENSDARG00000070539</t>
  </si>
  <si>
    <t>arf3a</t>
  </si>
  <si>
    <t>ADP-ribosylation factor 3a [Source:ZFIN;Acc:ZDB-GENE-040801-176]</t>
  </si>
  <si>
    <t>ENSDARG00000004877</t>
  </si>
  <si>
    <t>rock2b.1</t>
  </si>
  <si>
    <t>ENSDARG00000041779</t>
  </si>
  <si>
    <t>trdn</t>
  </si>
  <si>
    <t>triadin [Source:ZFIN;Acc:ZDB-GENE-041014-193]</t>
  </si>
  <si>
    <t>ENSDARG00000053205</t>
  </si>
  <si>
    <t>ppfia4</t>
  </si>
  <si>
    <t>protein tyrosine phosphatase, receptor type, f polypeptide (PTPRF), interacting protein (liprin), alpha 4 [Source:ZFIN;Acc:ZDB-GENE-070720-14]</t>
  </si>
  <si>
    <t>ENSDARG00000089924</t>
  </si>
  <si>
    <t>aldh2.1</t>
  </si>
  <si>
    <t>aldehyde dehydrogenase 2 family (mitochondrial), tandem duplicate 1 [Source:ZFIN;Acc:ZDB-GENE-040426-1262]</t>
  </si>
  <si>
    <t>ENSDARG00000033928</t>
  </si>
  <si>
    <t>ndfip2</t>
  </si>
  <si>
    <t>Nedd4 family interacting protein 2 [Source:ZFIN;Acc:ZDB-GENE-040426-2662]</t>
  </si>
  <si>
    <t>ENSDARG00000005034</t>
  </si>
  <si>
    <t>ispd</t>
  </si>
  <si>
    <t>isoprenoid synthase domain containing [Source:ZFIN;Acc:ZDB-GENE-061110-16]</t>
  </si>
  <si>
    <t>ENSDARG00000038302</t>
  </si>
  <si>
    <t>ccar2</t>
  </si>
  <si>
    <t>cell cycle and apoptosis regulator 2 [Source:ZFIN;Acc:ZDB-GENE-091204-207]</t>
  </si>
  <si>
    <t>ENSDARG00000079238</t>
  </si>
  <si>
    <t>trim59</t>
  </si>
  <si>
    <t>tripartite motif containing 59 [Source:ZFIN;Acc:ZDB-GENE-060724-2]</t>
  </si>
  <si>
    <t>ENSDARG00000055250</t>
  </si>
  <si>
    <t>si:ch211-132b12.8</t>
  </si>
  <si>
    <t>si:ch211-132b12.8 [Source:ZFIN;Acc:ZDB-GENE-030131-5453]</t>
  </si>
  <si>
    <t>ENSDARG00000073704</t>
  </si>
  <si>
    <t>si:dkeyp-72g9.4</t>
  </si>
  <si>
    <t>si:dkeyp-72g9.4 [Source:ZFIN;Acc:ZDB-GENE-031204-23]</t>
  </si>
  <si>
    <t>ENSDARG00000061138</t>
  </si>
  <si>
    <t>senp7b</t>
  </si>
  <si>
    <t>SUMO1/sentrin specific peptidase 7b [Source:ZFIN;Acc:ZDB-GENE-060531-45]</t>
  </si>
  <si>
    <t>ENSDARG00000074379</t>
  </si>
  <si>
    <t>knstrn</t>
  </si>
  <si>
    <t>kinetochore-localized astrin/SPAG5 binding protein [Source:ZFIN;Acc:ZDB-GENE-081022-187]</t>
  </si>
  <si>
    <t>ENSDARG00000038882</t>
  </si>
  <si>
    <t>smc4</t>
  </si>
  <si>
    <t>structural maintenance of chromosomes 4 [Source:ZFIN;Acc:ZDB-GENE-020419-21]</t>
  </si>
  <si>
    <t>ENSDARG00000055455</t>
  </si>
  <si>
    <t>gpm6aa</t>
  </si>
  <si>
    <t>glycoprotein M6Aa [Source:ZFIN;Acc:ZDB-GENE-030710-7]</t>
  </si>
  <si>
    <t>ENSDARG00000035420</t>
  </si>
  <si>
    <t>ophn1</t>
  </si>
  <si>
    <t>oligophrenin 1 [Source:ZFIN;Acc:ZDB-GENE-040718-464]</t>
  </si>
  <si>
    <t>ENSDARG00000068918</t>
  </si>
  <si>
    <t>map2k2b</t>
  </si>
  <si>
    <t>mitogen-activated protein kinase kinase 2b [Source:ZFIN;Acc:ZDB-GENE-080219-34]</t>
  </si>
  <si>
    <t>ENSDARG00000078947</t>
  </si>
  <si>
    <t>sdccag8</t>
  </si>
  <si>
    <t>serologically defined colon cancer antigen 8 [Source:ZFIN;Acc:ZDB-GENE-090313-318]</t>
  </si>
  <si>
    <t>ENSDARG00000034504</t>
  </si>
  <si>
    <t>lmo1</t>
  </si>
  <si>
    <t>LIM domain only 1 [Source:ZFIN;Acc:ZDB-GENE-021115-6]</t>
  </si>
  <si>
    <t>ENSDARG00000055075</t>
  </si>
  <si>
    <t>svila</t>
  </si>
  <si>
    <t>supervillin a [Source:ZFIN;Acc:ZDB-GENE-990706-5]</t>
  </si>
  <si>
    <t>ENSDARG00000021389</t>
  </si>
  <si>
    <t>jag2b</t>
  </si>
  <si>
    <t>jagged 2b [Source:ZFIN;Acc:ZDB-GENE-011128-3]</t>
  </si>
  <si>
    <t>ENSDARG00000008727</t>
  </si>
  <si>
    <t>ranbp3a</t>
  </si>
  <si>
    <t>RAN binding protein 3a [Source:ZFIN;Acc:ZDB-GENE-040426-1132]</t>
  </si>
  <si>
    <t>ENSDARG00000103333</t>
  </si>
  <si>
    <t>baiap2b</t>
  </si>
  <si>
    <t>BAI1-associated protein 2b [Source:ZFIN;Acc:ZDB-GENE-100812-7]</t>
  </si>
  <si>
    <t>ENSDARG00000004774</t>
  </si>
  <si>
    <t>wdr36</t>
  </si>
  <si>
    <t>WD repeat domain 36 [Source:ZFIN;Acc:ZDB-GENE-030131-464]</t>
  </si>
  <si>
    <t>ENSDARG00000059354</t>
  </si>
  <si>
    <t>glmp</t>
  </si>
  <si>
    <t>glycosylated lysosomal membrane protein [Source:ZFIN;Acc:ZDB-GENE-040912-142]</t>
  </si>
  <si>
    <t>ENSDARG00000097630</t>
  </si>
  <si>
    <t>si:ch211-282b22.1</t>
  </si>
  <si>
    <t>si:ch211-282b22.1 [Source:ZFIN;Acc:ZDB-GENE-030219-148]</t>
  </si>
  <si>
    <t>ENSDARG00000098211</t>
  </si>
  <si>
    <t>wrn</t>
  </si>
  <si>
    <t>Werner syndrome [Source:ZFIN;Acc:ZDB-GENE-070702-2]</t>
  </si>
  <si>
    <t>ENSDARG00000001940</t>
  </si>
  <si>
    <t>dnajc1</t>
  </si>
  <si>
    <t>DnaJ (Hsp40) homolog, subfamily C, member 1 [Source:ZFIN;Acc:ZDB-GENE-061103-529]</t>
  </si>
  <si>
    <t>ENSDARG00000003127</t>
  </si>
  <si>
    <t>zgc:123105</t>
  </si>
  <si>
    <t>zgc:123105 [Source:ZFIN;Acc:ZDB-GENE-051113-272]</t>
  </si>
  <si>
    <t>ENSDARG00000046010</t>
  </si>
  <si>
    <t>kdm2bb</t>
  </si>
  <si>
    <t>lysine (K)-specific demethylase 2Bb [Source:ZFIN;Acc:ZDB-GENE-080225-13]</t>
  </si>
  <si>
    <t>ENSDARG00000008279</t>
  </si>
  <si>
    <t>map2k7</t>
  </si>
  <si>
    <t>mitogen-activated protein kinase kinase 7 [Source:ZFIN;Acc:ZDB-GENE-090312-186]</t>
  </si>
  <si>
    <t>ENSDARG00000040465</t>
  </si>
  <si>
    <t>irf2</t>
  </si>
  <si>
    <t>interferon regulatory factor 2 [Source:ZFIN;Acc:ZDB-GENE-041212-38]</t>
  </si>
  <si>
    <t>ENSDARG00000032039</t>
  </si>
  <si>
    <t>mxd1</t>
  </si>
  <si>
    <t>MAX dimerization protein 1 [Source:ZFIN;Acc:ZDB-GENE-060526-246]</t>
  </si>
  <si>
    <t>ENSDARG00000039064</t>
  </si>
  <si>
    <t>st3gal7</t>
  </si>
  <si>
    <t>ST3 beta-galactoside alpha-2,3-sialyltransferase 7 [Source:ZFIN;Acc:ZDB-GENE-060322-2]</t>
  </si>
  <si>
    <t>ENSDARG00000052435</t>
  </si>
  <si>
    <t>spred2a</t>
  </si>
  <si>
    <t>sprouty-related, EVH1 domain containing 2a [Source:ZFIN;Acc:ZDB-GENE-110830-2]</t>
  </si>
  <si>
    <t>ENSDARG00000075916</t>
  </si>
  <si>
    <t>zgc:66472</t>
  </si>
  <si>
    <t>zgc:66472 [Source:ZFIN;Acc:ZDB-GENE-030131-5705]</t>
  </si>
  <si>
    <t>ENSDARG00000076554</t>
  </si>
  <si>
    <t>cdkn1a</t>
  </si>
  <si>
    <t>cyclin-dependent kinase inhibitor 1A [Source:ZFIN;Acc:ZDB-GENE-070705-7]</t>
  </si>
  <si>
    <t>ENSDARG00000025607</t>
  </si>
  <si>
    <t>ifnphi1</t>
  </si>
  <si>
    <t>interferon phi 1 [Source:ZFIN;Acc:ZDB-GENE-030721-3]</t>
  </si>
  <si>
    <t>ENSDARG00000069289</t>
  </si>
  <si>
    <t>gabpa</t>
  </si>
  <si>
    <t>GA binding protein transcription factor, alpha subunit [Source:ZFIN;Acc:ZDB-GENE-011010-2]</t>
  </si>
  <si>
    <t>ENSDARG00000005948</t>
  </si>
  <si>
    <t>ankmy2a</t>
  </si>
  <si>
    <t>ankyrin repeat and MYND domain containing 2a [Source:ZFIN;Acc:ZDB-GENE-030131-6321]</t>
  </si>
  <si>
    <t>ENSDARG00000054124</t>
  </si>
  <si>
    <t>htr1d</t>
  </si>
  <si>
    <t>5-hydroxytryptamine (serotonin) receptor 1D, G protein-coupled [Source:ZFIN;Acc:ZDB-GENE-090409-3]</t>
  </si>
  <si>
    <t>ENSDARG00000095150</t>
  </si>
  <si>
    <t>si:dkey-114c15.5</t>
  </si>
  <si>
    <t>si:dkey-114c15.5 [Source:ZFIN;Acc:ZDB-GENE-060531-72]</t>
  </si>
  <si>
    <t>ENSDARG00000005861</t>
  </si>
  <si>
    <t>ralgapa2</t>
  </si>
  <si>
    <t>Ral GTPase activating protein, alpha subunit 2 (catalytic) [Source:ZFIN;Acc:ZDB-GENE-131122-56]</t>
  </si>
  <si>
    <t>ENSDARG00000086853</t>
  </si>
  <si>
    <t>dpyda.3</t>
  </si>
  <si>
    <t>dihydropyrimidine dehydrogenase a, tandem duplicate 3 [Source:ZFIN;Acc:ZDB-GENE-131121-37]</t>
  </si>
  <si>
    <t>ENSDARG00000103915</t>
  </si>
  <si>
    <t>ero1b</t>
  </si>
  <si>
    <t>endoplasmic reticulum oxidoreductase beta [Source:ZFIN;Acc:ZDB-GENE-060929-744]</t>
  </si>
  <si>
    <t>ENSDARG00000034457</t>
  </si>
  <si>
    <t>si:ch211-163l21.7</t>
  </si>
  <si>
    <t>si:ch211-163l21.7 [Source:ZFIN;Acc:ZDB-GENE-081105-176]</t>
  </si>
  <si>
    <t>ENSDARG00000013542</t>
  </si>
  <si>
    <t>lpgat1</t>
  </si>
  <si>
    <t>lysophosphatidylglycerol acyltransferase 1 [Source:ZFIN;Acc:ZDB-GENE-030131-2906]</t>
  </si>
  <si>
    <t>ENSDARG00000042030</t>
  </si>
  <si>
    <t>kpna5</t>
  </si>
  <si>
    <t>karyopherin alpha 5 (importin alpha 6) [Source:ZFIN;Acc:ZDB-GENE-050522-22]</t>
  </si>
  <si>
    <t>ENSDARG00000004154</t>
  </si>
  <si>
    <t>orai1b</t>
  </si>
  <si>
    <t>ORAI calcium release-activated calcium modulator 1b [Source:ZFIN;Acc:ZDB-GENE-050522-100]</t>
  </si>
  <si>
    <t>ENSDARG00000067719</t>
  </si>
  <si>
    <t>wwtr1</t>
  </si>
  <si>
    <t>WW domain containing transcription regulator 1 [Source:ZFIN;Acc:ZDB-GENE-051101-1]</t>
  </si>
  <si>
    <t>ENSDARG00000068892</t>
  </si>
  <si>
    <t>sostdc1a</t>
  </si>
  <si>
    <t>sclerostin domain containing 1a [Source:ZFIN;Acc:ZDB-GENE-050417-64]</t>
  </si>
  <si>
    <t>ENSDARG00000076844</t>
  </si>
  <si>
    <t>zgc:162150</t>
  </si>
  <si>
    <t>zgc:162150 [Source:ZFIN;Acc:ZDB-GENE-070410-23]</t>
  </si>
  <si>
    <t>ENSDARG00000076718</t>
  </si>
  <si>
    <t>prkra</t>
  </si>
  <si>
    <t>protein kinase, interferon-inducible double stranded RNA dependent activator [Source:ZFIN;Acc:ZDB-GENE-050309-206]</t>
  </si>
  <si>
    <t>ENSDARG00000079762</t>
  </si>
  <si>
    <t>si:dkey-253d23.4</t>
  </si>
  <si>
    <t>si:dkey-253d23.4 [Source:ZFIN;Acc:ZDB-GENE-050208-730]</t>
  </si>
  <si>
    <t>ENSDARG00000009942</t>
  </si>
  <si>
    <t>cdc6</t>
  </si>
  <si>
    <t>cell division cycle 6 homolog (S. cerevisiae) [Source:ZFIN;Acc:ZDB-GENE-050506-131]</t>
  </si>
  <si>
    <t>ENSDARG00000076025</t>
  </si>
  <si>
    <t>dgkzb</t>
  </si>
  <si>
    <t>diacylglycerol kinase, zeta b [Source:ZFIN;Acc:ZDB-GENE-111104-4]</t>
  </si>
  <si>
    <t>ENSDARG00000022659</t>
  </si>
  <si>
    <t>snx4</t>
  </si>
  <si>
    <t>sorting nexin 4 [Source:ZFIN;Acc:ZDB-GENE-030131-1923]</t>
  </si>
  <si>
    <t>ENSDARG00000089243</t>
  </si>
  <si>
    <t>r3hcc1l</t>
  </si>
  <si>
    <t>R3H domain and coiled-coil containing 1-like [Source:ZFIN;Acc:ZDB-GENE-030131-4156]</t>
  </si>
  <si>
    <t>ENSDARG00000105061</t>
  </si>
  <si>
    <t>si:ch73-261i21.5</t>
  </si>
  <si>
    <t>si:ch73-261i21.5 [Source:ZFIN;Acc:ZDB-GENE-110411-258]</t>
  </si>
  <si>
    <t>ENSDARG00000026170</t>
  </si>
  <si>
    <t>hps1</t>
  </si>
  <si>
    <t>Hermansky-Pudlak syndrome 1 [Source:ZFIN;Acc:ZDB-GENE-051113-152]</t>
  </si>
  <si>
    <t>ENSDARG00000005643</t>
  </si>
  <si>
    <t>gcat</t>
  </si>
  <si>
    <t>glycine C-acetyltransferase [Source:ZFIN;Acc:ZDB-GENE-060518-3]</t>
  </si>
  <si>
    <t>ENSDARG00000091912</t>
  </si>
  <si>
    <t>si:ch211-15j1.5</t>
  </si>
  <si>
    <t>si:ch211-15j1.5 [Source:ZFIN;Acc:ZDB-GENE-081031-11]</t>
  </si>
  <si>
    <t>ENSDARG00000086950</t>
  </si>
  <si>
    <t>si:ch211-269k10.2</t>
  </si>
  <si>
    <t>si:ch211-269k10.2 [Source:ZFIN;Acc:ZDB-GENE-131120-171]</t>
  </si>
  <si>
    <t>ENSDARG00000087224</t>
  </si>
  <si>
    <t>si:ch73-380n15.2</t>
  </si>
  <si>
    <t>si:ch73-380n15.2 [Source:ZFIN;Acc:ZDB-GENE-090313-161]</t>
  </si>
  <si>
    <t>ENSDARG00000095144</t>
  </si>
  <si>
    <t>si:dkey-38p6.2</t>
  </si>
  <si>
    <t>si:dkey-38p6.2 [Source:ZFIN;Acc:ZDB-GENE-091113-1]</t>
  </si>
  <si>
    <t>ENSDARG00000037256</t>
  </si>
  <si>
    <t>si:ch211-145b13.5</t>
  </si>
  <si>
    <t>si:ch211-145b13.5 [Source:ZFIN;Acc:ZDB-GENE-090313-35]</t>
  </si>
  <si>
    <t>ENSDARG00000014966</t>
  </si>
  <si>
    <t>ccdc82</t>
  </si>
  <si>
    <t>coiled-coil domain containing 82 [Source:ZFIN;Acc:ZDB-GENE-030131-5749]</t>
  </si>
  <si>
    <t>ENSDARG00000045935</t>
  </si>
  <si>
    <t>immp1l</t>
  </si>
  <si>
    <t>inner mitochondrial membrane peptidase subunit 1 [Source:ZFIN;Acc:ZDB-GENE-070522-4]</t>
  </si>
  <si>
    <t>ENSDARG00000086616</t>
  </si>
  <si>
    <t>cabz01093075.1</t>
  </si>
  <si>
    <t>cabz01093075.1 [Source:ZFIN;Acc:ZDB-GENE-160113-9]</t>
  </si>
  <si>
    <t>ENSDARG00000069329</t>
  </si>
  <si>
    <t>drgx</t>
  </si>
  <si>
    <t>dorsal root ganglia homeobox [Source:ZFIN;Acc:ZDB-GENE-070330-1]</t>
  </si>
  <si>
    <t>ENSDARG00000093003</t>
  </si>
  <si>
    <t>acy3.1</t>
  </si>
  <si>
    <t>aspartoacylase (aminocyclase) 3, tandem duplicate 1 [Source:ZFIN;Acc:ZDB-GENE-040718-345]</t>
  </si>
  <si>
    <t>ENSDARG00000003680</t>
  </si>
  <si>
    <t>runx1t1</t>
  </si>
  <si>
    <t>runt-related transcription factor 1; translocated to, 1 (cyclin D-related) [Source:ZFIN;Acc:ZDB-GENE-060929-164]</t>
  </si>
  <si>
    <t>ENSDARG00000069139</t>
  </si>
  <si>
    <t>grik1a</t>
  </si>
  <si>
    <t>glutamate receptor, ionotropic, kainate 1a [Source:ZFIN;Acc:ZDB-GENE-030131-6502]</t>
  </si>
  <si>
    <t>ENSDARG00000005251</t>
  </si>
  <si>
    <t>rpe</t>
  </si>
  <si>
    <t>ribulose-5-phosphate-3-epimerase [Source:ZFIN;Acc:ZDB-GENE-030131-6837]</t>
  </si>
  <si>
    <t>ENSDARG00000037537</t>
  </si>
  <si>
    <t>fam58a</t>
  </si>
  <si>
    <t>family with sequence similarity 58, member A [Source:ZFIN;Acc:ZDB-GENE-050522-495]</t>
  </si>
  <si>
    <t>ENSDARG00000067670</t>
  </si>
  <si>
    <t>pomt1</t>
  </si>
  <si>
    <t>protein-O-mannosyltransferase 1 [Source:ZFIN;Acc:ZDB-GENE-060929-966]</t>
  </si>
  <si>
    <t>ENSDARG00000039757</t>
  </si>
  <si>
    <t>mcfd2</t>
  </si>
  <si>
    <t>multiple coagulation factor deficiency 2 [Source:ZFIN;Acc:ZDB-GENE-041010-8]</t>
  </si>
  <si>
    <t>ENSDARG00000037433</t>
  </si>
  <si>
    <t>fmr1</t>
  </si>
  <si>
    <t>fragile X mental retardation 1 [Source:ZFIN;Acc:ZDB-GENE-020731-6]</t>
  </si>
  <si>
    <t>ENSDARG00000019326</t>
  </si>
  <si>
    <t>prpsap2</t>
  </si>
  <si>
    <t>phosphoribosyl pyrophosphate synthetase-associated protein 2 [Source:ZFIN;Acc:ZDB-GENE-040426-2077]</t>
  </si>
  <si>
    <t>ENSDARG00000039150</t>
  </si>
  <si>
    <t>lgmn</t>
  </si>
  <si>
    <t>legumain [Source:ZFIN;Acc:ZDB-GENE-021030-1]</t>
  </si>
  <si>
    <t>ENSDARG00000062307</t>
  </si>
  <si>
    <t>ccdc61</t>
  </si>
  <si>
    <t>coiled-coil domain containing 61 [Source:ZFIN;Acc:ZDB-GENE-060929-348]</t>
  </si>
  <si>
    <t>ENSDARG00000040280</t>
  </si>
  <si>
    <t>FAM84B</t>
  </si>
  <si>
    <t>zgc:110182 [Source:ZFIN;Acc:ZDB-GENE-050417-381]</t>
  </si>
  <si>
    <t>ENSDARG00000093108</t>
  </si>
  <si>
    <t>si:ch211-69l10.2</t>
  </si>
  <si>
    <t>si:ch211-69l10.2 [Source:ZFIN;Acc:ZDB-GENE-091204-42]</t>
  </si>
  <si>
    <t>ENSDARG00000094407</t>
  </si>
  <si>
    <t>si:dkeyp-46h3.1</t>
  </si>
  <si>
    <t>ENSDARG00000029501</t>
  </si>
  <si>
    <t>gsk3aa</t>
  </si>
  <si>
    <t>glycogen synthase kinase 3 alpha a [Source:ZFIN;Acc:ZDB-GENE-060503-796]</t>
  </si>
  <si>
    <t>ENSDARG00000061759</t>
  </si>
  <si>
    <t>kdm6a</t>
  </si>
  <si>
    <t>lysine (K)-specific demethylase 6A [Source:ZFIN;Acc:ZDB-GENE-081105-56]</t>
  </si>
  <si>
    <t>ENSDARG00000045228</t>
  </si>
  <si>
    <t>stub1</t>
  </si>
  <si>
    <t>STIP1 homology and U-Box containing protein 1 [Source:ZFIN;Acc:ZDB-GENE-030131-2963]</t>
  </si>
  <si>
    <t>ENSDARG00000070868</t>
  </si>
  <si>
    <t>cfap126</t>
  </si>
  <si>
    <t>cilia and flagella associated protein 126 [Source:ZFIN;Acc:ZDB-GENE-060825-357]</t>
  </si>
  <si>
    <t>ENSDARG00000097754</t>
  </si>
  <si>
    <t>si:ch211-285d14.9</t>
  </si>
  <si>
    <t>si:ch211-285d14.9 [Source:ZFIN;Acc:ZDB-GENE-131121-444]</t>
  </si>
  <si>
    <t>ENSDARG00000078497</t>
  </si>
  <si>
    <t>timeless</t>
  </si>
  <si>
    <t>timeless circadian clock [Source:ZFIN;Acc:ZDB-GENE-030131-8978]</t>
  </si>
  <si>
    <t>ENSDARG00000092976</t>
  </si>
  <si>
    <t>si:ch211-127i16.2</t>
  </si>
  <si>
    <t>si:ch211-127i16.2 [Source:ZFIN;Acc:ZDB-GENE-091204-54]</t>
  </si>
  <si>
    <t>ENSDARG00000014041</t>
  </si>
  <si>
    <t>smarcad1a</t>
  </si>
  <si>
    <t>SWI/SNF-related, matrix-associated actin-dependent regulator of chromatin, subfamily a, containing DEAD/H box 1 a [Source:ZFIN;Acc:ZDB-GENE-050522-499]</t>
  </si>
  <si>
    <t>ENSDARG00000094154</t>
  </si>
  <si>
    <t>hist2h3c</t>
  </si>
  <si>
    <t>histone cluster 2, H3c [Source:ZFIN;Acc:ZDB-GENE-070424-8]</t>
  </si>
  <si>
    <t>ENSDARG00000032319</t>
  </si>
  <si>
    <t>mest</t>
  </si>
  <si>
    <t>mesoderm specific transcript [Source:ZFIN;Acc:ZDB-GENE-991111-5]</t>
  </si>
  <si>
    <t>ENSDARG00000056330</t>
  </si>
  <si>
    <t>mhc2dbb</t>
  </si>
  <si>
    <t>major histocompatibility complex class II DBB gene [Source:ZFIN;Acc:ZDB-GENE-010112-2]</t>
  </si>
  <si>
    <t>ENSDARG00000028058</t>
  </si>
  <si>
    <t>traf6</t>
  </si>
  <si>
    <t>TNF receptor-associated factor 6 [Source:ZFIN;Acc:ZDB-GENE-030131-5735]</t>
  </si>
  <si>
    <t>ENSDARG00000062329</t>
  </si>
  <si>
    <t>b4galt3</t>
  </si>
  <si>
    <t>UDP-Gal:betaGlcNAc beta 1,4- galactosyltransferase, polypeptide 3 [Source:ZFIN;Acc:ZDB-GENE-110624-1]</t>
  </si>
  <si>
    <t>ENSDARG00000079915</t>
  </si>
  <si>
    <t>pot1</t>
  </si>
  <si>
    <t>protection of telomeres 1 homolog [Source:ZFIN;Acc:ZDB-GENE-110324-1]</t>
  </si>
  <si>
    <t>ENSDARG00000038900</t>
  </si>
  <si>
    <t>acadm</t>
  </si>
  <si>
    <t>acyl-CoA dehydrogenase, C-4 to C-12 straight chain [Source:ZFIN;Acc:ZDB-GENE-040426-1945]</t>
  </si>
  <si>
    <t>ENSDARG00000019156</t>
  </si>
  <si>
    <t>haus5</t>
  </si>
  <si>
    <t>HAUS augmin-like complex, subunit 5 [Source:ZFIN;Acc:ZDB-GENE-041114-150]</t>
  </si>
  <si>
    <t>ENSDARG00000104235</t>
  </si>
  <si>
    <t>myo5c</t>
  </si>
  <si>
    <t>myosin VC [Source:ZFIN;Acc:ZDB-GENE-131127-196]</t>
  </si>
  <si>
    <t>ENSDARG00000092724</t>
  </si>
  <si>
    <t>si:dkey-56p7.9</t>
  </si>
  <si>
    <t>si:dkey-56p7.9 [Source:ZFIN;Acc:ZDB-GENE-060503-78]</t>
  </si>
  <si>
    <t>ENSDARG00000074126</t>
  </si>
  <si>
    <t>ttc39a</t>
  </si>
  <si>
    <t>tetratricopeptide repeat domain 39A [Source:ZFIN;Acc:ZDB-GENE-091116-42]</t>
  </si>
  <si>
    <t>ENSDARG00000073883</t>
  </si>
  <si>
    <t>clstn3</t>
  </si>
  <si>
    <t>calsyntenin 3 [Source:ZFIN;Acc:ZDB-GENE-100921-73]</t>
  </si>
  <si>
    <t>ENSDARG00000035625</t>
  </si>
  <si>
    <t>snrnp27</t>
  </si>
  <si>
    <t>small nuclear ribonucleoprotein 27 (U4/U6.U5) [Source:ZFIN;Acc:ZDB-GENE-040718-457]</t>
  </si>
  <si>
    <t>ENSDARG00000005525</t>
  </si>
  <si>
    <t>acy3.2</t>
  </si>
  <si>
    <t>aspartoacylase (aminocyclase) 3, tandem duplicate 2 [Source:ZFIN;Acc:ZDB-GENE-040718-37]</t>
  </si>
  <si>
    <t>ENSDARG00000045586</t>
  </si>
  <si>
    <t>zgc:172145</t>
  </si>
  <si>
    <t>zgc:172145 [Source:ZFIN;Acc:ZDB-GENE-080516-9]</t>
  </si>
  <si>
    <t>ENSDARG00000078476</t>
  </si>
  <si>
    <t>znf991</t>
  </si>
  <si>
    <t>zinc finger protein 991 [Source:ZFIN;Acc:ZDB-GENE-050208-409]</t>
  </si>
  <si>
    <t>ENSDARG00000074193</t>
  </si>
  <si>
    <t>si:dkeyp-85d8.5</t>
  </si>
  <si>
    <t>si:dkeyp-85d8.5.1</t>
  </si>
  <si>
    <t>si:dkeyp-85d8.5 [Source:ZFIN;Acc:ZDB-GENE-110913-144]</t>
  </si>
  <si>
    <t>ENSDARG00000077901</t>
  </si>
  <si>
    <t>herc1</t>
  </si>
  <si>
    <t>HECT and RLD domain containing E3 ubiquitin protein ligase family member 1 [Source:ZFIN;Acc:ZDB-GENE-030131-8542]</t>
  </si>
  <si>
    <t>ENSDARG00000091161</t>
  </si>
  <si>
    <t>rpz</t>
  </si>
  <si>
    <t>rapunzel [Source:ZFIN;Acc:ZDB-GENE-070117-651]</t>
  </si>
  <si>
    <t>ENSDARG00000096189</t>
  </si>
  <si>
    <t>si:dkey-54j5.2</t>
  </si>
  <si>
    <t>si:dkey-54j5.2 [Source:ZFIN;Acc:ZDB-GENE-110913-53]</t>
  </si>
  <si>
    <t>ENSDARG00000000861</t>
  </si>
  <si>
    <t>scrib</t>
  </si>
  <si>
    <t>scribbled planar cell polarity protein [Source:ZFIN;Acc:ZDB-GENE-030616-572]</t>
  </si>
  <si>
    <t>ENSDARG00000058566</t>
  </si>
  <si>
    <t>si:dkey-253d23.5</t>
  </si>
  <si>
    <t>si:dkey-253d23.5 [Source:ZFIN;Acc:ZDB-GENE-050208-729]</t>
  </si>
  <si>
    <t>ENSDARG00000096962</t>
  </si>
  <si>
    <t>si:ch211-225o7.1</t>
  </si>
  <si>
    <t>si:ch211-225o7.1 [Source:ZFIN;Acc:ZDB-GENE-131127-452]</t>
  </si>
  <si>
    <t>ENSDARG00000052377</t>
  </si>
  <si>
    <t>psmd12</t>
  </si>
  <si>
    <t>proteasome 26S subunit, non-ATPase 12 [Source:ZFIN;Acc:ZDB-GENE-030131-617]</t>
  </si>
  <si>
    <t>ENSDARG00000078244</t>
  </si>
  <si>
    <t>SOGA1</t>
  </si>
  <si>
    <t>si:ch211-197l9.2 [Source:ZFIN;Acc:ZDB-GENE-091204-369]</t>
  </si>
  <si>
    <t>ENSDARG00000027966</t>
  </si>
  <si>
    <t>ap1s3b</t>
  </si>
  <si>
    <t>adaptor-related protein complex 1, sigma 3 subunit, b [Source:ZFIN;Acc:ZDB-GENE-040912-62]</t>
  </si>
  <si>
    <t>ENSDARG00000058562</t>
  </si>
  <si>
    <t>znf990</t>
  </si>
  <si>
    <t>zinc finger protein 990 [Source:ZFIN;Acc:ZDB-GENE-051113-232]</t>
  </si>
  <si>
    <t>ENSDARG00000091215</t>
  </si>
  <si>
    <t>rpz2</t>
  </si>
  <si>
    <t>rapunzel 2 [Source:ZFIN;Acc:ZDB-GENE-030131-9071]</t>
  </si>
  <si>
    <t>ENSDARG00000061486</t>
  </si>
  <si>
    <t>DNAH10</t>
  </si>
  <si>
    <t>si:dkeyp-86b9.1 [Source:ZFIN;Acc:ZDB-GENE-060531-163]</t>
  </si>
  <si>
    <t>ENSDARG00000100402</t>
  </si>
  <si>
    <t>fgd1</t>
  </si>
  <si>
    <t>FYVE, RhoGEF and PH domain containing 1 [Source:ZFIN;Acc:ZDB-GENE-081104-33]</t>
  </si>
  <si>
    <t>ENSDARG00000051926</t>
  </si>
  <si>
    <t>plag1</t>
  </si>
  <si>
    <t>pleiomorphic adenoma gene 1 [Source:ZFIN;Acc:ZDB-GENE-060302-2]</t>
  </si>
  <si>
    <t>ENSDARG00000013659</t>
  </si>
  <si>
    <t>brox</t>
  </si>
  <si>
    <t>BRO1 domain and CAAX motif containing [Source:ZFIN;Acc:ZDB-GENE-041114-137]</t>
  </si>
  <si>
    <t>ENSDARG00000090986</t>
  </si>
  <si>
    <t>si:dkeyp-115e12.6</t>
  </si>
  <si>
    <t>si:dkeyp-115e12.6 [Source:ZFIN;Acc:ZDB-GENE-141210-2]</t>
  </si>
  <si>
    <t>ENSDARG00000055412</t>
  </si>
  <si>
    <t>mylk4b</t>
  </si>
  <si>
    <t>myosin light chain kinase family, member 4b [Source:ZFIN;Acc:ZDB-GENE-041001-128]</t>
  </si>
  <si>
    <t>ENSDARG00000105088</t>
  </si>
  <si>
    <t>tenm4</t>
  </si>
  <si>
    <t>teneurin transmembrane protein 4 [Source:ZFIN;Acc:ZDB-GENE-990714-20]</t>
  </si>
  <si>
    <t>ENSDARG00000061173</t>
  </si>
  <si>
    <t>st14a</t>
  </si>
  <si>
    <t>suppression of tumorigenicity 14 (colon carcinoma) a [Source:ZFIN;Acc:ZDB-GENE-030131-6496]</t>
  </si>
  <si>
    <t>ENSDARG00000071426</t>
  </si>
  <si>
    <t>lrrc59</t>
  </si>
  <si>
    <t>leucine rich repeat containing 59 [Source:ZFIN;Acc:ZDB-GENE-040426-2547]</t>
  </si>
  <si>
    <t>ENSDARG00000099093</t>
  </si>
  <si>
    <t>dock1</t>
  </si>
  <si>
    <t>dedicator of cytokinesis 1 [Source:ZFIN;Acc:ZDB-GENE-080108-5]</t>
  </si>
  <si>
    <t>ENSDARG00000098627</t>
  </si>
  <si>
    <t>gspt1l</t>
  </si>
  <si>
    <t>G1 to S phase transition 1, like [Source:ZFIN;Acc:ZDB-GENE-030131-4009]</t>
  </si>
  <si>
    <t>ENSDARG00000036044</t>
  </si>
  <si>
    <t>rps20</t>
  </si>
  <si>
    <t>ribosomal protein S20 [Source:ZFIN;Acc:ZDB-GENE-040426-2284]</t>
  </si>
  <si>
    <t>ENSDARG00000058475</t>
  </si>
  <si>
    <t>ern2</t>
  </si>
  <si>
    <t>endoplasmic reticulum to nucleus signaling 2 [Source:ZFIN;Acc:ZDB-GENE-090312-15]</t>
  </si>
  <si>
    <t>ENSDARG00000053010</t>
  </si>
  <si>
    <t>lpcat2</t>
  </si>
  <si>
    <t>lysophosphatidylcholine acyltransferase 2 [Source:ZFIN;Acc:ZDB-GENE-050522-229]</t>
  </si>
  <si>
    <t>ENSDARG00000008732</t>
  </si>
  <si>
    <t>zgc:66479</t>
  </si>
  <si>
    <t>zgc:66479 [Source:ZFIN;Acc:ZDB-GENE-031030-10]</t>
  </si>
  <si>
    <t>ENSDARG00000103643</t>
  </si>
  <si>
    <t>unc45a</t>
  </si>
  <si>
    <t>unc-45 myosin chaperone A [Source:ZFIN;Acc:ZDB-GENE-050417-158]</t>
  </si>
  <si>
    <t>ENSDARG00000012432</t>
  </si>
  <si>
    <t>fam76b</t>
  </si>
  <si>
    <t>family with sequence similarity 76, member B [Source:ZFIN;Acc:ZDB-GENE-030131-6955]</t>
  </si>
  <si>
    <t>ENSDARG00000069142</t>
  </si>
  <si>
    <t>aars</t>
  </si>
  <si>
    <t>alanyl-tRNA synthetase [Source:ZFIN;Acc:ZDB-GENE-030131-3663]</t>
  </si>
  <si>
    <t>ENSDARG00000089719</t>
  </si>
  <si>
    <t>HIST1H2BA.12</t>
  </si>
  <si>
    <t>si:dkey-108k21.11 [Source:ZFIN;Acc:ZDB-GENE-131127-105]</t>
  </si>
  <si>
    <t>ENSDARG00000041691</t>
  </si>
  <si>
    <t>bhlhe41</t>
  </si>
  <si>
    <t>basic helix-loop-helix family, member e41 [Source:ZFIN;Acc:ZDB-GENE-050419-146]</t>
  </si>
  <si>
    <t>ENSDARG00000096632</t>
  </si>
  <si>
    <t>si:dkey-22o12.7</t>
  </si>
  <si>
    <t>si:dkey-22o12.7 [Source:ZFIN;Acc:ZDB-GENE-121214-4]</t>
  </si>
  <si>
    <t>ENSDARG00000057857</t>
  </si>
  <si>
    <t>arfrp1</t>
  </si>
  <si>
    <t>ADP-ribosylation factor related protein 1 [Source:ZFIN;Acc:ZDB-GENE-050227-14]</t>
  </si>
  <si>
    <t>ENSDARG00000028539</t>
  </si>
  <si>
    <t>morc2</t>
  </si>
  <si>
    <t>MORC family CW-type zinc finger 2 [Source:ZFIN;Acc:ZDB-GENE-040822-40]</t>
  </si>
  <si>
    <t>ENSDARG00000104370</t>
  </si>
  <si>
    <t>esm1</t>
  </si>
  <si>
    <t>endothelial cell-specific molecule 1 [Source:ZFIN;Acc:ZDB-GENE-060929-748]</t>
  </si>
  <si>
    <t>ENSDARG00000032326</t>
  </si>
  <si>
    <t>mecr</t>
  </si>
  <si>
    <t>mitochondrial trans-2-enoyl-CoA reductase [Source:ZFIN;Acc:ZDB-GENE-050417-399]</t>
  </si>
  <si>
    <t>ENSDARG00000099373</t>
  </si>
  <si>
    <t>zgc:158320</t>
  </si>
  <si>
    <t>zgc:158320 [Source:ZFIN;Acc:ZDB-GENE-061201-33]</t>
  </si>
  <si>
    <t>ENSDARG00000077696</t>
  </si>
  <si>
    <t>FAM188B</t>
  </si>
  <si>
    <t>si:dkey-30h22.11 [Source:ZFIN;Acc:ZDB-GENE-110411-104]</t>
  </si>
  <si>
    <t>ENSDARG00000074812</t>
  </si>
  <si>
    <t>fhdc1</t>
  </si>
  <si>
    <t>FH2 domain containing 1 [Source:ZFIN;Acc:ZDB-GENE-040826-4]</t>
  </si>
  <si>
    <t>ENSDARG00000062226</t>
  </si>
  <si>
    <t>ino80db</t>
  </si>
  <si>
    <t>INO80 complex subunit Db [Source:ZFIN;Acc:ZDB-GENE-070112-2072]</t>
  </si>
  <si>
    <t>ENSDARG00000100623</t>
  </si>
  <si>
    <t>trrap</t>
  </si>
  <si>
    <t>transformation/transcription domain-associated protein [Source:ZFIN;Acc:ZDB-GENE-050809-47]</t>
  </si>
  <si>
    <t>ENSDARG00000068996</t>
  </si>
  <si>
    <t>hist2h2l</t>
  </si>
  <si>
    <t>histone 2, H2, like [Source:ZFIN;Acc:ZDB-GENE-031118-36]</t>
  </si>
  <si>
    <t>ENSDARG00000005834</t>
  </si>
  <si>
    <t>gatad2b</t>
  </si>
  <si>
    <t>GATA zinc finger domain containing 2B [Source:ZFIN;Acc:ZDB-GENE-060503-655]</t>
  </si>
  <si>
    <t>ENSDARG00000030830</t>
  </si>
  <si>
    <t>cmtr1</t>
  </si>
  <si>
    <t>cap methyltransferase 1 [Source:ZFIN;Acc:ZDB-GENE-040426-696]</t>
  </si>
  <si>
    <t>ENSDARG00000042899</t>
  </si>
  <si>
    <t>si:ch211-163l21.8</t>
  </si>
  <si>
    <t>si:ch211-163l21.8 [Source:ZFIN;Acc:ZDB-GENE-041008-93]</t>
  </si>
  <si>
    <t>ENSDARG00000100214</t>
  </si>
  <si>
    <t>znf1017</t>
  </si>
  <si>
    <t>zinc finger protein 1017 [Source:ZFIN;Acc:ZDB-GENE-110914-38]</t>
  </si>
  <si>
    <t>ENSDARG00000102375</t>
  </si>
  <si>
    <t>BDP1</t>
  </si>
  <si>
    <t>si:ch211-204c21.1 [Source:ZFIN;Acc:ZDB-GENE-030429-35]</t>
  </si>
  <si>
    <t>ENSDARG00000094846</t>
  </si>
  <si>
    <t>si:ch211-14a11.5</t>
  </si>
  <si>
    <t>si:ch211-14a11.5 [Source:ZFIN;Acc:ZDB-GENE-050420-289]</t>
  </si>
  <si>
    <t>ENSDARG00000071213</t>
  </si>
  <si>
    <t>rgl3a</t>
  </si>
  <si>
    <t>ral guanine nucleotide dissociation stimulator-like 3a [Source:ZFIN;Acc:ZDB-GENE-101130-1]</t>
  </si>
  <si>
    <t>ENSDARG00000014532</t>
  </si>
  <si>
    <t>aida</t>
  </si>
  <si>
    <t>axin interactor, dorsalization associated [Source:ZFIN;Acc:ZDB-GENE-071126-2]</t>
  </si>
  <si>
    <t>ENSDARG00000068995</t>
  </si>
  <si>
    <t>HIST2H2AB.7</t>
  </si>
  <si>
    <t>zgc:101846 [Source:ZFIN;Acc:ZDB-GENE-041010-42]</t>
  </si>
  <si>
    <t>ENSDARG00000041171</t>
  </si>
  <si>
    <t>crygs2</t>
  </si>
  <si>
    <t>crystallin, gamma S2 [Source:ZFIN;Acc:ZDB-GENE-050126-3]</t>
  </si>
  <si>
    <t>ENSDARG00000021163</t>
  </si>
  <si>
    <t>thrb</t>
  </si>
  <si>
    <t>thyroid hormone receptor beta [Source:ZFIN;Acc:ZDB-GENE-990415-268]</t>
  </si>
  <si>
    <t>ENSDARG00000045417</t>
  </si>
  <si>
    <t>fam49bb</t>
  </si>
  <si>
    <t>family with sequence similarity 49, member Bb [Source:ZFIN;Acc:ZDB-GENE-040426-2590]</t>
  </si>
  <si>
    <t>ENSDARG00000100398</t>
  </si>
  <si>
    <t>pax7a</t>
  </si>
  <si>
    <t>paired box 7a [Source:ZFIN;Acc:ZDB-GENE-990415-201]</t>
  </si>
  <si>
    <t>ENSDARG00000075569</t>
  </si>
  <si>
    <t>gpbp1l1</t>
  </si>
  <si>
    <t>GC-rich promoter binding protein 1-like 1 [Source:ZFIN;Acc:ZDB-GENE-031118-220]</t>
  </si>
  <si>
    <t>ENSDARG00000028581</t>
  </si>
  <si>
    <t>jkamp</t>
  </si>
  <si>
    <t>jnk1/mapk8-associated membrane protein [Source:ZFIN;Acc:ZDB-GENE-040718-382]</t>
  </si>
  <si>
    <t>ENSDARG00000000747</t>
  </si>
  <si>
    <t>lcmt2</t>
  </si>
  <si>
    <t>leucine carboxyl methyltransferase 2 [Source:ZFIN;Acc:ZDB-GENE-110714-2]</t>
  </si>
  <si>
    <t>ENSDARG00000027082</t>
  </si>
  <si>
    <t>hmbox1a</t>
  </si>
  <si>
    <t>homeobox containing 1a [Source:ZFIN;Acc:ZDB-GENE-050913-89]</t>
  </si>
  <si>
    <t>ENSDARG00000039335</t>
  </si>
  <si>
    <t>st6gal2a</t>
  </si>
  <si>
    <t>ST6 beta-galactosamide alpha-2,6-sialyltranferase 2a [Source:ZFIN;Acc:ZDB-GENE-060322-4]</t>
  </si>
  <si>
    <t>ENSDARG00000100807</t>
  </si>
  <si>
    <t>si:ch211-213c4.5</t>
  </si>
  <si>
    <t>si:ch211-213c4.5 [Source:ZFIN;Acc:ZDB-GENE-060503-34]</t>
  </si>
  <si>
    <t>ENSDARG00000040747</t>
  </si>
  <si>
    <t>tm4sf4</t>
  </si>
  <si>
    <t>transmembrane 4 L six family member 4 [Source:ZFIN;Acc:ZDB-GENE-040801-231]</t>
  </si>
  <si>
    <t>ENSDARG00000018178</t>
  </si>
  <si>
    <t>pgm2</t>
  </si>
  <si>
    <t>phosphoglucomutase 2 [Source:ZFIN;Acc:ZDB-GENE-040426-2218]</t>
  </si>
  <si>
    <t>ENSDARG00000102156</t>
  </si>
  <si>
    <t>si:dkey-264f17.4</t>
  </si>
  <si>
    <t>si:dkey-264f17.4 [Source:ZFIN;Acc:ZDB-GENE-110913-112]</t>
  </si>
  <si>
    <t>ENSDARG00000063344</t>
  </si>
  <si>
    <t>fam162a</t>
  </si>
  <si>
    <t>family with sequence similarity 162, member A [Source:ZFIN;Acc:ZDB-GENE-030131-8307]</t>
  </si>
  <si>
    <t>ENSDARG00000031382</t>
  </si>
  <si>
    <t>reep2</t>
  </si>
  <si>
    <t>receptor accessory protein 2 [Source:ZFIN;Acc:ZDB-GENE-050706-125]</t>
  </si>
  <si>
    <t>ENSDARG00000087752</t>
  </si>
  <si>
    <t>rfwd3</t>
  </si>
  <si>
    <t>ring finger and WD repeat domain 3 [Source:ZFIN;Acc:ZDB-GENE-120529-1]</t>
  </si>
  <si>
    <t>ENSDARG00000009771</t>
  </si>
  <si>
    <t>ppme1</t>
  </si>
  <si>
    <t>protein phosphatase methylesterase 1 [Source:ZFIN;Acc:ZDB-GENE-030131-7064]</t>
  </si>
  <si>
    <t>ENSDARG00000088316</t>
  </si>
  <si>
    <t>LRRC69</t>
  </si>
  <si>
    <t>si:ch73-302o18.2 [Source:ZFIN;Acc:ZDB-GENE-120215-213]</t>
  </si>
  <si>
    <t>ENSDARG00000095722</t>
  </si>
  <si>
    <t>si:dkey-21o19.5</t>
  </si>
  <si>
    <t>si:dkey-21o19.5 [Source:ZFIN;Acc:ZDB-GENE-090313-244]</t>
  </si>
  <si>
    <t>ENSDARG00000032919</t>
  </si>
  <si>
    <t>chchd3a</t>
  </si>
  <si>
    <t>coiled-coil-helix-coiled-coil-helix domain containing 3a [Source:ZFIN;Acc:ZDB-GENE-030131-5005]</t>
  </si>
  <si>
    <t>ENSDARG00000078853</t>
  </si>
  <si>
    <t>arhgef19</t>
  </si>
  <si>
    <t>Rho guanine nucleotide exchange factor (GEF) 19 [Source:ZFIN;Acc:ZDB-GENE-090313-243]</t>
  </si>
  <si>
    <t>ENSDARG00000074226</t>
  </si>
  <si>
    <t>zgc:158398</t>
  </si>
  <si>
    <t>zgc:158398 [Source:ZFIN;Acc:ZDB-GENE-070820-3]</t>
  </si>
  <si>
    <t>ENSDARG00000004173</t>
  </si>
  <si>
    <t>copa</t>
  </si>
  <si>
    <t>coatomer protein complex, subunit alpha [Source:ZFIN;Acc:ZDB-GENE-020905-2]</t>
  </si>
  <si>
    <t>ENSDARG00000073905</t>
  </si>
  <si>
    <t>VWA5A</t>
  </si>
  <si>
    <t>zgc:92481 [Source:ZFIN;Acc:ZDB-GENE-040912-181]</t>
  </si>
  <si>
    <t>ENSDARG00000076548</t>
  </si>
  <si>
    <t>si:dkey-266m15.5</t>
  </si>
  <si>
    <t>si:dkey-266m15.5 [Source:ZFIN;Acc:ZDB-GENE-070705-442]</t>
  </si>
  <si>
    <t>ENSDARG00000006642</t>
  </si>
  <si>
    <t>drg2</t>
  </si>
  <si>
    <t>developmentally regulated GTP binding protein 2 [Source:ZFIN;Acc:ZDB-GENE-040808-29]</t>
  </si>
  <si>
    <t>ENSDARG00000003570</t>
  </si>
  <si>
    <t>hsp90b1</t>
  </si>
  <si>
    <t>heat shock protein 90, beta (grp94), member 1 [Source:ZFIN;Acc:ZDB-GENE-031002-1]</t>
  </si>
  <si>
    <t>ENSDARG00000053194</t>
  </si>
  <si>
    <t>pdzd11</t>
  </si>
  <si>
    <t>PDZ domain containing 11 [Source:ZFIN;Acc:ZDB-GENE-040426-2544]</t>
  </si>
  <si>
    <t>ENSDARG00000035389</t>
  </si>
  <si>
    <t>fcho2</t>
  </si>
  <si>
    <t>FCH domain only 2 [Source:ZFIN;Acc:ZDB-GENE-050522-228]</t>
  </si>
  <si>
    <t>ENSDARG00000033489</t>
  </si>
  <si>
    <t>ube2j1</t>
  </si>
  <si>
    <t>ubiquitin-conjugating enzyme E2, J1 [Source:ZFIN;Acc:ZDB-GENE-040426-2853]</t>
  </si>
  <si>
    <t>ENSDARG00000088507</t>
  </si>
  <si>
    <t>znf982</t>
  </si>
  <si>
    <t>zinc finger protein 982 [Source:ZFIN;Acc:ZDB-GENE-131120-1]</t>
  </si>
  <si>
    <t>ENSDARG00000068855</t>
  </si>
  <si>
    <t>BBOF1.1</t>
  </si>
  <si>
    <t>si:ch211-163l21.10 [Source:ZFIN;Acc:ZDB-GENE-081105-138]</t>
  </si>
  <si>
    <t>ENSDARG00000100965</t>
  </si>
  <si>
    <t>ep400</t>
  </si>
  <si>
    <t>E1A binding protein p400 [Source:ZFIN;Acc:ZDB-GENE-081104-186]</t>
  </si>
  <si>
    <t>ENSDARG00000097572</t>
  </si>
  <si>
    <t>ptprt</t>
  </si>
  <si>
    <t>protein tyrosine phosphatase, receptor type, t [Source:ZFIN;Acc:ZDB-GENE-101028-4]</t>
  </si>
  <si>
    <t>ENSDARG00000021945</t>
  </si>
  <si>
    <t>ddx23</t>
  </si>
  <si>
    <t>DEAD (Asp-Glu-Ala-Asp) box polypeptide 23 [Source:ZFIN;Acc:ZDB-GENE-030131-6215]</t>
  </si>
  <si>
    <t>ENSDARG00000036893</t>
  </si>
  <si>
    <t>f13a1b</t>
  </si>
  <si>
    <t>coagulation factor XIII, A1 polypeptide b [Source:ZFIN;Acc:ZDB-GENE-030131-9634]</t>
  </si>
  <si>
    <t>ENSDARG00000042627</t>
  </si>
  <si>
    <t>nhsl1b</t>
  </si>
  <si>
    <t>NHS-like 1b [Source:ZFIN;Acc:ZDB-GENE-040910-1]</t>
  </si>
  <si>
    <t>ENSDARG00000038802</t>
  </si>
  <si>
    <t>cenpl</t>
  </si>
  <si>
    <t>centromere protein L [Source:ZFIN;Acc:ZDB-GENE-040930-6]</t>
  </si>
  <si>
    <t>ENSDARG00000074466</t>
  </si>
  <si>
    <t>gdpd3a</t>
  </si>
  <si>
    <t>glycerophosphodiester phosphodiesterase domain containing 3a [Source:ZFIN;Acc:ZDB-GENE-040426-2279]</t>
  </si>
  <si>
    <t>ENSDARG00000018192</t>
  </si>
  <si>
    <t>ubr5</t>
  </si>
  <si>
    <t>ubiquitin protein ligase E3 component n-recognin 5 [Source:ZFIN;Acc:ZDB-GENE-030131-6559]</t>
  </si>
  <si>
    <t>ENSDARG00000003705</t>
  </si>
  <si>
    <t>prnprs3</t>
  </si>
  <si>
    <t>prion protein, related sequence 3 [Source:ZFIN;Acc:ZDB-GENE-041221-3]</t>
  </si>
  <si>
    <t>ENSDARG00000087543</t>
  </si>
  <si>
    <t>si:dkey-108k21.12</t>
  </si>
  <si>
    <t>si:dkey-108k21.12 [Source:ZFIN;Acc:ZDB-GENE-131127-139]</t>
  </si>
  <si>
    <t>ENSDARG00000003132</t>
  </si>
  <si>
    <t>apip</t>
  </si>
  <si>
    <t>APAF1 interacting protein [Source:ZFIN;Acc:ZDB-GENE-040912-128]</t>
  </si>
  <si>
    <t>ENSDARG00000105287</t>
  </si>
  <si>
    <t>mpp1</t>
  </si>
  <si>
    <t>membrane protein, palmitoylated 1 [Source:ZFIN;Acc:ZDB-GENE-031113-4]</t>
  </si>
  <si>
    <t>ENSDARG00000036912</t>
  </si>
  <si>
    <t>edn1</t>
  </si>
  <si>
    <t>endothelin 1 [Source:ZFIN;Acc:ZDB-GENE-000920-1]</t>
  </si>
  <si>
    <t>ENSDARG00000056679</t>
  </si>
  <si>
    <t>morc3a</t>
  </si>
  <si>
    <t>MORC family CW-type zinc finger 3a [Source:ZFIN;Acc:ZDB-GENE-030131-1502]</t>
  </si>
  <si>
    <t>ENSDARG00000101143</t>
  </si>
  <si>
    <t>VPS37B</t>
  </si>
  <si>
    <t>zgc:114173 [Source:ZFIN;Acc:ZDB-GENE-050913-110]</t>
  </si>
  <si>
    <t>ENSDARG00000008867</t>
  </si>
  <si>
    <t>rap1b</t>
  </si>
  <si>
    <t>RAP1B, member of RAS oncogene family [Source:ZFIN;Acc:ZDB-GENE-030131-9662]</t>
  </si>
  <si>
    <t>ENSDARG00000059406</t>
  </si>
  <si>
    <t>raf1b</t>
  </si>
  <si>
    <t>Raf-1 proto-oncogene, serine/threonine kinase b [Source:ZFIN;Acc:ZDB-GENE-090826-2]</t>
  </si>
  <si>
    <t>ENSDARG00000062263</t>
  </si>
  <si>
    <t>arhgap17b</t>
  </si>
  <si>
    <t>Rho GTPase activating protein 17b [Source:ZFIN;Acc:ZDB-GENE-080220-26]</t>
  </si>
  <si>
    <t>ENSDARG00000087854</t>
  </si>
  <si>
    <t>si:dkey-108k21.13</t>
  </si>
  <si>
    <t>si:dkey-108k21.13 [Source:ZFIN;Acc:ZDB-GENE-131121-71]</t>
  </si>
  <si>
    <t>ENSDARG00000038686</t>
  </si>
  <si>
    <t>FAM35A</t>
  </si>
  <si>
    <t>si:ch211-134m17.9 [Source:ZFIN;Acc:ZDB-GENE-090313-30]</t>
  </si>
  <si>
    <t>ENSDARG00000097375</t>
  </si>
  <si>
    <t>lyrm2</t>
  </si>
  <si>
    <t>ENSDARG00000073870</t>
  </si>
  <si>
    <t>gdpd2</t>
  </si>
  <si>
    <t>glycerophosphodiester phosphodiesterase domain containing 2 [Source:ZFIN;Acc:ZDB-GENE-081107-62]</t>
  </si>
  <si>
    <t>ENSDARG00000033138</t>
  </si>
  <si>
    <t>lyrm2.1</t>
  </si>
  <si>
    <t>LYR motif containing 2 [Source:ZFIN;Acc:ZDB-GENE-040914-27]</t>
  </si>
  <si>
    <t>ENSDARG00000078582</t>
  </si>
  <si>
    <t>myo16</t>
  </si>
  <si>
    <t>myosin XVI [Source:ZFIN;Acc:ZDB-GENE-070912-470]</t>
  </si>
  <si>
    <t>ENSDARG00000096834</t>
  </si>
  <si>
    <t>si:ch211-155k24.9</t>
  </si>
  <si>
    <t>si:ch211-155k24.9 [Source:ZFIN;Acc:ZDB-GENE-131127-51]</t>
  </si>
  <si>
    <t>ENSDARG00000103231</t>
  </si>
  <si>
    <t>si:ch211-199i15.5</t>
  </si>
  <si>
    <t>si:ch211-199i15.5 [Source:ZFIN;Acc:ZDB-GENE-130603-58]</t>
  </si>
  <si>
    <t>ENSDARG00000088889</t>
  </si>
  <si>
    <t>si:dkey-108k21.14</t>
  </si>
  <si>
    <t>si:dkey-108k21.14 [Source:ZFIN;Acc:ZDB-GENE-131121-10]</t>
  </si>
  <si>
    <t>ENSDARG00000060861</t>
  </si>
  <si>
    <t>dars2</t>
  </si>
  <si>
    <t>aspartyl-tRNA synthetase 2, mitochondrial [Source:ZFIN;Acc:ZDB-GENE-070912-443]</t>
  </si>
  <si>
    <t>ENSDARG00000015355</t>
  </si>
  <si>
    <t>fosl1a</t>
  </si>
  <si>
    <t>FOS-like antigen 1a [Source:ZFIN;Acc:ZDB-GENE-061207-7]</t>
  </si>
  <si>
    <t>ENSDARG00000005274</t>
  </si>
  <si>
    <t>rad52</t>
  </si>
  <si>
    <t>RAD52 homolog, DNA repair protein [Source:ZFIN;Acc:ZDB-GENE-050731-10]</t>
  </si>
  <si>
    <t>ENSDARG00000103735</t>
  </si>
  <si>
    <t>elovl1b</t>
  </si>
  <si>
    <t>ELOVL fatty acid elongase 1b [Source:ZFIN;Acc:ZDB-GENE-040426-2755]</t>
  </si>
  <si>
    <t>ENSDARG00000071095</t>
  </si>
  <si>
    <t>abi3bpb</t>
  </si>
  <si>
    <t>ABI family, member 3 (NESH) binding protein b [Source:ZFIN;Acc:ZDB-GENE-030131-6041]</t>
  </si>
  <si>
    <t>ENSDARG00000104716</t>
  </si>
  <si>
    <t>zgc:91849</t>
  </si>
  <si>
    <t>zgc:91849 [Source:ZFIN;Acc:ZDB-GENE-040718-438]</t>
  </si>
  <si>
    <t>ENSDARG00000075854</t>
  </si>
  <si>
    <t>cx34.4</t>
  </si>
  <si>
    <t>connexin 34.4 [Source:ZFIN;Acc:ZDB-GENE-040406-3]</t>
  </si>
  <si>
    <t>ENSDARG00000068941</t>
  </si>
  <si>
    <t>zgc:113983</t>
  </si>
  <si>
    <t>zgc:113983 [Source:ZFIN;Acc:ZDB-GENE-050626-58]</t>
  </si>
  <si>
    <t>ENSDARG00000012506</t>
  </si>
  <si>
    <t>rnpep</t>
  </si>
  <si>
    <t>arginyl aminopeptidase (aminopeptidase B) [Source:ZFIN;Acc:ZDB-GENE-040718-241]</t>
  </si>
  <si>
    <t>ENSDARG00000062235</t>
  </si>
  <si>
    <t>lrrc34</t>
  </si>
  <si>
    <t>leucine rich repeat containing 34 [Source:ZFIN;Acc:ZDB-GENE-091118-73]</t>
  </si>
  <si>
    <t>ENSDARG00000023110</t>
  </si>
  <si>
    <t>mapk7</t>
  </si>
  <si>
    <t>mitogen-activated protein kinase 7 [Source:ZFIN;Acc:ZDB-GENE-050320-10]</t>
  </si>
  <si>
    <t>ENSDARG00000070061</t>
  </si>
  <si>
    <t>gfer</t>
  </si>
  <si>
    <t>growth factor, augmenter of liver regeneration (ERV1 homolog, S. cerevisiae) [Source:ZFIN;Acc:ZDB-GENE-060810-186]</t>
  </si>
  <si>
    <t>ENSDARG00000043631</t>
  </si>
  <si>
    <t>bcas2</t>
  </si>
  <si>
    <t>breast carcinoma amplified sequence 2 [Source:ZFIN;Acc:ZDB-GENE-030408-5]</t>
  </si>
  <si>
    <t>ENSDARG00000101947</t>
  </si>
  <si>
    <t>ptbp2a</t>
  </si>
  <si>
    <t>polypyrimidine tract binding protein 2a [Source:ZFIN;Acc:ZDB-GENE-050320-141]</t>
  </si>
  <si>
    <t>ENSDARG00000008816</t>
  </si>
  <si>
    <t>glud1a</t>
  </si>
  <si>
    <t>glutamate dehydrogenase 1a [Source:ZFIN;Acc:ZDB-GENE-030114-2]</t>
  </si>
  <si>
    <t>ENSDARG00000076962</t>
  </si>
  <si>
    <t>gdpd5b</t>
  </si>
  <si>
    <t>glycerophosphodiester phosphodiesterase domain containing 5b [Source:ZFIN;Acc:ZDB-GENE-030131-6028]</t>
  </si>
  <si>
    <t>ENSDARG00000023584</t>
  </si>
  <si>
    <t>cdc7</t>
  </si>
  <si>
    <t>cell division cycle 7 homolog (S. cerevisiae) [Source:ZFIN;Acc:ZDB-GENE-041114-113]</t>
  </si>
  <si>
    <t>ENSDARG00000099799</t>
  </si>
  <si>
    <t>si:dkey-11f4.16</t>
  </si>
  <si>
    <t>si:dkey-11f4.16 [Source:ZFIN;Acc:ZDB-GENE-070912-357]</t>
  </si>
  <si>
    <t>ENSDARG00000016474</t>
  </si>
  <si>
    <t>galcb</t>
  </si>
  <si>
    <t>galactosylceramidase b [Source:ZFIN;Acc:ZDB-GENE-040426-2115]</t>
  </si>
  <si>
    <t>ENSDARG00000062954</t>
  </si>
  <si>
    <t>clk2a</t>
  </si>
  <si>
    <t>CDC-like kinase 2a [Source:ZFIN;Acc:ZDB-GENE-030131-298]</t>
  </si>
  <si>
    <t>ENSDARG00000001804</t>
  </si>
  <si>
    <t>zgc:112148</t>
  </si>
  <si>
    <t>zgc:112148 [Source:ZFIN;Acc:ZDB-GENE-050417-235]</t>
  </si>
  <si>
    <t>ENSDARG00000094097</t>
  </si>
  <si>
    <t>si:ch211-209a2.1</t>
  </si>
  <si>
    <t>si:ch211-209a2.1 [Source:ZFIN;Acc:ZDB-GENE-060531-32]</t>
  </si>
  <si>
    <t>ENSDARG00000043820</t>
  </si>
  <si>
    <t>nme2a</t>
  </si>
  <si>
    <t>NME/NM23 nucleoside diphosphate kinase 2a [Source:ZFIN;Acc:ZDB-GENE-030131-7656]</t>
  </si>
  <si>
    <t>ENSDARG00000010154</t>
  </si>
  <si>
    <t>vstm4a</t>
  </si>
  <si>
    <t>V-set and transmembrane domain containing 4a [Source:ZFIN;Acc:ZDB-GENE-060810-69]</t>
  </si>
  <si>
    <t>ENSDARG00000044488</t>
  </si>
  <si>
    <t>pak1ip1</t>
  </si>
  <si>
    <t>PAK1 interacting protein 1 [Source:ZFIN;Acc:ZDB-GENE-030131-8414]</t>
  </si>
  <si>
    <t>ENSDARG00000073771</t>
  </si>
  <si>
    <t>tbc1d12b</t>
  </si>
  <si>
    <t>TBC1 domain family, member 12b [Source:ZFIN;Acc:ZDB-GENE-121214-108]</t>
  </si>
  <si>
    <t>ENSDARG00000035357</t>
  </si>
  <si>
    <t>gnb2</t>
  </si>
  <si>
    <t>guanine nucleotide binding protein (G protein), beta polypeptide 2 [Source:ZFIN;Acc:ZDB-GENE-050320-65]</t>
  </si>
  <si>
    <t>ENSDARG00000024844</t>
  </si>
  <si>
    <t>max</t>
  </si>
  <si>
    <t>myc associated factor X [Source:ZFIN;Acc:ZDB-GENE-990415-152]</t>
  </si>
  <si>
    <t>ENSDARG00000027984</t>
  </si>
  <si>
    <t>gstz1</t>
  </si>
  <si>
    <t>glutathione S-transferase zeta 1 [Source:ZFIN;Acc:ZDB-GENE-040718-184]</t>
  </si>
  <si>
    <t>ENSDARG00000026908</t>
  </si>
  <si>
    <t>tmed2</t>
  </si>
  <si>
    <t>transmembrane p24 trafficking protein 2 [Source:ZFIN;Acc:ZDB-GENE-030131-269]</t>
  </si>
  <si>
    <t>ENSDARG00000098903</t>
  </si>
  <si>
    <t>tfe3a</t>
  </si>
  <si>
    <t>transcription factor binding to IGHM enhancer 3a [Source:ZFIN;Acc:ZDB-GENE-010919-2]</t>
  </si>
  <si>
    <t>ENSDARG00000099633</t>
  </si>
  <si>
    <t>si:dkey-186o21.1</t>
  </si>
  <si>
    <t>si:dkey-186o21.1 [Source:ZFIN;Acc:ZDB-GENE-141216-145]</t>
  </si>
  <si>
    <t>ENSDARG00000092845</t>
  </si>
  <si>
    <t>si:dkey-66g10.2</t>
  </si>
  <si>
    <t>si:dkey-66g10.2 [Source:ZFIN;Acc:ZDB-GENE-090313-321]</t>
  </si>
  <si>
    <t>ENSDARG00000036781</t>
  </si>
  <si>
    <t>HAUS2</t>
  </si>
  <si>
    <t>si:dkey-170l10.1 [Source:ZFIN;Acc:ZDB-GENE-030131-5201]</t>
  </si>
  <si>
    <t>ENSDARG00000060723</t>
  </si>
  <si>
    <t>stim1a</t>
  </si>
  <si>
    <t>stromal interaction molecule 1a [Source:ZFIN;Acc:ZDB-GENE-060503-914]</t>
  </si>
  <si>
    <t>ENSDARG00000013453</t>
  </si>
  <si>
    <t>tdrd9</t>
  </si>
  <si>
    <t>tudor domain containing 9 [Source:ZFIN;Acc:ZDB-GENE-090313-193]</t>
  </si>
  <si>
    <t>ENSDARG00000056838</t>
  </si>
  <si>
    <t>pimr93</t>
  </si>
  <si>
    <t>Pim proto-oncogene, serine/threonine kinase, related 93 [Source:ZFIN;Acc:ZDB-GENE-141216-82]</t>
  </si>
  <si>
    <t>ENSDARG00000102705</t>
  </si>
  <si>
    <t>otud6b</t>
  </si>
  <si>
    <t>OTU domain containing 6B [Source:ZFIN;Acc:ZDB-GENE-040426-974]</t>
  </si>
  <si>
    <t>ENSDARG00000086183</t>
  </si>
  <si>
    <t>vkorc1</t>
  </si>
  <si>
    <t>vitamin K epoxide reductase complex, subunit 1 [Source:ZFIN;Acc:ZDB-GENE-030131-2286]</t>
  </si>
  <si>
    <t>ENSDARG00000056932</t>
  </si>
  <si>
    <t>tfip11</t>
  </si>
  <si>
    <t>tuftelin interacting protein 11 [Source:ZFIN;Acc:ZDB-GENE-040718-479]</t>
  </si>
  <si>
    <t>ENSDARG00000099148</t>
  </si>
  <si>
    <t>bzw1b</t>
  </si>
  <si>
    <t>basic leucine zipper and W2 domains 1b [Source:ZFIN;Acc:ZDB-GENE-040426-2881]</t>
  </si>
  <si>
    <t>ENSDARG00000092489</t>
  </si>
  <si>
    <t>si:ch73-103b9.2</t>
  </si>
  <si>
    <t>si:ch73-103b9.2 [Source:ZFIN;Acc:ZDB-GENE-070705-199]</t>
  </si>
  <si>
    <t>ENSDARG00000054318</t>
  </si>
  <si>
    <t>stk33</t>
  </si>
  <si>
    <t>serine/threonine kinase 33 [Source:ZFIN;Acc:ZDB-GENE-040724-242]</t>
  </si>
  <si>
    <t>ENSDARG00000071425</t>
  </si>
  <si>
    <t>nat9</t>
  </si>
  <si>
    <t>N-acetyltransferase 9 (GCN5-related, putative) [Source:ZFIN;Acc:ZDB-GENE-030131-5097]</t>
  </si>
  <si>
    <t>ENSDARG00000070187</t>
  </si>
  <si>
    <t>dyrk1b</t>
  </si>
  <si>
    <t>dual-specificity tyrosine-(Y)-phosphorylation regulated kinase 1B [Source:ZFIN;Acc:ZDB-GENE-060503-499]</t>
  </si>
  <si>
    <t>ENSDARG00000071353</t>
  </si>
  <si>
    <t>si:ch211-235e9.8</t>
  </si>
  <si>
    <t>si:ch211-235e9.8 [Source:ZFIN;Acc:ZDB-GENE-141219-2]</t>
  </si>
  <si>
    <t>ENSDARG00000078992</t>
  </si>
  <si>
    <t>wnk1a</t>
  </si>
  <si>
    <t>WNK lysine deficient protein kinase 1a [Source:ZFIN;Acc:ZDB-GENE-080917-49]</t>
  </si>
  <si>
    <t>ENSDARG00000000568</t>
  </si>
  <si>
    <t>ell</t>
  </si>
  <si>
    <t>elongation factor RNA polymerase II [Source:ZFIN;Acc:ZDB-GENE-030131-3946]</t>
  </si>
  <si>
    <t>ENSDARG00000063690</t>
  </si>
  <si>
    <t>nrm</t>
  </si>
  <si>
    <t>nurim (nuclear envelope membrane protein [Source:ZFIN;Acc:ZDB-GENE-060503-445]</t>
  </si>
  <si>
    <t>ENSDARG00000074563</t>
  </si>
  <si>
    <t>gpr37a</t>
  </si>
  <si>
    <t>G protein-coupled receptor 37a [Source:ZFIN;Acc:ZDB-GENE-131120-175]</t>
  </si>
  <si>
    <t>ENSDARG00000090753</t>
  </si>
  <si>
    <t>HEATR4</t>
  </si>
  <si>
    <t>si:dkey-13p1.3 [Source:ZFIN;Acc:ZDB-GENE-131121-470]</t>
  </si>
  <si>
    <t>ENSDARG00000103658</t>
  </si>
  <si>
    <t>hivep1</t>
  </si>
  <si>
    <t>human immunodeficiency virus type I enhancer binding protein 1 [Source:ZFIN;Acc:ZDB-GENE-070912-512]</t>
  </si>
  <si>
    <t>ENSDARG00000052471</t>
  </si>
  <si>
    <t>taf1a</t>
  </si>
  <si>
    <t>TATA box binding protein (TBP)-associated factor, RNA polymerase I, A [Source:ZFIN;Acc:ZDB-GENE-041014-272]</t>
  </si>
  <si>
    <t>ENSDARG00000008637</t>
  </si>
  <si>
    <t>mtp</t>
  </si>
  <si>
    <t>microsomal triglyceride transfer protein [Source:ZFIN;Acc:ZDB-GENE-040419-2]</t>
  </si>
  <si>
    <t>ENSDARG00000077504</t>
  </si>
  <si>
    <t>si:ch211-103n10.5</t>
  </si>
  <si>
    <t>si:ch211-103n10.5 [Source:ZFIN;Acc:ZDB-GENE-030131-5155]</t>
  </si>
  <si>
    <t>ENSDARG00000101116</t>
  </si>
  <si>
    <t>vps33a</t>
  </si>
  <si>
    <t>vacuolar protein sorting 33A [Source:ZFIN;Acc:ZDB-GENE-040914-82]</t>
  </si>
  <si>
    <t>ENSDARG00000098114</t>
  </si>
  <si>
    <t>ctsa</t>
  </si>
  <si>
    <t>cathepsin A [Source:ZFIN;Acc:ZDB-GENE-030131-537]</t>
  </si>
  <si>
    <t>ENSDARG00000005513</t>
  </si>
  <si>
    <t>naca</t>
  </si>
  <si>
    <t>nascent polypeptide-associated complex alpha subunit [Source:ZFIN;Acc:ZDB-GENE-020423-4]</t>
  </si>
  <si>
    <t>ENSDARG00000061040</t>
  </si>
  <si>
    <t>pum2</t>
  </si>
  <si>
    <t>pumilio RNA-binding family member 2 [Source:ZFIN;Acc:ZDB-GENE-081031-76]</t>
  </si>
  <si>
    <t>ENSDARG00000103286</t>
  </si>
  <si>
    <t>KCNK4</t>
  </si>
  <si>
    <t>si:dkeyp-115e12.3 [Source:ZFIN;Acc:ZDB-GENE-141211-80]</t>
  </si>
  <si>
    <t>ENSDARG00000062114</t>
  </si>
  <si>
    <t>papd7</t>
  </si>
  <si>
    <t>PAP associated domain containing 7 [Source:ZFIN;Acc:ZDB-GENE-041021-1]</t>
  </si>
  <si>
    <t>ENSDARG00000098857</t>
  </si>
  <si>
    <t>lifra</t>
  </si>
  <si>
    <t>leukemia inhibitory factor receptor alpha a [Source:ZFIN;Acc:ZDB-GENE-050327-16]</t>
  </si>
  <si>
    <t>ENSDARG00000096080</t>
  </si>
  <si>
    <t>si:ch211-179l5.6</t>
  </si>
  <si>
    <t>si:ch211-179l5.6 [Source:ZFIN;Acc:ZDB-GENE-110914-209]</t>
  </si>
  <si>
    <t>ENSDARG00000095731</t>
  </si>
  <si>
    <t>si:dkey-184j23.1</t>
  </si>
  <si>
    <t>si:dkey-184j23.1 [Source:ZFIN;Acc:ZDB-GENE-070705-329]</t>
  </si>
  <si>
    <t>ENSDARG00000071205</t>
  </si>
  <si>
    <t>tmem170b</t>
  </si>
  <si>
    <t>transmembrane protein 170B [Source:ZFIN;Acc:ZDB-GENE-070705-331]</t>
  </si>
  <si>
    <t>ENSDARG00000027500</t>
  </si>
  <si>
    <t>oxsr1b</t>
  </si>
  <si>
    <t>oxidative stress responsive 1b [Source:ZFIN;Acc:ZDB-GENE-040426-723]</t>
  </si>
  <si>
    <t>ENSDARG00000026489</t>
  </si>
  <si>
    <t>khsrp</t>
  </si>
  <si>
    <t>KH-type splicing regulatory protein [Source:ZFIN;Acc:ZDB-GENE-030131-4357]</t>
  </si>
  <si>
    <t>ENSDARG00000008155</t>
  </si>
  <si>
    <t>sms</t>
  </si>
  <si>
    <t>spermine synthase [Source:ZFIN;Acc:ZDB-GENE-040625-150]</t>
  </si>
  <si>
    <t>ENSDARG00000090625</t>
  </si>
  <si>
    <t>BCL2L12</t>
  </si>
  <si>
    <t>si:ch73-248e21.1 [Source:ZFIN;Acc:ZDB-GENE-120215-198]</t>
  </si>
  <si>
    <t>ENSDARG00000032043</t>
  </si>
  <si>
    <t>ftr16</t>
  </si>
  <si>
    <t>finTRIM family, member 16 [Source:ZFIN;Acc:ZDB-GENE-070912-126]</t>
  </si>
  <si>
    <t>ENSDARG00000091402</t>
  </si>
  <si>
    <t>eif2b1</t>
  </si>
  <si>
    <t>eukaryotic translation initiation factor 2B, subunit 1 alpha [Source:ZFIN;Acc:ZDB-GENE-040625-25]</t>
  </si>
  <si>
    <t>ENSDARG00000040081</t>
  </si>
  <si>
    <t>zgc:66432</t>
  </si>
  <si>
    <t>zgc:66432 [Source:ZFIN;Acc:ZDB-GENE-030131-5827]</t>
  </si>
  <si>
    <t>ENSDARG00000059634</t>
  </si>
  <si>
    <t>thumpd3</t>
  </si>
  <si>
    <t>THUMP domain containing 3 [Source:ZFIN;Acc:ZDB-GENE-030131-9745]</t>
  </si>
  <si>
    <t>ENSDARG00000000857</t>
  </si>
  <si>
    <t>mapk14a</t>
  </si>
  <si>
    <t>mitogen-activated protein kinase 14a [Source:ZFIN;Acc:ZDB-GENE-010202-2]</t>
  </si>
  <si>
    <t>ENSDARG00000010381</t>
  </si>
  <si>
    <t>rnf2</t>
  </si>
  <si>
    <t>ring finger protein 2 [Source:ZFIN;Acc:ZDB-GENE-030131-5243]</t>
  </si>
  <si>
    <t>ENSDARG00000051775</t>
  </si>
  <si>
    <t>zgc:110434.4</t>
  </si>
  <si>
    <t>ENSDARG00000002249</t>
  </si>
  <si>
    <t>tbxas1</t>
  </si>
  <si>
    <t>thromboxane A synthase 1 (platelet) [Source:ZFIN;Acc:ZDB-GENE-030131-8805]</t>
  </si>
  <si>
    <t>ENSDARG00000008859</t>
  </si>
  <si>
    <t>mylipa</t>
  </si>
  <si>
    <t>myosin regulatory light chain interacting protein a [Source:ZFIN;Acc:ZDB-GENE-030131-7831]</t>
  </si>
  <si>
    <t>ENSDARG00000060397</t>
  </si>
  <si>
    <t>hhip</t>
  </si>
  <si>
    <t>hedgehog interacting protein [Source:ZFIN;Acc:ZDB-GENE-030131-4827]</t>
  </si>
  <si>
    <t>ENSDARG00000006219</t>
  </si>
  <si>
    <t>gnl3</t>
  </si>
  <si>
    <t>guanine nucleotide binding protein-like 3 (nucleolar) [Source:ZFIN;Acc:ZDB-GENE-030131-616]</t>
  </si>
  <si>
    <t>ENSDARG00000078068</t>
  </si>
  <si>
    <t>abcg4b</t>
  </si>
  <si>
    <t>ATP-binding cassette, sub-family G (WHITE), member 4b [Source:ZFIN;Acc:ZDB-GENE-080215-10]</t>
  </si>
  <si>
    <t>ENSDARG00000090698</t>
  </si>
  <si>
    <t>LRRC52</t>
  </si>
  <si>
    <t>si:dkey-52j6.3 [Source:ZFIN;Acc:ZDB-GENE-121214-255]</t>
  </si>
  <si>
    <t>ENSDARG00000092955</t>
  </si>
  <si>
    <t>si:ch211-225p5.12</t>
  </si>
  <si>
    <t>si:ch211-225p5.12 [Source:ZFIN;Acc:ZDB-GENE-110714-3]</t>
  </si>
  <si>
    <t>ENSDARG00000088690</t>
  </si>
  <si>
    <t>ddias</t>
  </si>
  <si>
    <t>DNA damage-induced apoptosis suppressor [Source:ZFIN;Acc:ZDB-GENE-050208-281]</t>
  </si>
  <si>
    <t>ENSDARG00000053485</t>
  </si>
  <si>
    <t>aldh6a1</t>
  </si>
  <si>
    <t>aldehyde dehydrogenase 6 family, member A1 [Source:ZFIN;Acc:ZDB-GENE-030131-9192]</t>
  </si>
  <si>
    <t>ENSDARG00000079847</t>
  </si>
  <si>
    <t>zgc:194578</t>
  </si>
  <si>
    <t>zgc:194578 [Source:ZFIN;Acc:ZDB-GENE-081022-126]</t>
  </si>
  <si>
    <t>ENSDARG00000016177</t>
  </si>
  <si>
    <t>eif4enif1</t>
  </si>
  <si>
    <t>eukaryotic translation initiation factor 4E nuclear import factor 1 [Source:ZFIN;Acc:ZDB-GENE-050320-113]</t>
  </si>
  <si>
    <t>ENSDARG00000060438</t>
  </si>
  <si>
    <t>tbl1x</t>
  </si>
  <si>
    <t>transducin (beta)-like 1X-linked [Source:ZFIN;Acc:ZDB-GENE-070209-131]</t>
  </si>
  <si>
    <t>ENSDARG00000093378</t>
  </si>
  <si>
    <t>si:ch211-235i11.5</t>
  </si>
  <si>
    <t>si:ch211-235i11.5 [Source:ZFIN;Acc:ZDB-GENE-131120-104]</t>
  </si>
  <si>
    <t>ENSDARG00000098461</t>
  </si>
  <si>
    <t>si:dkey-11f4.14</t>
  </si>
  <si>
    <t>si:dkey-11f4.14 [Source:ZFIN;Acc:ZDB-GENE-070912-355]</t>
  </si>
  <si>
    <t>ENSDARG00000041323</t>
  </si>
  <si>
    <t>csdc2a</t>
  </si>
  <si>
    <t>cold shock domain containing C2, RNA binding a [Source:ZFIN;Acc:ZDB-GENE-040718-442]</t>
  </si>
  <si>
    <t>ENSDARG00000026726</t>
  </si>
  <si>
    <t>anxa1a</t>
  </si>
  <si>
    <t>annexin A1a [Source:ZFIN;Acc:ZDB-GENE-030131-6664]</t>
  </si>
  <si>
    <t>ENSDARG00000029370</t>
  </si>
  <si>
    <t>ankrd6b</t>
  </si>
  <si>
    <t>ankyrin repeat domain 6b [Source:ZFIN;Acc:ZDB-GENE-030916-4]</t>
  </si>
  <si>
    <t>ENSDARG00000053318</t>
  </si>
  <si>
    <t>lrrc6</t>
  </si>
  <si>
    <t>leucine rich repeat containing 6 [Source:ZFIN;Acc:ZDB-GENE-040827-2]</t>
  </si>
  <si>
    <t>ENSDARG00000008184</t>
  </si>
  <si>
    <t>mia3</t>
  </si>
  <si>
    <t>melanoma inhibitory activity family, member 3 [Source:ZFIN;Acc:ZDB-GENE-041014-270]</t>
  </si>
  <si>
    <t>ENSDARG00000071727</t>
  </si>
  <si>
    <t>si:dkey-37o8.1</t>
  </si>
  <si>
    <t>si:dkey-37o8.1 [Source:ZFIN;Acc:ZDB-GENE-030131-5667]</t>
  </si>
  <si>
    <t>ENSDARG00000059360</t>
  </si>
  <si>
    <t>srsf3b</t>
  </si>
  <si>
    <t>serine/arginine-rich splicing factor 3b [Source:ZFIN;Acc:ZDB-GENE-071005-2]</t>
  </si>
  <si>
    <t>ENSDARG00000055543</t>
  </si>
  <si>
    <t>appb</t>
  </si>
  <si>
    <t>amyloid beta (A4) precursor protein b [Source:ZFIN;Acc:ZDB-GENE-020220-1]</t>
  </si>
  <si>
    <t>ENSDARG00000045391</t>
  </si>
  <si>
    <t>cd226</t>
  </si>
  <si>
    <t>CD226 molecule [Source:ZFIN;Acc:ZDB-GENE-070112-1322]</t>
  </si>
  <si>
    <t>ENSDARG00000099758</t>
  </si>
  <si>
    <t>igf2bp2b</t>
  </si>
  <si>
    <t>insulin-like growth factor 2 mRNA binding protein 2b [Source:ZFIN;Acc:ZDB-GENE-060503-536]</t>
  </si>
  <si>
    <t>ENSDARG00000062478</t>
  </si>
  <si>
    <t>ACKR3</t>
  </si>
  <si>
    <t>si:dkey-191g15.12 [Source:ZFIN;Acc:ZDB-GENE-141216-432]</t>
  </si>
  <si>
    <t>ENSDARG00000098206</t>
  </si>
  <si>
    <t>ptrh1</t>
  </si>
  <si>
    <t>peptidyl-tRNA hydrolase 1 homolog [Source:ZFIN;Acc:ZDB-GENE-050306-33]</t>
  </si>
  <si>
    <t>ENSDARG00000104835</t>
  </si>
  <si>
    <t>map3k4</t>
  </si>
  <si>
    <t>mitogen-activated protein kinase kinase kinase 4 [Source:ZFIN;Acc:ZDB-GENE-990603-4]</t>
  </si>
  <si>
    <t>ENSDARG00000070011</t>
  </si>
  <si>
    <t>ASTL</t>
  </si>
  <si>
    <t>si:ch211-167j6.4 [Source:ZFIN;Acc:ZDB-GENE-070912-146]</t>
  </si>
  <si>
    <t>ENSDARG00000007461</t>
  </si>
  <si>
    <t>srgap1a</t>
  </si>
  <si>
    <t>SLIT-ROBO Rho GTPase activating protein 1a [Source:ZFIN;Acc:ZDB-GENE-050420-284]</t>
  </si>
  <si>
    <t>ENSDARG00000042630</t>
  </si>
  <si>
    <t>hebp2</t>
  </si>
  <si>
    <t>heme binding protein 2 [Source:ZFIN;Acc:ZDB-GENE-040426-914]</t>
  </si>
  <si>
    <t>ENSDARG00000027750</t>
  </si>
  <si>
    <t>dpp7</t>
  </si>
  <si>
    <t>dipeptidyl-peptidase 7 [Source:ZFIN;Acc:ZDB-GENE-050306-16]</t>
  </si>
  <si>
    <t>ENSDARG00000093503</t>
  </si>
  <si>
    <t>rsf1b.1</t>
  </si>
  <si>
    <t>remodeling and spacing factor 1b, tandem duplicate 1 [Source:ZFIN;Acc:ZDB-GENE-030131-5829]</t>
  </si>
  <si>
    <t>ENSDARG00000033273</t>
  </si>
  <si>
    <t>primpol</t>
  </si>
  <si>
    <t>primase and polymerase (DNA-directed) [Source:ZFIN;Acc:ZDB-GENE-051113-100]</t>
  </si>
  <si>
    <t>ENSDARG00000077967</t>
  </si>
  <si>
    <t>ATP5J.1</t>
  </si>
  <si>
    <t>si:ch211-140m22.7 [Source:ZFIN;Acc:ZDB-GENE-070912-73]</t>
  </si>
  <si>
    <t>ENSDARG00000096818</t>
  </si>
  <si>
    <t>zgc:136683</t>
  </si>
  <si>
    <t>zgc:136683 [Source:ZFIN;Acc:ZDB-GENE-060421-7397]</t>
  </si>
  <si>
    <t>ENSDARG00000104480</t>
  </si>
  <si>
    <t>hcn1</t>
  </si>
  <si>
    <t>hyperpolarization activated cyclic nucleotide-gated potassium channel 1 [Source:ZFIN;Acc:ZDB-GENE-110520-1]</t>
  </si>
  <si>
    <t>ENSDARG00000077383</t>
  </si>
  <si>
    <t>anxa11a</t>
  </si>
  <si>
    <t>annexin A11a [Source:ZFIN;Acc:ZDB-GENE-030707-4]</t>
  </si>
  <si>
    <t>ENSDARG00000024967</t>
  </si>
  <si>
    <t>fancg</t>
  </si>
  <si>
    <t>Fanconi anemia, complementation group G [Source:ZFIN;Acc:ZDB-GENE-050417-103]</t>
  </si>
  <si>
    <t>ENSDARG00000040157</t>
  </si>
  <si>
    <t>glt8d1</t>
  </si>
  <si>
    <t>glycosyltransferase 8 domain containing 1 [Source:ZFIN;Acc:ZDB-GENE-041114-23]</t>
  </si>
  <si>
    <t>ENSDARG00000020509</t>
  </si>
  <si>
    <t>srd5a1</t>
  </si>
  <si>
    <t>steroid-5-alpha-reductase, alpha polypeptide 1 (3-oxo-5 alpha-steroid delta 4-dehydrogenase alpha 1) [Source:ZFIN;Acc:ZDB-GENE-060929-938]</t>
  </si>
  <si>
    <t>ENSDARG00000032606</t>
  </si>
  <si>
    <t>sept8a</t>
  </si>
  <si>
    <t>septin 8a [Source:ZFIN;Acc:ZDB-GENE-030131-309]</t>
  </si>
  <si>
    <t>ENSDARG00000004261</t>
  </si>
  <si>
    <t>tmed9</t>
  </si>
  <si>
    <t>transmembrane p24 trafficking protein 9 [Source:ZFIN;Acc:ZDB-GENE-050417-434]</t>
  </si>
  <si>
    <t>ENSDARG00000088298</t>
  </si>
  <si>
    <t>si:ch211-235i11.4</t>
  </si>
  <si>
    <t>si:ch211-235i11.4 [Source:ZFIN;Acc:ZDB-GENE-131126-23]</t>
  </si>
  <si>
    <t>ENSDARG00000025718</t>
  </si>
  <si>
    <t>cxxc1b</t>
  </si>
  <si>
    <t>CXXC finger protein 1b [Source:ZFIN;Acc:ZDB-GENE-030728-4]</t>
  </si>
  <si>
    <t>ENSDARG00000042496</t>
  </si>
  <si>
    <t>parp12a</t>
  </si>
  <si>
    <t>poly (ADP-ribose) polymerase family, member 12a [Source:ZFIN;Acc:ZDB-GENE-050419-6]</t>
  </si>
  <si>
    <t>ENSDARG00000062054</t>
  </si>
  <si>
    <t>cpt1ab</t>
  </si>
  <si>
    <t>carnitine palmitoyltransferase 1Ab (liver) [Source:ZFIN;Acc:ZDB-GENE-030131-3250]</t>
  </si>
  <si>
    <t>ENSDARG00000061235</t>
  </si>
  <si>
    <t>alg5</t>
  </si>
  <si>
    <t>asparagine-linked glycosylation 5 (dolichyl-phosphate beta-glucosyltransferase) [Source:ZFIN;Acc:ZDB-GENE-030131-6586]</t>
  </si>
  <si>
    <t>ENSDARG00000098904</t>
  </si>
  <si>
    <t>pex1</t>
  </si>
  <si>
    <t>peroxisomal biogenesis factor 1 [Source:ZFIN;Acc:ZDB-GENE-070530-1]</t>
  </si>
  <si>
    <t>ENSDARG00000031164</t>
  </si>
  <si>
    <t>tuba8l2</t>
  </si>
  <si>
    <t>tubulin, alpha 8 like 2 [Source:ZFIN;Acc:ZDB-GENE-040426-1646]</t>
  </si>
  <si>
    <t>ENSDARG00000032296</t>
  </si>
  <si>
    <t>pomp</t>
  </si>
  <si>
    <t>proteasome maturation protein [Source:ZFIN;Acc:ZDB-GENE-040801-10]</t>
  </si>
  <si>
    <t>ENSDARG00000005870</t>
  </si>
  <si>
    <t>mmadhc</t>
  </si>
  <si>
    <t>methylmalonic aciduria (cobalamin deficiency) cblD type, with homocystinuria [Source:ZFIN;Acc:ZDB-GENE-040704-50]</t>
  </si>
  <si>
    <t>ENSDARG00000069654</t>
  </si>
  <si>
    <t>ppp6r2b</t>
  </si>
  <si>
    <t>protein phosphatase 6, regulatory subunit 2b [Source:ZFIN;Acc:ZDB-GENE-070705-441]</t>
  </si>
  <si>
    <t>ENSDARG00000090697</t>
  </si>
  <si>
    <t>eif3ea</t>
  </si>
  <si>
    <t>eukaryotic translation initiation factor 3, subunit E, a [Source:ZFIN;Acc:ZDB-GENE-030131-3827]</t>
  </si>
  <si>
    <t>ENSDARG00000002339</t>
  </si>
  <si>
    <t>sgf29</t>
  </si>
  <si>
    <t>SAGA complex associated factor 29 [Source:ZFIN;Acc:ZDB-GENE-041010-62]</t>
  </si>
  <si>
    <t>ENSDARG00000096121</t>
  </si>
  <si>
    <t>si:ch211-179l5.5</t>
  </si>
  <si>
    <t>si:ch211-179l5.5 [Source:ZFIN;Acc:ZDB-GENE-110914-105]</t>
  </si>
  <si>
    <t>ENSDARG00000054793</t>
  </si>
  <si>
    <t>emc10</t>
  </si>
  <si>
    <t>ER membrane protein complex subunit 10 [Source:ZFIN;Acc:ZDB-GENE-030131-9045]</t>
  </si>
  <si>
    <t>ENSDARG00000045298</t>
  </si>
  <si>
    <t>wipf2a</t>
  </si>
  <si>
    <t>WAS/WASL interacting protein family, member 2a [Source:ZFIN;Acc:ZDB-GENE-121219-6]</t>
  </si>
  <si>
    <t>ENSDARG00000013598</t>
  </si>
  <si>
    <t>tnfb</t>
  </si>
  <si>
    <t>tumor necrosis factor b (TNF superfamily, member 2) [Source:ZFIN;Acc:ZDB-GENE-050601-2]</t>
  </si>
  <si>
    <t>ENSDARG00000053992</t>
  </si>
  <si>
    <t>sfi1</t>
  </si>
  <si>
    <t>SFI1 centrin binding protein [Source:ZFIN;Acc:ZDB-GENE-080206-4]</t>
  </si>
  <si>
    <t>ENSDARG00000033046</t>
  </si>
  <si>
    <t>ccni2</t>
  </si>
  <si>
    <t>cyclin I family, member 2 [Source:ZFIN;Acc:ZDB-GENE-081106-2]</t>
  </si>
  <si>
    <t>ENSDARG00000042518</t>
  </si>
  <si>
    <t>hipk2</t>
  </si>
  <si>
    <t>homeodomain interacting protein kinase 2 [Source:ZFIN;Acc:ZDB-GENE-031125-4]</t>
  </si>
  <si>
    <t>ENSDARG00000105117</t>
  </si>
  <si>
    <t>sdad1</t>
  </si>
  <si>
    <t>SDA1 domain containing 1 [Source:ZFIN;Acc:ZDB-GENE-021213-1]</t>
  </si>
  <si>
    <t>ENSDARG00000055162</t>
  </si>
  <si>
    <t>zhx2</t>
  </si>
  <si>
    <t>zinc fingers and homeoboxes 2 [Source:ZFIN;Acc:ZDB-GENE-031107-2]</t>
  </si>
  <si>
    <t>ENSDARG00000003877</t>
  </si>
  <si>
    <t>pbrm1</t>
  </si>
  <si>
    <t>polybromo 1 [Source:ZFIN;Acc:ZDB-GENE-080926-4]</t>
  </si>
  <si>
    <t>ENSDARG00000010266</t>
  </si>
  <si>
    <t>igf2bp3</t>
  </si>
  <si>
    <t>insulin-like growth factor 2 mRNA binding protein 3 [Source:ZFIN;Acc:ZDB-GENE-000308-1]</t>
  </si>
  <si>
    <t>ENSDARG00000069044</t>
  </si>
  <si>
    <t>agpat4</t>
  </si>
  <si>
    <t>1-acylglycerol-3-phosphate O-acyltransferase 4 (lysophosphatidic acid acyltransferase, delta) [Source:ZFIN;Acc:ZDB-GENE-040426-1924]</t>
  </si>
  <si>
    <t>ENSDARG00000057392</t>
  </si>
  <si>
    <t>lrrc31</t>
  </si>
  <si>
    <t>leucine rich repeat containing 31 [Source:ZFIN;Acc:ZDB-GENE-091204-286]</t>
  </si>
  <si>
    <t>ENSDARG00000062518</t>
  </si>
  <si>
    <t>ulk1a</t>
  </si>
  <si>
    <t>unc-51 like autophagy activating kinase 1a [Source:ZFIN;Acc:ZDB-GENE-080723-31]</t>
  </si>
  <si>
    <t>ENSDARG00000096707</t>
  </si>
  <si>
    <t>si:dkey-52l6.2</t>
  </si>
  <si>
    <t>si:dkey-52l6.2 [Source:ZFIN;Acc:ZDB-GENE-130531-35]</t>
  </si>
  <si>
    <t>ENSDARG00000016260</t>
  </si>
  <si>
    <t>fxr2</t>
  </si>
  <si>
    <t>fragile X mental retardation, autosomal homolog 2 [Source:ZFIN;Acc:ZDB-GENE-040426-943]</t>
  </si>
  <si>
    <t>ENSDARG00000040277</t>
  </si>
  <si>
    <t>fbxo32</t>
  </si>
  <si>
    <t>F-box protein 32 [Source:ZFIN;Acc:ZDB-GENE-040426-1040]</t>
  </si>
  <si>
    <t>ENSDARG00000061600</t>
  </si>
  <si>
    <t>tmem2</t>
  </si>
  <si>
    <t>transmembrane protein 2 [Source:ZFIN;Acc:ZDB-GENE-030131-2179]</t>
  </si>
  <si>
    <t>ENSDARG00000042866</t>
  </si>
  <si>
    <t>cx35.4</t>
  </si>
  <si>
    <t>connexin 35.4 [Source:ZFIN;Acc:ZDB-GENE-050417-174]</t>
  </si>
  <si>
    <t>ENSDARG00000076980</t>
  </si>
  <si>
    <t>ppp1r16a</t>
  </si>
  <si>
    <t>protein phosphatase 1, regulatory subunit 16A [Source:ZFIN;Acc:ZDB-GENE-121214-252]</t>
  </si>
  <si>
    <t>ENSDARG00000028784</t>
  </si>
  <si>
    <t>si:dkey-24p1.6</t>
  </si>
  <si>
    <t>si:dkey-24p1.6.1</t>
  </si>
  <si>
    <t>si:dkey-24p1.6 [Source:ZFIN;Acc:ZDB-GENE-060503-67]</t>
  </si>
  <si>
    <t>ENSDARG00000061311</t>
  </si>
  <si>
    <t>znf438</t>
  </si>
  <si>
    <t>zinc finger protein 438 [Source:ZFIN;Acc:ZDB-GENE-060929-868]</t>
  </si>
  <si>
    <t>ENSDARG00000056138</t>
  </si>
  <si>
    <t>sf3b1</t>
  </si>
  <si>
    <t>splicing factor 3b, subunit 1 [Source:ZFIN;Acc:ZDB-GENE-040827-3]</t>
  </si>
  <si>
    <t>ENSDARG00000101445</t>
  </si>
  <si>
    <t>klhl7</t>
  </si>
  <si>
    <t>kelch-like family member 7 [Source:ZFIN;Acc:ZDB-GENE-130212-1]</t>
  </si>
  <si>
    <t>ENSDARG00000015374</t>
  </si>
  <si>
    <t>st3gal3a</t>
  </si>
  <si>
    <t>ST3 beta-galactoside alpha-2,3-sialyltransferase 3a [Source:ZFIN;Acc:ZDB-GENE-040426-1322]</t>
  </si>
  <si>
    <t>ENSDARG00000030560</t>
  </si>
  <si>
    <t>helz</t>
  </si>
  <si>
    <t>helicase with zinc finger [Source:ZFIN;Acc:ZDB-GENE-040426-2419]</t>
  </si>
  <si>
    <t>ENSDARG00000091116</t>
  </si>
  <si>
    <t>pkhd1l1</t>
  </si>
  <si>
    <t>polycystic kidney and hepatic disease 1 (autosomal recessive)-like 1 [Source:ZFIN;Acc:ZDB-GENE-060503-475]</t>
  </si>
  <si>
    <t>ENSDARG00000012777</t>
  </si>
  <si>
    <t>nucks1b</t>
  </si>
  <si>
    <t>nuclear casein kinase and cyclin-dependent kinase substrate 1b [Source:ZFIN;Acc:ZDB-GENE-030131-4544]</t>
  </si>
  <si>
    <t>ENSDARG00000005619</t>
  </si>
  <si>
    <t>nek2</t>
  </si>
  <si>
    <t>NIMA-related kinase 2 [Source:ZFIN;Acc:ZDB-GENE-040426-752]</t>
  </si>
  <si>
    <t>ENSDARG00000019426</t>
  </si>
  <si>
    <t>trioa</t>
  </si>
  <si>
    <t>trio Rho guanine nucleotide exchange factor a [Source:ZFIN;Acc:ZDB-GENE-060503-334]</t>
  </si>
  <si>
    <t>ENSDARG00000019845</t>
  </si>
  <si>
    <t>pdlim1</t>
  </si>
  <si>
    <t>PDZ and LIM domain 1 (elfin) [Source:ZFIN;Acc:ZDB-GENE-030131-5227]</t>
  </si>
  <si>
    <t>ENSDARG00000069116</t>
  </si>
  <si>
    <t>timm10</t>
  </si>
  <si>
    <t>translocase of inner mitochondrial membrane 10 homolog (yeast) [Source:ZFIN;Acc:ZDB-GENE-040718-427]</t>
  </si>
  <si>
    <t>ENSDARG00000069378</t>
  </si>
  <si>
    <t>pard6a</t>
  </si>
  <si>
    <t>par-6 family cell polarity regulator alpha [Source:ZFIN;Acc:ZDB-GENE-070705-215]</t>
  </si>
  <si>
    <t>ENSDARG00000007976</t>
  </si>
  <si>
    <t>si:ch211-220f16.2</t>
  </si>
  <si>
    <t>si:ch211-220f16.2 [Source:ZFIN;Acc:ZDB-GENE-070912-199]</t>
  </si>
  <si>
    <t>ENSDARG00000043198</t>
  </si>
  <si>
    <t>si:rp71-1i20.2</t>
  </si>
  <si>
    <t>si:rp71-1i20.2 [Source:ZFIN;Acc:ZDB-GENE-040724-207]</t>
  </si>
  <si>
    <t>ENSDARG00000006915</t>
  </si>
  <si>
    <t>arl8ba</t>
  </si>
  <si>
    <t>ADP-ribosylation factor-like 8Ba [Source:ZFIN;Acc:ZDB-GENE-030131-9370]</t>
  </si>
  <si>
    <t>ENSDARG00000104899</t>
  </si>
  <si>
    <t>si:dkey-242k1.4</t>
  </si>
  <si>
    <t>si:dkey-242k1.4 [Source:ZFIN;Acc:ZDB-GENE-081104-388]</t>
  </si>
  <si>
    <t>ENSDARG00000043542</t>
  </si>
  <si>
    <t>zpr1</t>
  </si>
  <si>
    <t>ZPR1 zinc finger [Source:ZFIN;Acc:ZDB-GENE-040426-2110]</t>
  </si>
  <si>
    <t>ENSDARG00000094427</t>
  </si>
  <si>
    <t>si:dkey-253d23.8</t>
  </si>
  <si>
    <t>si:dkey-253d23.8 [Source:ZFIN;Acc:ZDB-GENE-050208-568]</t>
  </si>
  <si>
    <t>ENSDARG00000002994</t>
  </si>
  <si>
    <t>itpkca</t>
  </si>
  <si>
    <t>inositol-trisphosphate 3-kinase Ca [Source:ZFIN;Acc:ZDB-GENE-030131-6009]</t>
  </si>
  <si>
    <t>ENSDARG00000030537</t>
  </si>
  <si>
    <t>psmc1a</t>
  </si>
  <si>
    <t>proteasome 26S subunit, ATPase 1a [Source:ZFIN;Acc:ZDB-GENE-030131-8730]</t>
  </si>
  <si>
    <t>ENSDARG00000058729</t>
  </si>
  <si>
    <t>akirin2</t>
  </si>
  <si>
    <t>akirin 2 [Source:ZFIN;Acc:ZDB-GENE-040426-2944]</t>
  </si>
  <si>
    <t>ENSDARG00000093518</t>
  </si>
  <si>
    <t>si:ch73-186j5.4</t>
  </si>
  <si>
    <t>si:ch73-186j5.4 [Source:ZFIN;Acc:ZDB-GENE-070705-216]</t>
  </si>
  <si>
    <t>ENSDARG00000014995</t>
  </si>
  <si>
    <t>jagn1b</t>
  </si>
  <si>
    <t>jagunal homolog 1b [Source:ZFIN;Acc:ZDB-GENE-040801-103]</t>
  </si>
  <si>
    <t>ENSDARG00000043550</t>
  </si>
  <si>
    <t>ENKD1</t>
  </si>
  <si>
    <t>si:ch211-220d9.3 [Source:ZFIN;Acc:ZDB-GENE-081104-180]</t>
  </si>
  <si>
    <t>ENSDARG00000101332</t>
  </si>
  <si>
    <t>uba2</t>
  </si>
  <si>
    <t>ubiquitin-like modifier activating enzyme 2 [Source:ZFIN;Acc:ZDB-GENE-040426-2681]</t>
  </si>
  <si>
    <t>ENSDARG00000008049</t>
  </si>
  <si>
    <t>si:dkey-42i9.4</t>
  </si>
  <si>
    <t>si:dkey-42i9.4 [Source:ZFIN;Acc:ZDB-GENE-030131-8398]</t>
  </si>
  <si>
    <t>ENSDARG00000009525</t>
  </si>
  <si>
    <t>tial1</t>
  </si>
  <si>
    <t>TIA1 cytotoxic granule-associated RNA binding protein-like 1 [Source:ZFIN;Acc:ZDB-GENE-040426-1547]</t>
  </si>
  <si>
    <t>ENSDARG00000001734</t>
  </si>
  <si>
    <t>fkbp8</t>
  </si>
  <si>
    <t>FK506 binding protein 8 [Source:ZFIN;Acc:ZDB-GENE-040426-1849]</t>
  </si>
  <si>
    <t>ENSDARG00000011819</t>
  </si>
  <si>
    <t>pcnx</t>
  </si>
  <si>
    <t>pecanex homolog (Drosophila) [Source:ZFIN;Acc:ZDB-GENE-081113-6]</t>
  </si>
  <si>
    <t>ENSDARG00000095594</t>
  </si>
  <si>
    <t>im:7154516</t>
  </si>
  <si>
    <t>im:7154516 [Source:ZFIN;Acc:ZDB-GENE-041111-329]</t>
  </si>
  <si>
    <t>ENSDARG00000103101</t>
  </si>
  <si>
    <t>NDUFC1</t>
  </si>
  <si>
    <t>si:ch211-235e9.6 [Source:ZFIN;Acc:ZDB-GENE-141216-417]</t>
  </si>
  <si>
    <t>ENSDARG00000099380</t>
  </si>
  <si>
    <t>rpl13</t>
  </si>
  <si>
    <t>ribosomal protein L13 [Source:ZFIN;Acc:ZDB-GENE-031007-1]</t>
  </si>
  <si>
    <t>ENSDARG00000097839</t>
  </si>
  <si>
    <t>si:ch211-235i11.6</t>
  </si>
  <si>
    <t>si:ch211-235i11.6 [Source:ZFIN;Acc:ZDB-GENE-131120-95]</t>
  </si>
  <si>
    <t>ENSDARG00000096319</t>
  </si>
  <si>
    <t>si:ch211-239j9.1</t>
  </si>
  <si>
    <t>si:ch211-239j9.1 [Source:ZFIN;Acc:ZDB-GENE-120215-212]</t>
  </si>
  <si>
    <t>ENSDARG00000071506</t>
  </si>
  <si>
    <t>mgat5</t>
  </si>
  <si>
    <t>mannosyl (alpha-1,6-)-glycoprotein beta-1,6-N-acetyl-glucosaminyltransferase [Source:ZFIN;Acc:ZDB-GENE-060616-238]</t>
  </si>
  <si>
    <t>ENSDARG00000030139</t>
  </si>
  <si>
    <t>sdhdb</t>
  </si>
  <si>
    <t>succinate dehydrogenase complex, subunit D, integral membrane protein b [Source:ZFIN;Acc:ZDB-GENE-040822-17]</t>
  </si>
  <si>
    <t>ENSDARG00000030236</t>
  </si>
  <si>
    <t>tmem30aa</t>
  </si>
  <si>
    <t>transmembrane protein 30Aa [Source:ZFIN;Acc:ZDB-GENE-040704-26]</t>
  </si>
  <si>
    <t>ENSDARG00000097900</t>
  </si>
  <si>
    <t>aff3</t>
  </si>
  <si>
    <t>ENSDARG00000017676</t>
  </si>
  <si>
    <t>mmp2</t>
  </si>
  <si>
    <t>matrix metallopeptidase 2 [Source:ZFIN;Acc:ZDB-GENE-030131-9123]</t>
  </si>
  <si>
    <t>ENSDARG00000075643</t>
  </si>
  <si>
    <t>ifi35</t>
  </si>
  <si>
    <t>interferon-induced protein 35 [Source:ZFIN;Acc:ZDB-GENE-100311-2]</t>
  </si>
  <si>
    <t>ENSDARG00000058082</t>
  </si>
  <si>
    <t>birc7</t>
  </si>
  <si>
    <t>baculoviral IAP repeat containing 7 [Source:ZFIN;Acc:ZDB-GENE-070615-35]</t>
  </si>
  <si>
    <t>ENSDARG00000011000</t>
  </si>
  <si>
    <t>gtf2a1</t>
  </si>
  <si>
    <t>general transcription factor IIA, 1 [Source:ZFIN;Acc:ZDB-GENE-030131-2694]</t>
  </si>
  <si>
    <t>ENSDARG00000014554</t>
  </si>
  <si>
    <t>ppp1r3cb</t>
  </si>
  <si>
    <t>protein phosphatase 1, regulatory subunit 3Cb [Source:ZFIN;Acc:ZDB-GENE-040426-1733]</t>
  </si>
  <si>
    <t>ENSDARG00000042671</t>
  </si>
  <si>
    <t>c2h1orf27</t>
  </si>
  <si>
    <t>c2h1orf27 homolog (H. sapiens) [Source:ZFIN;Acc:ZDB-GENE-080502-1]</t>
  </si>
  <si>
    <t>ENSDARG00000094004</t>
  </si>
  <si>
    <t>si:ch73-108h4.3</t>
  </si>
  <si>
    <t>si:ch73-108h4.3 [Source:ZFIN;Acc:ZDB-GENE-100921-61]</t>
  </si>
  <si>
    <t>ENSDARG00000020798</t>
  </si>
  <si>
    <t>necap1</t>
  </si>
  <si>
    <t>NECAP endocytosis associated 1 [Source:ZFIN;Acc:ZDB-GENE-040426-1682]</t>
  </si>
  <si>
    <t>ENSDARG00000091013</t>
  </si>
  <si>
    <t>si:dkey-84h14.2</t>
  </si>
  <si>
    <t>si:dkey-84h14.2 [Source:ZFIN;Acc:ZDB-GENE-110913-33]</t>
  </si>
  <si>
    <t>ENSDARG00000001930</t>
  </si>
  <si>
    <t>klhl15</t>
  </si>
  <si>
    <t>kelch-like family member 15 [Source:ZFIN;Acc:ZDB-GENE-040801-99]</t>
  </si>
  <si>
    <t>ENSDARG00000062612</t>
  </si>
  <si>
    <t>dhx37</t>
  </si>
  <si>
    <t>DEAH (Asp-Glu-Ala-His) box polypeptide 37 [Source:ZFIN;Acc:ZDB-GENE-030131-4505]</t>
  </si>
  <si>
    <t>ENSDARG00000060001</t>
  </si>
  <si>
    <t>mettl9</t>
  </si>
  <si>
    <t>methyltransferase like 9 [Source:ZFIN;Acc:ZDB-GENE-061013-752]</t>
  </si>
  <si>
    <t>ENSDARG00000097308</t>
  </si>
  <si>
    <t>si:dkey-151m15.6</t>
  </si>
  <si>
    <t>si:dkey-151m15.6 [Source:ZFIN;Acc:ZDB-GENE-131121-567]</t>
  </si>
  <si>
    <t>ENSDARG00000101060</t>
  </si>
  <si>
    <t>acrc</t>
  </si>
  <si>
    <t>acidic repeat containing [Source:ZFIN;Acc:ZDB-GENE-050320-153]</t>
  </si>
  <si>
    <t>ENSDARG00000089878</t>
  </si>
  <si>
    <t>nedd9</t>
  </si>
  <si>
    <t>neural precursor cell expressed, developmentally down-regulated 9 [Source:ZFIN;Acc:ZDB-GENE-061013-318]</t>
  </si>
  <si>
    <t>ENSDARG00000054833</t>
  </si>
  <si>
    <t>nucb1</t>
  </si>
  <si>
    <t>nucleobindin 1 [Source:ZFIN;Acc:ZDB-GENE-060825-222]</t>
  </si>
  <si>
    <t>ENSDARG00000098066</t>
  </si>
  <si>
    <t>si:dkey-92c21.2</t>
  </si>
  <si>
    <t>si:dkey-92c21.2 [Source:ZFIN;Acc:ZDB-GENE-110914-113]</t>
  </si>
  <si>
    <t>ENSDARG00000063101</t>
  </si>
  <si>
    <t>man2a2</t>
  </si>
  <si>
    <t>mannosidase, alpha, class 2A, member 2 [Source:ZFIN;Acc:ZDB-GENE-110331-1]</t>
  </si>
  <si>
    <t>ENSDARG00000005941</t>
  </si>
  <si>
    <t>yes1</t>
  </si>
  <si>
    <t>YES proto-oncogene 1, Src family tyrosine kinase [Source:ZFIN;Acc:ZDB-GENE-050126-1]</t>
  </si>
  <si>
    <t>ENSDARG00000079537</t>
  </si>
  <si>
    <t>ftr13</t>
  </si>
  <si>
    <t>finTRIM family, member 13 [Source:ZFIN;Acc:ZDB-GENE-070912-395]</t>
  </si>
  <si>
    <t>ENSDARG00000074581</t>
  </si>
  <si>
    <t>add2</t>
  </si>
  <si>
    <t>adducin 2 (beta) [Source:ZFIN;Acc:ZDB-GENE-080718-4]</t>
  </si>
  <si>
    <t>ENSDARG00000078613</t>
  </si>
  <si>
    <t>vhll</t>
  </si>
  <si>
    <t>von Hippel-Lindau tumor suppressor like [Source:ZFIN;Acc:ZDB-GENE-081022-78]</t>
  </si>
  <si>
    <t>ENSDARG00000031751</t>
  </si>
  <si>
    <t>npr1a</t>
  </si>
  <si>
    <t>natriuretic peptide receptor 1a [Source:ZFIN;Acc:ZDB-GENE-060503-539]</t>
  </si>
  <si>
    <t>ENSDARG00000005993</t>
  </si>
  <si>
    <t>prc1b</t>
  </si>
  <si>
    <t>protein regulator of cytokinesis 1b [Source:ZFIN;Acc:ZDB-GENE-040426-777]</t>
  </si>
  <si>
    <t>ENSDARG00000011219</t>
  </si>
  <si>
    <t>akt2</t>
  </si>
  <si>
    <t>v-akt murine thymoma viral oncogene homolog 2 [Source:ZFIN;Acc:ZDB-GENE-031007-5]</t>
  </si>
  <si>
    <t>ENSDARG00000099679</t>
  </si>
  <si>
    <t>papd4</t>
  </si>
  <si>
    <t>PAP associated domain containing 4 [Source:ZFIN;Acc:ZDB-GENE-050522-536]</t>
  </si>
  <si>
    <t>ENSDARG00000090230</t>
  </si>
  <si>
    <t>tmem108</t>
  </si>
  <si>
    <t>transmembrane protein 108 [Source:ZFIN;Acc:ZDB-GENE-091204-397]</t>
  </si>
  <si>
    <t>ENSDARG00000103902</t>
  </si>
  <si>
    <t>nde1</t>
  </si>
  <si>
    <t>nudE neurodevelopment protein 1 [Source:ZFIN;Acc:ZDB-GENE-050913-61]</t>
  </si>
  <si>
    <t>ENSDARG00000090716</t>
  </si>
  <si>
    <t>cltcb</t>
  </si>
  <si>
    <t>clathrin, heavy chain b (Hc) [Source:ZFIN;Acc:ZDB-GENE-050227-12]</t>
  </si>
  <si>
    <t>ENSDARG00000007412</t>
  </si>
  <si>
    <t>slc2a1b</t>
  </si>
  <si>
    <t>solute carrier family 2 (facilitated glucose transporter), member 1b [Source:ZFIN;Acc:ZDB-GENE-090915-1]</t>
  </si>
  <si>
    <t>ENSDARG00000021135</t>
  </si>
  <si>
    <t>dhrs2</t>
  </si>
  <si>
    <t>dehydrogenase/reductase (SDR family) member 2 [Source:ZFIN;Acc:ZDB-GENE-040426-1498]</t>
  </si>
  <si>
    <t>ENSDARG00000004131</t>
  </si>
  <si>
    <t>rttn</t>
  </si>
  <si>
    <t>rotatin [Source:ZFIN;Acc:ZDB-GENE-090609-5]</t>
  </si>
  <si>
    <t>ENSDARG00000097336</t>
  </si>
  <si>
    <t>appb.1</t>
  </si>
  <si>
    <t>ENSDARG00000079198</t>
  </si>
  <si>
    <t>usp13</t>
  </si>
  <si>
    <t>ubiquitin specific peptidase 13 (isopeptidase T-3) [Source:ZFIN;Acc:ZDB-GENE-080724-7]</t>
  </si>
  <si>
    <t>ENSDARG00000061798</t>
  </si>
  <si>
    <t>arhgap27l</t>
  </si>
  <si>
    <t>Rho GTPase activating protein 27, like [Source:ZFIN;Acc:ZDB-GENE-120406-11]</t>
  </si>
  <si>
    <t>ENSDARG00000020708</t>
  </si>
  <si>
    <t>mdkb</t>
  </si>
  <si>
    <t>midkine b [Source:ZFIN;Acc:ZDB-GENE-010131-6]</t>
  </si>
  <si>
    <t>ENSDARG00000070573</t>
  </si>
  <si>
    <t>mapk3</t>
  </si>
  <si>
    <t>mitogen-activated protein kinase 3 [Source:ZFIN;Acc:ZDB-GENE-040121-1]</t>
  </si>
  <si>
    <t>ENSDARG00000104199</t>
  </si>
  <si>
    <t>si:dkey-43p13.5</t>
  </si>
  <si>
    <t>si:dkey-43p13.5 [Source:ZFIN;Acc:ZDB-GENE-131121-510]</t>
  </si>
  <si>
    <t>ENSDARG00000071013</t>
  </si>
  <si>
    <t>arl6ip6</t>
  </si>
  <si>
    <t>ADP-ribosylation factor-like 6 interacting protein 6 [Source:ZFIN;Acc:ZDB-GENE-070410-117]</t>
  </si>
  <si>
    <t>ENSDARG00000099927</t>
  </si>
  <si>
    <t>dpf1</t>
  </si>
  <si>
    <t>D4, zinc and double PHD fingers family 1 [Source:ZFIN;Acc:ZDB-GENE-050913-31]</t>
  </si>
  <si>
    <t>ENSDARG00000009046</t>
  </si>
  <si>
    <t>nphp1</t>
  </si>
  <si>
    <t>nephronophthisis 1 [Source:ZFIN;Acc:ZDB-GENE-060929-1234]</t>
  </si>
  <si>
    <t>ENSDARG00000104228</t>
  </si>
  <si>
    <t>lypla1</t>
  </si>
  <si>
    <t>lysophospholipase I [Source:ZFIN;Acc:ZDB-GENE-050417-87]</t>
  </si>
  <si>
    <t>ENSDARG00000057323</t>
  </si>
  <si>
    <t>e2f8</t>
  </si>
  <si>
    <t>E2F transcription factor 8 [Source:ZFIN;Acc:ZDB-GENE-041111-260]</t>
  </si>
  <si>
    <t>ENSDARG00000037191</t>
  </si>
  <si>
    <t>ttr</t>
  </si>
  <si>
    <t>transthyretin (prealbumin, amyloidosis type I) [Source:ZFIN;Acc:ZDB-GENE-040927-14]</t>
  </si>
  <si>
    <t>ENSDARG00000057249</t>
  </si>
  <si>
    <t>zmynd11</t>
  </si>
  <si>
    <t>zinc finger, MYND-type containing 11 [Source:ZFIN;Acc:ZDB-GENE-050522-301]</t>
  </si>
  <si>
    <t>ENSDARG00000027740</t>
  </si>
  <si>
    <t>adcyap1b</t>
  </si>
  <si>
    <t>adenylate cyclase activating polypeptide 1b [Source:ZFIN;Acc:ZDB-GENE-041010-89]</t>
  </si>
  <si>
    <t>ENSDARG00000008849</t>
  </si>
  <si>
    <t>ptprq</t>
  </si>
  <si>
    <t>protein tyrosine phosphatase, receptor type, Q [Source:ZFIN;Acc:ZDB-GENE-050419-183]</t>
  </si>
  <si>
    <t>ENSDARG00000011371</t>
  </si>
  <si>
    <t>zgc:64106</t>
  </si>
  <si>
    <t>zgc:64106 [Source:ZFIN;Acc:ZDB-GENE-040426-1370]</t>
  </si>
  <si>
    <t>ENSDARG00000103470</t>
  </si>
  <si>
    <t>polm</t>
  </si>
  <si>
    <t>polymerase (DNA directed), mu [Source:ZFIN;Acc:ZDB-GENE-040426-911]</t>
  </si>
  <si>
    <t>ENSDARG00000074760</t>
  </si>
  <si>
    <t>ttc7a</t>
  </si>
  <si>
    <t>tetratricopeptide repeat domain 7A [Source:ZFIN;Acc:ZDB-GENE-010319-27]</t>
  </si>
  <si>
    <t>ENSDARG00000079144</t>
  </si>
  <si>
    <t>bcl2l11</t>
  </si>
  <si>
    <t>BCL2-like 11 [Source:ZFIN;Acc:ZDB-GENE-081008-1]</t>
  </si>
  <si>
    <t>ENSDARG00000052242</t>
  </si>
  <si>
    <t>aff2</t>
  </si>
  <si>
    <t>AF4/FMR2 family, member 2 [Source:ZFIN;Acc:ZDB-GENE-110411-190]</t>
  </si>
  <si>
    <t>ENSDARG00000002299</t>
  </si>
  <si>
    <t>arsh</t>
  </si>
  <si>
    <t>arylsulfatase H [Source:ZFIN;Acc:ZDB-GENE-081104-120]</t>
  </si>
  <si>
    <t>ENSDARG00000077353</t>
  </si>
  <si>
    <t>rerea</t>
  </si>
  <si>
    <t>arginine-glutamic acid dipeptide (RE) repeats a [Source:ZFIN;Acc:ZDB-GENE-060718-1]</t>
  </si>
  <si>
    <t>ENSDARG00000024540</t>
  </si>
  <si>
    <t>tspan36</t>
  </si>
  <si>
    <t>tetraspanin 36 [Source:ZFIN;Acc:ZDB-GENE-040718-248]</t>
  </si>
  <si>
    <t>ENSDARG00000007630</t>
  </si>
  <si>
    <t>mkrn2</t>
  </si>
  <si>
    <t>makorin, ring finger protein, 2 [Source:ZFIN;Acc:ZDB-GENE-020213-2]</t>
  </si>
  <si>
    <t>ENSDARG00000053293</t>
  </si>
  <si>
    <t>ftr14</t>
  </si>
  <si>
    <t>finTRIM family, member 14 [Source:ZFIN;Acc:ZDB-GENE-060512-201]</t>
  </si>
  <si>
    <t>ENSDARG00000098753</t>
  </si>
  <si>
    <t>elmo1</t>
  </si>
  <si>
    <t>engulfment and cell motility 1 (ced-12 homolog, C. elegans) [Source:ZFIN;Acc:ZDB-GENE-040426-2069]</t>
  </si>
  <si>
    <t>ENSDARG00000002937</t>
  </si>
  <si>
    <t>meis1a</t>
  </si>
  <si>
    <t>Meis homeobox 1 a [Source:ZFIN;Acc:ZDB-GENE-020122-3]</t>
  </si>
  <si>
    <t>ENSDARG00000013110</t>
  </si>
  <si>
    <t>dmtn</t>
  </si>
  <si>
    <t>dematin actin binding protein [Source:ZFIN;Acc:ZDB-GENE-030131-9438]</t>
  </si>
  <si>
    <t>ENSDARG00000093165</t>
  </si>
  <si>
    <t>si:dkey-16p6.2</t>
  </si>
  <si>
    <t>si:dkey-16p6.2 [Source:ZFIN;Acc:ZDB-GENE-110913-100]</t>
  </si>
  <si>
    <t>ENSDARG00000043663</t>
  </si>
  <si>
    <t>faub</t>
  </si>
  <si>
    <t>Finkel-Biskis-Reilly murine sarcoma virus (FBR-MuSV) ubiquitously expressed b [Source:ZFIN;Acc:ZDB-GENE-050417-416]</t>
  </si>
  <si>
    <t>ENSDARG00000035181</t>
  </si>
  <si>
    <t>slc25a46</t>
  </si>
  <si>
    <t>solute carrier family 25, member 46 [Source:ZFIN;Acc:ZDB-GENE-040718-296]</t>
  </si>
  <si>
    <t>ENSDARG00000020876</t>
  </si>
  <si>
    <t>pdk2a</t>
  </si>
  <si>
    <t>pyruvate dehydrogenase kinase, isozyme 2a [Source:ZFIN;Acc:ZDB-GENE-120910-1]</t>
  </si>
  <si>
    <t>ENSDARG00000056903</t>
  </si>
  <si>
    <t>mrpl13</t>
  </si>
  <si>
    <t>mitochondrial ribosomal protein L13 [Source:ZFIN;Acc:ZDB-GENE-050522-167]</t>
  </si>
  <si>
    <t>ENSDARG00000092387</t>
  </si>
  <si>
    <t>zgc:193742</t>
  </si>
  <si>
    <t>zgc:193742 [Source:ZFIN;Acc:ZDB-GENE-081022-37]</t>
  </si>
  <si>
    <t>ENSDARG00000099358</t>
  </si>
  <si>
    <t>hccsb</t>
  </si>
  <si>
    <t>holocytochrome c synthase b [Source:ZFIN;Acc:ZDB-GENE-000607-78]</t>
  </si>
  <si>
    <t>ENSDARG00000063283</t>
  </si>
  <si>
    <t>abi3b</t>
  </si>
  <si>
    <t>ABI family, member 3b [Source:ZFIN;Acc:ZDB-GENE-121214-259]</t>
  </si>
  <si>
    <t>ENSDARG00000016903</t>
  </si>
  <si>
    <t>wdr5</t>
  </si>
  <si>
    <t>WD repeat domain 5 [Source:ZFIN;Acc:ZDB-GENE-040426-2082]</t>
  </si>
  <si>
    <t>ENSDARG00000027930</t>
  </si>
  <si>
    <t>naprt</t>
  </si>
  <si>
    <t>nicotinate phosphoribosyltransferase [Source:ZFIN;Acc:ZDB-GENE-040426-1897]</t>
  </si>
  <si>
    <t>ENSDARG00000038964</t>
  </si>
  <si>
    <t>traf4b</t>
  </si>
  <si>
    <t>tnf receptor-associated factor 4b [Source:ZFIN;Acc:ZDB-GENE-040305-2]</t>
  </si>
  <si>
    <t>ENSDARG00000008457</t>
  </si>
  <si>
    <t>faah2a</t>
  </si>
  <si>
    <t>fatty acid amide hydrolase 2a [Source:ZFIN;Acc:ZDB-GENE-040718-453]</t>
  </si>
  <si>
    <t>ENSDARG00000101682</t>
  </si>
  <si>
    <t>si:dkey-146c18.6</t>
  </si>
  <si>
    <t>si:dkey-146c18.6 [Source:ZFIN;Acc:ZDB-GENE-131120-62]</t>
  </si>
  <si>
    <t>ENSDARG00000034650</t>
  </si>
  <si>
    <t>fabp7b</t>
  </si>
  <si>
    <t>fatty acid binding protein 7, brain, b [Source:ZFIN;Acc:ZDB-GENE-040614-4]</t>
  </si>
  <si>
    <t>ENSDARG00000102827</t>
  </si>
  <si>
    <t>ubfd1</t>
  </si>
  <si>
    <t>ubiquitin family domain containing 1 [Source:ZFIN;Acc:ZDB-GENE-050506-90]</t>
  </si>
  <si>
    <t>ENSDARG00000054473</t>
  </si>
  <si>
    <t>tinf2</t>
  </si>
  <si>
    <t>TERF1 (TRF1)-interacting nuclear factor 2 [Source:ZFIN;Acc:ZDB-GENE-030131-6168]</t>
  </si>
  <si>
    <t>ENSDARG00000036189</t>
  </si>
  <si>
    <t>spata4</t>
  </si>
  <si>
    <t>spermatogenesis associated 4 [Source:ZFIN;Acc:ZDB-GENE-050417-153]</t>
  </si>
  <si>
    <t>ENSDARG00000036764</t>
  </si>
  <si>
    <t>hax1</t>
  </si>
  <si>
    <t>HCLS1 associated protein X-1 [Source:ZFIN;Acc:ZDB-GENE-040718-26]</t>
  </si>
  <si>
    <t>ENSDARG00000021905</t>
  </si>
  <si>
    <t>derl1</t>
  </si>
  <si>
    <t>derlin 1 [Source:ZFIN;Acc:ZDB-GENE-040426-2793]</t>
  </si>
  <si>
    <t>ENSDARG00000037071</t>
  </si>
  <si>
    <t>rps26</t>
  </si>
  <si>
    <t>ribosomal protein S26 [Source:ZFIN;Acc:ZDB-GENE-030131-8606]</t>
  </si>
  <si>
    <t>ENSDARG00000005690</t>
  </si>
  <si>
    <t>slc25a23a</t>
  </si>
  <si>
    <t>solute carrier family 25 (mitochondrial carrier; phosphate carrier), member 23a [Source:ZFIN;Acc:ZDB-GENE-121214-154]</t>
  </si>
  <si>
    <t>ENSDARG00000105098</t>
  </si>
  <si>
    <t>dr1</t>
  </si>
  <si>
    <t>down-regulator of transcription 1 [Source:ZFIN;Acc:ZDB-GENE-061013-797]</t>
  </si>
  <si>
    <t>ENSDARG00000062415</t>
  </si>
  <si>
    <t>ctnnd2a</t>
  </si>
  <si>
    <t>catenin (cadherin-associated protein), delta 2a [Source:ZFIN;Acc:ZDB-GENE-030616-60]</t>
  </si>
  <si>
    <t>ENSDARG00000010301</t>
  </si>
  <si>
    <t>b4galt6</t>
  </si>
  <si>
    <t>UDP-Gal:betaGlcNAc beta 1,4- galactosyltransferase, polypeptide 6 [Source:ZFIN;Acc:ZDB-GENE-040426-789]</t>
  </si>
  <si>
    <t>ENSDARG00000025850</t>
  </si>
  <si>
    <t>rps21</t>
  </si>
  <si>
    <t>ribosomal protein S21 [Source:ZFIN;Acc:ZDB-GENE-040426-1102]</t>
  </si>
  <si>
    <t>ENSDARG00000070391</t>
  </si>
  <si>
    <t>tspan4b</t>
  </si>
  <si>
    <t>tetraspanin 4b [Source:ZFIN;Acc:ZDB-GENE-070410-127]</t>
  </si>
  <si>
    <t>ENSDARG00000069114</t>
  </si>
  <si>
    <t>unc93b1</t>
  </si>
  <si>
    <t>unc-93 homolog B1 (C. elegans) [Source:ZFIN;Acc:ZDB-GENE-130424-1]</t>
  </si>
  <si>
    <t>ENSDARG00000036239</t>
  </si>
  <si>
    <t>gatm</t>
  </si>
  <si>
    <t>glycine amidinotransferase (L-arginine:glycine amidinotransferase) [Source:ZFIN;Acc:ZDB-GENE-021015-1]</t>
  </si>
  <si>
    <t>ENSDARG00000056665</t>
  </si>
  <si>
    <t>nsun2</t>
  </si>
  <si>
    <t>NOP2/Sun RNA methyltransferase family, member 2 [Source:ZFIN;Acc:ZDB-GENE-030131-4017]</t>
  </si>
  <si>
    <t>ENSDARG00000087933</t>
  </si>
  <si>
    <t>zgc:174972</t>
  </si>
  <si>
    <t>zgc:174972 [Source:ZFIN;Acc:ZDB-GENE-080219-6]</t>
  </si>
  <si>
    <t>ENSDARG00000089204</t>
  </si>
  <si>
    <t>smim13</t>
  </si>
  <si>
    <t>small integral membrane protein 13 [Source:ZFIN;Acc:ZDB-GENE-141212-279]</t>
  </si>
  <si>
    <t>ENSDARG00000094428</t>
  </si>
  <si>
    <t>si:dkey-31f5.8</t>
  </si>
  <si>
    <t>si:dkey-31f5.8 [Source:ZFIN;Acc:ZDB-GENE-041210-182]</t>
  </si>
  <si>
    <t>ENSDARG00000079236</t>
  </si>
  <si>
    <t>si:dkey-253d23.11</t>
  </si>
  <si>
    <t>si:dkey-253d23.11 [Source:ZFIN;Acc:ZDB-GENE-050208-631]</t>
  </si>
  <si>
    <t>ENSDARG00000074820</t>
  </si>
  <si>
    <t>si:dkey-253d23.9</t>
  </si>
  <si>
    <t>si:dkey-253d23.9 [Source:ZFIN;Acc:ZDB-GENE-050208-648]</t>
  </si>
  <si>
    <t>ENSDARG00000095273</t>
  </si>
  <si>
    <t>cox8a</t>
  </si>
  <si>
    <t>cytochrome c oxidase subunit VIIIA (ubiquitous) [Source:ZFIN;Acc:ZDB-GENE-030131-9136]</t>
  </si>
  <si>
    <t>ENSDARG00000091609</t>
  </si>
  <si>
    <t>spink4</t>
  </si>
  <si>
    <t>serine peptidase inhibitor, Kazal type 4 [Source:ZFIN;Acc:ZDB-GENE-130821-1]</t>
  </si>
  <si>
    <t>ENSDARG00000023028</t>
  </si>
  <si>
    <t>cdv3</t>
  </si>
  <si>
    <t>carnitine deficiency-associated gene expressed in ventricle 3 [Source:ZFIN;Acc:ZDB-GENE-030131-6034]</t>
  </si>
  <si>
    <t>ENSDARG00000020834</t>
  </si>
  <si>
    <t>CEP250</t>
  </si>
  <si>
    <t>si:dkey-230p4.1 [Source:ZFIN;Acc:ZDB-GENE-081104-380]</t>
  </si>
  <si>
    <t>ENSDARG00000097578</t>
  </si>
  <si>
    <t>si:ch211-87m19.2</t>
  </si>
  <si>
    <t>si:ch211-87m19.2 [Source:ZFIN;Acc:ZDB-GENE-131122-67]</t>
  </si>
  <si>
    <t>ENSDARG00000105417</t>
  </si>
  <si>
    <t>mkrn2.1</t>
  </si>
  <si>
    <t>ENSDARG00000040988</t>
  </si>
  <si>
    <t>tpi1b</t>
  </si>
  <si>
    <t>triosephosphate isomerase 1b [Source:ZFIN;Acc:ZDB-GENE-020416-4]</t>
  </si>
  <si>
    <t>ENSDARG00000079204</t>
  </si>
  <si>
    <t>adam11</t>
  </si>
  <si>
    <t>ADAM metallopeptidase domain 11 [Source:ZFIN;Acc:ZDB-GENE-070808-3]</t>
  </si>
  <si>
    <t>ENSDARG00000059983</t>
  </si>
  <si>
    <t>zufsp</t>
  </si>
  <si>
    <t>zinc finger with UFM1-specific peptidase domain [Source:ZFIN;Acc:ZDB-GENE-070209-211]</t>
  </si>
  <si>
    <t>ENSDARG00000040251</t>
  </si>
  <si>
    <t>ctsk</t>
  </si>
  <si>
    <t>cathepsin K [Source:ZFIN;Acc:ZDB-GENE-001205-4]</t>
  </si>
  <si>
    <t>ENSDARG00000073738</t>
  </si>
  <si>
    <t>dennd2c</t>
  </si>
  <si>
    <t>DENN/MADD domain containing 2C [Source:ZFIN;Acc:ZDB-GENE-081105-71]</t>
  </si>
  <si>
    <t>ENSDARG00000043553</t>
  </si>
  <si>
    <t>ches1</t>
  </si>
  <si>
    <t>checkpoint suppressor 1 [Source:ZFIN;Acc:ZDB-GENE-040217-1]</t>
  </si>
  <si>
    <t>ENSDARG00000020334</t>
  </si>
  <si>
    <t>ptpn11a</t>
  </si>
  <si>
    <t>protein tyrosine phosphatase, non-receptor type 11, a [Source:ZFIN;Acc:ZDB-GENE-030131-5911]</t>
  </si>
  <si>
    <t>ENSDARG00000034826</t>
  </si>
  <si>
    <t>park7</t>
  </si>
  <si>
    <t>parkinson protein 7 [Source:ZFIN;Acc:ZDB-GENE-041010-5]</t>
  </si>
  <si>
    <t>ENSDARG00000045676</t>
  </si>
  <si>
    <t>calua</t>
  </si>
  <si>
    <t>calumenin a [Source:ZFIN;Acc:ZDB-GENE-040625-166]</t>
  </si>
  <si>
    <t>ENSDARG00000035333</t>
  </si>
  <si>
    <t>mis18a</t>
  </si>
  <si>
    <t>MIS18 kinetochore protein A [Source:ZFIN;Acc:ZDB-GENE-091204-314]</t>
  </si>
  <si>
    <t>ENSDARG00000020149</t>
  </si>
  <si>
    <t>acoxl</t>
  </si>
  <si>
    <t>acyl-CoA oxidase-like [Source:ZFIN;Acc:ZDB-GENE-081107-18]</t>
  </si>
  <si>
    <t>ENSDARG00000055629</t>
  </si>
  <si>
    <t>dia1b</t>
  </si>
  <si>
    <t>deleted in autism 1b [Source:ZFIN;Acc:ZDB-GENE-070830-2]</t>
  </si>
  <si>
    <t>ENSDARG00000021220</t>
  </si>
  <si>
    <t>hmgcl</t>
  </si>
  <si>
    <t>3-hydroxymethyl-3-methylglutaryl-CoA lyase [Source:ZFIN;Acc:ZDB-GENE-040426-958]</t>
  </si>
  <si>
    <t>ENSDARG00000097103</t>
  </si>
  <si>
    <t>zgc:165555</t>
  </si>
  <si>
    <t>zgc:165555 [Source:ZFIN;Acc:ZDB-GENE-070620-17]</t>
  </si>
  <si>
    <t>ENSDARG00000019507</t>
  </si>
  <si>
    <t>mcm5</t>
  </si>
  <si>
    <t>minichromosome maintenance complex component 5 [Source:ZFIN;Acc:ZDB-GENE-021209-1]</t>
  </si>
  <si>
    <t>ENSDARG00000057299</t>
  </si>
  <si>
    <t>pbdc1</t>
  </si>
  <si>
    <t>polysaccharide biosynthesis domain containing 1 [Source:ZFIN;Acc:ZDB-GENE-040718-459]</t>
  </si>
  <si>
    <t>ENSDARG00000010978</t>
  </si>
  <si>
    <t>trmt1</t>
  </si>
  <si>
    <t>tRNA methyltransferase 1 [Source:ZFIN;Acc:ZDB-GENE-060810-40]</t>
  </si>
  <si>
    <t>ENSDARG00000020645</t>
  </si>
  <si>
    <t>slc7a3a</t>
  </si>
  <si>
    <t>solute carrier family 7 (cationic amino acid transporter, y+ system), member 3a [Source:ZFIN;Acc:ZDB-GENE-041114-206]</t>
  </si>
  <si>
    <t>ENSDARG00000022891</t>
  </si>
  <si>
    <t>zgc:175214</t>
  </si>
  <si>
    <t>zgc:175214 [Source:ZFIN;Acc:ZDB-GENE-080303-32]</t>
  </si>
  <si>
    <t>ENSDARG00000095966</t>
  </si>
  <si>
    <t>zgc:171699</t>
  </si>
  <si>
    <t>zgc:171699 [Source:ZFIN;Acc:ZDB-GENE-071004-24]</t>
  </si>
  <si>
    <t>ENSDARG00000006527</t>
  </si>
  <si>
    <t>brd3a</t>
  </si>
  <si>
    <t>bromodomain containing 3a [Source:ZFIN;Acc:ZDB-GENE-030131-6141]</t>
  </si>
  <si>
    <t>ENSDARG00000105223</t>
  </si>
  <si>
    <t>pmp22a</t>
  </si>
  <si>
    <t>peripheral myelin protein 22a [Source:ZFIN;Acc:ZDB-GENE-030131-6757]</t>
  </si>
  <si>
    <t>ENSDARG00000098608</t>
  </si>
  <si>
    <t>si:dkey-224j12.6</t>
  </si>
  <si>
    <t>si:dkey-224j12.6 [Source:ZFIN;Acc:ZDB-GENE-141216-480]</t>
  </si>
  <si>
    <t>ENSDARG00000010312</t>
  </si>
  <si>
    <t>cp</t>
  </si>
  <si>
    <t>ceruloplasmin [Source:ZFIN;Acc:ZDB-GENE-010522-1]</t>
  </si>
  <si>
    <t>ENSDARG00000035550</t>
  </si>
  <si>
    <t>cfap73</t>
  </si>
  <si>
    <t>cilia and flagella associated protein 73 [Source:ZFIN;Acc:ZDB-GENE-060526-194]</t>
  </si>
  <si>
    <t>ENSDARG00000077248</t>
  </si>
  <si>
    <t>zgc:171459</t>
  </si>
  <si>
    <t>zgc:171459 [Source:ZFIN;Acc:ZDB-GENE-030131-2059]</t>
  </si>
  <si>
    <t>ENSDARG00000075172</t>
  </si>
  <si>
    <t>fbxo25</t>
  </si>
  <si>
    <t>F-box protein 25 [Source:ZFIN;Acc:ZDB-GENE-040801-19]</t>
  </si>
  <si>
    <t>ENSDARG00000103213</t>
  </si>
  <si>
    <t>si:dkey-56m15.8</t>
  </si>
  <si>
    <t>si:dkey-56m15.8 [Source:ZFIN;Acc:ZDB-GENE-110914-109]</t>
  </si>
  <si>
    <t>ENSDARG00000003751</t>
  </si>
  <si>
    <t>lats1</t>
  </si>
  <si>
    <t>large tumor suppressor kinase 1 [Source:ZFIN;Acc:ZDB-GENE-050523-2]</t>
  </si>
  <si>
    <t>ENSDARG00000044938</t>
  </si>
  <si>
    <t>cbx2</t>
  </si>
  <si>
    <t>chromobox homolog 2 (Drosophila Pc class) [Source:ZFIN;Acc:ZDB-GENE-030131-5502]</t>
  </si>
  <si>
    <t>ENSDARG00000027495</t>
  </si>
  <si>
    <t>elovl4b</t>
  </si>
  <si>
    <t>ELOVL fatty acid elongase 4b [Source:ZFIN;Acc:ZDB-GENE-030131-7672]</t>
  </si>
  <si>
    <t>ENSDARG00000075765</t>
  </si>
  <si>
    <t>si:ch1073-287p18.1</t>
  </si>
  <si>
    <t>si:ch1073-287p18.1 [Source:ZFIN;Acc:ZDB-GENE-081104-80]</t>
  </si>
  <si>
    <t>ENSDARG00000073997</t>
  </si>
  <si>
    <t>srpk1a</t>
  </si>
  <si>
    <t>SRSF protein kinase 1a [Source:ZFIN;Acc:ZDB-GENE-030131-2399]</t>
  </si>
  <si>
    <t>ENSDARG00000095302</t>
  </si>
  <si>
    <t>si:dkey-263m6.1</t>
  </si>
  <si>
    <t>si:dkey-263m6.1 [Source:ZFIN;Acc:ZDB-GENE-091120-1]</t>
  </si>
  <si>
    <t>ENSDARG00000075718</t>
  </si>
  <si>
    <t>rpz5</t>
  </si>
  <si>
    <t>rapunzel 5 [Source:ZFIN;Acc:ZDB-GENE-030131-4678]</t>
  </si>
  <si>
    <t>ENSDARG00000100581</t>
  </si>
  <si>
    <t>si:ch211-198g14.2</t>
  </si>
  <si>
    <t>si:ch211-198g14.2 [Source:ZFIN;Acc:ZDB-GENE-060503-772]</t>
  </si>
  <si>
    <t>ENSDARG00000075178</t>
  </si>
  <si>
    <t>lpcat3</t>
  </si>
  <si>
    <t>lysophosphatidylcholine acyltransferase 3 [Source:ZFIN;Acc:ZDB-GENE-041111-232]</t>
  </si>
  <si>
    <t>ENSDARG00000055106</t>
  </si>
  <si>
    <t>znf148</t>
  </si>
  <si>
    <t>zinc finger protein 148 [Source:ZFIN;Acc:ZDB-GENE-030131-8769]</t>
  </si>
  <si>
    <t>ENSDARG00000092097</t>
  </si>
  <si>
    <t>si:ch211-285d14.4</t>
  </si>
  <si>
    <t>si:ch211-285d14.4 [Source:ZFIN;Acc:ZDB-GENE-050420-89]</t>
  </si>
  <si>
    <t>ENSDARG00000089227</t>
  </si>
  <si>
    <t>si:ch211-91p5.3</t>
  </si>
  <si>
    <t>si:ch211-91p5.3 [Source:ZFIN;Acc:ZDB-GENE-131119-65]</t>
  </si>
  <si>
    <t>ENSDARG00000103602</t>
  </si>
  <si>
    <t>pcdh1a3</t>
  </si>
  <si>
    <t>protocadherin 1 alpha 3 [Source:ZFIN;Acc:ZDB-GENE-050202-3]</t>
  </si>
  <si>
    <t>ENSDARG00000036382</t>
  </si>
  <si>
    <t>ponzr6</t>
  </si>
  <si>
    <t>plac8 onzin related protein 6 [Source:ZFIN;Acc:ZDB-GENE-081104-326]</t>
  </si>
  <si>
    <t>ENSDARG00000001897</t>
  </si>
  <si>
    <t>man2b1</t>
  </si>
  <si>
    <t>mannosidase, alpha, class 2B, member 1 [Source:ZFIN;Acc:ZDB-GENE-050327-52]</t>
  </si>
  <si>
    <t>ENSDARG00000004587</t>
  </si>
  <si>
    <t>kat5a</t>
  </si>
  <si>
    <t>K(lysine) acetyltransferase 5a [Source:ZFIN;Acc:ZDB-GENE-040718-57]</t>
  </si>
  <si>
    <t>ENSDARG00000057456</t>
  </si>
  <si>
    <t>ppp3ccb</t>
  </si>
  <si>
    <t>protein phosphatase 3, catalytic subunit, gamma isozyme, b [Source:ZFIN;Acc:ZDB-GENE-070112-1102]</t>
  </si>
  <si>
    <t>ENSDARG00000010563</t>
  </si>
  <si>
    <t>spopla</t>
  </si>
  <si>
    <t>speckle-type POZ protein-like a [Source:ZFIN;Acc:ZDB-GENE-050320-3]</t>
  </si>
  <si>
    <t>ENSDARG00000092787</t>
  </si>
  <si>
    <t>TMEM261</t>
  </si>
  <si>
    <t>si:dkey-88p24.11 [Source:ZFIN;Acc:ZDB-GENE-030131-8991]</t>
  </si>
  <si>
    <t>ENSDARG00000028259</t>
  </si>
  <si>
    <t>aldh3a2a</t>
  </si>
  <si>
    <t>aldehyde dehydrogenase 3 family, member A2a [Source:ZFIN;Acc:ZDB-GENE-040718-74]</t>
  </si>
  <si>
    <t>ENSDARG00000023659</t>
  </si>
  <si>
    <t>gabpb1</t>
  </si>
  <si>
    <t>GA binding protein transcription factor, beta subunit 1 [Source:ZFIN;Acc:ZDB-GENE-061027-46]</t>
  </si>
  <si>
    <t>ENSDARG00000007099</t>
  </si>
  <si>
    <t>cx43.4</t>
  </si>
  <si>
    <t>connexin 43.4 [Source:ZFIN;Acc:ZDB-GENE-990415-38]</t>
  </si>
  <si>
    <t>ENSDARG00000071683</t>
  </si>
  <si>
    <t>zfr2</t>
  </si>
  <si>
    <t>zinc finger RNA binding protein 2 [Source:ZFIN;Acc:ZDB-GENE-070705-184]</t>
  </si>
  <si>
    <t>ENSDARG00000097685</t>
  </si>
  <si>
    <t>si:ch211-235i11.3</t>
  </si>
  <si>
    <t>si:ch211-235i11.3 [Source:ZFIN;Acc:ZDB-GENE-131125-9]</t>
  </si>
  <si>
    <t>ENSDARG00000076592</t>
  </si>
  <si>
    <t>man1b1b</t>
  </si>
  <si>
    <t>mannosidase, alpha, class 1B, member 1b [Source:ZFIN;Acc:ZDB-GENE-070705-482]</t>
  </si>
  <si>
    <t>ENSDARG00000057698</t>
  </si>
  <si>
    <t>ctsd</t>
  </si>
  <si>
    <t>cathepsin D [Source:ZFIN;Acc:ZDB-GENE-010131-8]</t>
  </si>
  <si>
    <t>ENSDARG00000097191</t>
  </si>
  <si>
    <t>si:ch211-235i11.7</t>
  </si>
  <si>
    <t>si:ch211-235i11.7 [Source:ZFIN;Acc:ZDB-GENE-131121-126]</t>
  </si>
  <si>
    <t>ENSDARG00000054842</t>
  </si>
  <si>
    <t>hsd17b14</t>
  </si>
  <si>
    <t>hydroxysteroid (17-beta) dehydrogenase 14 [Source:ZFIN;Acc:ZDB-GENE-040801-24]</t>
  </si>
  <si>
    <t>ENSDARG00000097262</t>
  </si>
  <si>
    <t>si:ch211-255f14.2</t>
  </si>
  <si>
    <t>si:ch211-255f14.2 [Source:ZFIN;Acc:ZDB-GENE-131127-216]</t>
  </si>
  <si>
    <t>ENSDARG00000095817</t>
  </si>
  <si>
    <t>ZNHIT6</t>
  </si>
  <si>
    <t>si:zfos-90c9.2 [Source:ZFIN;Acc:ZDB-GENE-110411-38]</t>
  </si>
  <si>
    <t>ENSDARG00000039452</t>
  </si>
  <si>
    <t>hk1</t>
  </si>
  <si>
    <t>hexokinase 1 [Source:ZFIN;Acc:ZDB-GENE-040426-2848]</t>
  </si>
  <si>
    <t>ENSDARG00000104936</t>
  </si>
  <si>
    <t>si:ch211-225h24.2</t>
  </si>
  <si>
    <t>si:ch211-225h24.2 [Source:ZFIN;Acc:ZDB-GENE-030131-1581]</t>
  </si>
  <si>
    <t>ENSDARG00000036232</t>
  </si>
  <si>
    <t>trpm7</t>
  </si>
  <si>
    <t>transient receptor potential cation channel, subfamily M, member 7 [Source:ZFIN;Acc:ZDB-GENE-021115-2]</t>
  </si>
  <si>
    <t>ENSDARG00000078366</t>
  </si>
  <si>
    <t>robo2</t>
  </si>
  <si>
    <t>roundabout, axon guidance receptor, homolog 2 (Drosophila) [Source:ZFIN;Acc:ZDB-GENE-001019-1]</t>
  </si>
  <si>
    <t>ENSDARG00000027529</t>
  </si>
  <si>
    <t>hmox1a</t>
  </si>
  <si>
    <t>heme oxygenase 1a [Source:ZFIN;Acc:ZDB-GENE-030131-3102]</t>
  </si>
  <si>
    <t>ENSDARG00000054433</t>
  </si>
  <si>
    <t>yipf6</t>
  </si>
  <si>
    <t>Yip1 domain family, member 6 [Source:ZFIN;Acc:ZDB-GENE-040625-76]</t>
  </si>
  <si>
    <t>ENSDARG00000042962</t>
  </si>
  <si>
    <t>dgcr2</t>
  </si>
  <si>
    <t>DiGeorge syndrome critical region gene 2 [Source:ZFIN;Acc:ZDB-GENE-040718-404]</t>
  </si>
  <si>
    <t>ENSDARG00000038967</t>
  </si>
  <si>
    <t>cul3a</t>
  </si>
  <si>
    <t>cullin 3a [Source:ZFIN;Acc:ZDB-GENE-030131-3376]</t>
  </si>
  <si>
    <t>ENSDARG00000056458</t>
  </si>
  <si>
    <t>lhfpl5b</t>
  </si>
  <si>
    <t>lipoma HMGIC fusion partner-like 5b [Source:ZFIN;Acc:ZDB-GENE-080220-51]</t>
  </si>
  <si>
    <t>ENSDARG00000087508</t>
  </si>
  <si>
    <t>si:ch211-39i22.1</t>
  </si>
  <si>
    <t>si:ch211-39i22.1 [Source:ZFIN;Acc:ZDB-GENE-120215-258]</t>
  </si>
  <si>
    <t>ENSDARG00000059816</t>
  </si>
  <si>
    <t>zgc:136864</t>
  </si>
  <si>
    <t>zgc:136864 [Source:ZFIN;Acc:ZDB-GENE-060331-129]</t>
  </si>
  <si>
    <t>ENSDARG00000073866</t>
  </si>
  <si>
    <t>tdp1</t>
  </si>
  <si>
    <t>tyrosyl-DNA phosphodiesterase 1 [Source:ZFIN;Acc:ZDB-GENE-090909-1]</t>
  </si>
  <si>
    <t>ENSDARG00000075993</t>
  </si>
  <si>
    <t>clic5a</t>
  </si>
  <si>
    <t>chloride intracellular channel 5a [Source:ZFIN;Acc:ZDB-GENE-041114-84]</t>
  </si>
  <si>
    <t>ENSDARG00000104810</t>
  </si>
  <si>
    <t>akt3a</t>
  </si>
  <si>
    <t>v-akt murine thymoma viral oncogene homolog 3a [Source:ZFIN;Acc:ZDB-GENE-050419-180]</t>
  </si>
  <si>
    <t>ENSDARG00000062978</t>
  </si>
  <si>
    <t>ccdc151</t>
  </si>
  <si>
    <t>coiled-coil domain containing 151 [Source:ZFIN;Acc:ZDB-GENE-061013-787]</t>
  </si>
  <si>
    <t>ENSDARG00000004307</t>
  </si>
  <si>
    <t>lypd6</t>
  </si>
  <si>
    <t>LY6/PLAUR domain containing 6 [Source:ZFIN;Acc:ZDB-GENE-040912-117]</t>
  </si>
  <si>
    <t>ENSDARG00000103172</t>
  </si>
  <si>
    <t>znf1054</t>
  </si>
  <si>
    <t>zinc finger protein 1054 [Source:ZFIN;Acc:ZDB-GENE-110913-98]</t>
  </si>
  <si>
    <t>ENSDARG00000104598</t>
  </si>
  <si>
    <t>pcdh1a6</t>
  </si>
  <si>
    <t>protocadherin 1 alpha 6 [Source:ZFIN;Acc:ZDB-GENE-050203-2]</t>
  </si>
  <si>
    <t>ENSDARG00000028276</t>
  </si>
  <si>
    <t>si:ch211-196h16.12</t>
  </si>
  <si>
    <t>si:ch211-196h16.12 [Source:ZFIN;Acc:ZDB-GENE-121214-351]</t>
  </si>
  <si>
    <t>ENSDARG00000063719</t>
  </si>
  <si>
    <t>usp8</t>
  </si>
  <si>
    <t>ubiquitin specific peptidase 8 [Source:ZFIN;Acc:ZDB-GENE-030131-1949]</t>
  </si>
  <si>
    <t>ENSDARG00000095167</t>
  </si>
  <si>
    <t>si:dkeyp-66d7.4</t>
  </si>
  <si>
    <t>si:dkeyp-66d7.4 [Source:ZFIN;Acc:ZDB-GENE-091204-263]</t>
  </si>
  <si>
    <t>ENSDARG00000087927</t>
  </si>
  <si>
    <t>nudt9</t>
  </si>
  <si>
    <t>nudix (nucleoside diphosphate linked moiety X)-type motif 9 [Source:ZFIN;Acc:ZDB-GENE-040426-2669]</t>
  </si>
  <si>
    <t>ENSDARG00000054849</t>
  </si>
  <si>
    <t>bcat2</t>
  </si>
  <si>
    <t>branched chain amino-acid transaminase 2, mitochondrial [Source:ZFIN;Acc:ZDB-GENE-040718-425]</t>
  </si>
  <si>
    <t>ENSDARG00000095539</t>
  </si>
  <si>
    <t>si:dkeyp-82a1.8</t>
  </si>
  <si>
    <t>si:dkeyp-82a1.8 [Source:ZFIN;Acc:ZDB-GENE-081104-479]</t>
  </si>
  <si>
    <t>ENSDARG00000097170</t>
  </si>
  <si>
    <t>pcdh1a4</t>
  </si>
  <si>
    <t>protocadherin 1 alpha 4 [Source:ZFIN;Acc:ZDB-GENE-050202-4]</t>
  </si>
  <si>
    <t>ENSDARG00000005540</t>
  </si>
  <si>
    <t>xpo7</t>
  </si>
  <si>
    <t>exportin 7 [Source:ZFIN;Acc:ZDB-GENE-060628-2]</t>
  </si>
  <si>
    <t>ENSDARG00000078216</t>
  </si>
  <si>
    <t>eps15</t>
  </si>
  <si>
    <t>epidermal growth factor receptor pathway substrate 15 [Source:ZFIN;Acc:ZDB-GENE-081104-264]</t>
  </si>
  <si>
    <t>ENSDARG00000060150</t>
  </si>
  <si>
    <t>psmd11a</t>
  </si>
  <si>
    <t>proteasome 26S subunit, non-ATPase 11a [Source:ZFIN;Acc:ZDB-GENE-030131-2711]</t>
  </si>
  <si>
    <t>ENSDARG00000054858</t>
  </si>
  <si>
    <t>tp53bp2b</t>
  </si>
  <si>
    <t>tumor protein p53 binding protein, 2b [Source:ZFIN;Acc:ZDB-GENE-050208-453]</t>
  </si>
  <si>
    <t>ENSDARG00000039666</t>
  </si>
  <si>
    <t>tsta3</t>
  </si>
  <si>
    <t>tissue specific transplantation antigen P35B [Source:ZFIN;Acc:ZDB-GENE-040722-1]</t>
  </si>
  <si>
    <t>ENSDARG00000063730</t>
  </si>
  <si>
    <t>osbpl6</t>
  </si>
  <si>
    <t>oxysterol binding protein-like 6 [Source:ZFIN;Acc:ZDB-GENE-070912-206]</t>
  </si>
  <si>
    <t>ENSDARG00000036237</t>
  </si>
  <si>
    <t>slc27a2a</t>
  </si>
  <si>
    <t>solute carrier family 27 (fatty acid transporter), member 2a [Source:ZFIN;Acc:ZDB-GENE-050706-104]</t>
  </si>
  <si>
    <t>ENSDARG00000079811</t>
  </si>
  <si>
    <t>micall1a</t>
  </si>
  <si>
    <t>MICAL-like 1a [Source:ZFIN;Acc:ZDB-GENE-110119-1]</t>
  </si>
  <si>
    <t>ENSDARG00000004336</t>
  </si>
  <si>
    <t>exoc4</t>
  </si>
  <si>
    <t>exocyst complex component 4 [Source:ZFIN;Acc:ZDB-GENE-041210-112]</t>
  </si>
  <si>
    <t>ENSDARG00000077057</t>
  </si>
  <si>
    <t>esco1</t>
  </si>
  <si>
    <t>establishment of sister chromatid cohesion N-acetyltransferase 1 [Source:ZFIN;Acc:ZDB-GENE-130530-818]</t>
  </si>
  <si>
    <t>ENSDARG00000079276</t>
  </si>
  <si>
    <t>ube2ql1</t>
  </si>
  <si>
    <t>ubiquitin-conjugating enzyme E2Q family-like 1 [Source:ZFIN;Acc:ZDB-GENE-030131-8137]</t>
  </si>
  <si>
    <t>ENSDARG00000054389</t>
  </si>
  <si>
    <t>rhof</t>
  </si>
  <si>
    <t>ras homolog family member F [Source:ZFIN;Acc:ZDB-GENE-050522-280]</t>
  </si>
  <si>
    <t>ENSDARG00000056780</t>
  </si>
  <si>
    <t>ssh1a</t>
  </si>
  <si>
    <t>slingshot protein phosphatase 1a [Source:ZFIN;Acc:ZDB-GENE-040724-201]</t>
  </si>
  <si>
    <t>ENSDARG00000037403</t>
  </si>
  <si>
    <t>HSPA8</t>
  </si>
  <si>
    <t>si:dkey-4p15.3 [Source:ZFIN;Acc:ZDB-GENE-121214-31]</t>
  </si>
  <si>
    <t>ENSDARG00000005098</t>
  </si>
  <si>
    <t>zgc:86764</t>
  </si>
  <si>
    <t>zgc:86764 [Source:ZFIN;Acc:ZDB-GENE-040718-435]</t>
  </si>
  <si>
    <t>ENSDARG00000098532</t>
  </si>
  <si>
    <t>si:zfos-2395f11.1</t>
  </si>
  <si>
    <t>si:zfos-2395f11.1 [Source:ZFIN;Acc:ZDB-GENE-120215-108]</t>
  </si>
  <si>
    <t>ENSDARG00000010773</t>
  </si>
  <si>
    <t>pnpla6</t>
  </si>
  <si>
    <t>patatin-like phospholipase domain containing 6 [Source:ZFIN;Acc:ZDB-GENE-050107-4]</t>
  </si>
  <si>
    <t>ENSDARG00000016651</t>
  </si>
  <si>
    <t>znf106a</t>
  </si>
  <si>
    <t>zinc finger protein 106a [Source:ZFIN;Acc:ZDB-GENE-040718-21]</t>
  </si>
  <si>
    <t>ENSDARG00000105323</t>
  </si>
  <si>
    <t>si:ch1073-456m8.1</t>
  </si>
  <si>
    <t>si:ch1073-456m8.1 [Source:ZFIN;Acc:ZDB-GENE-160114-79]</t>
  </si>
  <si>
    <t>ENSDARG00000057159</t>
  </si>
  <si>
    <t>ankrd29</t>
  </si>
  <si>
    <t>ankyrin repeat domain 29 [Source:ZFIN;Acc:ZDB-GENE-050208-655]</t>
  </si>
  <si>
    <t>ENSDARG00000029671</t>
  </si>
  <si>
    <t>xpr1b</t>
  </si>
  <si>
    <t>xenotropic and polytropic retrovirus receptor 1b [Source:ZFIN;Acc:ZDB-GENE-060503-266]</t>
  </si>
  <si>
    <t>ENSDARG00000095301</t>
  </si>
  <si>
    <t>si:dkey-253a1.2</t>
  </si>
  <si>
    <t>si:dkey-253a1.2 [Source:ZFIN;Acc:ZDB-GENE-081104-394]</t>
  </si>
  <si>
    <t>ENSDARG00000056102</t>
  </si>
  <si>
    <t>uxs1</t>
  </si>
  <si>
    <t>UDP-glucuronate decarboxylase 1 [Source:ZFIN;Acc:ZDB-GENE-020419-37]</t>
  </si>
  <si>
    <t>ENSDARG00000076379</t>
  </si>
  <si>
    <t>nsmce2</t>
  </si>
  <si>
    <t>NSE2/MMS21 homolog, SMC5-SMC6 complex SUMO ligase [Source:ZFIN;Acc:ZDB-GENE-081022-128]</t>
  </si>
  <si>
    <t>ENSDARG00000075041</t>
  </si>
  <si>
    <t>fmnl2b</t>
  </si>
  <si>
    <t>formin-like 2b [Source:ZFIN;Acc:ZDB-GENE-041111-182]</t>
  </si>
  <si>
    <t>ENSDARG00000097299</t>
  </si>
  <si>
    <t>FLRT2</t>
  </si>
  <si>
    <t>si:dkey-87k14.1 [Source:ZFIN;Acc:ZDB-GENE-131120-42]</t>
  </si>
  <si>
    <t>ENSDARG00000067520</t>
  </si>
  <si>
    <t>zgc:158482</t>
  </si>
  <si>
    <t>zgc:158482 [Source:ZFIN;Acc:ZDB-GENE-070209-32]</t>
  </si>
  <si>
    <t>ENSDARG00000061168</t>
  </si>
  <si>
    <t>dhx34</t>
  </si>
  <si>
    <t>DEAH (Asp-Glu-Ala-His) box polypeptide 34 [Source:ZFIN;Acc:ZDB-GENE-061207-30]</t>
  </si>
  <si>
    <t>ENSDARG00000061194</t>
  </si>
  <si>
    <t>hectd2</t>
  </si>
  <si>
    <t>HECT domain containing 2 [Source:ZFIN;Acc:ZDB-GENE-100405-3]</t>
  </si>
  <si>
    <t>ENSDARG00000014943</t>
  </si>
  <si>
    <t>kif23</t>
  </si>
  <si>
    <t>kinesin family member 23 [Source:ZFIN;Acc:ZDB-GENE-991019-4]</t>
  </si>
  <si>
    <t>ENSDARG00000096058</t>
  </si>
  <si>
    <t>si:ch211-161m3.2</t>
  </si>
  <si>
    <t>si:ch211-161m3.2 [Source:ZFIN;Acc:ZDB-GENE-110914-154]</t>
  </si>
  <si>
    <t>ENSDARG00000012019</t>
  </si>
  <si>
    <t>glra1</t>
  </si>
  <si>
    <t>glycine receptor, alpha 1 [Source:ZFIN;Acc:ZDB-GENE-991117-1]</t>
  </si>
  <si>
    <t>ENSDARG00000042929</t>
  </si>
  <si>
    <t>tmem120b</t>
  </si>
  <si>
    <t>transmembrane protein 120B [Source:ZFIN;Acc:ZDB-GENE-050522-49]</t>
  </si>
  <si>
    <t>ENSDARG00000007294</t>
  </si>
  <si>
    <t>aco2</t>
  </si>
  <si>
    <t>aconitase 2, mitochondrial [Source:ZFIN;Acc:ZDB-GENE-030131-1390]</t>
  </si>
  <si>
    <t>ENSDARG00000071150</t>
  </si>
  <si>
    <t>cica</t>
  </si>
  <si>
    <t>capicua transcriptional repressor a [Source:ZFIN;Acc:ZDB-GENE-060503-700]</t>
  </si>
  <si>
    <t>ENSDARG00000042753</t>
  </si>
  <si>
    <t>cts12</t>
  </si>
  <si>
    <t>cathepsin 12 [Source:ZFIN;Acc:ZDB-GENE-050208-336]</t>
  </si>
  <si>
    <t>ENSDARG00000055045</t>
  </si>
  <si>
    <t>casp3b</t>
  </si>
  <si>
    <t>caspase 3, apoptosis-related cysteine peptidase b [Source:ZFIN;Acc:ZDB-GENE-070607-1]</t>
  </si>
  <si>
    <t>ENSDARG00000038768</t>
  </si>
  <si>
    <t>mrpl12</t>
  </si>
  <si>
    <t>mitochondrial ribosomal protein L12 [Source:ZFIN;Acc:ZDB-GENE-050417-187]</t>
  </si>
  <si>
    <t>ENSDARG00000041569</t>
  </si>
  <si>
    <t>ces2</t>
  </si>
  <si>
    <t>carboxylesterase 2 (intestine, liver) [Source:ZFIN;Acc:ZDB-GENE-061013-99]</t>
  </si>
  <si>
    <t>ENSDARG00000043157</t>
  </si>
  <si>
    <t>dnajb13</t>
  </si>
  <si>
    <t>DnaJ (Hsp40) homolog, subfamily B, member 13 [Source:ZFIN;Acc:ZDB-GENE-040910-4]</t>
  </si>
  <si>
    <t>ENSDARG00000068217</t>
  </si>
  <si>
    <t>stx2b</t>
  </si>
  <si>
    <t>syntaxin 2b [Source:ZFIN;Acc:ZDB-GENE-091204-424]</t>
  </si>
  <si>
    <t>ENSDARG00000078797</t>
  </si>
  <si>
    <t>dennd3a</t>
  </si>
  <si>
    <t>DENN/MADD domain containing 3a [Source:ZFIN;Acc:ZDB-GENE-091230-6]</t>
  </si>
  <si>
    <t>ENSDARG00000097820</t>
  </si>
  <si>
    <t>si:ch211-241d24.3</t>
  </si>
  <si>
    <t>si:ch211-241d24.3 [Source:ZFIN;Acc:ZDB-GENE-131125-37]</t>
  </si>
  <si>
    <t>ENSDARG00000011769</t>
  </si>
  <si>
    <t>cpm</t>
  </si>
  <si>
    <t>carboxypeptidase M [Source:ZFIN;Acc:ZDB-GENE-041210-191]</t>
  </si>
  <si>
    <t>ENSDARG00000063076</t>
  </si>
  <si>
    <t>atrip</t>
  </si>
  <si>
    <t>ATR interacting protein [Source:ZFIN;Acc:ZDB-GENE-050208-331]</t>
  </si>
  <si>
    <t>ENSDARG00000055276</t>
  </si>
  <si>
    <t>rel</t>
  </si>
  <si>
    <t>v-rel avian reticuloendotheliosis viral oncogene homolog [Source:ZFIN;Acc:ZDB-GENE-040718-255]</t>
  </si>
  <si>
    <t>ENSDARG00000100691</t>
  </si>
  <si>
    <t>prss35</t>
  </si>
  <si>
    <t>protease, serine, 35 [Source:ZFIN;Acc:ZDB-GENE-040704-55]</t>
  </si>
  <si>
    <t>ENSDARG00000102992</t>
  </si>
  <si>
    <t>btr20</t>
  </si>
  <si>
    <t>bloodthirsty-related gene family, member 20 [Source:ZFIN;Acc:ZDB-GENE-060421-3419]</t>
  </si>
  <si>
    <t>ENSDARG00000102105</t>
  </si>
  <si>
    <t>dad1</t>
  </si>
  <si>
    <t>defender against cell death 1 [Source:ZFIN;Acc:ZDB-GENE-060503-233]</t>
  </si>
  <si>
    <t>ENSDARG00000078603</t>
  </si>
  <si>
    <t>myo1hb</t>
  </si>
  <si>
    <t>myosin IHb [Source:ZFIN;Acc:ZDB-GENE-070705-355]</t>
  </si>
  <si>
    <t>ENSDARG00000071699</t>
  </si>
  <si>
    <t>ids</t>
  </si>
  <si>
    <t>iduronate 2-sulfatase [Source:ZFIN;Acc:ZDB-GENE-061215-37]</t>
  </si>
  <si>
    <t>ENSDARG00000075417</t>
  </si>
  <si>
    <t>zgc:175107</t>
  </si>
  <si>
    <t>zgc:175107 [Source:ZFIN;Acc:ZDB-GENE-080220-38]</t>
  </si>
  <si>
    <t>ENSDARG00000092408</t>
  </si>
  <si>
    <t>si:ch73-22b20.4</t>
  </si>
  <si>
    <t>si:ch73-22b20.4 [Source:ZFIN;Acc:ZDB-GENE-081105-137]</t>
  </si>
  <si>
    <t>ENSDARG00000062267</t>
  </si>
  <si>
    <t>kdm3b</t>
  </si>
  <si>
    <t>lysine (K)-specific demethylase 3B [Source:ZFIN;Acc:ZDB-GENE-101007-4]</t>
  </si>
  <si>
    <t>ENSDARG00000053215</t>
  </si>
  <si>
    <t>me1</t>
  </si>
  <si>
    <t>malic enzyme 1, NADP(+)-dependent, cytosolic [Source:ZFIN;Acc:ZDB-GENE-061013-438]</t>
  </si>
  <si>
    <t>ENSDARG00000098942</t>
  </si>
  <si>
    <t>rp9</t>
  </si>
  <si>
    <t>retinitis pigmentosa 9 (autosomal dominant) [Source:ZFIN;Acc:ZDB-GENE-041114-42]</t>
  </si>
  <si>
    <t>ENSDARG00000019160</t>
  </si>
  <si>
    <t>sh3bp5la</t>
  </si>
  <si>
    <t>SH3-binding domain protein 5-like, a [Source:ZFIN;Acc:ZDB-GENE-040426-2187]</t>
  </si>
  <si>
    <t>ENSDARG00000039871</t>
  </si>
  <si>
    <t>rpz4</t>
  </si>
  <si>
    <t>rapunzel 4 [Source:ZFIN;Acc:ZDB-GENE-050417-472]</t>
  </si>
  <si>
    <t>ENSDARG00000023217</t>
  </si>
  <si>
    <t>crema</t>
  </si>
  <si>
    <t>cAMP responsive element modulator a [Source:ZFIN;Acc:ZDB-GENE-030131-7031]</t>
  </si>
  <si>
    <t>ENSDARG00000053110</t>
  </si>
  <si>
    <t>pkib</t>
  </si>
  <si>
    <t>protein kinase (cAMP-dependent, catalytic) inhibitor beta [Source:ZFIN;Acc:ZDB-GENE-041014-312]</t>
  </si>
  <si>
    <t>ENSDARG00000103375</t>
  </si>
  <si>
    <t>si:ch211-161m3.4</t>
  </si>
  <si>
    <t>si:ch211-161m3.4 [Source:ZFIN;Acc:ZDB-GENE-110914-169]</t>
  </si>
  <si>
    <t>ENSDARG00000042410</t>
  </si>
  <si>
    <t>rab40b</t>
  </si>
  <si>
    <t>RAB40B, member RAS oncogene family [Source:ZFIN;Acc:ZDB-GENE-040718-257]</t>
  </si>
  <si>
    <t>ENSDARG00000057940</t>
  </si>
  <si>
    <t>dido1</t>
  </si>
  <si>
    <t>death inducer-obliterator 1 [Source:ZFIN;Acc:ZDB-GENE-030131-6117]</t>
  </si>
  <si>
    <t>ENSDARG00000070839</t>
  </si>
  <si>
    <t>evi5b</t>
  </si>
  <si>
    <t>ecotropic viral integration site 5b [Source:ZFIN;Acc:ZDB-GENE-041111-244]</t>
  </si>
  <si>
    <t>ENSDARG00000057928</t>
  </si>
  <si>
    <t>mzt2b</t>
  </si>
  <si>
    <t>mitotic spindle organizing protein 2B [Source:ZFIN;Acc:ZDB-GENE-040801-87]</t>
  </si>
  <si>
    <t>ENSDARG00000043154</t>
  </si>
  <si>
    <t>ucp2</t>
  </si>
  <si>
    <t>uncoupling protein 2 [Source:ZFIN;Acc:ZDB-GENE-990708-8]</t>
  </si>
  <si>
    <t>ENSDARG00000052019</t>
  </si>
  <si>
    <t>si:ch73-109d9.1</t>
  </si>
  <si>
    <t>si:ch73-109d9.1 [Source:ZFIN;Acc:ZDB-GENE-110411-256]</t>
  </si>
  <si>
    <t>ENSDARG00000013946</t>
  </si>
  <si>
    <t>ivns1abpb</t>
  </si>
  <si>
    <t>influenza virus NS1A binding protein b [Source:ZFIN;Acc:ZDB-GENE-030131-6266]</t>
  </si>
  <si>
    <t>ENSDARG00000060922</t>
  </si>
  <si>
    <t>dgcr14</t>
  </si>
  <si>
    <t>DiGeorge syndrome critical region gene 14 [Source:ZFIN;Acc:ZDB-GENE-030131-2843]</t>
  </si>
  <si>
    <t>ENSDARG00000099241</t>
  </si>
  <si>
    <t>ppp2cb</t>
  </si>
  <si>
    <t>protein phosphatase 2, catalytic subunit, beta isozyme [Source:ZFIN;Acc:ZDB-GENE-040426-2487]</t>
  </si>
  <si>
    <t>ENSDARG00000017681</t>
  </si>
  <si>
    <t>mapk4</t>
  </si>
  <si>
    <t>mitogen-activated protein kinase 4 [Source:ZFIN;Acc:ZDB-GENE-040426-2835]</t>
  </si>
  <si>
    <t>ENSDARG00000016345</t>
  </si>
  <si>
    <t>ncoa5</t>
  </si>
  <si>
    <t>nuclear receptor coactivator 5 [Source:ZFIN;Acc:ZDB-GENE-040912-155]</t>
  </si>
  <si>
    <t>ENSDARG00000028118</t>
  </si>
  <si>
    <t>dscamb</t>
  </si>
  <si>
    <t>Down syndrome cell adhesion molecule b [Source:ZFIN;Acc:ZDB-GENE-031118-67]</t>
  </si>
  <si>
    <t>ENSDARG00000062063</t>
  </si>
  <si>
    <t>tab3</t>
  </si>
  <si>
    <t>TGF-beta activated kinase 1/MAP3K7 binding protein 3 [Source:ZFIN;Acc:ZDB-GENE-060503-408]</t>
  </si>
  <si>
    <t>ENSDARG00000012588</t>
  </si>
  <si>
    <t>ptdss1a</t>
  </si>
  <si>
    <t>phosphatidylserine synthase 1a [Source:ZFIN;Acc:ZDB-GENE-040426-837]</t>
  </si>
  <si>
    <t>ENSDARG00000018966</t>
  </si>
  <si>
    <t>cyb5r1</t>
  </si>
  <si>
    <t>cytochrome b5 reductase 1 [Source:ZFIN;Acc:ZDB-GENE-030131-8497]</t>
  </si>
  <si>
    <t>ENSDARG00000053995</t>
  </si>
  <si>
    <t>gpank1</t>
  </si>
  <si>
    <t>G patch domain and ankyrin repeats 1 [Source:ZFIN;Acc:ZDB-GENE-070928-32]</t>
  </si>
  <si>
    <t>ENSDARG00000039669</t>
  </si>
  <si>
    <t>TSTA3</t>
  </si>
  <si>
    <t>TSTA3.1</t>
  </si>
  <si>
    <t>zgc:100864 [Source:ZFIN;Acc:ZDB-GENE-040801-35]</t>
  </si>
  <si>
    <t>ENSDARG00000035360</t>
  </si>
  <si>
    <t>mink1</t>
  </si>
  <si>
    <t>misshapen-like kinase 1 [Source:ZFIN;Acc:ZDB-GENE-060526-45]</t>
  </si>
  <si>
    <t>ENSDARG00000022129</t>
  </si>
  <si>
    <t>rbm4.3</t>
  </si>
  <si>
    <t>RNA binding motif protein 4.3 [Source:ZFIN;Acc:ZDB-GENE-040426-1938]</t>
  </si>
  <si>
    <t>ENSDARG00000000370</t>
  </si>
  <si>
    <t>triob</t>
  </si>
  <si>
    <t>trio Rho guanine nucleotide exchange factor b [Source:ZFIN;Acc:ZDB-GENE-030616-399]</t>
  </si>
  <si>
    <t>ENSDARG00000005463</t>
  </si>
  <si>
    <t>slc30a1a</t>
  </si>
  <si>
    <t>solute carrier family 30 (zinc transporter), member 1a [Source:ZFIN;Acc:ZDB-GENE-040426-1840]</t>
  </si>
  <si>
    <t>ENSDARG00000087193</t>
  </si>
  <si>
    <t>prrg2</t>
  </si>
  <si>
    <t>proline rich Gla (G-carboxyglutamic acid) 2 [Source:ZFIN;Acc:ZDB-GENE-130625-1]</t>
  </si>
  <si>
    <t>ENSDARG00000058480</t>
  </si>
  <si>
    <t>chtf18</t>
  </si>
  <si>
    <t>CTF18, chromosome transmission fidelity factor 18 homolog (S. cerevisiae) [Source:ZFIN;Acc:ZDB-GENE-050522-508]</t>
  </si>
  <si>
    <t>ENSDARG00000014361</t>
  </si>
  <si>
    <t>tmbim4</t>
  </si>
  <si>
    <t>transmembrane BAX inhibitor motif containing 4 [Source:ZFIN;Acc:ZDB-GENE-040426-2152]</t>
  </si>
  <si>
    <t>ENSDARG00000055416</t>
  </si>
  <si>
    <t>serpinb1</t>
  </si>
  <si>
    <t>serpin peptidase inhibitor, clade B (ovalbumin), member 1 [Source:ZFIN;Acc:ZDB-GENE-040718-400]</t>
  </si>
  <si>
    <t>ENSDARG00000060637</t>
  </si>
  <si>
    <t>clstn2</t>
  </si>
  <si>
    <t>calsyntenin 2 [Source:ZFIN;Acc:ZDB-GENE-070911-2]</t>
  </si>
  <si>
    <t>ENSDARG00000057039</t>
  </si>
  <si>
    <t>si:ch211-191j22.8</t>
  </si>
  <si>
    <t>si:ch211-191j22.8 [Source:ZFIN;Acc:ZDB-GENE-091204-10]</t>
  </si>
  <si>
    <t>ENSDARG00000018985</t>
  </si>
  <si>
    <t>gatsl2</t>
  </si>
  <si>
    <t>GATS protein-like 2 [Source:ZFIN;Acc:ZDB-GENE-030131-5505]</t>
  </si>
  <si>
    <t>ENSDARG00000091879</t>
  </si>
  <si>
    <t>si:dkey-29d8.3</t>
  </si>
  <si>
    <t>si:dkey-29d8.3 [Source:ZFIN;Acc:ZDB-GENE-070912-508]</t>
  </si>
  <si>
    <t>ENSDARG00000034195</t>
  </si>
  <si>
    <t>top2b</t>
  </si>
  <si>
    <t>topoisomerase (DNA) II beta [Source:ZFIN;Acc:ZDB-GENE-041008-136]</t>
  </si>
  <si>
    <t>ENSDARG00000044625</t>
  </si>
  <si>
    <t>pcf11</t>
  </si>
  <si>
    <t>PCF11 cleavage and polyadenylation factor subunit [Source:ZFIN;Acc:ZDB-GENE-041114-175]</t>
  </si>
  <si>
    <t>ENSDARG00000021913</t>
  </si>
  <si>
    <t>ak9</t>
  </si>
  <si>
    <t>adenylate kinase 9 [Source:ZFIN;Acc:ZDB-GENE-041014-337]</t>
  </si>
  <si>
    <t>ENSDARG00000057942</t>
  </si>
  <si>
    <t>glt8d2</t>
  </si>
  <si>
    <t>glycosyltransferase 8 domain containing 2 [Source:ZFIN;Acc:ZDB-GENE-041210-98]</t>
  </si>
  <si>
    <t>ENSDARG00000103038</t>
  </si>
  <si>
    <t>pik3r3a</t>
  </si>
  <si>
    <t>phosphoinositide-3-kinase, regulatory subunit 3a (gamma) [Source:ZFIN;Acc:ZDB-GENE-040426-1978]</t>
  </si>
  <si>
    <t>ENSDARG00000098451</t>
  </si>
  <si>
    <t>tmem56a</t>
  </si>
  <si>
    <t>transmembrane protein 56a [Source:ZFIN;Acc:ZDB-GENE-090402-1]</t>
  </si>
  <si>
    <t>ENSDARG00000102147</t>
  </si>
  <si>
    <t>fem1c</t>
  </si>
  <si>
    <t>fem-1 homolog c (C. elegans) [Source:ZFIN;Acc:ZDB-GENE-031008-3]</t>
  </si>
  <si>
    <t>ENSDARG00000016897</t>
  </si>
  <si>
    <t>fbxo15</t>
  </si>
  <si>
    <t>F-box protein 15 [Source:ZFIN;Acc:ZDB-GENE-080416-4]</t>
  </si>
  <si>
    <t>ENSDARG00000102366</t>
  </si>
  <si>
    <t>micall2a</t>
  </si>
  <si>
    <t>mical-like 2a [Source:ZFIN;Acc:ZDB-GENE-030131-5409]</t>
  </si>
  <si>
    <t>ENSDARG00000025348</t>
  </si>
  <si>
    <t>igfbp5b</t>
  </si>
  <si>
    <t>insulin-like growth factor binding protein 5b [Source:ZFIN;Acc:ZDB-GENE-040319-2]</t>
  </si>
  <si>
    <t>ENSDARG00000009106</t>
  </si>
  <si>
    <t>serinc1</t>
  </si>
  <si>
    <t>serine incorporator 1 [Source:ZFIN;Acc:ZDB-GENE-030131-4415]</t>
  </si>
  <si>
    <t>ENSDARG00000090969</t>
  </si>
  <si>
    <t>cbln18</t>
  </si>
  <si>
    <t>cerebellin 18 [Source:ZFIN;Acc:ZDB-GENE-111109-3]</t>
  </si>
  <si>
    <t>ENSDARG00000062794</t>
  </si>
  <si>
    <t>trim36</t>
  </si>
  <si>
    <t>tripartite motif containing 36 [Source:ZFIN;Acc:ZDB-GENE-040426-2936]</t>
  </si>
  <si>
    <t>ENSDARG00000070396</t>
  </si>
  <si>
    <t>serpinb1l2</t>
  </si>
  <si>
    <t>serpin peptidase inhibitor, clade B (ovalbumin), member 1, like 2 [Source:ZFIN;Acc:ZDB-GENE-041001-117]</t>
  </si>
  <si>
    <t>ENSDARG00000041481</t>
  </si>
  <si>
    <t>smg5</t>
  </si>
  <si>
    <t>SMG5 nonsense mediated mRNA decay factor [Source:ZFIN;Acc:ZDB-GENE-050913-144]</t>
  </si>
  <si>
    <t>ENSDARG00000013224</t>
  </si>
  <si>
    <t>phc2b</t>
  </si>
  <si>
    <t>polyhomeotic homolog 2b (Drosophila) [Source:ZFIN;Acc:ZDB-GENE-040426-1113]</t>
  </si>
  <si>
    <t>ENSDARG00000019932</t>
  </si>
  <si>
    <t>slc5a11</t>
  </si>
  <si>
    <t>solute carrier family 5 (sodium/inositol cotransporter), member 11 [Source:ZFIN;Acc:ZDB-GENE-041114-9]</t>
  </si>
  <si>
    <t>ENSDARG00000004906</t>
  </si>
  <si>
    <t>stip1</t>
  </si>
  <si>
    <t>stress-induced phosphoprotein 1 [Source:ZFIN;Acc:ZDB-GENE-041121-17]</t>
  </si>
  <si>
    <t>ENSDARG00000039878</t>
  </si>
  <si>
    <t>ambra1b</t>
  </si>
  <si>
    <t>autophagy/beclin-1 regulator 1b [Source:ZFIN;Acc:ZDB-GENE-050208-235]</t>
  </si>
  <si>
    <t>ENSDARG00000028099</t>
  </si>
  <si>
    <t>sh2d3ca</t>
  </si>
  <si>
    <t>SH2 domain containing 3Ca [Source:ZFIN;Acc:ZDB-GENE-080102-1]</t>
  </si>
  <si>
    <t>ENSDARG00000056886</t>
  </si>
  <si>
    <t>tbccd1</t>
  </si>
  <si>
    <t>TBCC domain containing 1 [Source:ZFIN;Acc:ZDB-GENE-041210-222]</t>
  </si>
  <si>
    <t>ENSDARG00000093535</t>
  </si>
  <si>
    <t>si:ch211-265m20.8</t>
  </si>
  <si>
    <t>si:ch211-265m20.8 [Source:ZFIN;Acc:ZDB-GENE-091204-41]</t>
  </si>
  <si>
    <t>ENSDARG00000012407</t>
  </si>
  <si>
    <t>mgat1a</t>
  </si>
  <si>
    <t>mannosyl (alpha-1,3-)-glycoprotein beta-1,2-N-acetylglucosaminyltransferase a [Source:ZFIN;Acc:ZDB-GENE-040426-1515]</t>
  </si>
  <si>
    <t>ENSDARG00000102146</t>
  </si>
  <si>
    <t>si:ch211-69b7.6</t>
  </si>
  <si>
    <t>si:ch211-69b7.6 [Source:ZFIN;Acc:ZDB-GENE-141212-266]</t>
  </si>
  <si>
    <t>ENSDARG00000037068</t>
  </si>
  <si>
    <t>IKZF4</t>
  </si>
  <si>
    <t>si:dkey-166n8.9 [Source:ZFIN;Acc:ZDB-GENE-090313-197]</t>
  </si>
  <si>
    <t>ENSDARG00000079849</t>
  </si>
  <si>
    <t>nrtn</t>
  </si>
  <si>
    <t>neurturin [Source:ZFIN;Acc:ZDB-GENE-100427-6]</t>
  </si>
  <si>
    <t>ENSDARG00000004539</t>
  </si>
  <si>
    <t>ptgs2a</t>
  </si>
  <si>
    <t>prostaglandin-endoperoxide synthase 2a [Source:ZFIN;Acc:ZDB-GENE-020530-2]</t>
  </si>
  <si>
    <t>ENSDARG00000011926</t>
  </si>
  <si>
    <t>tpgs2</t>
  </si>
  <si>
    <t>tubulin polyglutamylase complex subunit 2 [Source:ZFIN;Acc:ZDB-GENE-040704-49]</t>
  </si>
  <si>
    <t>ENSDARG00000061854</t>
  </si>
  <si>
    <t>lman2</t>
  </si>
  <si>
    <t>lectin, mannose-binding 2 [Source:ZFIN;Acc:ZDB-GENE-070209-149]</t>
  </si>
  <si>
    <t>ENSDARG00000102583</t>
  </si>
  <si>
    <t>il4r.1</t>
  </si>
  <si>
    <t>interleukin 4 receptor, tandem duplicate 1 [Source:ZFIN;Acc:ZDB-GENE-050227-5]</t>
  </si>
  <si>
    <t>ENSDARG00000060847</t>
  </si>
  <si>
    <t>setd1ba</t>
  </si>
  <si>
    <t>SET domain containing 1B, a [Source:ZFIN;Acc:ZDB-GENE-050309-289]</t>
  </si>
  <si>
    <t>ENSDARG00000076290</t>
  </si>
  <si>
    <t>calr</t>
  </si>
  <si>
    <t>calreticulin [Source:ZFIN;Acc:ZDB-GENE-030131-4042]</t>
  </si>
  <si>
    <t>ENSDARG00000070971</t>
  </si>
  <si>
    <t>furinb</t>
  </si>
  <si>
    <t>furin (paired basic amino acid cleaving enzyme) b [Source:ZFIN;Acc:ZDB-GENE-040901-2]</t>
  </si>
  <si>
    <t>ENSDARG00000077407</t>
  </si>
  <si>
    <t>si:dkey-184p18.2</t>
  </si>
  <si>
    <t>si:dkey-184p18.2 [Source:ZFIN;Acc:ZDB-GENE-060503-55]</t>
  </si>
  <si>
    <t>ENSDARG00000041220</t>
  </si>
  <si>
    <t>ftr53</t>
  </si>
  <si>
    <t>finTRIM family, member 53 [Source:ZFIN;Acc:ZDB-GENE-030616-515]</t>
  </si>
  <si>
    <t>ENSDARG00000034420</t>
  </si>
  <si>
    <t>irx6a</t>
  </si>
  <si>
    <t>iroquois homeobox 6a [Source:ZFIN;Acc:ZDB-GENE-040712-5]</t>
  </si>
  <si>
    <t>ENSDARG00000102887</t>
  </si>
  <si>
    <t>abhd4</t>
  </si>
  <si>
    <t>abhydrolase domain containing 4 [Source:ZFIN;Acc:ZDB-GENE-050417-83]</t>
  </si>
  <si>
    <t>ENSDARG00000098790</t>
  </si>
  <si>
    <t>sowahca</t>
  </si>
  <si>
    <t>sosondowah ankyrin repeat domain family Ca [Source:ZFIN;Acc:ZDB-GENE-081104-106]</t>
  </si>
  <si>
    <t>ENSDARG00000055431</t>
  </si>
  <si>
    <t>si:dkey-177p2.15p</t>
  </si>
  <si>
    <t>si:dkey-177p2.15, pseudogene [Source:ZFIN;Acc:ZDB-GENEP-041001-14]</t>
  </si>
  <si>
    <t>ENSDARG00000015902</t>
  </si>
  <si>
    <t>stat6</t>
  </si>
  <si>
    <t>signal transducer and activator of transcription 6, interleukin-4 induced [Source:ZFIN;Acc:ZDB-GENE-030131-9359]</t>
  </si>
  <si>
    <t>ENSDARG00000068213</t>
  </si>
  <si>
    <t>fzd10</t>
  </si>
  <si>
    <t>frizzled class receptor 10 [Source:ZFIN;Acc:ZDB-GENE-990415-220]</t>
  </si>
  <si>
    <t>ENSDARG00000006487</t>
  </si>
  <si>
    <t>anp32a</t>
  </si>
  <si>
    <t>acidic (leucine-rich) nuclear phosphoprotein 32 family, member A [Source:ZFIN;Acc:ZDB-GENE-030131-7850]</t>
  </si>
  <si>
    <t>ENSDARG00000077489</t>
  </si>
  <si>
    <t>lrfn2b</t>
  </si>
  <si>
    <t>leucine rich repeat and fibronectin type III domain containing 2b [Source:ZFIN;Acc:ZDB-GENE-121214-111]</t>
  </si>
  <si>
    <t>ENSDARG00000074771</t>
  </si>
  <si>
    <t>crfb17</t>
  </si>
  <si>
    <t>cytokine receptor family member B17 [Source:ZFIN;Acc:ZDB-GENE-081022-158]</t>
  </si>
  <si>
    <t>ENSDARG00000019338</t>
  </si>
  <si>
    <t>adprhl2</t>
  </si>
  <si>
    <t>ADP-ribosylhydrolase like 2 [Source:ZFIN;Acc:ZDB-GENE-040912-85]</t>
  </si>
  <si>
    <t>ENSDARG00000042215</t>
  </si>
  <si>
    <t>pias4b</t>
  </si>
  <si>
    <t>protein inhibitor of activated STAT, 4b [Source:ZFIN;Acc:ZDB-GENE-040426-1298]</t>
  </si>
  <si>
    <t>ENSDARG00000097456</t>
  </si>
  <si>
    <t>coa3b</t>
  </si>
  <si>
    <t>cytochrome C oxidase assembly factor 3b [Source:ZFIN;Acc:ZDB-GENE-030131-7433]</t>
  </si>
  <si>
    <t>ENSDARG00000086655</t>
  </si>
  <si>
    <t>mkrn2os.1</t>
  </si>
  <si>
    <t>MKRN2 opposite strand, tandem duplicate 1 [Source:ZFIN;Acc:ZDB-GENE-160114-86]</t>
  </si>
  <si>
    <t>ENSDARG00000067560</t>
  </si>
  <si>
    <t>gtf2h3</t>
  </si>
  <si>
    <t>general transcription factor IIH, polypeptide 3 [Source:ZFIN;Acc:ZDB-GENE-040718-302]</t>
  </si>
  <si>
    <t>ENSDARG00000101818</t>
  </si>
  <si>
    <t>si:ch211-271c18.2</t>
  </si>
  <si>
    <t>si:ch211-271c18.2 [Source:ZFIN;Acc:ZDB-GENE-141216-213]</t>
  </si>
  <si>
    <t>ENSDARG00000002634</t>
  </si>
  <si>
    <t>b4galt1</t>
  </si>
  <si>
    <t>UDP-Gal:betaGlcNAc beta 1,4- galactosyltransferase, polypeptide 1 [Source:ZFIN;Acc:ZDB-GENE-050417-236]</t>
  </si>
  <si>
    <t>ENSDARG00000104955</t>
  </si>
  <si>
    <t>si:ch211-271c18.3</t>
  </si>
  <si>
    <t>si:ch211-271c18.3 [Source:ZFIN;Acc:ZDB-GENE-141219-46]</t>
  </si>
  <si>
    <t>ENSDARG00000003213</t>
  </si>
  <si>
    <t>naa15a</t>
  </si>
  <si>
    <t>N(alpha)-acetyltransferase 15, NatA auxiliary subunit a [Source:ZFIN;Acc:ZDB-GENE-030131-2392]</t>
  </si>
  <si>
    <t>ENSDARG00000007127</t>
  </si>
  <si>
    <t>acat2</t>
  </si>
  <si>
    <t>acetyl-CoA acetyltransferase 2 [Source:ZFIN;Acc:ZDB-GENE-990714-22]</t>
  </si>
  <si>
    <t>ENSDARG00000103464</t>
  </si>
  <si>
    <t>pggt1b</t>
  </si>
  <si>
    <t>protein geranylgeranyltransferase type I, beta subunit [Source:ZFIN;Acc:ZDB-GENE-050913-85]</t>
  </si>
  <si>
    <t>ENSDARG00000012745</t>
  </si>
  <si>
    <t>poc1bl</t>
  </si>
  <si>
    <t>POC1 centriolar protein homolog B (Chlamydomonas), like [Source:ZFIN;Acc:ZDB-GENE-050306-41]</t>
  </si>
  <si>
    <t>ENSDARG00000040439</t>
  </si>
  <si>
    <t>rsl24d1</t>
  </si>
  <si>
    <t>ribosomal L24 domain containing 1 [Source:ZFIN;Acc:ZDB-GENE-040426-1925]</t>
  </si>
  <si>
    <t>ENSDARG00000093886</t>
  </si>
  <si>
    <t>TMSB15A</t>
  </si>
  <si>
    <t>si:dkey-167i21.2 [Source:ZFIN;Acc:ZDB-GENE-090313-198]</t>
  </si>
  <si>
    <t>ENSDARG00000062854</t>
  </si>
  <si>
    <t>sdk1b</t>
  </si>
  <si>
    <t>sidekick cell adhesion molecule 1b [Source:ZFIN;Acc:ZDB-GENE-090311-17]</t>
  </si>
  <si>
    <t>ENSDARG00000003920</t>
  </si>
  <si>
    <t>setb</t>
  </si>
  <si>
    <t>SET translocation (myeloid leukemia-associated) B [Source:ZFIN;Acc:ZDB-GENE-030131-433]</t>
  </si>
  <si>
    <t>ENSDARG00000093338</t>
  </si>
  <si>
    <t>si:ch211-15j21.2</t>
  </si>
  <si>
    <t>si:ch211-15j21.2 [Source:ZFIN;Acc:ZDB-GENE-060531-20]</t>
  </si>
  <si>
    <t>ENSDARG00000060796</t>
  </si>
  <si>
    <t>slc20a2</t>
  </si>
  <si>
    <t>solute carrier family 20 (phosphate transporter), member 2 [Source:ZFIN;Acc:ZDB-GENE-060929-828]</t>
  </si>
  <si>
    <t>ENSDARG00000044544</t>
  </si>
  <si>
    <t>zgc:110782</t>
  </si>
  <si>
    <t>zgc:110782 [Source:ZFIN;Acc:ZDB-GENE-050320-51]</t>
  </si>
  <si>
    <t>ENSDARG00000090223</t>
  </si>
  <si>
    <t>msl1b</t>
  </si>
  <si>
    <t>male-specific lethal 1 homolog b (Drosophila) [Source:ZFIN;Acc:ZDB-GENE-030131-4491]</t>
  </si>
  <si>
    <t>ENSDARG00000055426</t>
  </si>
  <si>
    <t>rwdd2b</t>
  </si>
  <si>
    <t>RWD domain containing 2B [Source:ZFIN;Acc:ZDB-GENE-041001-119]</t>
  </si>
  <si>
    <t>ENSDARG00000052351</t>
  </si>
  <si>
    <t>ZXDA</t>
  </si>
  <si>
    <t>si:dkey-156n14.3 [Source:ZFIN;Acc:ZDB-GENE-030131-4816]</t>
  </si>
  <si>
    <t>ENSDARG00000006615</t>
  </si>
  <si>
    <t>hnf1ba</t>
  </si>
  <si>
    <t>HNF1 homeobox Ba [Source:ZFIN;Acc:ZDB-GENE-020104-1]</t>
  </si>
  <si>
    <t>ENSDARG00000062357</t>
  </si>
  <si>
    <t>fam19a1a</t>
  </si>
  <si>
    <t>family with sequence similarity 19 (chemokine (C-C motif)-like), member A1a [Source:ZFIN;Acc:ZDB-GENE-090313-124]</t>
  </si>
  <si>
    <t>ENSDARG00000099510</t>
  </si>
  <si>
    <t>cnn3a</t>
  </si>
  <si>
    <t>calponin 3, acidic a [Source:ZFIN;Acc:ZDB-GENE-030131-5130]</t>
  </si>
  <si>
    <t>ENSDARG00000059226</t>
  </si>
  <si>
    <t>zbtb8a</t>
  </si>
  <si>
    <t>zinc finger and BTB domain containing 8A [Source:ZFIN;Acc:ZDB-GENE-060421-5153]</t>
  </si>
  <si>
    <t>ENSDARG00000089552</t>
  </si>
  <si>
    <t>si:ch211-93n23.7</t>
  </si>
  <si>
    <t>si:ch211-93n23.7 [Source:ZFIN;Acc:ZDB-GENE-141222-51]</t>
  </si>
  <si>
    <t>ENSDARG00000056087</t>
  </si>
  <si>
    <t>ecrg4a</t>
  </si>
  <si>
    <t>esophageal cancer related gene 4a [Source:ZFIN;Acc:ZDB-GENE-050417-189]</t>
  </si>
  <si>
    <t>ENSDARG00000035184</t>
  </si>
  <si>
    <t>tmem150ab</t>
  </si>
  <si>
    <t>transmembrane protein 150Ab [Source:ZFIN;Acc:ZDB-GENE-040426-1576]</t>
  </si>
  <si>
    <t>ENSDARG00000038538</t>
  </si>
  <si>
    <t>cfap100</t>
  </si>
  <si>
    <t>cilia and flagella associated protein 100 [Source:ZFIN;Acc:ZDB-GENE-060929-352]</t>
  </si>
  <si>
    <t>ENSDARG00000093065</t>
  </si>
  <si>
    <t>ubac2</t>
  </si>
  <si>
    <t>UBA domain containing 2 [Source:ZFIN;Acc:ZDB-GENE-070112-2122]</t>
  </si>
  <si>
    <t>ENSDARG00000042777</t>
  </si>
  <si>
    <t>ndufa11</t>
  </si>
  <si>
    <t>NADH dehydrogenase (ubiquinone) 1 alpha subcomplex, 11 [Source:ZFIN;Acc:ZDB-GENE-040426-1631]</t>
  </si>
  <si>
    <t>ENSDARG00000060798</t>
  </si>
  <si>
    <t>mrpl22</t>
  </si>
  <si>
    <t>mitochondrial ribosomal protein L22 [Source:ZFIN;Acc:ZDB-GENE-080303-28]</t>
  </si>
  <si>
    <t>ENSDARG00000052428</t>
  </si>
  <si>
    <t>si:dkey-43k4.3</t>
  </si>
  <si>
    <t>si:dkey-43k4.3 [Source:ZFIN;Acc:ZDB-GENE-120215-146]</t>
  </si>
  <si>
    <t>ENSDARG00000053979</t>
  </si>
  <si>
    <t>bc2</t>
  </si>
  <si>
    <t>putative breast adenocarcinoma marker [Source:ZFIN;Acc:ZDB-GENE-040426-2922]</t>
  </si>
  <si>
    <t>ENSDARG00000044545</t>
  </si>
  <si>
    <t>zgc:77262</t>
  </si>
  <si>
    <t>zgc:77262 [Source:ZFIN;Acc:ZDB-GENE-040426-1811]</t>
  </si>
  <si>
    <t>ENSDARG00000018206</t>
  </si>
  <si>
    <t>nck2a</t>
  </si>
  <si>
    <t>NCK adaptor protein 2a [Source:ZFIN;Acc:ZDB-GENE-040426-686]</t>
  </si>
  <si>
    <t>ENSDARG00000103016</t>
  </si>
  <si>
    <t>si:ch211-180m24.1</t>
  </si>
  <si>
    <t>ENSDARG00000043555</t>
  </si>
  <si>
    <t>tmem30ab</t>
  </si>
  <si>
    <t>transmembrane protein 30Ab [Source:ZFIN;Acc:ZDB-GENE-030131-5884]</t>
  </si>
  <si>
    <t>ENSDARG00000016527</t>
  </si>
  <si>
    <t>helz2</t>
  </si>
  <si>
    <t>helicase with zinc finger 2, transcriptional coactivator [Source:ZFIN;Acc:ZDB-GENE-120920-1]</t>
  </si>
  <si>
    <t>ENSDARG00000006877</t>
  </si>
  <si>
    <t>enpp4</t>
  </si>
  <si>
    <t>ectonucleotide pyrophosphatase/phosphodiesterase 4 [Source:ZFIN;Acc:ZDB-GENE-050417-444]</t>
  </si>
  <si>
    <t>ENSDARG00000037777</t>
  </si>
  <si>
    <t>stk16</t>
  </si>
  <si>
    <t>serine/threonine kinase 16 [Source:ZFIN;Acc:ZDB-GENE-050417-102]</t>
  </si>
  <si>
    <t>ENSDARG00000099455</t>
  </si>
  <si>
    <t>ogt.2</t>
  </si>
  <si>
    <t>O-linked N-acetylglucosamine (GlcNAc) transferase, tandem duplicate 2 [Source:ZFIN;Acc:ZDB-GENE-051128-1]</t>
  </si>
  <si>
    <t>ENSDARG00000008292</t>
  </si>
  <si>
    <t>eif2s3</t>
  </si>
  <si>
    <t>eukaryotic translation initiation factor 2, subunit 3 gamma [Source:ZFIN;Acc:ZDB-GENE-030131-5552]</t>
  </si>
  <si>
    <t>ENSDARG00000098908</t>
  </si>
  <si>
    <t>si:ch73-204m7.3</t>
  </si>
  <si>
    <t>si:ch73-204m7.3 [Source:ZFIN;Acc:ZDB-GENE-141216-141]</t>
  </si>
  <si>
    <t>ENSDARG00000090836</t>
  </si>
  <si>
    <t>si:ch211-191d2.2</t>
  </si>
  <si>
    <t>si:ch211-191d2.2 [Source:ZFIN;Acc:ZDB-GENE-110407-3]</t>
  </si>
  <si>
    <t>ENSDARG00000086550</t>
  </si>
  <si>
    <t>dbf4b</t>
  </si>
  <si>
    <t>DBF4 zinc finger B [Source:ZFIN;Acc:ZDB-GENE-121214-269]</t>
  </si>
  <si>
    <t>ENSDARG00000069980</t>
  </si>
  <si>
    <t>lman1</t>
  </si>
  <si>
    <t>lectin, mannose-binding, 1 [Source:ZFIN;Acc:ZDB-GENE-060201-4]</t>
  </si>
  <si>
    <t>ENSDARG00000060256</t>
  </si>
  <si>
    <t>alkbh8</t>
  </si>
  <si>
    <t>alkB homolog 8, tRNA methyltransferase [Source:ZFIN;Acc:ZDB-GENE-100922-251]</t>
  </si>
  <si>
    <t>ENSDARG00000096959</t>
  </si>
  <si>
    <t>si:dkey-29h14.10</t>
  </si>
  <si>
    <t>si:dkey-29h14.10 [Source:ZFIN;Acc:ZDB-GENE-131127-252]</t>
  </si>
  <si>
    <t>ENSDARG00000002945</t>
  </si>
  <si>
    <t>bgnb</t>
  </si>
  <si>
    <t>biglycan b [Source:ZFIN;Acc:ZDB-GENE-040426-21]</t>
  </si>
  <si>
    <t>ENSDARG00000068325</t>
  </si>
  <si>
    <t>si:dkey-21n10.3</t>
  </si>
  <si>
    <t>si:dkey-21n10.3 [Source:ZFIN;Acc:ZDB-GENE-070912-444]</t>
  </si>
  <si>
    <t>ENSDARG00000068992</t>
  </si>
  <si>
    <t>hspa8</t>
  </si>
  <si>
    <t>heat shock protein 8 [Source:ZFIN;Acc:ZDB-GENE-990415-92]</t>
  </si>
  <si>
    <t>ENSDARG00000087476</t>
  </si>
  <si>
    <t>cbln20</t>
  </si>
  <si>
    <t>cerebellin 20 [Source:ZFIN;Acc:ZDB-GENE-111109-2]</t>
  </si>
  <si>
    <t>ENSDARG00000099742</t>
  </si>
  <si>
    <t>heatr1</t>
  </si>
  <si>
    <t>HEAT repeat containing 1 [Source:ZFIN;Acc:ZDB-GENE-030131-6378]</t>
  </si>
  <si>
    <t>ENSDARG00000067673</t>
  </si>
  <si>
    <t>snapc4</t>
  </si>
  <si>
    <t>small nuclear RNA activating complex, polypeptide 4 [Source:ZFIN;Acc:ZDB-GENE-030131-5794]</t>
  </si>
  <si>
    <t>ENSDARG00000006112</t>
  </si>
  <si>
    <t>myof</t>
  </si>
  <si>
    <t>myoferlin [Source:ZFIN;Acc:ZDB-GENE-040426-1138]</t>
  </si>
  <si>
    <t>ENSDARG00000068833</t>
  </si>
  <si>
    <t>dclre1b</t>
  </si>
  <si>
    <t>DNA cross-link repair 1B [Source:ZFIN;Acc:ZDB-GENE-061013-328]</t>
  </si>
  <si>
    <t>ENSDARG00000100116</t>
  </si>
  <si>
    <t>mrps24</t>
  </si>
  <si>
    <t>mitochondrial ribosomal protein S24 [Source:ZFIN;Acc:ZDB-GENE-050522-393]</t>
  </si>
  <si>
    <t>ENSDARG00000015930</t>
  </si>
  <si>
    <t>rwdd1</t>
  </si>
  <si>
    <t>RWD domain containing 1 [Source:ZFIN;Acc:ZDB-GENE-040718-270]</t>
  </si>
  <si>
    <t>ENSDARG00000056141</t>
  </si>
  <si>
    <t>coq10b</t>
  </si>
  <si>
    <t>coenzyme Q10B [Source:ZFIN;Acc:ZDB-GENE-050417-263]</t>
  </si>
  <si>
    <t>ENSDARG00000101106</t>
  </si>
  <si>
    <t>si:ch73-109d9.3</t>
  </si>
  <si>
    <t>si:ch73-109d9.3 [Source:ZFIN;Acc:ZDB-GENE-141212-331]</t>
  </si>
  <si>
    <t>ENSDARG00000098746</t>
  </si>
  <si>
    <t>dhrs13l1</t>
  </si>
  <si>
    <t>dehydrogenase/reductase (SDR family) member 13 like 1 [Source:ZFIN;Acc:ZDB-GENE-040426-1907]</t>
  </si>
  <si>
    <t>ENSDARG00000045129</t>
  </si>
  <si>
    <t>fkbp10b</t>
  </si>
  <si>
    <t>FK506 binding protein 10b [Source:ZFIN;Acc:ZDB-GENE-030131-3101]</t>
  </si>
  <si>
    <t>ENSDARG00000093382</t>
  </si>
  <si>
    <t>uqcc3</t>
  </si>
  <si>
    <t>ubiquinol-cytochrome c reductase complex assembly factor 3 [Source:ZFIN;Acc:ZDB-GENE-030131-8451]</t>
  </si>
  <si>
    <t>ENSDARG00000100559</t>
  </si>
  <si>
    <t>tor2a</t>
  </si>
  <si>
    <t>torsin family 2, member A [Source:ZFIN;Acc:ZDB-GENE-050913-60]</t>
  </si>
  <si>
    <t>ENSDARG00000021846</t>
  </si>
  <si>
    <t>hid1a</t>
  </si>
  <si>
    <t>HID1 domain containing a [Source:ZFIN;Acc:ZDB-GENE-030131-8263]</t>
  </si>
  <si>
    <t>ENSDARG00000074059</t>
  </si>
  <si>
    <t>dlg5a</t>
  </si>
  <si>
    <t>discs, large homolog 5a (Drosophila) [Source:ZFIN;Acc:ZDB-GENE-030131-3149]</t>
  </si>
  <si>
    <t>ENSDARG00000017809</t>
  </si>
  <si>
    <t>stard3</t>
  </si>
  <si>
    <t>StAR-related lipid transfer (START) domain containing 3 [Source:ZFIN;Acc:ZDB-GENE-001120-2]</t>
  </si>
  <si>
    <t>ENSDARG00000035551</t>
  </si>
  <si>
    <t>iqcd</t>
  </si>
  <si>
    <t>IQ motif containing D [Source:ZFIN;Acc:ZDB-GENE-060526-200]</t>
  </si>
  <si>
    <t>ENSDARG00000017105</t>
  </si>
  <si>
    <t>vaspb</t>
  </si>
  <si>
    <t>vasodilator-stimulated phosphoprotein b [Source:ZFIN;Acc:ZDB-GENE-030131-7118]</t>
  </si>
  <si>
    <t>ENSDARG00000086182</t>
  </si>
  <si>
    <t>znf985</t>
  </si>
  <si>
    <t>znf985.1</t>
  </si>
  <si>
    <t>zinc finger protein 985 [Source:ZFIN;Acc:ZDB-GENE-110914-127]</t>
  </si>
  <si>
    <t>ENSDARG00000103871</t>
  </si>
  <si>
    <t>si:ch73-109d9.2</t>
  </si>
  <si>
    <t>si:ch73-109d9.2 [Source:ZFIN;Acc:ZDB-GENE-030131-5611]</t>
  </si>
  <si>
    <t>ENSDARG00000017229</t>
  </si>
  <si>
    <t>megf10</t>
  </si>
  <si>
    <t>multiple EGF-like-domains 10 [Source:ZFIN;Acc:ZDB-GENE-080506-1]</t>
  </si>
  <si>
    <t>ENSDARG00000097157</t>
  </si>
  <si>
    <t>si:ch211-207n23.2</t>
  </si>
  <si>
    <t>si:ch211-207n23.2 [Source:ZFIN;Acc:ZDB-GENE-131121-310]</t>
  </si>
  <si>
    <t>ENSDARG00000070623</t>
  </si>
  <si>
    <t>med10</t>
  </si>
  <si>
    <t>mediator complex subunit 10 [Source:ZFIN;Acc:ZDB-GENE-070117-2423]</t>
  </si>
  <si>
    <t>ENSDARG00000061004</t>
  </si>
  <si>
    <t>cox11</t>
  </si>
  <si>
    <t>cytochrome c oxidase assembly homolog 11 (yeast) [Source:ZFIN;Acc:ZDB-GENE-050506-82]</t>
  </si>
  <si>
    <t>ENSDARG00000027738</t>
  </si>
  <si>
    <t>si:ch211-13c6.2</t>
  </si>
  <si>
    <t>si:ch211-13c6.2 [Source:ZFIN;Acc:ZDB-GENE-060503-666]</t>
  </si>
  <si>
    <t>ENSDARG00000086048</t>
  </si>
  <si>
    <t>si:ch211-229i14.2</t>
  </si>
  <si>
    <t>si:ch211-229i14.2 [Source:ZFIN;Acc:ZDB-GENE-070705-123]</t>
  </si>
  <si>
    <t>ENSDARG00000069601</t>
  </si>
  <si>
    <t>snx30</t>
  </si>
  <si>
    <t>sorting nexin family member 30 [Source:ZFIN;Acc:ZDB-GENE-050417-330]</t>
  </si>
  <si>
    <t>ENSDARG00000098813</t>
  </si>
  <si>
    <t>stx12</t>
  </si>
  <si>
    <t>syntaxin 12 [Source:ZFIN;Acc:ZDB-GENE-040625-11]</t>
  </si>
  <si>
    <t>ENSDARG00000006497</t>
  </si>
  <si>
    <t>rtn1a</t>
  </si>
  <si>
    <t>reticulon 1a [Source:ZFIN;Acc:ZDB-GENE-030131-2426]</t>
  </si>
  <si>
    <t>ENSDARG00000053912</t>
  </si>
  <si>
    <t>fbl</t>
  </si>
  <si>
    <t>fibrillarin [Source:ZFIN;Acc:ZDB-GENE-040426-1936]</t>
  </si>
  <si>
    <t>ENSDARG00000040984</t>
  </si>
  <si>
    <t>hspa13</t>
  </si>
  <si>
    <t>heat shock protein 70 family, member 13 [Source:ZFIN;Acc:ZDB-GENE-070410-58]</t>
  </si>
  <si>
    <t>ENSDARG00000098610</t>
  </si>
  <si>
    <t>si:dkey-8o9.2</t>
  </si>
  <si>
    <t>si:dkey-8o9.2 [Source:ZFIN;Acc:ZDB-GENE-081103-17]</t>
  </si>
  <si>
    <t>ENSDARG00000104179</t>
  </si>
  <si>
    <t>rab11fip5a</t>
  </si>
  <si>
    <t>RAB11 family interacting protein 5a (class I) [Source:ZFIN;Acc:ZDB-GENE-090313-206]</t>
  </si>
  <si>
    <t>ENSDARG00000102415</t>
  </si>
  <si>
    <t>scinla</t>
  </si>
  <si>
    <t>scinderin like a [Source:ZFIN;Acc:ZDB-GENE-030131-2005]</t>
  </si>
  <si>
    <t>ENSDARG00000097888</t>
  </si>
  <si>
    <t>si:ch211-197e18.1</t>
  </si>
  <si>
    <t>si:ch211-197e18.1 [Source:ZFIN;Acc:ZDB-GENE-131126-20]</t>
  </si>
  <si>
    <t>ENSDARG00000003308</t>
  </si>
  <si>
    <t>emc2</t>
  </si>
  <si>
    <t>ER membrane protein complex subunit 2 [Source:ZFIN;Acc:ZDB-GENE-040625-82]</t>
  </si>
  <si>
    <t>ENSDARG00000022187</t>
  </si>
  <si>
    <t>usp6nl</t>
  </si>
  <si>
    <t>USP6 N-terminal like [Source:ZFIN;Acc:ZDB-GENE-041210-192]</t>
  </si>
  <si>
    <t>ENSDARG00000096135</t>
  </si>
  <si>
    <t>si:dkey-6a5.10</t>
  </si>
  <si>
    <t>si:dkey-6a5.10 [Source:ZFIN;Acc:ZDB-GENE-110914-173]</t>
  </si>
  <si>
    <t>ENSDARG00000086223</t>
  </si>
  <si>
    <t>si:ch73-144d13.4</t>
  </si>
  <si>
    <t>si:ch73-144d13.4 [Source:ZFIN;Acc:ZDB-GENE-131120-182]</t>
  </si>
  <si>
    <t>ENSDARG00000052674</t>
  </si>
  <si>
    <t>csnk1a1</t>
  </si>
  <si>
    <t>casein kinase 1, alpha 1 [Source:ZFIN;Acc:ZDB-GENE-020419-19]</t>
  </si>
  <si>
    <t>ENSDARG00000075021</t>
  </si>
  <si>
    <t>fam120a</t>
  </si>
  <si>
    <t>family with sequence similarity 120A [Source:ZFIN;Acc:ZDB-GENE-110131-10]</t>
  </si>
  <si>
    <t>ENSDARG00000097457</t>
  </si>
  <si>
    <t>si:dkey-6a5.11</t>
  </si>
  <si>
    <t>si:dkey-6a5.11 [Source:ZFIN;Acc:ZDB-GENE-131121-342]</t>
  </si>
  <si>
    <t>ENSDARG00000069103</t>
  </si>
  <si>
    <t>si:dkeyp-82a1.4</t>
  </si>
  <si>
    <t>si:dkeyp-82a1.4 [Source:ZFIN;Acc:ZDB-GENE-081104-477]</t>
  </si>
  <si>
    <t>ENSDARG00000055080</t>
  </si>
  <si>
    <t>rbm4.2</t>
  </si>
  <si>
    <t>RNA binding motif protein 4.2 [Source:ZFIN;Acc:ZDB-GENE-030131-3019]</t>
  </si>
  <si>
    <t>ENSDARG00000039443</t>
  </si>
  <si>
    <t>zgc:110353</t>
  </si>
  <si>
    <t>zgc:110353 [Source:ZFIN;Acc:ZDB-GENE-050417-310]</t>
  </si>
  <si>
    <t>ENSDARG00000056483</t>
  </si>
  <si>
    <t>ssbp4</t>
  </si>
  <si>
    <t>single stranded DNA binding protein 4 [Source:ZFIN;Acc:ZDB-GENE-030131-469]</t>
  </si>
  <si>
    <t>ENSDARG00000074204</t>
  </si>
  <si>
    <t>commd6</t>
  </si>
  <si>
    <t>COMM domain containing 6 [Source:ZFIN;Acc:ZDB-GENE-070912-209]</t>
  </si>
  <si>
    <t>ENSDARG00000098361</t>
  </si>
  <si>
    <t>nudcd3</t>
  </si>
  <si>
    <t>NudC domain containing 3 [Source:ZFIN;Acc:ZDB-GENE-040426-2255]</t>
  </si>
  <si>
    <t>ENSDARG00000100728</t>
  </si>
  <si>
    <t>mkrn2os.2</t>
  </si>
  <si>
    <t>MKRN2 opposite strand, tandem duplicate 2 [Source:ZFIN;Acc:ZDB-GENE-160114-87]</t>
  </si>
  <si>
    <t>ENSDARG00000039099</t>
  </si>
  <si>
    <t>zgc:113413</t>
  </si>
  <si>
    <t>zgc:113413 [Source:ZFIN;Acc:ZDB-GENE-050306-5]</t>
  </si>
  <si>
    <t>ENSDARG00000092584</t>
  </si>
  <si>
    <t>si:ch1073-385f13.3</t>
  </si>
  <si>
    <t>si:ch1073-385f13.3 [Source:ZFIN;Acc:ZDB-GENE-131127-357]</t>
  </si>
  <si>
    <t>ENSDARG00000099932</t>
  </si>
  <si>
    <t>si:dkey-56m15.4</t>
  </si>
  <si>
    <t>si:dkey-56m15.4 [Source:ZFIN;Acc:ZDB-GENE-110914-99]</t>
  </si>
  <si>
    <t>ENSDARG00000091851</t>
  </si>
  <si>
    <t>tsen2</t>
  </si>
  <si>
    <t>TSEN2 tRNA splicing endonuclease subunit [Source:ZFIN;Acc:ZDB-GENE-060929-918]</t>
  </si>
  <si>
    <t>ENSDARG00000096111</t>
  </si>
  <si>
    <t>si:dkey-262g12.5</t>
  </si>
  <si>
    <t>si:dkey-262g12.5 [Source:ZFIN;Acc:ZDB-GENE-110913-128]</t>
  </si>
  <si>
    <t>ENSDARG00000099236</t>
  </si>
  <si>
    <t>sept10</t>
  </si>
  <si>
    <t>septin 10 [Source:ZFIN;Acc:ZDB-GENE-050417-3]</t>
  </si>
  <si>
    <t>ENSDARG00000031435</t>
  </si>
  <si>
    <t>zgc:56493</t>
  </si>
  <si>
    <t>zgc:56493 [Source:ZFIN;Acc:ZDB-GENE-030131-8581]</t>
  </si>
  <si>
    <t>ENSDARG00000074298</t>
  </si>
  <si>
    <t>si:ch73-266f23.1</t>
  </si>
  <si>
    <t>si:ch73-266f23.1 [Source:ZFIN;Acc:ZDB-GENE-110913-180]</t>
  </si>
  <si>
    <t>ENSDARG00000101877</t>
  </si>
  <si>
    <t>rbm34</t>
  </si>
  <si>
    <t>RNA binding motif protein 34 [Source:ZFIN;Acc:ZDB-GENE-040718-77]</t>
  </si>
  <si>
    <t>ENSDARG00000101323</t>
  </si>
  <si>
    <t>trnau1apa</t>
  </si>
  <si>
    <t>tRNA selenocysteine 1 associated protein 1a [Source:ZFIN;Acc:ZDB-GENE-050522-502]</t>
  </si>
  <si>
    <t>ENSDARG00000070570</t>
  </si>
  <si>
    <t>ppp4ca</t>
  </si>
  <si>
    <t>protein phosphatase 4, catalytic subunit a [Source:ZFIN;Acc:ZDB-GENE-030131-4433]</t>
  </si>
  <si>
    <t>ENSDARG00000096967</t>
  </si>
  <si>
    <t>si:dkey-207j16.10</t>
  </si>
  <si>
    <t>si:dkey-207j16.10 [Source:ZFIN;Acc:ZDB-GENE-131127-172]</t>
  </si>
  <si>
    <t>ENSDARG00000091317</t>
  </si>
  <si>
    <t>hunk</t>
  </si>
  <si>
    <t>hormonally up-regulated Neu-associated kinase [Source:ZFIN;Acc:ZDB-GENE-050309-240]</t>
  </si>
  <si>
    <t>ENSDARG00000013024</t>
  </si>
  <si>
    <t>erap1a</t>
  </si>
  <si>
    <t>endoplasmic reticulum aminopeptidase 1a [Source:ZFIN;Acc:ZDB-GENE-091113-7]</t>
  </si>
  <si>
    <t>ENSDARG00000058819</t>
  </si>
  <si>
    <t>nog1</t>
  </si>
  <si>
    <t>noggin 1 [Source:ZFIN;Acc:ZDB-GENE-991206-8]</t>
  </si>
  <si>
    <t>ENSDARG00000056874</t>
  </si>
  <si>
    <t>lygl1</t>
  </si>
  <si>
    <t>lysozyme g-like 1 [Source:ZFIN;Acc:ZDB-GENE-040718-461]</t>
  </si>
  <si>
    <t>ENSDARG00000039062</t>
  </si>
  <si>
    <t>morn4</t>
  </si>
  <si>
    <t>MORN repeat containing 4 [Source:ZFIN;Acc:ZDB-GENE-050417-7]</t>
  </si>
  <si>
    <t>ENSDARG00000017781</t>
  </si>
  <si>
    <t>hsd17b10</t>
  </si>
  <si>
    <t>hydroxysteroid (17-beta) dehydrogenase 10 [Source:ZFIN;Acc:ZDB-GENE-041010-201]</t>
  </si>
  <si>
    <t>ENSDARG00000077982</t>
  </si>
  <si>
    <t>elf3</t>
  </si>
  <si>
    <t>E74-like factor 3 (ets domain transcription factor, epithelial-specific ) [Source:ZFIN;Acc:ZDB-GENE-030131-8760]</t>
  </si>
  <si>
    <t>ENSDARG00000105079</t>
  </si>
  <si>
    <t>si:ch211-157e21.2</t>
  </si>
  <si>
    <t>si:ch211-157e21.2 [Source:ZFIN;Acc:ZDB-GENE-070705-63]</t>
  </si>
  <si>
    <t>ENSDARG00000019995</t>
  </si>
  <si>
    <t>bmp4</t>
  </si>
  <si>
    <t>bone morphogenetic protein 4 [Source:ZFIN;Acc:ZDB-GENE-980528-2059]</t>
  </si>
  <si>
    <t>ENSDARG00000087740</t>
  </si>
  <si>
    <t>si:dkeyp-82a1.5</t>
  </si>
  <si>
    <t>si:dkeyp-82a1.5 [Source:ZFIN;Acc:ZDB-GENE-081104-478]</t>
  </si>
  <si>
    <t>ENSDARG00000024546</t>
  </si>
  <si>
    <t>pla2g4aa</t>
  </si>
  <si>
    <t>phospholipase A2, group IVAa (cytosolic, calcium-dependent) [Source:ZFIN;Acc:ZDB-GENE-990415-45]</t>
  </si>
  <si>
    <t>ENSDARG00000099774</t>
  </si>
  <si>
    <t>cyb5b</t>
  </si>
  <si>
    <t>cytochrome b5 type B [Source:ZFIN;Acc:ZDB-GENE-040426-2614]</t>
  </si>
  <si>
    <t>ENSDARG00000079501</t>
  </si>
  <si>
    <t>si:ch211-149l1.2</t>
  </si>
  <si>
    <t>si:ch211-149l1.2 [Source:ZFIN;Acc:ZDB-GENE-090313-40]</t>
  </si>
  <si>
    <t>ENSDARG00000035471</t>
  </si>
  <si>
    <t>si:dkey-220k22.1</t>
  </si>
  <si>
    <t>si:dkey-220k22.1 [Source:ZFIN;Acc:ZDB-GENE-060526-255]</t>
  </si>
  <si>
    <t>ENSDARG00000094557</t>
  </si>
  <si>
    <t>nupr1</t>
  </si>
  <si>
    <t>nuclear protein 1 [Source:ZFIN;Acc:ZDB-GENE-030131-4653]</t>
  </si>
  <si>
    <t>ENSDARG00000021059</t>
  </si>
  <si>
    <t>alas1</t>
  </si>
  <si>
    <t>aminolevulinate, delta-, synthase 1 [Source:ZFIN;Acc:ZDB-GENE-001229-2]</t>
  </si>
  <si>
    <t>ENSDARG00000078234</t>
  </si>
  <si>
    <t>si:dkey-253d23.12</t>
  </si>
  <si>
    <t>si:dkey-253d23.12 [Source:ZFIN;Acc:ZDB-GENE-070912-478]</t>
  </si>
  <si>
    <t>ENSDARG00000055792</t>
  </si>
  <si>
    <t>foxo4</t>
  </si>
  <si>
    <t>forkhead box O4 [Source:ZFIN;Acc:ZDB-GENE-150311-1]</t>
  </si>
  <si>
    <t>ENSDARG00000016769</t>
  </si>
  <si>
    <t>sgtb</t>
  </si>
  <si>
    <t>small glutamine-rich tetratricopeptide repeat (TPR)-containing, beta [Source:ZFIN;Acc:ZDB-GENE-040704-72]</t>
  </si>
  <si>
    <t>ENSDARG00000052025</t>
  </si>
  <si>
    <t>pomgnt1</t>
  </si>
  <si>
    <t>protein O-linked mannose N-acetylglucosaminyltransferase 1 (beta 1,2-) [Source:ZFIN;Acc:ZDB-GENE-070112-991]</t>
  </si>
  <si>
    <t>ENSDARG00000042157</t>
  </si>
  <si>
    <t>ppil6</t>
  </si>
  <si>
    <t>peptidylprolyl isomerase (cyclophilin)-like 6 [Source:ZFIN;Acc:ZDB-GENE-050522-70]</t>
  </si>
  <si>
    <t>ENSDARG00000028228</t>
  </si>
  <si>
    <t>zbtb18</t>
  </si>
  <si>
    <t>zinc finger and BTB domain containing 18 [Source:ZFIN;Acc:ZDB-GENE-050419-73]</t>
  </si>
  <si>
    <t>ENSDARG00000092641</t>
  </si>
  <si>
    <t>si:dkey-148e22.3</t>
  </si>
  <si>
    <t>si:dkey-148e22.3 [Source:ZFIN;Acc:ZDB-GENE-060526-216]</t>
  </si>
  <si>
    <t>ENSDARG00000090947</t>
  </si>
  <si>
    <t>si:dkey-29j8.1</t>
  </si>
  <si>
    <t>si:dkey-29j8.1.1</t>
  </si>
  <si>
    <t>si:dkey-29j8.1 [Source:ZFIN;Acc:ZDB-GENE-110913-11]</t>
  </si>
  <si>
    <t>ENSDARG00000098177</t>
  </si>
  <si>
    <t>si:dkey-28i19.3</t>
  </si>
  <si>
    <t>si:dkey-28i19.3 [Source:ZFIN;Acc:ZDB-GENE-110913-17]</t>
  </si>
  <si>
    <t>ENSDARG00000052388</t>
  </si>
  <si>
    <t>pcgf5b</t>
  </si>
  <si>
    <t>polycomb group ring finger 5b [Source:ZFIN;Acc:ZDB-GENE-060512-34]</t>
  </si>
  <si>
    <t>ENSDARG00000031427</t>
  </si>
  <si>
    <t>calm2a</t>
  </si>
  <si>
    <t>calmodulin 2a (phosphorylase kinase, delta) [Source:ZFIN;Acc:ZDB-GENE-030804-3]</t>
  </si>
  <si>
    <t>ENSDARG00000097289</t>
  </si>
  <si>
    <t>rnf183</t>
  </si>
  <si>
    <t>ENSDARG00000043705</t>
  </si>
  <si>
    <t>mob3c</t>
  </si>
  <si>
    <t>MOB kinase activator 3C [Source:ZFIN;Acc:ZDB-GENE-040704-32]</t>
  </si>
  <si>
    <t>ENSDARG00000030094</t>
  </si>
  <si>
    <t>mal</t>
  </si>
  <si>
    <t>mal, T-cell differentiation protein [Source:ZFIN;Acc:ZDB-GENE-050417-175]</t>
  </si>
  <si>
    <t>ENSDARG00000070995</t>
  </si>
  <si>
    <t>inpp4ab</t>
  </si>
  <si>
    <t>inositol polyphosphate-4-phosphatase type I Ab [Source:ZFIN;Acc:ZDB-GENE-081104-521]</t>
  </si>
  <si>
    <t>ENSDARG00000075834</t>
  </si>
  <si>
    <t>si:dkey-182i3.8</t>
  </si>
  <si>
    <t>si:dkey-182i3.8 [Source:ZFIN;Acc:ZDB-GENE-030131-4134]</t>
  </si>
  <si>
    <t>ENSDARG00000042816</t>
  </si>
  <si>
    <t>mmp9</t>
  </si>
  <si>
    <t>matrix metallopeptidase 9 [Source:ZFIN;Acc:ZDB-GENE-040426-2132]</t>
  </si>
  <si>
    <t>ENSDARG00000102379</t>
  </si>
  <si>
    <t>si:zfos-80g12.1</t>
  </si>
  <si>
    <t>si:zfos-80g12.1 [Source:ZFIN;Acc:ZDB-GENE-160114-34]</t>
  </si>
  <si>
    <t>ENSDARG00000022904</t>
  </si>
  <si>
    <t>skilb</t>
  </si>
  <si>
    <t>SKI-like proto-oncogene b [Source:ZFIN;Acc:ZDB-GENE-080723-40]</t>
  </si>
  <si>
    <t>ENSDARG00000019636</t>
  </si>
  <si>
    <t>yif1a</t>
  </si>
  <si>
    <t>Yip1 interacting factor homolog A (S. cerevisiae) [Source:ZFIN;Acc:ZDB-GENE-030131-6922]</t>
  </si>
  <si>
    <t>ENSDARG00000026577</t>
  </si>
  <si>
    <t>cdk2</t>
  </si>
  <si>
    <t>cyclin-dependent kinase 2 [Source:ZFIN;Acc:ZDB-GENE-040426-2741]</t>
  </si>
  <si>
    <t>ENSDARG00000062361</t>
  </si>
  <si>
    <t>PAXBP1</t>
  </si>
  <si>
    <t>zgc:158234 [Source:ZFIN;Acc:ZDB-GENE-070112-2352]</t>
  </si>
  <si>
    <t>ENSDARG00000062058</t>
  </si>
  <si>
    <t>slc12a7b</t>
  </si>
  <si>
    <t>solute carrier family 12 (potassium/chloride transporter), member 7b [Source:ZFIN;Acc:ZDB-GENE-030829-61]</t>
  </si>
  <si>
    <t>ENSDARG00000030053</t>
  </si>
  <si>
    <t>eef1db</t>
  </si>
  <si>
    <t>eukaryotic translation elongation factor 1 delta b (guanine nucleotide exchange protein) [Source:ZFIN;Acc:ZDB-GENE-030131-6544]</t>
  </si>
  <si>
    <t>ENSDARG00000096575</t>
  </si>
  <si>
    <t>si:dkey-182i3.9</t>
  </si>
  <si>
    <t>si:dkey-182i3.9 [Source:ZFIN;Acc:ZDB-GENE-121214-310]</t>
  </si>
  <si>
    <t>ENSDARG00000098902</t>
  </si>
  <si>
    <t>ubxn8</t>
  </si>
  <si>
    <t>UBX domain protein 8 [Source:ZFIN;Acc:ZDB-GENE-050522-266]</t>
  </si>
  <si>
    <t>ENSDARG00000099491</t>
  </si>
  <si>
    <t>tmem176l.1</t>
  </si>
  <si>
    <t>transmembrane protein 176l.1 [Source:ZFIN;Acc:ZDB-GENE-080829-11]</t>
  </si>
  <si>
    <t>ENSDARG00000020845</t>
  </si>
  <si>
    <t>tns1b</t>
  </si>
  <si>
    <t>tensin 1b [Source:ZFIN;Acc:ZDB-GENE-030131-6933]</t>
  </si>
  <si>
    <t>ENSDARG00000079753</t>
  </si>
  <si>
    <t>kiz</t>
  </si>
  <si>
    <t>kizuna centrosomal protein [Source:ZFIN;Acc:ZDB-GENE-070615-4]</t>
  </si>
  <si>
    <t>ENSDARG00000099685</t>
  </si>
  <si>
    <t>gnb5a</t>
  </si>
  <si>
    <t>guanine nucleotide binding protein (G protein), beta 5a [Source:ZFIN;Acc:ZDB-GENE-070112-342]</t>
  </si>
  <si>
    <t>ENSDARG00000055991</t>
  </si>
  <si>
    <t>hmbsb</t>
  </si>
  <si>
    <t>hydroxymethylbilane synthase, b [Source:ZFIN;Acc:ZDB-GENE-050522-491]</t>
  </si>
  <si>
    <t>ENSDARG00000074696</t>
  </si>
  <si>
    <t>zgc:194621</t>
  </si>
  <si>
    <t>zgc:194621 [Source:ZFIN;Acc:ZDB-GENE-081022-130]</t>
  </si>
  <si>
    <t>ENSDARG00000002401</t>
  </si>
  <si>
    <t>gale</t>
  </si>
  <si>
    <t>UDP-galactose-4-epimerase [Source:ZFIN;Acc:ZDB-GENE-060421-6479]</t>
  </si>
  <si>
    <t>ENSDARG00000059357</t>
  </si>
  <si>
    <t>sarnp</t>
  </si>
  <si>
    <t>SAP domain containing ribonucleoprotein [Source:ZFIN;Acc:ZDB-GENE-050522-161]</t>
  </si>
  <si>
    <t>ENSDARG00000006029</t>
  </si>
  <si>
    <t>lta4h</t>
  </si>
  <si>
    <t>leukotriene A4 hydrolase [Source:ZFIN;Acc:ZDB-GENE-040426-2477]</t>
  </si>
  <si>
    <t>ENSDARG00000061845</t>
  </si>
  <si>
    <t>si:dkeyp-110e4.6</t>
  </si>
  <si>
    <t>si:dkeyp-110e4.6 [Source:ZFIN;Acc:ZDB-GENE-030219-75]</t>
  </si>
  <si>
    <t>ENSDARG00000087247</t>
  </si>
  <si>
    <t>kcnab2a</t>
  </si>
  <si>
    <t>potassium voltage-gated channel, shaker-related subfamily, beta member 2 a [Source:ZFIN;Acc:ZDB-GENE-140515-2]</t>
  </si>
  <si>
    <t>ENSDARG00000008548</t>
  </si>
  <si>
    <t>arhgap12a</t>
  </si>
  <si>
    <t>Rho GTPase activating protein 12a [Source:ZFIN;Acc:ZDB-GENE-050809-38]</t>
  </si>
  <si>
    <t>ENSDARG00000057322</t>
  </si>
  <si>
    <t>tmem47</t>
  </si>
  <si>
    <t>transmembrane protein 47 [Source:ZFIN;Acc:ZDB-GENE-040426-2644]</t>
  </si>
  <si>
    <t>ENSDARG00000063573</t>
  </si>
  <si>
    <t>vps41</t>
  </si>
  <si>
    <t>vacuolar protein sorting 41 homolog (S. cerevisiae) [Source:ZFIN;Acc:ZDB-GENE-030131-6671]</t>
  </si>
  <si>
    <t>ENSDARG00000099921</t>
  </si>
  <si>
    <t>tbce</t>
  </si>
  <si>
    <t>tubulin folding cofactor E [Source:ZFIN;Acc:ZDB-GENE-051030-120]</t>
  </si>
  <si>
    <t>ENSDARG00000102773</t>
  </si>
  <si>
    <t>cacna1da</t>
  </si>
  <si>
    <t>calcium channel, voltage-dependent, L type, alpha 1D subunit, a [Source:ZFIN;Acc:ZDB-GENE-030616-135]</t>
  </si>
  <si>
    <t>ENSDARG00000033768</t>
  </si>
  <si>
    <t>trappc13</t>
  </si>
  <si>
    <t>trafficking protein particle complex 13 [Source:ZFIN;Acc:ZDB-GENE-030131-9775]</t>
  </si>
  <si>
    <t>ENSDARG00000033376</t>
  </si>
  <si>
    <t>chchd4</t>
  </si>
  <si>
    <t>coiled-coil-helix-coiled-coil-helix domain containing 4 [Source:ZFIN;Acc:ZDB-GENE-040801-46]</t>
  </si>
  <si>
    <t>ENSDARG00000079167</t>
  </si>
  <si>
    <t>PHC3</t>
  </si>
  <si>
    <t>si:ch211-230g15.5 [Source:ZFIN;Acc:ZDB-GENE-091204-280]</t>
  </si>
  <si>
    <t>ENSDARG00000043283</t>
  </si>
  <si>
    <t>prrg1</t>
  </si>
  <si>
    <t>proline rich Gla (G-carboxyglutamic acid) 1 [Source:ZFIN;Acc:ZDB-GENE-041010-20]</t>
  </si>
  <si>
    <t>ENSDARG00000037363</t>
  </si>
  <si>
    <t>st5</t>
  </si>
  <si>
    <t>suppression of tumorigenicity 5 [Source:ZFIN;Acc:ZDB-GENE-030131-2547]</t>
  </si>
  <si>
    <t>ENSDARG00000054957</t>
  </si>
  <si>
    <t>znf1015</t>
  </si>
  <si>
    <t>zinc finger protein 1015 [Source:ZFIN;Acc:ZDB-GENE-050913-139]</t>
  </si>
  <si>
    <t>ENSDARG00000077009</t>
  </si>
  <si>
    <t>wdfy4</t>
  </si>
  <si>
    <t>WDFY family member 4 [Source:ZFIN;Acc:ZDB-GENE-090313-322]</t>
  </si>
  <si>
    <t>ENSDARG00000074695</t>
  </si>
  <si>
    <t>mertka</t>
  </si>
  <si>
    <t>c-mer proto-oncogene tyrosine kinase a [Source:ZFIN;Acc:ZDB-GENE-081107-1]</t>
  </si>
  <si>
    <t>ENSDARG00000090447</t>
  </si>
  <si>
    <t>mtbp</t>
  </si>
  <si>
    <t>MDM2 binding protein [Source:ZFIN;Acc:ZDB-GENE-120724-1]</t>
  </si>
  <si>
    <t>ENSDARG00000068851</t>
  </si>
  <si>
    <t>rnf183.1</t>
  </si>
  <si>
    <t>ring finger protein 183 [Source:ZFIN;Acc:ZDB-GENE-060929-1090]</t>
  </si>
  <si>
    <t>ENSDARG00000078430</t>
  </si>
  <si>
    <t>tiam1a</t>
  </si>
  <si>
    <t>T-cell lymphoma invasion and metastasis 1a [Source:ZFIN;Acc:ZDB-GENE-080325-1]</t>
  </si>
  <si>
    <t>ENSDARG00000098046</t>
  </si>
  <si>
    <t>si:ch73-57f22.5</t>
  </si>
  <si>
    <t>si:ch73-57f22.5 [Source:ZFIN;Acc:ZDB-GENE-131120-165]</t>
  </si>
  <si>
    <t>ENSDARG00000101457</t>
  </si>
  <si>
    <t>cdc42ep4a</t>
  </si>
  <si>
    <t>CDC42 effector protein (Rho GTPase binding) 4a [Source:ZFIN;Acc:ZDB-GENE-040704-22]</t>
  </si>
  <si>
    <t>ENSDARG00000094336</t>
  </si>
  <si>
    <t>si:dkeyp-82a1.6</t>
  </si>
  <si>
    <t>si:dkeyp-82a1.6 [Source:ZFIN;Acc:ZDB-GENE-081105-150]</t>
  </si>
  <si>
    <t>ENSDARG00000062821</t>
  </si>
  <si>
    <t>slc6a15</t>
  </si>
  <si>
    <t>solute carrier family 6 (neutral amino acid transporter), member 15 [Source:ZFIN;Acc:ZDB-GENE-050420-93]</t>
  </si>
  <si>
    <t>ENSDARG00000101254</t>
  </si>
  <si>
    <t>si:ch211-157e21.22</t>
  </si>
  <si>
    <t>si:ch211-157e21.22 [Source:ZFIN;Acc:ZDB-GENE-070705-66]</t>
  </si>
  <si>
    <t>ENSDARG00000078034</t>
  </si>
  <si>
    <t>zgc:112001</t>
  </si>
  <si>
    <t>zgc:112001 [Source:ZFIN;Acc:ZDB-GENE-050417-178]</t>
  </si>
  <si>
    <t>ENSDARG00000089981</t>
  </si>
  <si>
    <t>rnf146</t>
  </si>
  <si>
    <t>ring finger protein 146 [Source:ZFIN;Acc:ZDB-GENE-030131-5997]</t>
  </si>
  <si>
    <t>ENSDARG00000018688</t>
  </si>
  <si>
    <t>elk3</t>
  </si>
  <si>
    <t>ELK3, ETS-domain protein [Source:ZFIN;Acc:ZDB-GENE-030716-2]</t>
  </si>
  <si>
    <t>ENSDARG00000045680</t>
  </si>
  <si>
    <t>tnpo3</t>
  </si>
  <si>
    <t>transportin 3 [Source:ZFIN;Acc:ZDB-GENE-040426-708]</t>
  </si>
  <si>
    <t>ENSDARG00000037781</t>
  </si>
  <si>
    <t>acss2</t>
  </si>
  <si>
    <t>acyl-CoA synthetase short-chain family member 2 [Source:ZFIN;Acc:ZDB-GENE-040718-388]</t>
  </si>
  <si>
    <t>ENSDARG00000102061</t>
  </si>
  <si>
    <t>b3galt2</t>
  </si>
  <si>
    <t>UDP-Gal:betaGlcNAc beta 1,3-galactosyltransferase, polypeptide 2 [Source:ZFIN;Acc:ZDB-GENE-040426-2078]</t>
  </si>
  <si>
    <t>ENSDARG00000092112</t>
  </si>
  <si>
    <t>tomm40</t>
  </si>
  <si>
    <t>translocase of outer mitochondrial membrane 40 homolog (yeast) [Source:ZFIN;Acc:ZDB-GENE-030131-1365]</t>
  </si>
  <si>
    <t>ENSDARG00000043249</t>
  </si>
  <si>
    <t>irf1b</t>
  </si>
  <si>
    <t>interferon regulatory factor 1b [Source:ZFIN;Acc:ZDB-GENE-041114-13]</t>
  </si>
  <si>
    <t>ENSDARG00000088929</t>
  </si>
  <si>
    <t>ypel5</t>
  </si>
  <si>
    <t>yippee-like 5 [Source:ZFIN;Acc:ZDB-GENE-040426-1220]</t>
  </si>
  <si>
    <t>ENSDARG00000033596</t>
  </si>
  <si>
    <t>polr2c</t>
  </si>
  <si>
    <t>polymerase (RNA) II (DNA directed) polypeptide C [Source:ZFIN;Acc:ZDB-GENE-030131-6609]</t>
  </si>
  <si>
    <t>ENSDARG00000051793</t>
  </si>
  <si>
    <t>zgc:113426</t>
  </si>
  <si>
    <t>zgc:113426 [Source:ZFIN;Acc:ZDB-GENE-050913-149]</t>
  </si>
  <si>
    <t>ENSDARG00000102850</t>
  </si>
  <si>
    <t>si:ch211-132i7.2</t>
  </si>
  <si>
    <t>si:ch211-132i7.2 [Source:ZFIN;Acc:ZDB-GENE-131120-163]</t>
  </si>
  <si>
    <t>ENSDARG00000103093</t>
  </si>
  <si>
    <t>alg14</t>
  </si>
  <si>
    <t>ALG14, UDP-N-acetylglucosaminyltransferase subunit [Source:ZFIN;Acc:ZDB-GENE-041010-195]</t>
  </si>
  <si>
    <t>ENSDARG00000078790</t>
  </si>
  <si>
    <t>lrrc18a</t>
  </si>
  <si>
    <t>leucine rich repeat containing 18a [Source:ZFIN;Acc:ZDB-GENE-090313-323]</t>
  </si>
  <si>
    <t>ENSDARG00000018871</t>
  </si>
  <si>
    <t>henmt1</t>
  </si>
  <si>
    <t>HEN1 methyltransferase homolog 1 (Arabidopsis) [Source:ZFIN;Acc:ZDB-GENE-050417-387]</t>
  </si>
  <si>
    <t>ENSDARG00000025699</t>
  </si>
  <si>
    <t>mbd1b</t>
  </si>
  <si>
    <t>methyl-CpG binding domain protein 1b [Source:ZFIN;Acc:ZDB-GENE-030131-6318]</t>
  </si>
  <si>
    <t>ENSDARG00000076552</t>
  </si>
  <si>
    <t>zgc:193801</t>
  </si>
  <si>
    <t>zgc:193801 [Source:ZFIN;Acc:ZDB-GENE-081022-40]</t>
  </si>
  <si>
    <t>ENSDARG00000061989</t>
  </si>
  <si>
    <t>mpnd</t>
  </si>
  <si>
    <t>MPN domain containing [Source:ZFIN;Acc:ZDB-GENE-060929-1162]</t>
  </si>
  <si>
    <t>ENSDARG00000053097</t>
  </si>
  <si>
    <t>hsf2</t>
  </si>
  <si>
    <t>heat shock transcription factor 2 [Source:ZFIN;Acc:ZDB-GENE-011128-1]</t>
  </si>
  <si>
    <t>ENSDARG00000003257</t>
  </si>
  <si>
    <t>zgc:101559</t>
  </si>
  <si>
    <t>zgc:101559 [Source:ZFIN;Acc:ZDB-GENE-041114-122]</t>
  </si>
  <si>
    <t>ENSDARG00000044345</t>
  </si>
  <si>
    <t>cyfip1</t>
  </si>
  <si>
    <t>cytoplasmic FMR1 interacting protein 1 [Source:ZFIN;Acc:ZDB-GENE-030131-8557]</t>
  </si>
  <si>
    <t>ENSDARG00000071581</t>
  </si>
  <si>
    <t>si:ch211-222k6.1</t>
  </si>
  <si>
    <t>si:ch211-222k6.1 [Source:ZFIN;Acc:ZDB-GENE-050208-649]</t>
  </si>
  <si>
    <t>ENSDARG00000014945</t>
  </si>
  <si>
    <t>znf598</t>
  </si>
  <si>
    <t>zinc finger protein 598 [Source:ZFIN;Acc:ZDB-GENE-060602-3]</t>
  </si>
  <si>
    <t>ENSDARG00000056410</t>
  </si>
  <si>
    <t>fdx1</t>
  </si>
  <si>
    <t>ferredoxin 1 [Source:ZFIN;Acc:ZDB-GENE-071015-2]</t>
  </si>
  <si>
    <t>ENSDARG00000063731</t>
  </si>
  <si>
    <t>rbm45</t>
  </si>
  <si>
    <t>RNA binding motif protein 45 [Source:ZFIN;Acc:ZDB-GENE-070122-4]</t>
  </si>
  <si>
    <t>ENSDARG00000075866</t>
  </si>
  <si>
    <t>cdcp2</t>
  </si>
  <si>
    <t>CUB domain containing protein 2 [Source:ZFIN;Acc:ZDB-GENE-070705-485]</t>
  </si>
  <si>
    <t>ENSDARG00000045681</t>
  </si>
  <si>
    <t>irf5</t>
  </si>
  <si>
    <t>interferon regulatory factor 5 [Source:ZFIN;Acc:ZDB-GENE-040426-2587]</t>
  </si>
  <si>
    <t>ENSDARG00000062919</t>
  </si>
  <si>
    <t>tceanc2</t>
  </si>
  <si>
    <t>transcription elongation factor A (SII) N-terminal and central domain containing 2 [Source:ZFIN;Acc:ZDB-GENE-070705-486]</t>
  </si>
  <si>
    <t>ENSDARG00000042833</t>
  </si>
  <si>
    <t>rffl</t>
  </si>
  <si>
    <t>ring finger and FYVE-like domain containing E3 ubiquitin protein ligase [Source:ZFIN;Acc:ZDB-GENE-040426-2274]</t>
  </si>
  <si>
    <t>ENSDARG00000097964</t>
  </si>
  <si>
    <t>arhgef33</t>
  </si>
  <si>
    <t>Rho guanine nucleotide exchange factor (GEF) 33 [Source:ZFIN;Acc:ZDB-GENE-131121-574]</t>
  </si>
  <si>
    <t>ENSDARG00000003311</t>
  </si>
  <si>
    <t>pank2</t>
  </si>
  <si>
    <t>pantothenate kinase 2 [Source:ZFIN;Acc:ZDB-GENE-070112-1952]</t>
  </si>
  <si>
    <t>ENSDARG00000013843</t>
  </si>
  <si>
    <t>sept5a</t>
  </si>
  <si>
    <t>septin 5a [Source:ZFIN;Acc:ZDB-GENE-030131-7868]</t>
  </si>
  <si>
    <t>ENSDARG00000006299</t>
  </si>
  <si>
    <t>arhgef7a</t>
  </si>
  <si>
    <t>Rho guanine nucleotide exchange factor (GEF) 7a [Source:ZFIN;Acc:ZDB-GENE-060322-11]</t>
  </si>
  <si>
    <t>ENSDARG00000002642</t>
  </si>
  <si>
    <t>sh3gl1b</t>
  </si>
  <si>
    <t>SH3-domain GRB2-like 1b [Source:ZFIN;Acc:ZDB-GENE-031001-6]</t>
  </si>
  <si>
    <t>ENSDARG00000052124</t>
  </si>
  <si>
    <t>accs</t>
  </si>
  <si>
    <t>1-aminocyclopropane-1-carboxylate synthase homolog (Arabidopsis)(non-functional) [Source:ZFIN;Acc:ZDB-GENE-050327-39]</t>
  </si>
  <si>
    <t>ENSDARG00000093688</t>
  </si>
  <si>
    <t>si:ch73-234b20.4</t>
  </si>
  <si>
    <t>si:ch73-234b20.4 [Source:ZFIN;Acc:ZDB-GENE-090313-145]</t>
  </si>
  <si>
    <t>ENSDARG00000004889</t>
  </si>
  <si>
    <t>aga</t>
  </si>
  <si>
    <t>aspartylglucosaminidase [Source:ZFIN;Acc:ZDB-GENE-040426-2311]</t>
  </si>
  <si>
    <t>ENSDARG00000058557</t>
  </si>
  <si>
    <t>il11b</t>
  </si>
  <si>
    <t>interleukin 11b [Source:ZFIN;Acc:ZDB-GENE-051019-2]</t>
  </si>
  <si>
    <t>ENSDARG00000101996</t>
  </si>
  <si>
    <t>cxxc1a</t>
  </si>
  <si>
    <t>CXXC finger protein 1a [Source:ZFIN;Acc:ZDB-GENE-040426-1142]</t>
  </si>
  <si>
    <t>ENSDARG00000029832</t>
  </si>
  <si>
    <t>slc26a1</t>
  </si>
  <si>
    <t>solute carrier family 26 (anion exchanger), member 1 [Source:ZFIN;Acc:ZDB-GENE-070112-2182]</t>
  </si>
  <si>
    <t>ENSDARG00000069733</t>
  </si>
  <si>
    <t>mavs</t>
  </si>
  <si>
    <t>mitochondrial antiviral signaling protein [Source:ZFIN;Acc:ZDB-GENE-070112-1402]</t>
  </si>
  <si>
    <t>ENSDARG00000029415</t>
  </si>
  <si>
    <t>mtx2</t>
  </si>
  <si>
    <t>metaxin 2 [Source:ZFIN;Acc:ZDB-GENE-021210-2]</t>
  </si>
  <si>
    <t>ENSDARG00000102294</t>
  </si>
  <si>
    <t>fbxo11a</t>
  </si>
  <si>
    <t>F-box protein 11a [Source:ZFIN;Acc:ZDB-GENE-061103-70]</t>
  </si>
  <si>
    <t>ENSDARG00000086272</t>
  </si>
  <si>
    <t>si:dkey-4p15.5</t>
  </si>
  <si>
    <t>si:dkey-4p15.5 [Source:ZFIN;Acc:ZDB-GENE-121214-193]</t>
  </si>
  <si>
    <t>ENSDARG00000020079</t>
  </si>
  <si>
    <t>neil3</t>
  </si>
  <si>
    <t>nei-like DNA glycosylase 3 [Source:ZFIN;Acc:ZDB-GENE-041114-18]</t>
  </si>
  <si>
    <t>ENSDARG00000089326</t>
  </si>
  <si>
    <t>arhgap20</t>
  </si>
  <si>
    <t>Rho GTPase activating protein 20 [Source:ZFIN;Acc:ZDB-GENE-071015-1]</t>
  </si>
  <si>
    <t>ENSDARG00000093117</t>
  </si>
  <si>
    <t>si:dkey-266m15.7</t>
  </si>
  <si>
    <t>si:dkey-266m15.7 [Source:ZFIN;Acc:ZDB-GENE-070705-444]</t>
  </si>
  <si>
    <t>ENSDARG00000030012</t>
  </si>
  <si>
    <t>lrrfip1a</t>
  </si>
  <si>
    <t>leucine rich repeat (in FLII) interacting protein 1a [Source:ZFIN;Acc:ZDB-GENE-030131-99]</t>
  </si>
  <si>
    <t>ENSDARG00000101234</t>
  </si>
  <si>
    <t>nsmfb</t>
  </si>
  <si>
    <t>NMDA receptor synaptonuclear signaling and neuronal migration factor b [Source:ZFIN;Acc:ZDB-GENE-080603-4]</t>
  </si>
  <si>
    <t>ENSDARG00000090981</t>
  </si>
  <si>
    <t>si:ch211-191o15.6</t>
  </si>
  <si>
    <t>si:ch211-191o15.6 [Source:ZFIN;Acc:ZDB-GENE-110228-3]</t>
  </si>
  <si>
    <t>ENSDARG00000053365</t>
  </si>
  <si>
    <t>rpl31</t>
  </si>
  <si>
    <t>ribosomal protein L31 [Source:ZFIN;Acc:ZDB-GENE-060331-121]</t>
  </si>
  <si>
    <t>ENSDARG00000010745</t>
  </si>
  <si>
    <t>dnaja2l</t>
  </si>
  <si>
    <t>DnaJ (Hsp40) homolog, subfamily A, member 2, like [Source:ZFIN;Acc:ZDB-GENE-030131-2884]</t>
  </si>
  <si>
    <t>ENSDARG00000088984</t>
  </si>
  <si>
    <t>cep131</t>
  </si>
  <si>
    <t>centrosomal protein 131 [Source:ZFIN;Acc:ZDB-GENE-090508-16]</t>
  </si>
  <si>
    <t>ENSDARG00000092260</t>
  </si>
  <si>
    <t>WBP1</t>
  </si>
  <si>
    <t>si:ch73-290k24.6 [Source:ZFIN;Acc:ZDB-GENE-110411-49]</t>
  </si>
  <si>
    <t>ENSDARG00000023190</t>
  </si>
  <si>
    <t>kpna4</t>
  </si>
  <si>
    <t>karyopherin alpha 4 (importin alpha 3) [Source:ZFIN;Acc:ZDB-GENE-030131-5584]</t>
  </si>
  <si>
    <t>ENSDARG00000029524</t>
  </si>
  <si>
    <t>impdh1b</t>
  </si>
  <si>
    <t>IMP (inosine 5'-monophosphate) dehydrogenase 1b [Source:ZFIN;Acc:ZDB-GENE-030219-206]</t>
  </si>
  <si>
    <t>ENSDARG00000003749</t>
  </si>
  <si>
    <t>polb</t>
  </si>
  <si>
    <t>polymerase (DNA directed), beta [Source:ZFIN;Acc:ZDB-GENE-040830-1]</t>
  </si>
  <si>
    <t>ENSDARG00000009735</t>
  </si>
  <si>
    <t>gigfy2</t>
  </si>
  <si>
    <t>GRB10 interacting GYF protein 2 [Source:ZFIN;Acc:ZDB-GENE-050706-185]</t>
  </si>
  <si>
    <t>ENSDARG00000077988</t>
  </si>
  <si>
    <t>abcc10</t>
  </si>
  <si>
    <t>ATP-binding cassette, sub-family C (CFTR/MRP), member 10 [Source:ZFIN;Acc:ZDB-GENE-050517-24]</t>
  </si>
  <si>
    <t>ENSDARG00000091198</t>
  </si>
  <si>
    <t>urm1</t>
  </si>
  <si>
    <t>ubiquitin related modifier 1 [Source:ZFIN;Acc:ZDB-GENE-091204-300]</t>
  </si>
  <si>
    <t>ENSDARG00000096658</t>
  </si>
  <si>
    <t>si:dkey-4p15.4</t>
  </si>
  <si>
    <t>si:dkey-4p15.4 [Source:ZFIN;Acc:ZDB-GENE-121214-305]</t>
  </si>
  <si>
    <t>ENSDARG00000044169</t>
  </si>
  <si>
    <t>prelid1b</t>
  </si>
  <si>
    <t>PRELI domain containing 1b [Source:ZFIN;Acc:ZDB-GENE-050522-169]</t>
  </si>
  <si>
    <t>ENSDARG00000099779</t>
  </si>
  <si>
    <t>si:ch211-11n16.2</t>
  </si>
  <si>
    <t>si:ch211-11n16.2 [Source:ZFIN;Acc:ZDB-GENE-041008-77]</t>
  </si>
  <si>
    <t>ENSDARG00000034076</t>
  </si>
  <si>
    <t>lrp11</t>
  </si>
  <si>
    <t>low density lipoprotein receptor-related protein 11 [Source:ZFIN;Acc:ZDB-GENE-030131-7847]</t>
  </si>
  <si>
    <t>ENSDARG00000001129</t>
  </si>
  <si>
    <t>dicer1</t>
  </si>
  <si>
    <t>dicer 1, ribonuclease type III [Source:ZFIN;Acc:ZDB-GENE-030131-3445]</t>
  </si>
  <si>
    <t>ENSDARG00000042727</t>
  </si>
  <si>
    <t>exo5</t>
  </si>
  <si>
    <t>exonuclease 5 [Source:ZFIN;Acc:ZDB-GENE-051113-108]</t>
  </si>
  <si>
    <t>ENSDARG00000070151</t>
  </si>
  <si>
    <t>nfyc</t>
  </si>
  <si>
    <t>nuclear transcription factor Y, gamma [Source:ZFIN;Acc:ZDB-GENE-030131-2165]</t>
  </si>
  <si>
    <t>ENSDARG00000013681</t>
  </si>
  <si>
    <t>SHISA4</t>
  </si>
  <si>
    <t>si:dkey-42i9.6 [Source:ZFIN;Acc:ZDB-GENE-030131-6596]</t>
  </si>
  <si>
    <t>ENSDARG00000008490</t>
  </si>
  <si>
    <t>ltv1</t>
  </si>
  <si>
    <t>LTV1 ribosome biogenesis factor [Source:ZFIN;Acc:ZDB-GENE-040712-1]</t>
  </si>
  <si>
    <t>ENSDARG00000035598</t>
  </si>
  <si>
    <t>coro1ca</t>
  </si>
  <si>
    <t>coronin, actin binding protein, 1Ca [Source:ZFIN;Acc:ZDB-GENE-030114-6]</t>
  </si>
  <si>
    <t>ENSDARG00000038687</t>
  </si>
  <si>
    <t>nfkb2</t>
  </si>
  <si>
    <t>nuclear factor of kappa light polypeptide gene enhancer in B-cells 2 (p49/p100) [Source:ZFIN;Acc:ZDB-GENE-030131-6701]</t>
  </si>
  <si>
    <t>ENSDARG00000070568</t>
  </si>
  <si>
    <t>atad5a</t>
  </si>
  <si>
    <t>ATPase family, AAA domain containing 5a [Source:ZFIN;Acc:ZDB-GENE-070912-20]</t>
  </si>
  <si>
    <t>ENSDARG00000015236</t>
  </si>
  <si>
    <t>pycrl</t>
  </si>
  <si>
    <t>pyrroline-5-carboxylate reductase-like [Source:ZFIN;Acc:ZDB-GENE-041014-244]</t>
  </si>
  <si>
    <t>ENSDARG00000104541</t>
  </si>
  <si>
    <t>msh6</t>
  </si>
  <si>
    <t>mutS homolog 6 (E. coli) [Source:ZFIN;Acc:ZDB-GENE-020905-3]</t>
  </si>
  <si>
    <t>ENSDARG00000016811</t>
  </si>
  <si>
    <t>ints3</t>
  </si>
  <si>
    <t>integrator complex subunit 3 [Source:ZFIN;Acc:ZDB-GENE-060503-634]</t>
  </si>
  <si>
    <t>ENSDARG00000062983</t>
  </si>
  <si>
    <t>fbxo18</t>
  </si>
  <si>
    <t>F-box protein, helicase, 18 [Source:ZFIN;Acc:ZDB-GENE-041210-99]</t>
  </si>
  <si>
    <t>ENSDARG00000076913</t>
  </si>
  <si>
    <t>eme1</t>
  </si>
  <si>
    <t>essential meiotic structure-specific endonuclease 1 [Source:ZFIN;Acc:ZDB-GENE-030131-3191]</t>
  </si>
  <si>
    <t>ENSDARG00000060911</t>
  </si>
  <si>
    <t>si:ch211-126i22.5</t>
  </si>
  <si>
    <t>si:ch211-126i22.5 [Source:ZFIN;Acc:ZDB-GENE-091204-183]</t>
  </si>
  <si>
    <t>ENSDARG00000099021</t>
  </si>
  <si>
    <t>setdb1b</t>
  </si>
  <si>
    <t>SET domain, bifurcated 1b [Source:ZFIN;Acc:ZDB-GENE-061013-224]</t>
  </si>
  <si>
    <t>ENSDARG00000013858</t>
  </si>
  <si>
    <t>cdc14aa</t>
  </si>
  <si>
    <t>cell division cycle 14Aa [Source:ZFIN;Acc:ZDB-GENE-040426-1214]</t>
  </si>
  <si>
    <t>ENSDARG00000024229</t>
  </si>
  <si>
    <t>ubl7a</t>
  </si>
  <si>
    <t>ubiquitin-like 7a (bone marrow stromal cell-derived) [Source:ZFIN;Acc:ZDB-GENE-050417-285]</t>
  </si>
  <si>
    <t>ENSDARG00000054823</t>
  </si>
  <si>
    <t>id3</t>
  </si>
  <si>
    <t>inhibitor of DNA binding 3 [Source:ZFIN;Acc:ZDB-GENE-020515-1]</t>
  </si>
  <si>
    <t>ENSDARG00000002333</t>
  </si>
  <si>
    <t>fam102bb</t>
  </si>
  <si>
    <t>family with sequence similarity 102, member B, b [Source:ZFIN;Acc:ZDB-GENE-041014-330]</t>
  </si>
  <si>
    <t>ENSDARG00000099715</t>
  </si>
  <si>
    <t>si:dkey-152b24.7</t>
  </si>
  <si>
    <t>si:dkey-152b24.7 [Source:ZFIN;Acc:ZDB-GENE-100921-77]</t>
  </si>
  <si>
    <t>ENSDARG00000012397</t>
  </si>
  <si>
    <t>eya4</t>
  </si>
  <si>
    <t>EYA transcriptional coactivator and phosphatase 4 [Source:ZFIN;Acc:ZDB-GENE-050327-93]</t>
  </si>
  <si>
    <t>ENSDARG00000068981</t>
  </si>
  <si>
    <t>glceb</t>
  </si>
  <si>
    <t>glucuronic acid epimerase b [Source:ZFIN;Acc:ZDB-GENE-040630-8]</t>
  </si>
  <si>
    <t>ENSDARG00000074915</t>
  </si>
  <si>
    <t>etaa1</t>
  </si>
  <si>
    <t>Ewing tumor-associated antigen 1 [Source:ZFIN;Acc:ZDB-GENE-080204-12]</t>
  </si>
  <si>
    <t>ENSDARG00000037883</t>
  </si>
  <si>
    <t>prcp</t>
  </si>
  <si>
    <t>prolylcarboxypeptidase (angiotensinase C) [Source:ZFIN;Acc:ZDB-GENE-040718-447]</t>
  </si>
  <si>
    <t>ENSDARG00000035810</t>
  </si>
  <si>
    <t>rgcc</t>
  </si>
  <si>
    <t>regulator of cell cycle [Source:ZFIN;Acc:ZDB-GENE-040704-31]</t>
  </si>
  <si>
    <t>ENSDARG00000068755</t>
  </si>
  <si>
    <t>exosc8</t>
  </si>
  <si>
    <t>exosome component 8 [Source:ZFIN;Acc:ZDB-GENE-030131-1736]</t>
  </si>
  <si>
    <t>ENSDARG00000039729</t>
  </si>
  <si>
    <t>asap1b</t>
  </si>
  <si>
    <t>ArfGAP with SH3 domain, ankyrin repeat and PH domain 1b [Source:ZFIN;Acc:ZDB-GENE-091112-16]</t>
  </si>
  <si>
    <t>ENSDARG00000097812</t>
  </si>
  <si>
    <t>si:ch73-144d13.5</t>
  </si>
  <si>
    <t>si:ch73-144d13.5 [Source:ZFIN;Acc:ZDB-GENE-131120-187]</t>
  </si>
  <si>
    <t>ENSDARG00000077906</t>
  </si>
  <si>
    <t>rnf165a</t>
  </si>
  <si>
    <t>ring finger protein 165a [Source:ZFIN;Acc:ZDB-GENE-091118-64]</t>
  </si>
  <si>
    <t>ENSDARG00000016360</t>
  </si>
  <si>
    <t>kpna1</t>
  </si>
  <si>
    <t>karyopherin alpha 1 (importin alpha 5) [Source:ZFIN;Acc:ZDB-GENE-091116-39]</t>
  </si>
  <si>
    <t>ENSDARG00000040184</t>
  </si>
  <si>
    <t>syncrip</t>
  </si>
  <si>
    <t>synaptotagmin binding, cytoplasmic RNA interacting protein [Source:ZFIN;Acc:ZDB-GENE-030131-4862]</t>
  </si>
  <si>
    <t>ENSDARG00000103824</t>
  </si>
  <si>
    <t>hint1</t>
  </si>
  <si>
    <t>histidine triad nucleotide binding protein 1 [Source:ZFIN;Acc:ZDB-GENE-040927-8]</t>
  </si>
  <si>
    <t>ENSDARG00000094558</t>
  </si>
  <si>
    <t>si:dkeyp-53e4.1</t>
  </si>
  <si>
    <t>si:dkeyp-53e4.1 [Source:ZFIN;Acc:ZDB-GENE-110913-59]</t>
  </si>
  <si>
    <t>ENSDARG00000015059</t>
  </si>
  <si>
    <t>daam1a</t>
  </si>
  <si>
    <t>dishevelled associated activator of morphogenesis 1a [Source:ZFIN;Acc:ZDB-GENE-030911-6]</t>
  </si>
  <si>
    <t>ENSDARG00000032985</t>
  </si>
  <si>
    <t>mrpl27</t>
  </si>
  <si>
    <t>mitochondrial ribosomal protein L27 [Source:ZFIN;Acc:ZDB-GENE-050522-129]</t>
  </si>
  <si>
    <t>ENSDARG00000087190</t>
  </si>
  <si>
    <t>MUC4</t>
  </si>
  <si>
    <t>si:ch73-105b23.6 [Source:ZFIN;Acc:ZDB-GENE-081107-42]</t>
  </si>
  <si>
    <t>ENSDARG00000037884</t>
  </si>
  <si>
    <t>rab30</t>
  </si>
  <si>
    <t>RAB30, member RAS oncogene family [Source:ZFIN;Acc:ZDB-GENE-040718-250]</t>
  </si>
  <si>
    <t>ENSDARG00000100944</t>
  </si>
  <si>
    <t>glrx2</t>
  </si>
  <si>
    <t>glutaredoxin 2 [Source:ZFIN;Acc:ZDB-GENE-040718-101]</t>
  </si>
  <si>
    <t>ENSDARG00000040380</t>
  </si>
  <si>
    <t>arhgef1a</t>
  </si>
  <si>
    <t>Rho guanine nucleotide exchange factor (GEF) 1a [Source:ZFIN;Acc:ZDB-GENE-030722-5]</t>
  </si>
  <si>
    <t>ENSDARG00000077643</t>
  </si>
  <si>
    <t>lypd6b</t>
  </si>
  <si>
    <t>LY6/PLAUR domain containing 6B [Source:ZFIN;Acc:ZDB-GENE-050522-38]</t>
  </si>
  <si>
    <t>ENSDARG00000095245</t>
  </si>
  <si>
    <t>si:ch211-157j23.5</t>
  </si>
  <si>
    <t>si:ch211-157j23.5 [Source:ZFIN;Acc:ZDB-GENE-131122-55]</t>
  </si>
  <si>
    <t>ENSDARG00000070055</t>
  </si>
  <si>
    <t>arfip1</t>
  </si>
  <si>
    <t>ADP-ribosylation factor interacting protein 1 (arfaptin 1) [Source:ZFIN;Acc:ZDB-GENE-040426-2690]</t>
  </si>
  <si>
    <t>ENSDARG00000097179</t>
  </si>
  <si>
    <t>si:ch211-197c20.3</t>
  </si>
  <si>
    <t>si:ch211-197c20.3 [Source:ZFIN;Acc:ZDB-GENE-131121-558]</t>
  </si>
  <si>
    <t>ENSDARG00000076920</t>
  </si>
  <si>
    <t>ZNF335</t>
  </si>
  <si>
    <t>si:ch211-269m15.3 [Source:ZFIN;Acc:ZDB-GENE-141211-7]</t>
  </si>
  <si>
    <t>ENSDARG00000062362</t>
  </si>
  <si>
    <t>tpcn1</t>
  </si>
  <si>
    <t>two pore segment channel 1 [Source:ZFIN;Acc:ZDB-GENE-060526-199]</t>
  </si>
  <si>
    <t>ENSDARG00000012141</t>
  </si>
  <si>
    <t>papolg</t>
  </si>
  <si>
    <t>poly(A) polymerase gamma [Source:ZFIN;Acc:ZDB-GENE-040426-1256]</t>
  </si>
  <si>
    <t>ENSDARG00000044626</t>
  </si>
  <si>
    <t>ccdc90b</t>
  </si>
  <si>
    <t>coiled-coil domain containing 90B [Source:ZFIN;Acc:ZDB-GENE-040724-162]</t>
  </si>
  <si>
    <t>ENSDARG00000038225</t>
  </si>
  <si>
    <t>nras</t>
  </si>
  <si>
    <t>neuroblastoma RAS viral (v-ras) oncogene homolog [Source:ZFIN;Acc:ZDB-GENE-990415-166]</t>
  </si>
  <si>
    <t>ENSDARG00000002949</t>
  </si>
  <si>
    <t>ppp6c</t>
  </si>
  <si>
    <t>protein phosphatase 6, catalytic subunit [Source:ZFIN;Acc:ZDB-GENE-040426-949]</t>
  </si>
  <si>
    <t>ENSDARG00000019299</t>
  </si>
  <si>
    <t>znf687b</t>
  </si>
  <si>
    <t>zinc finger protein 687b [Source:ZFIN;Acc:ZDB-GENE-041111-214]</t>
  </si>
  <si>
    <t>ENSDARG00000095351</t>
  </si>
  <si>
    <t>si:ch73-308b14.1</t>
  </si>
  <si>
    <t>si:ch73-308b14.1 [Source:ZFIN;Acc:ZDB-GENE-091204-411]</t>
  </si>
  <si>
    <t>ENSDARG00000037059</t>
  </si>
  <si>
    <t>slc44a2</t>
  </si>
  <si>
    <t>solute carrier family 44 (choline transporter), member 2 [Source:ZFIN;Acc:ZDB-GENE-030131-3065]</t>
  </si>
  <si>
    <t>ENSDARG00000032603</t>
  </si>
  <si>
    <t>st7l</t>
  </si>
  <si>
    <t>suppression of tumorigenicity 7 like [Source:ZFIN;Acc:ZDB-GENE-080219-43]</t>
  </si>
  <si>
    <t>ENSDARG00000016084</t>
  </si>
  <si>
    <t>spsb4a</t>
  </si>
  <si>
    <t>splA/ryanodine receptor domain and SOCS box containing 4a [Source:ZFIN;Acc:ZDB-GENE-070911-3]</t>
  </si>
  <si>
    <t>ENSDARG00000092846</t>
  </si>
  <si>
    <t>PGBD4</t>
  </si>
  <si>
    <t>zgc:162611 [Source:ZFIN;Acc:ZDB-GENE-070410-87]</t>
  </si>
  <si>
    <t>ENSDARG00000099124</t>
  </si>
  <si>
    <t>f3a</t>
  </si>
  <si>
    <t>coagulation factor IIIa [Source:ZFIN;Acc:ZDB-GENE-071119-5]</t>
  </si>
  <si>
    <t>ENSDARG00000104944</t>
  </si>
  <si>
    <t>si:ch73-36p18.2</t>
  </si>
  <si>
    <t>si:ch73-36p18.2 [Source:ZFIN;Acc:ZDB-GENE-131127-56]</t>
  </si>
  <si>
    <t>ENSDARG00000095459</t>
  </si>
  <si>
    <t>si:ch211-191j22.3</t>
  </si>
  <si>
    <t>si:ch211-191j22.3 [Source:ZFIN;Acc:ZDB-GENE-030131-4242]</t>
  </si>
  <si>
    <t>ENSDARG00000022350</t>
  </si>
  <si>
    <t>nek1</t>
  </si>
  <si>
    <t>NIMA-related kinase 1 [Source:ZFIN;Acc:ZDB-GENE-040730-1]</t>
  </si>
  <si>
    <t>ENSDARG00000054837</t>
  </si>
  <si>
    <t>zgc:136870</t>
  </si>
  <si>
    <t>zgc:136870 [Source:ZFIN;Acc:ZDB-GENE-060312-1]</t>
  </si>
  <si>
    <t>ENSDARG00000002912</t>
  </si>
  <si>
    <t>adipor1a</t>
  </si>
  <si>
    <t>adiponectin receptor 1a [Source:ZFIN;Acc:ZDB-GENE-040718-169]</t>
  </si>
  <si>
    <t>ENSDARG00000051778</t>
  </si>
  <si>
    <t>zgc:194989</t>
  </si>
  <si>
    <t>zgc:194989 [Source:ZFIN;Acc:ZDB-GENE-080723-3]</t>
  </si>
  <si>
    <t>ENSDARG00000005154</t>
  </si>
  <si>
    <t>aspa</t>
  </si>
  <si>
    <t>aspartoacylase [Source:ZFIN;Acc:ZDB-GENE-080204-11]</t>
  </si>
  <si>
    <t>ENSDARG00000020008</t>
  </si>
  <si>
    <t>vcp</t>
  </si>
  <si>
    <t>valosin containing protein [Source:ZFIN;Acc:ZDB-GENE-030131-5408]</t>
  </si>
  <si>
    <t>ENSDARG00000091446</t>
  </si>
  <si>
    <t>si:dkey-261m9.17</t>
  </si>
  <si>
    <t>si:dkey-261m9.17 [Source:ZFIN;Acc:ZDB-GENE-131127-169]</t>
  </si>
  <si>
    <t>ENSDARG00000092478</t>
  </si>
  <si>
    <t>sdhaf1</t>
  </si>
  <si>
    <t>succinate dehydrogenase complex assembly factor 1 [Source:ZFIN;Acc:ZDB-GENE-050809-56]</t>
  </si>
  <si>
    <t>ENSDARG00000097480</t>
  </si>
  <si>
    <t>si:dkey-263j23.1</t>
  </si>
  <si>
    <t>si:dkey-263j23.1 [Source:ZFIN;Acc:ZDB-GENE-131120-109]</t>
  </si>
  <si>
    <t>ENSDARG00000043485</t>
  </si>
  <si>
    <t>si:ch211-22i13.2</t>
  </si>
  <si>
    <t>si:ch211-22i13.2 [Source:ZFIN;Acc:ZDB-GENE-041014-143]</t>
  </si>
  <si>
    <t>ENSDARG00000097785</t>
  </si>
  <si>
    <t>HIST2H3A</t>
  </si>
  <si>
    <t>si:dkey-261m9.10 [Source:ZFIN;Acc:ZDB-GENE-131121-57]</t>
  </si>
  <si>
    <t>ENSDARG00000090941</t>
  </si>
  <si>
    <t>si:ch73-36p18.4</t>
  </si>
  <si>
    <t>si:ch73-36p18.4 [Source:ZFIN;Acc:ZDB-GENE-131127-177]</t>
  </si>
  <si>
    <t>ENSDARG00000078658</t>
  </si>
  <si>
    <t>supt20</t>
  </si>
  <si>
    <t>SPT20 homolog, SAGA complex component [Source:ZFIN;Acc:ZDB-GENE-091204-264]</t>
  </si>
  <si>
    <t>ENSDARG00000036386</t>
  </si>
  <si>
    <t>rbm4.1</t>
  </si>
  <si>
    <t>RNA binding motif protein 4.1 [Source:ZFIN;Acc:ZDB-GENE-030131-3902]</t>
  </si>
  <si>
    <t>ENSDARG00000042978</t>
  </si>
  <si>
    <t>cyp2p6</t>
  </si>
  <si>
    <t>cytochrome P450, family 2, subfamily P, polypeptide 6 [Source:ZFIN;Acc:ZDB-GENE-040426-790]</t>
  </si>
  <si>
    <t>ENSDARG00000092395</t>
  </si>
  <si>
    <t>si:ch73-36p18.1</t>
  </si>
  <si>
    <t>si:ch73-36p18.1 [Source:ZFIN;Acc:ZDB-GENE-131121-2]</t>
  </si>
  <si>
    <t>ENSDARG00000090689</t>
  </si>
  <si>
    <t>hbbe1.2</t>
  </si>
  <si>
    <t>hemoglobin beta embryonic-1.2 [Source:ZFIN;Acc:ZDB-GENE-090501-3]</t>
  </si>
  <si>
    <t>ENSDARG00000075296</t>
  </si>
  <si>
    <t>fam83c</t>
  </si>
  <si>
    <t>family with sequence similarity 83, member C [Source:ZFIN;Acc:ZDB-GENE-120201-3]</t>
  </si>
  <si>
    <t>ENSDARG00000095139</t>
  </si>
  <si>
    <t>si:dkey-178o8.2</t>
  </si>
  <si>
    <t>si:dkey-178o8.2 [Source:ZFIN;Acc:ZDB-GENE-090311-39]</t>
  </si>
  <si>
    <t>ENSDARG00000040513</t>
  </si>
  <si>
    <t>zgc:92313</t>
  </si>
  <si>
    <t>zgc:92313 [Source:ZFIN;Acc:ZDB-GENE-040718-339]</t>
  </si>
  <si>
    <t>ENSDARG00000016964</t>
  </si>
  <si>
    <t>MCUR1</t>
  </si>
  <si>
    <t>zgc:165532 [Source:ZFIN;Acc:ZDB-GENE-050417-213]</t>
  </si>
  <si>
    <t>ENSDARG00000077587</t>
  </si>
  <si>
    <t>zgc:113984</t>
  </si>
  <si>
    <t>zgc:113984 [Source:ZFIN;Acc:ZDB-GENE-050626-82]</t>
  </si>
  <si>
    <t>ENSDARG00000015749</t>
  </si>
  <si>
    <t>hps3</t>
  </si>
  <si>
    <t>Hermansky-Pudlak syndrome 3 [Source:ZFIN;Acc:ZDB-GENE-061110-115]</t>
  </si>
  <si>
    <t>ENSDARG00000020057</t>
  </si>
  <si>
    <t>bmpr2b</t>
  </si>
  <si>
    <t>bone morphogenetic protein receptor, type II b (serine/threonine kinase) [Source:ZFIN;Acc:ZDB-GENE-070618-2]</t>
  </si>
  <si>
    <t>ENSDARG00000056583</t>
  </si>
  <si>
    <t>ndufs6</t>
  </si>
  <si>
    <t>NADH dehydrogenase (ubiquinone) Fe-S protein 6 [Source:ZFIN;Acc:ZDB-GENE-040912-86]</t>
  </si>
  <si>
    <t>ENSDARG00000086304</t>
  </si>
  <si>
    <t>si:ch73-36p18.5</t>
  </si>
  <si>
    <t>si:ch73-36p18.5 [Source:ZFIN;Acc:ZDB-GENE-131127-88]</t>
  </si>
  <si>
    <t>ENSDARG00000062178</t>
  </si>
  <si>
    <t>fam65a</t>
  </si>
  <si>
    <t>family with sequence similarity 65, member A [Source:ZFIN;Acc:ZDB-GENE-050420-32]</t>
  </si>
  <si>
    <t>ENSDARG00000088330</t>
  </si>
  <si>
    <t>si:ch211-5k11.2</t>
  </si>
  <si>
    <t>ENSDARG00000097020</t>
  </si>
  <si>
    <t>HIST2H3D.3</t>
  </si>
  <si>
    <t>si:dkey-261m9.8 [Source:ZFIN;Acc:ZDB-GENE-131127-42]</t>
  </si>
  <si>
    <t>ENSDARG00000086808</t>
  </si>
  <si>
    <t>ddhd1a</t>
  </si>
  <si>
    <t>DDHD domain containing 1a [Source:ZFIN;Acc:ZDB-GENE-111020-16]</t>
  </si>
  <si>
    <t>ENSDARG00000051761</t>
  </si>
  <si>
    <t>trim44</t>
  </si>
  <si>
    <t>tripartite motif containing 44 [Source:ZFIN;Acc:ZDB-GENE-050522-37]</t>
  </si>
  <si>
    <t>ENSDARG00000093195</t>
  </si>
  <si>
    <t>HIST1H2BA.13</t>
  </si>
  <si>
    <t>si:dkey-261m9.6 [Source:ZFIN;Acc:ZDB-GENE-131127-103]</t>
  </si>
  <si>
    <t>ENSDARG00000079905</t>
  </si>
  <si>
    <t>mark2a</t>
  </si>
  <si>
    <t>MAP/microtubule affinity-regulating kinase 2a [Source:ZFIN;Acc:ZDB-GENE-030131-4145]</t>
  </si>
  <si>
    <t>ENSDARG00000056245</t>
  </si>
  <si>
    <t>zgc:162952</t>
  </si>
  <si>
    <t>zgc:162952 [Source:ZFIN;Acc:ZDB-GENE-070424-98]</t>
  </si>
  <si>
    <t>ENSDARG00000095180</t>
  </si>
  <si>
    <t>ABR</t>
  </si>
  <si>
    <t>si:ch211-253h3.1 [Source:ZFIN;Acc:ZDB-GENE-070705-146]</t>
  </si>
  <si>
    <t>ENSDARG00000089963</t>
  </si>
  <si>
    <t>hbbe1.1</t>
  </si>
  <si>
    <t>hemoglobin beta embryonic-1.1 [Source:ZFIN;Acc:ZDB-GENE-030616-7]</t>
  </si>
  <si>
    <t>ENSDARG00000102889</t>
  </si>
  <si>
    <t>sept15</t>
  </si>
  <si>
    <t>septin 15 [Source:ZFIN;Acc:ZDB-GENE-061103-265]</t>
  </si>
  <si>
    <t>ENSDARG00000043740</t>
  </si>
  <si>
    <t>efcab11</t>
  </si>
  <si>
    <t>EF-hand calcium binding domain 11 [Source:ZFIN;Acc:ZDB-GENE-050417-348]</t>
  </si>
  <si>
    <t>ENSDARG00000002071</t>
  </si>
  <si>
    <t>adss</t>
  </si>
  <si>
    <t>adenylosuccinate synthase [Source:ZFIN;Acc:ZDB-GENE-050417-337]</t>
  </si>
  <si>
    <t>ENSDARG00000032637</t>
  </si>
  <si>
    <t>si:dkey-261m9.12</t>
  </si>
  <si>
    <t>si:dkey-261m9.12 [Source:ZFIN;Acc:ZDB-GENE-131126-58]</t>
  </si>
  <si>
    <t>ENSDARG00000097721</t>
  </si>
  <si>
    <t>si:dkey-234i14.21</t>
  </si>
  <si>
    <t>si:dkey-234i14.21 [Source:ZFIN;Acc:ZDB-GENE-131120-51]</t>
  </si>
  <si>
    <t>ENSDARG00000076129</t>
  </si>
  <si>
    <t>si:ch73-36p18.3</t>
  </si>
  <si>
    <t>si:ch73-36p18.3 [Source:ZFIN;Acc:ZDB-GENE-131127-85]</t>
  </si>
  <si>
    <t>ENSDARG00000016056</t>
  </si>
  <si>
    <t>mhc1laa</t>
  </si>
  <si>
    <t>major histocompatibility complex class I LAA [Source:ZFIN;Acc:ZDB-GENE-050417-464]</t>
  </si>
  <si>
    <t>ENSDARG00000089737</t>
  </si>
  <si>
    <t>si:dkey-108k21.23</t>
  </si>
  <si>
    <t>si:dkey-108k21.23 [Source:ZFIN;Acc:ZDB-GENE-131121-114]</t>
  </si>
  <si>
    <t>ENSDARG00000099730</t>
  </si>
  <si>
    <t>pkma</t>
  </si>
  <si>
    <t>pyruvate kinase, muscle, a [Source:ZFIN;Acc:ZDB-GENE-031201-4]</t>
  </si>
  <si>
    <t>ENSDARG00000097258</t>
  </si>
  <si>
    <t>si:dkey-108k21.25</t>
  </si>
  <si>
    <t>si:dkey-108k21.25 [Source:ZFIN;Acc:ZDB-GENE-131121-61]</t>
  </si>
  <si>
    <t>ENSDARG00000094012</t>
  </si>
  <si>
    <t>si:dkey-192g7.3</t>
  </si>
  <si>
    <t>si:dkey-192g7.3 [Source:ZFIN;Acc:ZDB-GENE-070912-411]</t>
  </si>
  <si>
    <t>ENSDARG00000091905</t>
  </si>
  <si>
    <t>si:dkey-108k21.21</t>
  </si>
  <si>
    <t>si:dkey-108k21.21 [Source:ZFIN;Acc:ZDB-GENE-131127-5]</t>
  </si>
  <si>
    <t>ENSDARG00000087390</t>
  </si>
  <si>
    <t>si:ch211-5k11.12</t>
  </si>
  <si>
    <t>si:ch211-5k11.12 [Source:ZFIN;Acc:ZDB-GENE-131120-128]</t>
  </si>
  <si>
    <t>ENSDARG00000070607</t>
  </si>
  <si>
    <t>mrpl36</t>
  </si>
  <si>
    <t>mitochondrial ribosomal protein L36 [Source:ZFIN;Acc:ZDB-GENE-060503-821]</t>
  </si>
  <si>
    <t>ENSDARG00000103032</t>
  </si>
  <si>
    <t>rap2b</t>
  </si>
  <si>
    <t>RAP2B, member of RAS oncogene family [Source:ZFIN;Acc:ZDB-GENE-040426-2818]</t>
  </si>
  <si>
    <t>ENSDARG00000074656</t>
  </si>
  <si>
    <t>ctss2.1</t>
  </si>
  <si>
    <t>cathepsin S, ortholog2, tandem duplicate 1 [Source:ZFIN;Acc:ZDB-GENE-050522-559]</t>
  </si>
  <si>
    <t>ENSDARG00000021380</t>
  </si>
  <si>
    <t>ppm1db</t>
  </si>
  <si>
    <t>protein phosphatase, Mg2+/Mn2+ dependent, 1Db [Source:ZFIN;Acc:ZDB-GENE-041114-27]</t>
  </si>
  <si>
    <t>ENSDARG00000027199</t>
  </si>
  <si>
    <t>smad1</t>
  </si>
  <si>
    <t>SMAD family member 1 [Source:ZFIN;Acc:ZDB-GENE-991119-8]</t>
  </si>
  <si>
    <t>ENSDARG00000061379</t>
  </si>
  <si>
    <t>cmya5</t>
  </si>
  <si>
    <t>cardiomyopathy associated 5 [Source:ZFIN;Acc:ZDB-GENE-070630-1]</t>
  </si>
  <si>
    <t>ENSDARG00000075932</t>
  </si>
  <si>
    <t>si:ch73-211l2.3</t>
  </si>
  <si>
    <t>si:ch73-211l2.3 [Source:ZFIN;Acc:ZDB-GENE-081105-52]</t>
  </si>
  <si>
    <t>ENSDARG00000068982</t>
  </si>
  <si>
    <t>si:rp71-56i13.6</t>
  </si>
  <si>
    <t>si:rp71-56i13.6 [Source:ZFIN;Acc:ZDB-GENE-060503-471]</t>
  </si>
  <si>
    <t>ENSDARG00000028192</t>
  </si>
  <si>
    <t>cradd</t>
  </si>
  <si>
    <t>CASP2 and RIPK1 domain containing adaptor with death domain [Source:ZFIN;Acc:ZDB-GENE-041010-168]</t>
  </si>
  <si>
    <t>ENSDARG00000077138</t>
  </si>
  <si>
    <t>zgc:195173</t>
  </si>
  <si>
    <t>zgc:195173 [Source:ZFIN;Acc:ZDB-GENE-081022-190]</t>
  </si>
  <si>
    <t>ENSDARG00000089124</t>
  </si>
  <si>
    <t>si:ch211-5k11.2.1</t>
  </si>
  <si>
    <t>si:ch211-5k11.2 [Source:ZFIN;Acc:ZDB-GENE-061207-39]</t>
  </si>
  <si>
    <t>ENSDARG00000028523</t>
  </si>
  <si>
    <t>inip</t>
  </si>
  <si>
    <t>ints3 and nabp interacting protein [Source:ZFIN;Acc:ZDB-GENE-040426-961]</t>
  </si>
  <si>
    <t>ENSDARG00000071051</t>
  </si>
  <si>
    <t>cbx6a</t>
  </si>
  <si>
    <t>chromobox homolog 6a [Source:ZFIN;Acc:ZDB-GENE-040808-26]</t>
  </si>
  <si>
    <t>ENSDARG00000097795</t>
  </si>
  <si>
    <t>si:ch73-195i19.3</t>
  </si>
  <si>
    <t>si:ch73-195i19.3 [Source:ZFIN;Acc:ZDB-GENE-131127-583]</t>
  </si>
  <si>
    <t>ENSDARG00000012073</t>
  </si>
  <si>
    <t>kif15</t>
  </si>
  <si>
    <t>kinesin family member 15 [Source:ZFIN;Acc:ZDB-GENE-050622-16]</t>
  </si>
  <si>
    <t>ENSDARG00000028386</t>
  </si>
  <si>
    <t>htatip2</t>
  </si>
  <si>
    <t>HIV-1 Tat interactive protein 2 [Source:ZFIN;Acc:ZDB-GENE-001219-1]</t>
  </si>
  <si>
    <t>ENSDARG00000100867</t>
  </si>
  <si>
    <t>rictora</t>
  </si>
  <si>
    <t>RPTOR independent companion of MTOR, complex 2 a [Source:ZFIN;Acc:ZDB-GENE-060526-49]</t>
  </si>
  <si>
    <t>ENSDARG00000004753</t>
  </si>
  <si>
    <t>mylkb</t>
  </si>
  <si>
    <t>myosin light chain kinase b [Source:ZFIN;Acc:ZDB-GENE-041111-150]</t>
  </si>
  <si>
    <t>ENSDARG00000071360</t>
  </si>
  <si>
    <t>morn2</t>
  </si>
  <si>
    <t>MORN repeat containing 2 [Source:ZFIN;Acc:ZDB-GENE-060825-230]</t>
  </si>
  <si>
    <t>ENSDARG00000075395</t>
  </si>
  <si>
    <t>dguok</t>
  </si>
  <si>
    <t>deoxyguanosine kinase [Source:ZFIN;Acc:ZDB-GENE-040625-14]</t>
  </si>
  <si>
    <t>ENSDARG00000097434</t>
  </si>
  <si>
    <t>si:dkey-202b22.8</t>
  </si>
  <si>
    <t>si:dkey-202b22.8 [Source:ZFIN;Acc:ZDB-GENE-131127-228]</t>
  </si>
  <si>
    <t>ENSDARG00000097496</t>
  </si>
  <si>
    <t>si:dkey-6e2.2</t>
  </si>
  <si>
    <t>si:dkey-6e2.2 [Source:ZFIN;Acc:ZDB-GENE-131121-72]</t>
  </si>
  <si>
    <t>ENSDARG00000041339</t>
  </si>
  <si>
    <t>zgc:92380</t>
  </si>
  <si>
    <t>zgc:92380 [Source:ZFIN;Acc:ZDB-GENE-040801-221]</t>
  </si>
  <si>
    <t>ENSDARG00000074410</t>
  </si>
  <si>
    <t>brip1</t>
  </si>
  <si>
    <t>BRCA1 interacting protein C-terminal helicase 1 [Source:ZFIN;Acc:ZDB-GENE-081107-11]</t>
  </si>
  <si>
    <t>ENSDARG00000039346</t>
  </si>
  <si>
    <t>ndufa5</t>
  </si>
  <si>
    <t>NADH dehydrogenase (ubiquinone) 1 alpha subcomplex, 5 [Source:ZFIN;Acc:ZDB-GENE-050320-17]</t>
  </si>
  <si>
    <t>ENSDARG00000017983</t>
  </si>
  <si>
    <t>rsph14</t>
  </si>
  <si>
    <t>radial spoke head 14 homolog (Chlamydomonas) [Source:ZFIN;Acc:ZDB-GENE-081104-375]</t>
  </si>
  <si>
    <t>ENSDARG00000073756</t>
  </si>
  <si>
    <t>slc12a7a</t>
  </si>
  <si>
    <t>solute carrier family 12 (potassium/chloride transporter), member 7a [Source:ZFIN;Acc:ZDB-GENE-070912-696]</t>
  </si>
  <si>
    <t>ENSDARG00000057912</t>
  </si>
  <si>
    <t>eif1axb</t>
  </si>
  <si>
    <t>eukaryotic translation initiation factor 1A, X-linked, b [Source:ZFIN;Acc:ZDB-GENE-030131-1319]</t>
  </si>
  <si>
    <t>ENSDARG00000059583</t>
  </si>
  <si>
    <t>wbscr16</t>
  </si>
  <si>
    <t>Williams-Beuren syndrome chromosome region 16 homolog (human) [Source:ZFIN;Acc:ZDB-GENE-060526-370]</t>
  </si>
  <si>
    <t>ENSDARG00000092816</t>
  </si>
  <si>
    <t>si:dkey-93n13.2</t>
  </si>
  <si>
    <t>si:dkey-93n13.2 [Source:ZFIN;Acc:ZDB-GENE-091204-177]</t>
  </si>
  <si>
    <t>ENSDARG00000098213</t>
  </si>
  <si>
    <t>si:ch211-59m15.1</t>
  </si>
  <si>
    <t>si:ch211-59m15.1 [Source:ZFIN;Acc:ZDB-GENE-060503-43]</t>
  </si>
  <si>
    <t>ENSDARG00000043179</t>
  </si>
  <si>
    <t>bag4</t>
  </si>
  <si>
    <t>BCL2-associated athanogene 4 [Source:ZFIN;Acc:ZDB-GENE-030131-5484]</t>
  </si>
  <si>
    <t>ENSDARG00000000002</t>
  </si>
  <si>
    <t>ccdc80</t>
  </si>
  <si>
    <t>coiled-coil domain containing 80 [Source:ZFIN;Acc:ZDB-GENE-030616-56]</t>
  </si>
  <si>
    <t>ENSDARG00000017199</t>
  </si>
  <si>
    <t>elp2</t>
  </si>
  <si>
    <t>elongator acetyltransferase complex subunit 2 [Source:ZFIN;Acc:ZDB-GENE-060503-525]</t>
  </si>
  <si>
    <t>ENSDARG00000070430</t>
  </si>
  <si>
    <t>chtopb</t>
  </si>
  <si>
    <t>chromatin target of PRMT1b [Source:ZFIN;Acc:ZDB-GENE-061013-712]</t>
  </si>
  <si>
    <t>ENSDARG00000057026</t>
  </si>
  <si>
    <t>ran</t>
  </si>
  <si>
    <t>RAN, member RAS oncogene family [Source:ZFIN;Acc:ZDB-GENE-990415-88]</t>
  </si>
  <si>
    <t>ENSDARG00000037358</t>
  </si>
  <si>
    <t>polr3e</t>
  </si>
  <si>
    <t>polymerase (RNA) III (DNA directed) polypeptide E [Source:ZFIN;Acc:ZDB-GENE-030131-8462]</t>
  </si>
  <si>
    <t>ENSDARG00000075622</t>
  </si>
  <si>
    <t>zgc:174938</t>
  </si>
  <si>
    <t>zgc:174938 [Source:ZFIN;Acc:ZDB-GENE-070928-44]</t>
  </si>
  <si>
    <t>ENSDARG00000043177</t>
  </si>
  <si>
    <t>lsm1</t>
  </si>
  <si>
    <t>LSM1, U6 small nuclear RNA associated [Source:ZFIN;Acc:ZDB-GENE-040801-68]</t>
  </si>
  <si>
    <t>ENSDARG00000018743</t>
  </si>
  <si>
    <t>scamp5a</t>
  </si>
  <si>
    <t>secretory carrier membrane protein 5a [Source:ZFIN;Acc:ZDB-GENE-030131-3188]</t>
  </si>
  <si>
    <t>ENSDARG00000070917</t>
  </si>
  <si>
    <t>kitlga</t>
  </si>
  <si>
    <t>kit ligand a [Source:ZFIN;Acc:ZDB-GENE-070424-1]</t>
  </si>
  <si>
    <t>ENSDARG00000037917</t>
  </si>
  <si>
    <t>itga3a</t>
  </si>
  <si>
    <t>integrin, alpha 3a [Source:ZFIN;Acc:ZDB-GENE-090805-3]</t>
  </si>
  <si>
    <t>ENSDARG00000086998</t>
  </si>
  <si>
    <t>NNMT</t>
  </si>
  <si>
    <t>zgc:64002 [Source:ZFIN;Acc:ZDB-GENE-040426-1329]</t>
  </si>
  <si>
    <t>ENSDARG00000022518</t>
  </si>
  <si>
    <t>pex5la</t>
  </si>
  <si>
    <t>peroxisomal biogenesis factor 5-like a [Source:ZFIN;Acc:ZDB-GENE-070705-298]</t>
  </si>
  <si>
    <t>ENSDARG00000079815</t>
  </si>
  <si>
    <t>lyrm7</t>
  </si>
  <si>
    <t>LYR motif containing 7 [Source:ZFIN;Acc:ZDB-GENE-070615-32]</t>
  </si>
  <si>
    <t>ENSDARG00000015201</t>
  </si>
  <si>
    <t>pcmt</t>
  </si>
  <si>
    <t>protein-L-isoaspartate (D-aspartate) O-methyltransferase [Source:ZFIN;Acc:ZDB-GENE-990415-134]</t>
  </si>
  <si>
    <t>ENSDARG00000000001</t>
  </si>
  <si>
    <t>slc35a5</t>
  </si>
  <si>
    <t>solute carrier family 35, member A5 [Source:ZFIN;Acc:ZDB-GENE-030616-55]</t>
  </si>
  <si>
    <t>ENSDARG00000088924</t>
  </si>
  <si>
    <t>CENPU</t>
  </si>
  <si>
    <t>si:dkey-185e18.7 [Source:ZFIN;Acc:ZDB-GENE-141215-72]</t>
  </si>
  <si>
    <t>ENSDARG00000062916</t>
  </si>
  <si>
    <t>mrpl37</t>
  </si>
  <si>
    <t>mitochondrial ribosomal protein L37 [Source:ZFIN;Acc:ZDB-GENE-050309-20]</t>
  </si>
  <si>
    <t>ENSDARG00000055270</t>
  </si>
  <si>
    <t>si:ch1073-358c10.1</t>
  </si>
  <si>
    <t>si:ch1073-358c10.1 [Source:ZFIN;Acc:ZDB-GENE-050309-123]</t>
  </si>
  <si>
    <t>ENSDARG00000087558</t>
  </si>
  <si>
    <t>si:ch73-105b23.1</t>
  </si>
  <si>
    <t>si:ch73-105b23.1 [Source:ZFIN;Acc:ZDB-GENE-081107-41]</t>
  </si>
  <si>
    <t>ENSDARG00000074623</t>
  </si>
  <si>
    <t>tbc1d31</t>
  </si>
  <si>
    <t>TBC1 domain family, member 31 [Source:ZFIN;Acc:ZDB-GENE-061218-4]</t>
  </si>
  <si>
    <t>ENSDARG00000074098</t>
  </si>
  <si>
    <t>si:ch211-86h15.1</t>
  </si>
  <si>
    <t>si:ch211-86h15.1 [Source:ZFIN;Acc:ZDB-GENE-081107-38]</t>
  </si>
  <si>
    <t>ENSDARG00000056907</t>
  </si>
  <si>
    <t>si:rp71-45g20.10</t>
  </si>
  <si>
    <t>si:rp71-45g20.10 [Source:ZFIN;Acc:ZDB-GENE-070912-707]</t>
  </si>
  <si>
    <t>ENSDARG00000104490</t>
  </si>
  <si>
    <t>si:ch211-185j11.3</t>
  </si>
  <si>
    <t>si:ch211-185j11.3 [Source:ZFIN;Acc:ZDB-GENE-060526-63]</t>
  </si>
  <si>
    <t>ENSDARG00000078815</t>
  </si>
  <si>
    <t>grk5l</t>
  </si>
  <si>
    <t>G protein-coupled receptor kinase 5 like [Source:ZFIN;Acc:ZDB-GENE-081105-95]</t>
  </si>
  <si>
    <t>ENSDARG00000088408</t>
  </si>
  <si>
    <t>si:ch211-171h4.7</t>
  </si>
  <si>
    <t>si:ch211-171h4.7 [Source:ZFIN;Acc:ZDB-GENE-120215-25]</t>
  </si>
  <si>
    <t>ENSDARG00000077337</t>
  </si>
  <si>
    <t>si:ch211-171h4.5</t>
  </si>
  <si>
    <t>si:ch211-171h4.5 [Source:ZFIN;Acc:ZDB-GENE-081104-151]</t>
  </si>
  <si>
    <t>ENSDARG00000055536</t>
  </si>
  <si>
    <t>otub1a</t>
  </si>
  <si>
    <t>OTU deubiquitinase, ubiquitin aldehyde binding 1a [Source:ZFIN;Acc:ZDB-GENE-040718-108]</t>
  </si>
  <si>
    <t>ENSDARG00000012833</t>
  </si>
  <si>
    <t>foxn3</t>
  </si>
  <si>
    <t>forkhead box N3 [Source:ZFIN;Acc:ZDB-GENE-060512-39]</t>
  </si>
  <si>
    <t>ENSDARG00000063190</t>
  </si>
  <si>
    <t>zranb1b</t>
  </si>
  <si>
    <t>zinc finger, RAN-binding domain containing 1b [Source:ZFIN;Acc:ZDB-GENE-061110-94]</t>
  </si>
  <si>
    <t>ENSDARG00000042025</t>
  </si>
  <si>
    <t>si:dkeyp-118h3.6</t>
  </si>
  <si>
    <t>si:dkeyp-118h3.6 [Source:ZFIN;Acc:ZDB-GENE-050809-8]</t>
  </si>
  <si>
    <t>ENSDARG00000102695</t>
  </si>
  <si>
    <t>znf1039</t>
  </si>
  <si>
    <t>zinc finger protein 1039 [Source:ZFIN;Acc:ZDB-GENE-110913-141]</t>
  </si>
  <si>
    <t>ENSDARG00000067805</t>
  </si>
  <si>
    <t>ggcx</t>
  </si>
  <si>
    <t>gamma-glutamyl carboxylase [Source:ZFIN;Acc:ZDB-GENE-030826-27]</t>
  </si>
  <si>
    <t>ENSDARG00000100386</t>
  </si>
  <si>
    <t>si:dkey-61p9.9.1</t>
  </si>
  <si>
    <t>ENSDARG00000069790</t>
  </si>
  <si>
    <t>dynll2a</t>
  </si>
  <si>
    <t>dynein, light chain, LC8-type 2a [Source:ZFIN;Acc:ZDB-GENE-030828-11]</t>
  </si>
  <si>
    <t>ENSDARG00000103404</t>
  </si>
  <si>
    <t>uchl5</t>
  </si>
  <si>
    <t>ubiquitin carboxyl-terminal hydrolase L5 [Source:ZFIN;Acc:ZDB-GENE-040426-2051]</t>
  </si>
  <si>
    <t>ENSDARG00000039486</t>
  </si>
  <si>
    <t>bag3</t>
  </si>
  <si>
    <t>BCL2-associated athanogene 3 [Source:ZFIN;Acc:ZDB-GENE-040801-40]</t>
  </si>
  <si>
    <t>ENSDARG00000052290</t>
  </si>
  <si>
    <t>rab33ba</t>
  </si>
  <si>
    <t>RAB33B, member RAS oncogene family a [Source:ZFIN;Acc:ZDB-GENE-050809-122]</t>
  </si>
  <si>
    <t>ENSDARG00000004460</t>
  </si>
  <si>
    <t>desi2</t>
  </si>
  <si>
    <t>desumoylating isopeptidase 2 [Source:ZFIN;Acc:ZDB-GENE-040801-39]</t>
  </si>
  <si>
    <t>ENSDARG00000042252</t>
  </si>
  <si>
    <t>eif4h</t>
  </si>
  <si>
    <t>eukaryotic translation initiation factor 4h [Source:ZFIN;Acc:ZDB-GENE-010328-19]</t>
  </si>
  <si>
    <t>ENSDARG00000020250</t>
  </si>
  <si>
    <t>rhoj</t>
  </si>
  <si>
    <t>ras homolog family member J [Source:ZFIN;Acc:ZDB-GENE-040724-272]</t>
  </si>
  <si>
    <t>ENSDARG00000103536</t>
  </si>
  <si>
    <t>si:dkey-157e10.7</t>
  </si>
  <si>
    <t>si:dkey-157e10.7 [Source:ZFIN;Acc:ZDB-GENE-110914-224]</t>
  </si>
  <si>
    <t>ENSDARG00000101034</t>
  </si>
  <si>
    <t>ZC3H12A</t>
  </si>
  <si>
    <t>si:dkey-206d17.12 [Source:ZFIN;Acc:ZDB-GENE-081031-82]</t>
  </si>
  <si>
    <t>ENSDARG00000062664</t>
  </si>
  <si>
    <t>oxnad1</t>
  </si>
  <si>
    <t>oxidoreductase NAD-binding domain containing 1 [Source:ZFIN;Acc:ZDB-GENE-060503-199]</t>
  </si>
  <si>
    <t>ENSDARG00000069360</t>
  </si>
  <si>
    <t>ppp3r1b</t>
  </si>
  <si>
    <t>protein phosphatase 3 (formerly 2B), regulatory s1ubunit B, alpha isoform, b [Source:ZFIN;Acc:ZDB-GENE-040912-18]</t>
  </si>
  <si>
    <t>ENSDARG00000063417</t>
  </si>
  <si>
    <t>erf</t>
  </si>
  <si>
    <t>Ets2 repressor factor [Source:ZFIN;Acc:ZDB-GENE-010724-17]</t>
  </si>
  <si>
    <t>ENSDARG00000101722</t>
  </si>
  <si>
    <t>larp1</t>
  </si>
  <si>
    <t>La ribonucleoprotein domain family, member 1 [Source:ZFIN;Acc:ZDB-GENE-030131-5386]</t>
  </si>
  <si>
    <t>ENSDARG00000094139</t>
  </si>
  <si>
    <t>si:rp71-45g20.6</t>
  </si>
  <si>
    <t>si:rp71-45g20.6 [Source:ZFIN;Acc:ZDB-GENE-070912-711]</t>
  </si>
  <si>
    <t>ENSDARG00000101456</t>
  </si>
  <si>
    <t>acp5b</t>
  </si>
  <si>
    <t>acid phosphatase 5b, tartrate resistant [Source:ZFIN;Acc:ZDB-GENE-040718-151]</t>
  </si>
  <si>
    <t>ENSDARG00000012403</t>
  </si>
  <si>
    <t>ercc6l2</t>
  </si>
  <si>
    <t>excision repair cross-complementation group 6-like 2 [Source:ZFIN;Acc:ZDB-GENE-110411-274]</t>
  </si>
  <si>
    <t>ENSDARG00000076283</t>
  </si>
  <si>
    <t>snrpd3l</t>
  </si>
  <si>
    <t>small nuclear ribonucleoprotein D3 polypeptide, like [Source:ZFIN;Acc:ZDB-GENE-030131-5219]</t>
  </si>
  <si>
    <t>ENSDARG00000016059</t>
  </si>
  <si>
    <t>rab5b</t>
  </si>
  <si>
    <t>RAB5B, member RAS oncogene family [Source:ZFIN;Acc:ZDB-GENE-040426-2593]</t>
  </si>
  <si>
    <t>ENSDARG00000045708</t>
  </si>
  <si>
    <t>adm2a</t>
  </si>
  <si>
    <t>adrenomedullin 2a [Source:ZFIN;Acc:ZDB-GENE-041210-100]</t>
  </si>
  <si>
    <t>ENSDARG00000036888</t>
  </si>
  <si>
    <t>zgc:153935</t>
  </si>
  <si>
    <t>zgc:153935 [Source:ZFIN;Acc:ZDB-GENE-061103-148]</t>
  </si>
  <si>
    <t>ENSDARG00000089697</t>
  </si>
  <si>
    <t>nfe2l2b</t>
  </si>
  <si>
    <t>nuclear factor, erythroid 2-like 2b [Source:ZFIN;Acc:ZDB-GENE-120320-3]</t>
  </si>
  <si>
    <t>ENSDARG00000023583</t>
  </si>
  <si>
    <t>coq9</t>
  </si>
  <si>
    <t>coenzyme Q9 homolog (S. cerevisiae) [Source:ZFIN;Acc:ZDB-GENE-061207-37]</t>
  </si>
  <si>
    <t>ENSDARG00000073732</t>
  </si>
  <si>
    <t>myh14</t>
  </si>
  <si>
    <t>myosin, heavy chain 14, non-muscle [Source:ZFIN;Acc:ZDB-GENE-100921-1]</t>
  </si>
  <si>
    <t>ENSDARG00000052688</t>
  </si>
  <si>
    <t>paqr5b</t>
  </si>
  <si>
    <t>progestin and adipoQ receptor family member Vb [Source:ZFIN;Acc:ZDB-GENE-040801-92]</t>
  </si>
  <si>
    <t>ENSDARG00000016724</t>
  </si>
  <si>
    <t>zgc:162339</t>
  </si>
  <si>
    <t>zgc:162339 [Source:ZFIN;Acc:ZDB-GENE-070410-76]</t>
  </si>
  <si>
    <t>ENSDARG00000020231</t>
  </si>
  <si>
    <t>mapre3a</t>
  </si>
  <si>
    <t>microtubule-associated protein, RP/EB family, member 3a [Source:ZFIN;Acc:ZDB-GENE-050913-88]</t>
  </si>
  <si>
    <t>ENSDARG00000073843</t>
  </si>
  <si>
    <t>myo9ab</t>
  </si>
  <si>
    <t>myosin IXAb [Source:ZFIN;Acc:ZDB-GENE-080424-6]</t>
  </si>
  <si>
    <t>ENSDARG00000011055</t>
  </si>
  <si>
    <t>fbxo9</t>
  </si>
  <si>
    <t>F-box protein 9 [Source:ZFIN;Acc:ZDB-GENE-030131-4194]</t>
  </si>
  <si>
    <t>ENSDARG00000053702</t>
  </si>
  <si>
    <t>il2rgb</t>
  </si>
  <si>
    <t>interleukin 2 receptor, gamma b [Source:ZFIN;Acc:ZDB-GENE-080402-2]</t>
  </si>
  <si>
    <t>ENSDARG00000071878</t>
  </si>
  <si>
    <t>trmt112</t>
  </si>
  <si>
    <t>tRNA methyltransferase 11-2 homolog (S. cerevisiae) [Source:ZFIN;Acc:ZDB-GENE-050522-30]</t>
  </si>
  <si>
    <t>ENSDARG00000044813</t>
  </si>
  <si>
    <t>vps33b</t>
  </si>
  <si>
    <t>vacuolar protein sorting 33B [Source:ZFIN;Acc:ZDB-GENE-050327-73]</t>
  </si>
  <si>
    <t>ENSDARG00000100972</t>
  </si>
  <si>
    <t>myh11b</t>
  </si>
  <si>
    <t>myosin, heavy chain 11b, smooth muscle [Source:ZFIN;Acc:ZDB-GENE-101124-2]</t>
  </si>
  <si>
    <t>ENSDARG00000074742</t>
  </si>
  <si>
    <t>elmod3</t>
  </si>
  <si>
    <t>ELMO/CED-12 domain containing 3 [Source:ZFIN;Acc:ZDB-GENE-091204-471]</t>
  </si>
  <si>
    <t>ENSDARG00000076742</t>
  </si>
  <si>
    <t>cyth1a</t>
  </si>
  <si>
    <t>cytohesin 1a [Source:ZFIN;Acc:ZDB-GENE-030131-657]</t>
  </si>
  <si>
    <t>ENSDARG00000060390</t>
  </si>
  <si>
    <t>stk26</t>
  </si>
  <si>
    <t>serine/threonine protein kinase 26 [Source:ZFIN;Acc:ZDB-GENE-080516-5]</t>
  </si>
  <si>
    <t>ENSDARG00000101205</t>
  </si>
  <si>
    <t>si:dkey-242k1.6</t>
  </si>
  <si>
    <t>si:dkey-242k1.6 [Source:ZFIN;Acc:ZDB-GENE-041008-84]</t>
  </si>
  <si>
    <t>ENSDARG00000077762</t>
  </si>
  <si>
    <t>SLC2A4RG</t>
  </si>
  <si>
    <t>si:rp71-79p20.2 [Source:ZFIN;Acc:ZDB-GENE-030616-83]</t>
  </si>
  <si>
    <t>ENSDARG00000018742</t>
  </si>
  <si>
    <t>psme4b</t>
  </si>
  <si>
    <t>proteasome activator subunit 4b [Source:ZFIN;Acc:ZDB-GENE-100316-4]</t>
  </si>
  <si>
    <t>ENSDARG00000094291</t>
  </si>
  <si>
    <t>si:rp71-45g20.11</t>
  </si>
  <si>
    <t>si:rp71-45g20.11 [Source:ZFIN;Acc:ZDB-GENE-070912-708]</t>
  </si>
  <si>
    <t>ENSDARG00000098780</t>
  </si>
  <si>
    <t>nsmce1</t>
  </si>
  <si>
    <t>NSE1 homolog, SMC5-SMC6 complex component [Source:ZFIN;Acc:ZDB-GENE-040718-289]</t>
  </si>
  <si>
    <t>ENSDARG00000078686</t>
  </si>
  <si>
    <t>arl8a</t>
  </si>
  <si>
    <t>ADP-ribosylation factor-like 8A [Source:ZFIN;Acc:ZDB-GENE-030131-5025]</t>
  </si>
  <si>
    <t>ENSDARG00000027734</t>
  </si>
  <si>
    <t>srsf5b</t>
  </si>
  <si>
    <t>serine/arginine-rich splicing factor 5b [Source:ZFIN;Acc:ZDB-GENE-040718-354]</t>
  </si>
  <si>
    <t>ENSDARG00000026090</t>
  </si>
  <si>
    <t>adprm</t>
  </si>
  <si>
    <t>ADP-ribose/CDP-alcohol diphosphatase, manganese-dependent [Source:ZFIN;Acc:ZDB-GENE-040426-1406]</t>
  </si>
  <si>
    <t>ENSDARG00000034043</t>
  </si>
  <si>
    <t>irx5a</t>
  </si>
  <si>
    <t>iroquois homeobox 5a [Source:ZFIN;Acc:ZDB-GENE-010716-2]</t>
  </si>
  <si>
    <t>ENSDARG00000062209</t>
  </si>
  <si>
    <t>mrps5</t>
  </si>
  <si>
    <t>mitochondrial ribosomal protein S5 [Source:ZFIN;Acc:ZDB-GENE-060929-264]</t>
  </si>
  <si>
    <t>ENSDARG00000008188</t>
  </si>
  <si>
    <t>sf1</t>
  </si>
  <si>
    <t>splicing factor 1 [Source:ZFIN;Acc:ZDB-GENE-030131-2492]</t>
  </si>
  <si>
    <t>ENSDARG00000069966</t>
  </si>
  <si>
    <t>alox5b.3</t>
  </si>
  <si>
    <t>arachidonate 5-lipoxygenase b, tandem duplicate 3 [Source:ZFIN;Acc:ZDB-GENE-050522-330]</t>
  </si>
  <si>
    <t>ENSDARG00000062020</t>
  </si>
  <si>
    <t>gse1</t>
  </si>
  <si>
    <t>Gse1 coiled-coil protein [Source:ZFIN;Acc:ZDB-GENE-030131-9569]</t>
  </si>
  <si>
    <t>ENSDARG00000040534</t>
  </si>
  <si>
    <t>epcam</t>
  </si>
  <si>
    <t>epithelial cell adhesion molecule [Source:ZFIN;Acc:ZDB-GENE-040426-2209]</t>
  </si>
  <si>
    <t>ENSDARG00000004697</t>
  </si>
  <si>
    <t>rxrgb</t>
  </si>
  <si>
    <t>retinoid X receptor, gamma b [Source:ZFIN;Acc:ZDB-GENE-040718-34]</t>
  </si>
  <si>
    <t>ENSDARG00000060921</t>
  </si>
  <si>
    <t>pla2g6</t>
  </si>
  <si>
    <t>phospholipase A2, group VI (cytosolic, calcium-independent) [Source:ZFIN;Acc:ZDB-GENE-040426-2079]</t>
  </si>
  <si>
    <t>ENSDARG00000015862</t>
  </si>
  <si>
    <t>rpl5b</t>
  </si>
  <si>
    <t>ribosomal protein L5b [Source:ZFIN;Acc:ZDB-GENE-040625-93]</t>
  </si>
  <si>
    <t>ENSDARG00000094328</t>
  </si>
  <si>
    <t>si:dkey-93n13.1</t>
  </si>
  <si>
    <t>si:dkey-93n13.1 [Source:ZFIN;Acc:ZDB-GENE-091204-23]</t>
  </si>
  <si>
    <t>ENSDARG00000077177</t>
  </si>
  <si>
    <t>map2k4b</t>
  </si>
  <si>
    <t>mitogen-activated protein kinase kinase 4b [Source:ZFIN;Acc:ZDB-GENE-080721-13]</t>
  </si>
  <si>
    <t>ENSDARG00000027065</t>
  </si>
  <si>
    <t>slc38a3a</t>
  </si>
  <si>
    <t>solute carrier family 38, member 3a [Source:ZFIN;Acc:ZDB-GENE-070615-25]</t>
  </si>
  <si>
    <t>ENSDARG00000034262</t>
  </si>
  <si>
    <t>pld2</t>
  </si>
  <si>
    <t>phospholipase D2 [Source:ZFIN;Acc:ZDB-GENE-060216-4]</t>
  </si>
  <si>
    <t>ENSDARG00000071576</t>
  </si>
  <si>
    <t>si:dkey-102c8.3</t>
  </si>
  <si>
    <t>si:dkey-102c8.3 [Source:ZFIN;Acc:ZDB-GENE-050208-328]</t>
  </si>
  <si>
    <t>ENSDARG00000061354</t>
  </si>
  <si>
    <t>foxred2</t>
  </si>
  <si>
    <t>FAD-dependent oxidoreductase domain containing 2 [Source:ZFIN;Acc:ZDB-GENE-060929-1026]</t>
  </si>
  <si>
    <t>ENSDARG00000078850</t>
  </si>
  <si>
    <t>plekhm2</t>
  </si>
  <si>
    <t>pleckstrin homology domain containing, family M (with RUN domain) member 2 [Source:ZFIN;Acc:ZDB-GENE-081022-169]</t>
  </si>
  <si>
    <t>ENSDARG00000036329</t>
  </si>
  <si>
    <t>ndufa1</t>
  </si>
  <si>
    <t>NADH dehydrogenase (ubiquinone) 1 alpha subcomplex, 1 [Source:ZFIN;Acc:ZDB-GENE-040625-168]</t>
  </si>
  <si>
    <t>ENSDARG00000070150</t>
  </si>
  <si>
    <t>jtb</t>
  </si>
  <si>
    <t>jumping translocation breakpoint [Source:ZFIN;Acc:ZDB-GENE-060503-674]</t>
  </si>
  <si>
    <t>ENSDARG00000074453</t>
  </si>
  <si>
    <t>zfx</t>
  </si>
  <si>
    <t>zinc finger protein, X-linked [Source:ZFIN;Acc:ZDB-GENE-061220-2]</t>
  </si>
  <si>
    <t>ENSDARG00000035596</t>
  </si>
  <si>
    <t>ISCU</t>
  </si>
  <si>
    <t>si:ch211-191d15.2 [Source:ZFIN;Acc:ZDB-GENE-040724-113]</t>
  </si>
  <si>
    <t>ENSDARG00000007601</t>
  </si>
  <si>
    <t>zmynd8</t>
  </si>
  <si>
    <t>zinc finger, MYND-type containing 8 [Source:ZFIN;Acc:ZDB-GENE-041119-1]</t>
  </si>
  <si>
    <t>ENSDARG00000101565</t>
  </si>
  <si>
    <t>si:dkey-14d8.23</t>
  </si>
  <si>
    <t>si:dkey-14d8.23 [Source:ZFIN;Acc:ZDB-GENE-131120-52]</t>
  </si>
  <si>
    <t>ENSDARG00000103551</t>
  </si>
  <si>
    <t>rnf213b</t>
  </si>
  <si>
    <t>ring finger protein 213b [Source:ZFIN;Acc:ZDB-GENE-110822-1]</t>
  </si>
  <si>
    <t>ENSDARG00000071578</t>
  </si>
  <si>
    <t>si:ch211-222k6.3</t>
  </si>
  <si>
    <t>si:ch211-222k6.3 [Source:ZFIN;Acc:ZDB-GENE-050208-567]</t>
  </si>
  <si>
    <t>ENSDARG00000012656</t>
  </si>
  <si>
    <t>atf6</t>
  </si>
  <si>
    <t>activating transcription factor 6 [Source:ZFIN;Acc:ZDB-GENE-041014-328]</t>
  </si>
  <si>
    <t>ENSDARG00000077004</t>
  </si>
  <si>
    <t>aldh1l1</t>
  </si>
  <si>
    <t>aldh1l1.1</t>
  </si>
  <si>
    <t>aldehyde dehydrogenase 1 family, member L1 [Source:ZFIN;Acc:ZDB-GENE-100519-4]</t>
  </si>
  <si>
    <t>ENSDARG00000058537</t>
  </si>
  <si>
    <t>si:dkey-102c8.2</t>
  </si>
  <si>
    <t>si:dkey-102c8.2 [Source:ZFIN;Acc:ZDB-GENE-050208-329]</t>
  </si>
  <si>
    <t>ENSDARG00000044562</t>
  </si>
  <si>
    <t>cycsb</t>
  </si>
  <si>
    <t>cytochrome c, somatic b [Source:ZFIN;Acc:ZDB-GENE-040625-38]</t>
  </si>
  <si>
    <t>ENSDARG00000098892</t>
  </si>
  <si>
    <t>si:ch211-223a21.1</t>
  </si>
  <si>
    <t>si:ch211-223a21.1 [Source:ZFIN;Acc:ZDB-GENE-110913-137]</t>
  </si>
  <si>
    <t>ENSDARG00000104403</t>
  </si>
  <si>
    <t>oscp1a</t>
  </si>
  <si>
    <t>organic solute carrier partner 1a [Source:ZFIN;Acc:ZDB-GENE-080204-2]</t>
  </si>
  <si>
    <t>ENSDARG00000034734</t>
  </si>
  <si>
    <t>med6</t>
  </si>
  <si>
    <t>mediator complex subunit 6 [Source:ZFIN;Acc:ZDB-GENE-040625-61]</t>
  </si>
  <si>
    <t>ENSDARG00000044627</t>
  </si>
  <si>
    <t>alg8</t>
  </si>
  <si>
    <t>ALG8, alpha-1,3-glucosyltransferase [Source:ZFIN;Acc:ZDB-GENE-030131-5812]</t>
  </si>
  <si>
    <t>ENSDARG00000012981</t>
  </si>
  <si>
    <t>osbpl7</t>
  </si>
  <si>
    <t>oxysterol binding protein-like 7 [Source:ZFIN;Acc:ZDB-GENE-041010-212]</t>
  </si>
  <si>
    <t>ENSDARG00000097489</t>
  </si>
  <si>
    <t>si:ch73-390p7.2</t>
  </si>
  <si>
    <t>si:ch73-390p7.2 [Source:ZFIN;Acc:ZDB-GENE-131121-522]</t>
  </si>
  <si>
    <t>ENSDARG00000097032</t>
  </si>
  <si>
    <t>si:ch211-256a21.4</t>
  </si>
  <si>
    <t>si:ch211-256a21.4 [Source:ZFIN;Acc:ZDB-GENE-131121-329]</t>
  </si>
  <si>
    <t>ENSDARG00000038905</t>
  </si>
  <si>
    <t>hectd3</t>
  </si>
  <si>
    <t>HECT domain containing 3 [Source:ZFIN;Acc:ZDB-GENE-031118-179]</t>
  </si>
  <si>
    <t>ENSDARG00000074669</t>
  </si>
  <si>
    <t>cacng4b</t>
  </si>
  <si>
    <t>calcium channel, voltage-dependent, gamma subunit 4b [Source:ZFIN;Acc:ZDB-GENE-120104-6]</t>
  </si>
  <si>
    <t>ENSDARG00000093781</t>
  </si>
  <si>
    <t>lrriq1</t>
  </si>
  <si>
    <t>leucine-rich repeats and IQ motif containing 1 [Source:ZFIN;Acc:ZDB-GENE-050419-235]</t>
  </si>
  <si>
    <t>ENSDARG00000016128</t>
  </si>
  <si>
    <t>ap3m2</t>
  </si>
  <si>
    <t>adaptor-related protein complex 3, mu 2 subunit [Source:ZFIN;Acc:ZDB-GENE-021022-2]</t>
  </si>
  <si>
    <t>ENSDARG00000079625</t>
  </si>
  <si>
    <t>atr</t>
  </si>
  <si>
    <t>ATR serine/threonine kinase [Source:ZFIN;Acc:ZDB-GENE-070912-458]</t>
  </si>
  <si>
    <t>ENSDARG00000013150</t>
  </si>
  <si>
    <t>dhx16</t>
  </si>
  <si>
    <t>DEAH (Asp-Glu-Ala-His) box polypeptide 16 [Source:ZFIN;Acc:ZDB-GENE-030131-8589]</t>
  </si>
  <si>
    <t>ENSDARG00000088475</t>
  </si>
  <si>
    <t>pcdh1gb9</t>
  </si>
  <si>
    <t>protocadherin 1 gamma b 9 [Source:ZFIN;Acc:ZDB-GENE-041118-18]</t>
  </si>
  <si>
    <t>ENSDARG00000044194</t>
  </si>
  <si>
    <t>tcta</t>
  </si>
  <si>
    <t>T-cell leukemia translocation altered gene [Source:ZFIN;Acc:ZDB-GENE-040718-325]</t>
  </si>
  <si>
    <t>ENSDARG00000070407</t>
  </si>
  <si>
    <t>fam206a</t>
  </si>
  <si>
    <t>family with sequence similarity 206, member A [Source:ZFIN;Acc:ZDB-GENE-060503-602]</t>
  </si>
  <si>
    <t>ENSDARG00000101222</t>
  </si>
  <si>
    <t>lsm10</t>
  </si>
  <si>
    <t>LSM10, U7 small nuclear RNA associated [Source:ZFIN;Acc:ZDB-GENE-090508-7]</t>
  </si>
  <si>
    <t>ENSDARG00000040971</t>
  </si>
  <si>
    <t>GABARAPL1</t>
  </si>
  <si>
    <t>zgc:92606 [Source:ZFIN;Acc:ZDB-GENE-040718-462]</t>
  </si>
  <si>
    <t>ENSDARG00000045130</t>
  </si>
  <si>
    <t>klhl11</t>
  </si>
  <si>
    <t>kelch-like family member 11 [Source:ZFIN;Acc:ZDB-GENE-030131-5524]</t>
  </si>
  <si>
    <t>ENSDARG00000055566</t>
  </si>
  <si>
    <t>mastl</t>
  </si>
  <si>
    <t>microtubule associated serine/threonine kinase-like [Source:ZFIN;Acc:ZDB-GENE-040801-128]</t>
  </si>
  <si>
    <t>ENSDARG00000073910</t>
  </si>
  <si>
    <t>cinp</t>
  </si>
  <si>
    <t>cyclin-dependent kinase 2 interacting protein [Source:ZFIN;Acc:ZDB-GENE-050506-72]</t>
  </si>
  <si>
    <t>ENSDARG00000027192</t>
  </si>
  <si>
    <t>hcn3</t>
  </si>
  <si>
    <t>hyperpolarization activated cyclic nucleotide-gated potassium channel 3 [Source:ZFIN;Acc:ZDB-GENE-060503-193]</t>
  </si>
  <si>
    <t>ENSDARG00000045155</t>
  </si>
  <si>
    <t>phf5a</t>
  </si>
  <si>
    <t>PHD finger protein 5A [Source:ZFIN;Acc:ZDB-GENE-021219-3]</t>
  </si>
  <si>
    <t>ENSDARG00000102115</t>
  </si>
  <si>
    <t>ndufc2</t>
  </si>
  <si>
    <t>NADH dehydrogenase (ubiquinone) 1, subcomplex unknown, 2 [Source:ZFIN;Acc:ZDB-GENE-050320-87]</t>
  </si>
  <si>
    <t>ENSDARG00000027428</t>
  </si>
  <si>
    <t>rpp30</t>
  </si>
  <si>
    <t>ribonuclease P/MRP 30 subunit [Source:ZFIN;Acc:ZDB-GENE-050320-45]</t>
  </si>
  <si>
    <t>ENSDARG00000103718</t>
  </si>
  <si>
    <t>chmp5b</t>
  </si>
  <si>
    <t>charged multivesicular body protein 5b [Source:ZFIN;Acc:ZDB-GENE-040426-1374]</t>
  </si>
  <si>
    <t>ENSDARG00000099269</t>
  </si>
  <si>
    <t>si:dkeyp-115e12.7</t>
  </si>
  <si>
    <t>si:dkeyp-115e12.7 [Source:ZFIN;Acc:ZDB-GENE-141216-398]</t>
  </si>
  <si>
    <t>ENSDARG00000057452</t>
  </si>
  <si>
    <t>ston2</t>
  </si>
  <si>
    <t>stonin 2 [Source:ZFIN;Acc:ZDB-GENE-050913-137]</t>
  </si>
  <si>
    <t>ENSDARG00000103802</t>
  </si>
  <si>
    <t>si:ch73-389b16.2</t>
  </si>
  <si>
    <t>si:ch73-389b16.2 [Source:ZFIN;Acc:ZDB-GENE-050411-113]</t>
  </si>
  <si>
    <t>ENSDARG00000078508</t>
  </si>
  <si>
    <t>KCP</t>
  </si>
  <si>
    <t>si:dkey-266m15.6 [Source:ZFIN;Acc:ZDB-GENE-070705-443]</t>
  </si>
  <si>
    <t>ENSDARG00000013928</t>
  </si>
  <si>
    <t>plekhb2</t>
  </si>
  <si>
    <t>pleckstrin homology domain containing, family B (evectins) member 2 [Source:ZFIN;Acc:ZDB-GENE-040426-754]</t>
  </si>
  <si>
    <t>ENSDARG00000089581</t>
  </si>
  <si>
    <t>nhlrc2</t>
  </si>
  <si>
    <t>NHL repeat containing 2 [Source:ZFIN;Acc:ZDB-GENE-100318-2]</t>
  </si>
  <si>
    <t>ENSDARG00000079308</t>
  </si>
  <si>
    <t>tor3a</t>
  </si>
  <si>
    <t>torsin family 3, member A [Source:ZFIN;Acc:ZDB-GENE-081104-165]</t>
  </si>
  <si>
    <t>ENSDARG00000099839</t>
  </si>
  <si>
    <t>si:ch211-9d9.1</t>
  </si>
  <si>
    <t>si:ch211-9d9.1 [Source:ZFIN;Acc:ZDB-GENE-030131-2657]</t>
  </si>
  <si>
    <t>ENSDARG00000068596</t>
  </si>
  <si>
    <t>cnot11</t>
  </si>
  <si>
    <t>CCR4-NOT transcription complex, subunit 11 [Source:ZFIN;Acc:ZDB-GENE-030131-8068]</t>
  </si>
  <si>
    <t>ENSDARG00000093480</t>
  </si>
  <si>
    <t>pamr1</t>
  </si>
  <si>
    <t>peptidase domain containing associated with muscle regeneration 1 [Source:ZFIN;Acc:ZDB-GENE-100422-12]</t>
  </si>
  <si>
    <t>ENSDARG00000078077</t>
  </si>
  <si>
    <t>dph2</t>
  </si>
  <si>
    <t>DPH2 homolog (S. cerevisiae) [Source:ZFIN;Acc:ZDB-GENE-030219-100]</t>
  </si>
  <si>
    <t>ENSDARG00000012684</t>
  </si>
  <si>
    <t>atp2b1a</t>
  </si>
  <si>
    <t>ATPase, Ca++ transporting, plasma membrane 1a [Source:ZFIN;Acc:ZDB-GENE-030925-29]</t>
  </si>
  <si>
    <t>ENSDARG00000018162</t>
  </si>
  <si>
    <t>ctnnal1</t>
  </si>
  <si>
    <t>catenin (cadherin-associated protein), alpha-like 1 [Source:ZFIN;Acc:ZDB-GENE-060503-507]</t>
  </si>
  <si>
    <t>ENSDARG00000076805</t>
  </si>
  <si>
    <t>leng8</t>
  </si>
  <si>
    <t>leukocyte receptor cluster (LRC) member 8 [Source:ZFIN;Acc:ZDB-GENE-070410-6]</t>
  </si>
  <si>
    <t>ENSDARG00000042980</t>
  </si>
  <si>
    <t>cyp2p7</t>
  </si>
  <si>
    <t>cytochrome P450, family 2, subfamily P, polypeptide 7 [Source:ZFIN;Acc:ZDB-GENE-041001-155]</t>
  </si>
  <si>
    <t>ENSDARG00000076988</t>
  </si>
  <si>
    <t>znf839</t>
  </si>
  <si>
    <t>zinc finger protein 839 [Source:ZFIN;Acc:ZDB-GENE-030131-4936]</t>
  </si>
  <si>
    <t>ENSDARG00000091768</t>
  </si>
  <si>
    <t>dclre1a</t>
  </si>
  <si>
    <t>DNA cross-link repair 1A (PSO2 homolog, S. cerevisiae) [Source:ZFIN;Acc:ZDB-GENE-050522-124]</t>
  </si>
  <si>
    <t>ENSDARG00000043480</t>
  </si>
  <si>
    <t>rbbp8</t>
  </si>
  <si>
    <t>retinoblastoma binding protein 8 [Source:ZFIN;Acc:ZDB-GENE-050220-14]</t>
  </si>
  <si>
    <t>ENSDARG00000074983</t>
  </si>
  <si>
    <t>zgc:172290</t>
  </si>
  <si>
    <t>zgc:172290 [Source:ZFIN;Acc:ZDB-GENE-080218-23]</t>
  </si>
  <si>
    <t>ENSDARG00000071644</t>
  </si>
  <si>
    <t>si:dkey-19a16.7</t>
  </si>
  <si>
    <t>si:dkey-19a16.7 [Source:ZFIN;Acc:ZDB-GENE-060503-903]</t>
  </si>
  <si>
    <t>ENSDARG00000096989</t>
  </si>
  <si>
    <t>fam110c</t>
  </si>
  <si>
    <t>family with sequence similarity 110, member C [Source:ZFIN;Acc:ZDB-GENE-131121-63]</t>
  </si>
  <si>
    <t>ENSDARG00000037188</t>
  </si>
  <si>
    <t>rpa2</t>
  </si>
  <si>
    <t>replication protein A2 [Source:ZFIN;Acc:ZDB-GENE-010131-3]</t>
  </si>
  <si>
    <t>ENSDARG00000040732</t>
  </si>
  <si>
    <t>elavl2</t>
  </si>
  <si>
    <t>ELAV like neuron-specific RNA binding protein 2 [Source:ZFIN;Acc:ZDB-GENE-040704-9]</t>
  </si>
  <si>
    <t>ENSDARG00000008255</t>
  </si>
  <si>
    <t>cnot6a</t>
  </si>
  <si>
    <t>CCR4-NOT transcription complex, subunit 6a [Source:ZFIN;Acc:ZDB-GENE-030131-2768]</t>
  </si>
  <si>
    <t>ENSDARG00000034240</t>
  </si>
  <si>
    <t>capza1a</t>
  </si>
  <si>
    <t>capping protein (actin filament) muscle Z-line, alpha 1a [Source:ZFIN;Acc:ZDB-GENE-030131-5237]</t>
  </si>
  <si>
    <t>ENSDARG00000057231</t>
  </si>
  <si>
    <t>rorca</t>
  </si>
  <si>
    <t>RAR-related orphan receptor C a [Source:ZFIN;Acc:ZDB-GENE-990415-250]</t>
  </si>
  <si>
    <t>ENSDARG00000021107</t>
  </si>
  <si>
    <t>sf3a2</t>
  </si>
  <si>
    <t>splicing factor 3a, subunit 2 [Source:ZFIN;Acc:ZDB-GENE-040426-897]</t>
  </si>
  <si>
    <t>ENSDARG00000025233</t>
  </si>
  <si>
    <t>lipt1</t>
  </si>
  <si>
    <t>lipoyltransferase 1 [Source:ZFIN;Acc:ZDB-GENE-060929-112]</t>
  </si>
  <si>
    <t>ENSDARG00000070126</t>
  </si>
  <si>
    <t>si:dkey-22l11.6</t>
  </si>
  <si>
    <t>si:dkey-22l11.6 [Source:ZFIN;Acc:ZDB-GENE-041210-251]</t>
  </si>
  <si>
    <t>ENSDARG00000069698</t>
  </si>
  <si>
    <t>lrguk</t>
  </si>
  <si>
    <t>leucine-rich repeats and guanylate kinase domain containing [Source:ZFIN;Acc:ZDB-GENE-050419-232]</t>
  </si>
  <si>
    <t>ENSDARG00000043720</t>
  </si>
  <si>
    <t>cdc45</t>
  </si>
  <si>
    <t>CDC45 cell division cycle 45 homolog (S. cerevisiae) [Source:ZFIN;Acc:ZDB-GENE-040426-2710]</t>
  </si>
  <si>
    <t>ENSDARG00000078593</t>
  </si>
  <si>
    <t>vwa8</t>
  </si>
  <si>
    <t>von Willebrand factor A domain containing 8 [Source:ZFIN;Acc:ZDB-GENE-070912-407]</t>
  </si>
  <si>
    <t>ENSDARG00000019205</t>
  </si>
  <si>
    <t>fam120c</t>
  </si>
  <si>
    <t>family with sequence similarity 120C [Source:ZFIN;Acc:ZDB-GENE-090313-228]</t>
  </si>
  <si>
    <t>ENSDARG00000015474</t>
  </si>
  <si>
    <t>ppp2r5ea</t>
  </si>
  <si>
    <t>protein phosphatase 2, regulatory subunit B', epsilon isoform a [Source:ZFIN;Acc:ZDB-GENE-030904-7]</t>
  </si>
  <si>
    <t>ENSDARG00000037244</t>
  </si>
  <si>
    <t>gpr137</t>
  </si>
  <si>
    <t>G protein-coupled receptor 137 [Source:ZFIN;Acc:ZDB-GENE-040718-443]</t>
  </si>
  <si>
    <t>ENSDARG00000054378</t>
  </si>
  <si>
    <t>pcbp3</t>
  </si>
  <si>
    <t>poly(rC) binding protein 3 [Source:ZFIN;Acc:ZDB-GENE-050522-157]</t>
  </si>
  <si>
    <t>ENSDARG00000023498</t>
  </si>
  <si>
    <t>gmppab</t>
  </si>
  <si>
    <t>GDP-mannose pyrophosphorylase Ab [Source:ZFIN;Acc:ZDB-GENE-040426-1550]</t>
  </si>
  <si>
    <t>ENSDARG00000091683</t>
  </si>
  <si>
    <t>cnrip1a</t>
  </si>
  <si>
    <t>cannabinoid receptor interacting protein 1a [Source:ZFIN;Acc:ZDB-GENE-040801-126]</t>
  </si>
  <si>
    <t>ENSDARG00000099432</t>
  </si>
  <si>
    <t>si:ch211-246b8.1</t>
  </si>
  <si>
    <t>si:ch211-246b8.1 [Source:ZFIN;Acc:ZDB-GENE-070705-136]</t>
  </si>
  <si>
    <t>ENSDARG00000020242</t>
  </si>
  <si>
    <t>fermt2</t>
  </si>
  <si>
    <t>fermitin family member 2 [Source:ZFIN;Acc:ZDB-GENE-050506-132]</t>
  </si>
  <si>
    <t>ENSDARG00000019791</t>
  </si>
  <si>
    <t>prmt3</t>
  </si>
  <si>
    <t>protein arginine methyltransferase 3 [Source:ZFIN;Acc:ZDB-GENE-041105-1]</t>
  </si>
  <si>
    <t>ENSDARG00000075989</t>
  </si>
  <si>
    <t>arpc2</t>
  </si>
  <si>
    <t>actin related protein 2/3 complex, subunit 2 [Source:ZFIN;Acc:ZDB-GENE-030131-5276]</t>
  </si>
  <si>
    <t>ENSDARG00000018593</t>
  </si>
  <si>
    <t>parp16</t>
  </si>
  <si>
    <t>poly (ADP-ribose) polymerase family, member 16 [Source:ZFIN;Acc:ZDB-GENE-040426-2289]</t>
  </si>
  <si>
    <t>ENSDARG00000098963</t>
  </si>
  <si>
    <t>pcdh1g13</t>
  </si>
  <si>
    <t>protocadherin 1 gamma 13 [Source:ZFIN;Acc:ZDB-GENE-050609-8]</t>
  </si>
  <si>
    <t>ENSDARG00000044102</t>
  </si>
  <si>
    <t>znf593</t>
  </si>
  <si>
    <t>zinc finger protein 593 [Source:ZFIN;Acc:ZDB-GENE-040426-1789]</t>
  </si>
  <si>
    <t>ENSDARG00000094382</t>
  </si>
  <si>
    <t>si:dkey-19j7.4</t>
  </si>
  <si>
    <t>si:dkey-19j7.4 [Source:ZFIN;Acc:ZDB-GENE-081104-351]</t>
  </si>
  <si>
    <t>ENSDARG00000059906</t>
  </si>
  <si>
    <t>sdc4</t>
  </si>
  <si>
    <t>syndecan 4 [Source:ZFIN;Acc:ZDB-GENE-061111-1]</t>
  </si>
  <si>
    <t>ENSDARG00000001807</t>
  </si>
  <si>
    <t>tnfrsf21</t>
  </si>
  <si>
    <t>tumor necrosis factor receptor superfamily, member 21 [Source:ZFIN;Acc:ZDB-GENE-030131-5971]</t>
  </si>
  <si>
    <t>ENSDARG00000014085</t>
  </si>
  <si>
    <t>atp6v1e1a</t>
  </si>
  <si>
    <t>ATPase, H+ transporting, lysosomal, V1 subunit E1a [Source:ZFIN;Acc:ZDB-GENE-041212-51]</t>
  </si>
  <si>
    <t>ENSDARG00000033757</t>
  </si>
  <si>
    <t>ncaph2</t>
  </si>
  <si>
    <t>non-SMC condensin II complex, subunit H2 [Source:ZFIN;Acc:ZDB-GENE-041210-172]</t>
  </si>
  <si>
    <t>ENSDARG00000093583</t>
  </si>
  <si>
    <t>si:ch211-188p14.8</t>
  </si>
  <si>
    <t>si:ch211-188p14.8 [Source:ZFIN;Acc:ZDB-GENE-121214-109]</t>
  </si>
  <si>
    <t>ENSDARG00000101307</t>
  </si>
  <si>
    <t>pcdh1gb2</t>
  </si>
  <si>
    <t>protocadherin 1 gamma b 2 [Source:ZFIN;Acc:ZDB-GENE-041118-19]</t>
  </si>
  <si>
    <t>ENSDARG00000012271</t>
  </si>
  <si>
    <t>tmem206</t>
  </si>
  <si>
    <t>transmembrane protein 206 [Source:ZFIN;Acc:ZDB-GENE-040426-1173]</t>
  </si>
  <si>
    <t>ENSDARG00000034060</t>
  </si>
  <si>
    <t>elac2</t>
  </si>
  <si>
    <t>elaC ribonuclease Z 2 [Source:ZFIN;Acc:ZDB-GENE-041111-227]</t>
  </si>
  <si>
    <t>ENSDARG00000068194</t>
  </si>
  <si>
    <t>klf9</t>
  </si>
  <si>
    <t>Kruppel-like factor 9 [Source:ZFIN;Acc:ZDB-GENE-060526-244]</t>
  </si>
  <si>
    <t>ENSDARG00000104058</t>
  </si>
  <si>
    <t>si:dkey-31c13.1</t>
  </si>
  <si>
    <t>si:dkey-31c13.1 [Source:ZFIN;Acc:ZDB-GENE-141222-57]</t>
  </si>
  <si>
    <t>ENSDARG00000057691</t>
  </si>
  <si>
    <t>srsf1a</t>
  </si>
  <si>
    <t>serine/arginine-rich splicing factor 1a [Source:ZFIN;Acc:ZDB-GENE-040426-1950]</t>
  </si>
  <si>
    <t>ENSDARG00000021702</t>
  </si>
  <si>
    <t>pdcd4a</t>
  </si>
  <si>
    <t>programmed cell death 4a [Source:ZFIN;Acc:ZDB-GENE-040426-1920]</t>
  </si>
  <si>
    <t>ENSDARG00000007971</t>
  </si>
  <si>
    <t>cks1b</t>
  </si>
  <si>
    <t>CDC28 protein kinase regulatory subunit 1B [Source:ZFIN;Acc:ZDB-GENE-040801-112]</t>
  </si>
  <si>
    <t>ENSDARG00000070914</t>
  </si>
  <si>
    <t>dusp6</t>
  </si>
  <si>
    <t>dual specificity phosphatase 6 [Source:ZFIN;Acc:ZDB-GENE-030613-1]</t>
  </si>
  <si>
    <t>ENSDARG00000069866</t>
  </si>
  <si>
    <t>sox1a</t>
  </si>
  <si>
    <t>SRY (sex determining region Y)-box 1a [Source:ZFIN;Acc:ZDB-GENE-040718-186]</t>
  </si>
  <si>
    <t>ENSDARG00000058964</t>
  </si>
  <si>
    <t>themis2</t>
  </si>
  <si>
    <t>thymocyte selection associated family member 2 [Source:ZFIN;Acc:ZDB-GENE-110411-89]</t>
  </si>
  <si>
    <t>ENSDARG00000063194</t>
  </si>
  <si>
    <t>lin54</t>
  </si>
  <si>
    <t>lin-54 DREAM MuvB core complex component [Source:ZFIN;Acc:ZDB-GENE-060929-440]</t>
  </si>
  <si>
    <t>ENSDARG00000069763</t>
  </si>
  <si>
    <t>etv5a</t>
  </si>
  <si>
    <t>ets variant 5a [Source:ZFIN;Acc:ZDB-GENE-030131-9572]</t>
  </si>
  <si>
    <t>ENSDARG00000061437</t>
  </si>
  <si>
    <t>inpp5f</t>
  </si>
  <si>
    <t>inositol polyphosphate-5-phosphatase F [Source:ZFIN;Acc:ZDB-GENE-041111-194]</t>
  </si>
  <si>
    <t>ENSDARG00000069102</t>
  </si>
  <si>
    <t>zgc:112962</t>
  </si>
  <si>
    <t>zgc:112962 [Source:ZFIN;Acc:ZDB-GENE-050410-15]</t>
  </si>
  <si>
    <t>ENSDARG00000042642</t>
  </si>
  <si>
    <t>wtap</t>
  </si>
  <si>
    <t>Wilms tumor 1 associated protein [Source:ZFIN;Acc:ZDB-GENE-030131-5990]</t>
  </si>
  <si>
    <t>ENSDARG00000026453</t>
  </si>
  <si>
    <t>zgc:66474</t>
  </si>
  <si>
    <t>zgc:66474 [Source:ZFIN;Acc:ZDB-GENE-030131-5711]</t>
  </si>
  <si>
    <t>ENSDARG00000038467</t>
  </si>
  <si>
    <t>igsf8</t>
  </si>
  <si>
    <t>immunoglobulin superfamily, member 8 [Source:ZFIN;Acc:ZDB-GENE-040426-2444]</t>
  </si>
  <si>
    <t>ENSDARG00000103919</t>
  </si>
  <si>
    <t>si:ch73-1a9.3</t>
  </si>
  <si>
    <t>si:ch73-1a9.3 [Source:ZFIN;Acc:ZDB-GENE-141216-84]</t>
  </si>
  <si>
    <t>ENSDARG00000075225</t>
  </si>
  <si>
    <t>si:ch211-223a10.1</t>
  </si>
  <si>
    <t>si:ch211-223a10.1 [Source:ZFIN;Acc:ZDB-GENE-090313-86]</t>
  </si>
  <si>
    <t>ENSDARG00000041729</t>
  </si>
  <si>
    <t>sntb1</t>
  </si>
  <si>
    <t>syntrophin, basic 1 [Source:ZFIN;Acc:ZDB-GENE-040704-13]</t>
  </si>
  <si>
    <t>ENSDARG00000104085</t>
  </si>
  <si>
    <t>abcd3a</t>
  </si>
  <si>
    <t>ATP-binding cassette, sub-family D (ALD), member 3a [Source:ZFIN;Acc:ZDB-GENE-040426-2868]</t>
  </si>
  <si>
    <t>ENSDARG00000075206</t>
  </si>
  <si>
    <t>si:dkey-100n19.2</t>
  </si>
  <si>
    <t>si:dkey-100n19.2 [Source:ZFIN;Acc:ZDB-GENE-120711-2]</t>
  </si>
  <si>
    <t>ENSDARG00000097205</t>
  </si>
  <si>
    <t>ulk2</t>
  </si>
  <si>
    <t>unc-51 like autophagy activating kinase 2 [Source:ZFIN;Acc:ZDB-GENE-090218-30]</t>
  </si>
  <si>
    <t>ENSDARG00000019693</t>
  </si>
  <si>
    <t>clcn5a</t>
  </si>
  <si>
    <t>chloride channel, voltage-sensitive 5a [Source:ZFIN;Acc:ZDB-GENE-091113-15]</t>
  </si>
  <si>
    <t>ENSDARG00000090194</t>
  </si>
  <si>
    <t>lamtor5</t>
  </si>
  <si>
    <t>late endosomal/lysosomal adaptor, MAPK and MTOR activator 5 [Source:ZFIN;Acc:ZDB-GENE-110411-193]</t>
  </si>
  <si>
    <t>ENSDARG00000069594</t>
  </si>
  <si>
    <t>kif13a</t>
  </si>
  <si>
    <t>kinesin family member 13A [Source:ZFIN;Acc:ZDB-GENE-090901-1]</t>
  </si>
  <si>
    <t>ENSDARG00000070835</t>
  </si>
  <si>
    <t>tnnc2</t>
  </si>
  <si>
    <t>troponin C type 2 (fast) [Source:ZFIN;Acc:ZDB-GENE-000322-2]</t>
  </si>
  <si>
    <t>ENSDARG00000027744</t>
  </si>
  <si>
    <t>gadd45ba</t>
  </si>
  <si>
    <t>growth arrest and DNA-damage-inducible, beta a [Source:ZFIN;Acc:ZDB-GENE-040426-1971]</t>
  </si>
  <si>
    <t>ENSDARG00000060102</t>
  </si>
  <si>
    <t>kank1</t>
  </si>
  <si>
    <t>KN motif and ankyrin repeat domains 1 [Source:ZFIN;Acc:ZDB-GENE-060526-215]</t>
  </si>
  <si>
    <t>ENSDARG00000014498</t>
  </si>
  <si>
    <t>ythdf2</t>
  </si>
  <si>
    <t>YTH N(6)-methyladenosine RNA binding protein 2 [Source:ZFIN;Acc:ZDB-GENE-040426-948]</t>
  </si>
  <si>
    <t>ENSDARG00000004451</t>
  </si>
  <si>
    <t>tnfrsfa</t>
  </si>
  <si>
    <t>tumor necrosis factor receptor superfamily, member a [Source:ZFIN;Acc:ZDB-GENE-010802-1]</t>
  </si>
  <si>
    <t>ENSDARG00000055443</t>
  </si>
  <si>
    <t>zcchc7</t>
  </si>
  <si>
    <t>zinc finger, CCHC domain containing 7 [Source:ZFIN;Acc:ZDB-GENE-030102-2]</t>
  </si>
  <si>
    <t>ENSDARG00000041787</t>
  </si>
  <si>
    <t>cx32.3</t>
  </si>
  <si>
    <t>connexin 32.3 [Source:ZFIN;Acc:ZDB-GENE-030131-1337]</t>
  </si>
  <si>
    <t>ENSDARG00000032746</t>
  </si>
  <si>
    <t>tnfsf10l3</t>
  </si>
  <si>
    <t>tumor necrosis factor (ligand) superfamily, member 10 like 3 [Source:ZFIN;Acc:ZDB-GENE-070606-1]</t>
  </si>
  <si>
    <t>ENSDARG00000068965</t>
  </si>
  <si>
    <t>nrip1a</t>
  </si>
  <si>
    <t>nuclear receptor interacting protein 1a [Source:ZFIN;Acc:ZDB-GENE-040723-8]</t>
  </si>
  <si>
    <t>ENSDARG00000052923</t>
  </si>
  <si>
    <t>zgc:113162</t>
  </si>
  <si>
    <t>zgc:113162 [Source:ZFIN;Acc:ZDB-GENE-050522-530]</t>
  </si>
  <si>
    <t>ENSDARG00000026616</t>
  </si>
  <si>
    <t>zgc:113425</t>
  </si>
  <si>
    <t>zgc:113425 [Source:ZFIN;Acc:ZDB-GENE-050320-128]</t>
  </si>
  <si>
    <t>ENSDARG00000042644</t>
  </si>
  <si>
    <t>sod2</t>
  </si>
  <si>
    <t>superoxide dismutase 2, mitochondrial [Source:ZFIN;Acc:ZDB-GENE-030131-7742]</t>
  </si>
  <si>
    <t>ENSDARG00000068792</t>
  </si>
  <si>
    <t>si:dkey-176g4.4</t>
  </si>
  <si>
    <t>si:dkey-176g4.4 [Source:ZFIN;Acc:ZDB-GENE-110411-279]</t>
  </si>
  <si>
    <t>ENSDARG00000097060</t>
  </si>
  <si>
    <t>si:ch211-207n23.3</t>
  </si>
  <si>
    <t>si:ch211-207n23.3 [Source:ZFIN;Acc:ZDB-GENE-131119-34]</t>
  </si>
  <si>
    <t>ENSDARG00000002235</t>
  </si>
  <si>
    <t>mmp14a</t>
  </si>
  <si>
    <t>matrix metallopeptidase 14a (membrane-inserted) [Source:ZFIN;Acc:ZDB-GENE-030901-1]</t>
  </si>
  <si>
    <t>ENSDARG00000020473</t>
  </si>
  <si>
    <t>hddc3</t>
  </si>
  <si>
    <t>HD domain containing 3 [Source:ZFIN;Acc:ZDB-GENE-050417-377]</t>
  </si>
  <si>
    <t>ENSDARG00000067608</t>
  </si>
  <si>
    <t>zswim7</t>
  </si>
  <si>
    <t>zinc finger, SWIM-type containing 7 [Source:ZFIN;Acc:ZDB-GENE-030131-4255]</t>
  </si>
  <si>
    <t>ENSDARG00000060933</t>
  </si>
  <si>
    <t>baiap2l2b</t>
  </si>
  <si>
    <t>BAI1-associated protein 2-like 2b [Source:ZFIN;Acc:ZDB-GENE-060503-339]</t>
  </si>
  <si>
    <t>ENSDARG00000096521</t>
  </si>
  <si>
    <t>si:dkey-4p15.7</t>
  </si>
  <si>
    <t>si:dkey-4p15.7 [Source:ZFIN;Acc:ZDB-GENE-121214-265]</t>
  </si>
  <si>
    <t>ENSDARG00000017886</t>
  </si>
  <si>
    <t>zbtb11</t>
  </si>
  <si>
    <t>zinc finger and BTB domain containing 11 [Source:ZFIN;Acc:ZDB-GENE-030131-5055]</t>
  </si>
  <si>
    <t>ENSDARG00000044942</t>
  </si>
  <si>
    <t>mrpl45</t>
  </si>
  <si>
    <t>mitochondrial ribosomal protein L45 [Source:ZFIN;Acc:ZDB-GENE-040426-1041]</t>
  </si>
  <si>
    <t>ENSDARG00000032535</t>
  </si>
  <si>
    <t>praf2</t>
  </si>
  <si>
    <t>PRA1 domain family, member 2 [Source:ZFIN;Acc:ZDB-GENE-050417-190]</t>
  </si>
  <si>
    <t>ENSDARG00000075436</t>
  </si>
  <si>
    <t>sytl2b</t>
  </si>
  <si>
    <t>synaptotagmin-like 2b [Source:ZFIN;Acc:ZDB-GENE-121214-363]</t>
  </si>
  <si>
    <t>ENSDARG00000054128</t>
  </si>
  <si>
    <t>im:7136021</t>
  </si>
  <si>
    <t>im:7136021 [Source:ZFIN;Acc:ZDB-GENE-041008-74]</t>
  </si>
  <si>
    <t>ENSDARG00000026842</t>
  </si>
  <si>
    <t>acin1b</t>
  </si>
  <si>
    <t>apoptotic chromatin condensation inducer 1b [Source:ZFIN;Acc:ZDB-GENE-030826-12]</t>
  </si>
  <si>
    <t>ENSDARG00000036816</t>
  </si>
  <si>
    <t>pou2f2a</t>
  </si>
  <si>
    <t>pou2f2a.1</t>
  </si>
  <si>
    <t>POU class 2 homeobox 2a [Source:ZFIN;Acc:ZDB-GENE-060310-2]</t>
  </si>
  <si>
    <t>ENSDARG00000057707</t>
  </si>
  <si>
    <t>zgc:66443</t>
  </si>
  <si>
    <t>zgc:66443 [Source:ZFIN;Acc:ZDB-GENE-040426-2945]</t>
  </si>
  <si>
    <t>ENSDARG00000039563</t>
  </si>
  <si>
    <t>loxl3b</t>
  </si>
  <si>
    <t>lysyl oxidase-like 3b [Source:ZFIN;Acc:ZDB-GENE-030131-8210]</t>
  </si>
  <si>
    <t>ENSDARG00000003142</t>
  </si>
  <si>
    <t>dachc</t>
  </si>
  <si>
    <t>dachshund c [Source:ZFIN;Acc:ZDB-GENE-020402-5]</t>
  </si>
  <si>
    <t>ENSDARG00000042563</t>
  </si>
  <si>
    <t>mis18bp1</t>
  </si>
  <si>
    <t>MIS18 binding protein 1 [Source:ZFIN;Acc:ZDB-GENE-030616-151]</t>
  </si>
  <si>
    <t>ENSDARG00000055652</t>
  </si>
  <si>
    <t>aclyb</t>
  </si>
  <si>
    <t>ATP citrate lyase b [Source:ZFIN;Acc:ZDB-GENE-090909-2]</t>
  </si>
  <si>
    <t>ENSDARG00000103614</t>
  </si>
  <si>
    <t>pemt</t>
  </si>
  <si>
    <t>phosphatidylethanolamine N-methyltransferase [Source:ZFIN;Acc:ZDB-GENE-040426-719]</t>
  </si>
  <si>
    <t>ENSDARG00000040510</t>
  </si>
  <si>
    <t>ca15b</t>
  </si>
  <si>
    <t>carbonic anhydrase XVb [Source:ZFIN;Acc:ZDB-GENE-040426-2222]</t>
  </si>
  <si>
    <t>ENSDARG00000063665</t>
  </si>
  <si>
    <t>mat2al</t>
  </si>
  <si>
    <t>methionine adenosyltransferase II, alpha-like [Source:ZFIN;Acc:ZDB-GENE-060421-5255]</t>
  </si>
  <si>
    <t>ENSDARG00000021255</t>
  </si>
  <si>
    <t>arhgap22</t>
  </si>
  <si>
    <t>Rho GTPase activating protein 22 [Source:ZFIN;Acc:ZDB-GENE-090313-87]</t>
  </si>
  <si>
    <t>ENSDARG00000013921</t>
  </si>
  <si>
    <t>frya</t>
  </si>
  <si>
    <t>furry homolog a (Drosophila) [Source:ZFIN;Acc:ZDB-GENE-060510-4]</t>
  </si>
  <si>
    <t>ENSDARG00000030213</t>
  </si>
  <si>
    <t>sap30l</t>
  </si>
  <si>
    <t>sap30-like [Source:ZFIN;Acc:ZDB-GENE-030131-5287]</t>
  </si>
  <si>
    <t>ENSDARG00000097044</t>
  </si>
  <si>
    <t>si:dkey-14d8.24</t>
  </si>
  <si>
    <t>si:dkey-14d8.24 [Source:ZFIN;Acc:ZDB-GENE-131121-11]</t>
  </si>
  <si>
    <t>ENSDARG00000089645</t>
  </si>
  <si>
    <t>si:ch1073-406l10.2</t>
  </si>
  <si>
    <t>si:ch1073-406l10.2 [Source:ZFIN;Acc:ZDB-GENE-141212-315]</t>
  </si>
  <si>
    <t>ENSDARG00000012603</t>
  </si>
  <si>
    <t>eif3ja</t>
  </si>
  <si>
    <t>eukaryotic translation initiation factor 3, subunit Ja [Source:ZFIN;Acc:ZDB-GENE-040426-1266]</t>
  </si>
  <si>
    <t>ENSDARG00000070040</t>
  </si>
  <si>
    <t>zgc:162344</t>
  </si>
  <si>
    <t>zgc:162344 [Source:ZFIN;Acc:ZDB-GENE-030131-6058]</t>
  </si>
  <si>
    <t>ENSDARG00000008032</t>
  </si>
  <si>
    <t>sart3</t>
  </si>
  <si>
    <t>squamous cell carcinoma antigen recognized by T cells 3 [Source:ZFIN;Acc:ZDB-GENE-040724-10]</t>
  </si>
  <si>
    <t>ENSDARG00000043561</t>
  </si>
  <si>
    <t>psmc1b</t>
  </si>
  <si>
    <t>proteasome 26S subunit, ATPase 1b [Source:ZFIN;Acc:ZDB-GENE-040625-69]</t>
  </si>
  <si>
    <t>ENSDARG00000060383</t>
  </si>
  <si>
    <t>mmaa</t>
  </si>
  <si>
    <t>methylmalonic aciduria (cobalamin deficiency) cblA type [Source:ZFIN;Acc:ZDB-GENE-070928-15]</t>
  </si>
  <si>
    <t>ENSDARG00000054259</t>
  </si>
  <si>
    <t>nat10</t>
  </si>
  <si>
    <t>N-acetyltransferase 10 [Source:ZFIN;Acc:ZDB-GENE-040426-1543]</t>
  </si>
  <si>
    <t>ENSDARG00000014113</t>
  </si>
  <si>
    <t>wasla</t>
  </si>
  <si>
    <t>Wiskott-Aldrich syndrome-like a [Source:ZFIN;Acc:ZDB-GENE-070209-220]</t>
  </si>
  <si>
    <t>ENSDARG00000004502</t>
  </si>
  <si>
    <t>rcor3</t>
  </si>
  <si>
    <t>REST corepressor 3 [Source:ZFIN;Acc:ZDB-GENE-050208-371]</t>
  </si>
  <si>
    <t>ENSDARG00000008141</t>
  </si>
  <si>
    <t>rbl1</t>
  </si>
  <si>
    <t>retinoblastoma-like 1 (p107) [Source:ZFIN;Acc:ZDB-GENE-030131-8179]</t>
  </si>
  <si>
    <t>ENSDARG00000019274</t>
  </si>
  <si>
    <t>rasd1</t>
  </si>
  <si>
    <t>RAS, dexamethasone-induced 1 [Source:ZFIN;Acc:ZDB-GENE-040426-1473]</t>
  </si>
  <si>
    <t>ENSDARG00000002304</t>
  </si>
  <si>
    <t>gins2</t>
  </si>
  <si>
    <t>GINS complex subunit 2 [Source:ZFIN;Acc:ZDB-GENE-050419-19]</t>
  </si>
  <si>
    <t>ENSDARG00000091592</t>
  </si>
  <si>
    <t>peli1a</t>
  </si>
  <si>
    <t>pellino E3 ubiquitin protein ligase 1a [Source:ZFIN;Acc:ZDB-GENE-110310-6]</t>
  </si>
  <si>
    <t>ENSDARG00000104057</t>
  </si>
  <si>
    <t>pcdh1g14</t>
  </si>
  <si>
    <t>protocadherin 1 gamma 14 [Source:ZFIN;Acc:ZDB-GENE-050609-9]</t>
  </si>
  <si>
    <t>ENSDARG00000099646</t>
  </si>
  <si>
    <t>pcdh1g3</t>
  </si>
  <si>
    <t>protocadherin 1 gamma 3 [Source:ZFIN;Acc:ZDB-GENE-050608-3]</t>
  </si>
  <si>
    <t>ENSDARG00000037528</t>
  </si>
  <si>
    <t>MARVELD3</t>
  </si>
  <si>
    <t>si:ch211-191a24.4 [Source:ZFIN;Acc:ZDB-GENE-030131-4489]</t>
  </si>
  <si>
    <t>ENSDARG00000062059</t>
  </si>
  <si>
    <t>si:ch211-236l14.4</t>
  </si>
  <si>
    <t>si:ch211-236l14.4 [Source:ZFIN;Acc:ZDB-GENE-081104-189]</t>
  </si>
  <si>
    <t>ENSDARG00000011026</t>
  </si>
  <si>
    <t>zgc:92907</t>
  </si>
  <si>
    <t>zgc:92907 [Source:ZFIN;Acc:ZDB-GENE-040718-161]</t>
  </si>
  <si>
    <t>ENSDARG00000032856</t>
  </si>
  <si>
    <t>ccdc120</t>
  </si>
  <si>
    <t>coiled-coil domain containing 120 [Source:ZFIN;Acc:ZDB-GENE-061027-93]</t>
  </si>
  <si>
    <t>ENSDARG00000021948</t>
  </si>
  <si>
    <t>tnc</t>
  </si>
  <si>
    <t>tenascin C [Source:ZFIN;Acc:ZDB-GENE-980526-104]</t>
  </si>
  <si>
    <t>ENSDARG00000102320</t>
  </si>
  <si>
    <t>mob1a</t>
  </si>
  <si>
    <t>MOB kinase activator 1A [Source:ZFIN;Acc:ZDB-GENE-030131-6506]</t>
  </si>
  <si>
    <t>ENSDARG00000096120</t>
  </si>
  <si>
    <t>si:ch73-266f23.3</t>
  </si>
  <si>
    <t>si:ch73-266f23.3 [Source:ZFIN;Acc:ZDB-GENE-110914-182]</t>
  </si>
  <si>
    <t>ENSDARG00000038812</t>
  </si>
  <si>
    <t>e2f5</t>
  </si>
  <si>
    <t>E2F transcription factor 5 [Source:ZFIN;Acc:ZDB-GENE-030828-3]</t>
  </si>
  <si>
    <t>ENSDARG00000003655</t>
  </si>
  <si>
    <t>tmem59l</t>
  </si>
  <si>
    <t>transmembrane protein 59-like [Source:ZFIN;Acc:ZDB-GENE-040426-2651]</t>
  </si>
  <si>
    <t>ENSDARG00000004616</t>
  </si>
  <si>
    <t>mtmr2</t>
  </si>
  <si>
    <t>myotubularin related protein 2 [Source:ZFIN;Acc:ZDB-GENE-990715-14]</t>
  </si>
  <si>
    <t>ENSDARG00000035470</t>
  </si>
  <si>
    <t>sh3glb2b</t>
  </si>
  <si>
    <t>SH3-domain GRB2-like endophilin B2b [Source:ZFIN;Acc:ZDB-GENE-040426-833]</t>
  </si>
  <si>
    <t>ENSDARG00000024669</t>
  </si>
  <si>
    <t>oser1</t>
  </si>
  <si>
    <t>oxidative stress responsive serine-rich 1 [Source:ZFIN;Acc:ZDB-GENE-040426-1325]</t>
  </si>
  <si>
    <t>ENSDARG00000076486</t>
  </si>
  <si>
    <t>acp1</t>
  </si>
  <si>
    <t>acid phosphatase 1, soluble [Source:ZFIN;Acc:ZDB-GENE-050327-12]</t>
  </si>
  <si>
    <t>ENSDARG00000077799</t>
  </si>
  <si>
    <t>EGR4</t>
  </si>
  <si>
    <t>zgc:175128 [Source:ZFIN;Acc:ZDB-GENE-080204-90]</t>
  </si>
  <si>
    <t>ENSDARG00000100000</t>
  </si>
  <si>
    <t>si:ch211-209l18.8</t>
  </si>
  <si>
    <t>si:ch211-209l18.8 [Source:ZFIN;Acc:ZDB-GENE-141216-164]</t>
  </si>
  <si>
    <t>ENSDARG00000044436</t>
  </si>
  <si>
    <t>rps6ka4</t>
  </si>
  <si>
    <t>ribosomal protein S6 kinase, polypeptide 4 [Source:ZFIN;Acc:ZDB-GENE-060526-284]</t>
  </si>
  <si>
    <t>ENSDARG00000097547</t>
  </si>
  <si>
    <t>si:ch211-8i17.2</t>
  </si>
  <si>
    <t>si:ch211-8i17.2 [Source:ZFIN;Acc:ZDB-GENE-131127-170]</t>
  </si>
  <si>
    <t>ENSDARG00000041736</t>
  </si>
  <si>
    <t>hsdl1</t>
  </si>
  <si>
    <t>hydroxysteroid dehydrogenase like 1 [Source:ZFIN;Acc:ZDB-GENE-041212-31]</t>
  </si>
  <si>
    <t>ENSDARG00000078301</t>
  </si>
  <si>
    <t>zgc:162255</t>
  </si>
  <si>
    <t>zgc:162255 [Source:ZFIN;Acc:ZDB-GENE-070410-51]</t>
  </si>
  <si>
    <t>ENSDARG00000074892</t>
  </si>
  <si>
    <t>pde6d</t>
  </si>
  <si>
    <t>phosphodiesterase 6D, cGMP-specific, rod, delta [Source:ZFIN;Acc:ZDB-GENE-040718-463]</t>
  </si>
  <si>
    <t>ENSDARG00000008153</t>
  </si>
  <si>
    <t>serinc5</t>
  </si>
  <si>
    <t>serine incorporator 5 [Source:ZFIN;Acc:ZDB-GENE-040426-2918]</t>
  </si>
  <si>
    <t>ENSDARG00000037706</t>
  </si>
  <si>
    <t>gss</t>
  </si>
  <si>
    <t>glutathione synthetase [Source:ZFIN;Acc:ZDB-GENE-041010-208]</t>
  </si>
  <si>
    <t>ENSDARG00000063191</t>
  </si>
  <si>
    <t>extl2</t>
  </si>
  <si>
    <t>exostosin-like glycosyltransferase 2 [Source:ZFIN;Acc:ZDB-GENE-060929-1122]</t>
  </si>
  <si>
    <t>ENSDARG00000044327</t>
  </si>
  <si>
    <t>tmem185</t>
  </si>
  <si>
    <t>transmembrane protein 185 [Source:ZFIN;Acc:ZDB-GENE-040426-1167]</t>
  </si>
  <si>
    <t>ENSDARG00000044216</t>
  </si>
  <si>
    <t>fto</t>
  </si>
  <si>
    <t>fat mass and obesity associated [Source:ZFIN;Acc:ZDB-GENE-061108-1]</t>
  </si>
  <si>
    <t>ENSDARG00000098646</t>
  </si>
  <si>
    <t>mthfd2</t>
  </si>
  <si>
    <t>methylenetetrahydrofolate dehydrogenase (NADP+ dependent) 2, methenyltetrahydrofolate cyclohydrolase [Source:ZFIN;Acc:ZDB-GENE-040704-20]</t>
  </si>
  <si>
    <t>ENSDARG00000024295</t>
  </si>
  <si>
    <t>slc11a2</t>
  </si>
  <si>
    <t>solute carrier family 11 (proton-coupled divalent metal ion transporter), member 2 [Source:ZFIN;Acc:ZDB-GENE-021115-1]</t>
  </si>
  <si>
    <t>ENSDARG00000043884</t>
  </si>
  <si>
    <t>nup43</t>
  </si>
  <si>
    <t>nucleoporin 43 [Source:ZFIN;Acc:ZDB-GENE-040426-2533]</t>
  </si>
  <si>
    <t>ENSDARG00000046071</t>
  </si>
  <si>
    <t>zgc:77838</t>
  </si>
  <si>
    <t>zgc:77838 [Source:ZFIN;Acc:ZDB-GENE-040426-1889]</t>
  </si>
  <si>
    <t>ENSDARG00000074363</t>
  </si>
  <si>
    <t>TTC9</t>
  </si>
  <si>
    <t>si:ch211-259k16.3 [Source:ZFIN;Acc:ZDB-GENE-090312-172]</t>
  </si>
  <si>
    <t>ENSDARG00000100013</t>
  </si>
  <si>
    <t>dhx38</t>
  </si>
  <si>
    <t>DEAH (Asp-Glu-Ala-His) box polypeptide 38 [Source:ZFIN;Acc:ZDB-GENE-040426-1144]</t>
  </si>
  <si>
    <t>ENSDARG00000079257</t>
  </si>
  <si>
    <t>gemin5</t>
  </si>
  <si>
    <t>gem (nuclear organelle) associated protein 5 [Source:ZFIN;Acc:ZDB-GENE-031112-9]</t>
  </si>
  <si>
    <t>ENSDARG00000071697</t>
  </si>
  <si>
    <t>zgc:66433</t>
  </si>
  <si>
    <t>zgc:66433 [Source:ZFIN;Acc:ZDB-GENE-030131-9832]</t>
  </si>
  <si>
    <t>ENSDARG00000018903</t>
  </si>
  <si>
    <t>aimp2</t>
  </si>
  <si>
    <t>aminoacyl tRNA synthetase complex-interacting multifunctional protein 2 [Source:ZFIN;Acc:ZDB-GENE-040426-2652]</t>
  </si>
  <si>
    <t>ENSDARG00000068893</t>
  </si>
  <si>
    <t>mettl5</t>
  </si>
  <si>
    <t>methyltransferase like 5 [Source:ZFIN;Acc:ZDB-GENE-041010-21]</t>
  </si>
  <si>
    <t>ENSDARG00000018241</t>
  </si>
  <si>
    <t>mfap1</t>
  </si>
  <si>
    <t>microfibrillar-associated protein 1 [Source:ZFIN;Acc:ZDB-GENE-040426-1075]</t>
  </si>
  <si>
    <t>ENSDARG00000010169</t>
  </si>
  <si>
    <t>myd88</t>
  </si>
  <si>
    <t>myeloid differentiation primary response 88 [Source:ZFIN;Acc:ZDB-GENE-040219-3]</t>
  </si>
  <si>
    <t>ENSDARG00000071541</t>
  </si>
  <si>
    <t>SHISA4.2</t>
  </si>
  <si>
    <t>si:dkey-42i9.8 [Source:ZFIN;Acc:ZDB-GENE-050208-412]</t>
  </si>
  <si>
    <t>ENSDARG00000037318</t>
  </si>
  <si>
    <t>ddost</t>
  </si>
  <si>
    <t>dolichyl-diphosphooligosaccharide--protein glycosyltransferase subunit (non-catalytic) [Source:ZFIN;Acc:ZDB-GENE-040426-2147]</t>
  </si>
  <si>
    <t>ENSDARG00000074168</t>
  </si>
  <si>
    <t>fam208b</t>
  </si>
  <si>
    <t>family with sequence similarity 208, member B [Source:ZFIN;Acc:ZDB-GENE-041111-225]</t>
  </si>
  <si>
    <t>ENSDARG00000070141</t>
  </si>
  <si>
    <t>si:ch211-191i18.2</t>
  </si>
  <si>
    <t>si:ch211-191i18.2 [Source:ZFIN;Acc:ZDB-GENE-060503-769]</t>
  </si>
  <si>
    <t>ENSDARG00000007130</t>
  </si>
  <si>
    <t>mrto4</t>
  </si>
  <si>
    <t>MRT4 homolog, ribosome maturation factor [Source:ZFIN;Acc:ZDB-GENE-050417-142]</t>
  </si>
  <si>
    <t>ENSDARG00000043453</t>
  </si>
  <si>
    <t>rps5</t>
  </si>
  <si>
    <t>ribosomal protein S5 [Source:ZFIN;Acc:ZDB-GENE-020419-12]</t>
  </si>
  <si>
    <t>ENSDARG00000038243</t>
  </si>
  <si>
    <t>e4f1</t>
  </si>
  <si>
    <t>E4F transcription factor 1 [Source:ZFIN;Acc:ZDB-GENE-050913-103]</t>
  </si>
  <si>
    <t>ENSDARG00000070046</t>
  </si>
  <si>
    <t>eny2</t>
  </si>
  <si>
    <t>enhancer of yellow 2 homolog (Drosophila) [Source:ZFIN;Acc:ZDB-GENE-040718-124]</t>
  </si>
  <si>
    <t>ENSDARG00000044304</t>
  </si>
  <si>
    <t>prrc1</t>
  </si>
  <si>
    <t>proline-rich coiled-coil 1 [Source:ZFIN;Acc:ZDB-GENE-041024-9]</t>
  </si>
  <si>
    <t>ENSDARG00000004745</t>
  </si>
  <si>
    <t>lmbr1l</t>
  </si>
  <si>
    <t>limb development membrane protein 1-like [Source:ZFIN;Acc:ZDB-GENE-030131-9906]</t>
  </si>
  <si>
    <t>ENSDARG00000057513</t>
  </si>
  <si>
    <t>mdm4</t>
  </si>
  <si>
    <t>MDM4, p53 regulator [Source:ZFIN;Acc:ZDB-GENE-030131-6872]</t>
  </si>
  <si>
    <t>ENSDARG00000045733</t>
  </si>
  <si>
    <t>ciapin1</t>
  </si>
  <si>
    <t>cytokine induced apoptosis inhibitor 1 [Source:ZFIN;Acc:ZDB-GENE-040808-57]</t>
  </si>
  <si>
    <t>ENSDARG00000071643</t>
  </si>
  <si>
    <t>zgc:171490</t>
  </si>
  <si>
    <t>zgc:171490 [Source:ZFIN;Acc:ZDB-GENE-080204-29]</t>
  </si>
  <si>
    <t>ENSDARG00000038731</t>
  </si>
  <si>
    <t>slc25a36a</t>
  </si>
  <si>
    <t>solute carrier family 25 (pyrimidine nucleotide carrier ), member 36a [Source:ZFIN;Acc:ZDB-GENE-040718-415]</t>
  </si>
  <si>
    <t>ENSDARG00000016545</t>
  </si>
  <si>
    <t>CRAT</t>
  </si>
  <si>
    <t>zgc:154046 [Source:ZFIN;Acc:ZDB-GENE-061103-289]</t>
  </si>
  <si>
    <t>ENSDARG00000040463</t>
  </si>
  <si>
    <t>slc25a51b</t>
  </si>
  <si>
    <t>solute carrier family 25, member 51b [Source:ZFIN;Acc:ZDB-GENE-140328-2]</t>
  </si>
  <si>
    <t>ENSDARG00000061985</t>
  </si>
  <si>
    <t>rbm47</t>
  </si>
  <si>
    <t>RNA binding motif protein 47 [Source:ZFIN;Acc:ZDB-GENE-030131-9612]</t>
  </si>
  <si>
    <t>ENSDARG00000074728</t>
  </si>
  <si>
    <t>mfsd9</t>
  </si>
  <si>
    <t>major facilitator superfamily domain containing 9 [Source:ZFIN;Acc:ZDB-GENE-070912-190]</t>
  </si>
  <si>
    <t>ENSDARG00000016548</t>
  </si>
  <si>
    <t>eif5b</t>
  </si>
  <si>
    <t>eukaryotic translation initiation factor 5B [Source:ZFIN;Acc:ZDB-GENE-050208-20]</t>
  </si>
  <si>
    <t>ENSDARG00000042825</t>
  </si>
  <si>
    <t>rnf169</t>
  </si>
  <si>
    <t>ring finger protein 169 [Source:ZFIN;Acc:ZDB-GENE-030131-4336]</t>
  </si>
  <si>
    <t>ENSDARG00000101507</t>
  </si>
  <si>
    <t>ATG2A</t>
  </si>
  <si>
    <t>si:ch73-45o6.2 [Source:ZFIN;Acc:ZDB-GENE-091204-142]</t>
  </si>
  <si>
    <t>ENSDARG00000044328</t>
  </si>
  <si>
    <t>ankrd46a</t>
  </si>
  <si>
    <t>ankyrin repeat domain 46a [Source:ZFIN;Acc:ZDB-GENE-030131-2643]</t>
  </si>
  <si>
    <t>ENSDARG00000016649</t>
  </si>
  <si>
    <t>akr7a3</t>
  </si>
  <si>
    <t>aldo-keto reductase family 7, member A3 (aflatoxin aldehyde reductase) [Source:ZFIN;Acc:ZDB-GENE-040718-62]</t>
  </si>
  <si>
    <t>ENSDARG00000058237</t>
  </si>
  <si>
    <t>ssbp3a</t>
  </si>
  <si>
    <t>single stranded DNA binding protein 3a [Source:ZFIN;Acc:ZDB-GENE-070705-484]</t>
  </si>
  <si>
    <t>ENSDARG00000069852</t>
  </si>
  <si>
    <t>lipt2</t>
  </si>
  <si>
    <t>lipoyl(octanoyl) transferase 2 (putative) [Source:ZFIN;Acc:ZDB-GENE-060312-18]</t>
  </si>
  <si>
    <t>ENSDARG00000101613</t>
  </si>
  <si>
    <t>si:dkey-238i5.2</t>
  </si>
  <si>
    <t>si:dkey-238i5.2 [Source:ZFIN;Acc:ZDB-GENE-030131-9718]</t>
  </si>
  <si>
    <t>ENSDARG00000075470</t>
  </si>
  <si>
    <t>znf989</t>
  </si>
  <si>
    <t>zinc finger protein 989 [Source:ZFIN;Acc:ZDB-GENE-050522-337]</t>
  </si>
  <si>
    <t>ENSDARG00000079305</t>
  </si>
  <si>
    <t>hbae3</t>
  </si>
  <si>
    <t>hemoglobin alpha embryonic-3 [Source:ZFIN;Acc:ZDB-GENE-990706-3]</t>
  </si>
  <si>
    <t>ENSDARG00000079723</t>
  </si>
  <si>
    <t>TNRC6B</t>
  </si>
  <si>
    <t>TNRC6B.1</t>
  </si>
  <si>
    <t>si:dkey-46g23.1 [Source:ZFIN;Acc:ZDB-GENE-070705-475]</t>
  </si>
  <si>
    <t>ENSDARG00000099982</t>
  </si>
  <si>
    <t>ccl39.7</t>
  </si>
  <si>
    <t>chemokine (C-C motif) ligand 39, duplicate 7 [Source:ZFIN;Acc:ZDB-GENE-131127-629]</t>
  </si>
  <si>
    <t>ENSDARG00000025593</t>
  </si>
  <si>
    <t>plekhj1</t>
  </si>
  <si>
    <t>pleckstrin homology domain containing, family J member 1 [Source:ZFIN;Acc:ZDB-GENE-040426-2480]</t>
  </si>
  <si>
    <t>ENSDARG00000011141</t>
  </si>
  <si>
    <t>dpysl5a</t>
  </si>
  <si>
    <t>dihydropyrimidinase-like 5a [Source:ZFIN;Acc:ZDB-GENE-030131-3136]</t>
  </si>
  <si>
    <t>ENSDARG00000086553</t>
  </si>
  <si>
    <t>si:dkey-17e16.8</t>
  </si>
  <si>
    <t>si:dkey-17e16.8 [Source:ZFIN;Acc:ZDB-GENE-091204-248]</t>
  </si>
  <si>
    <t>ENSDARG00000030723</t>
  </si>
  <si>
    <t>cldn11b</t>
  </si>
  <si>
    <t>claudin 11b [Source:ZFIN;Acc:ZDB-GENE-010328-13]</t>
  </si>
  <si>
    <t>ENSDARG00000043074</t>
  </si>
  <si>
    <t>grp</t>
  </si>
  <si>
    <t>gastrin-releasing peptide [Source:ZFIN;Acc:ZDB-GENE-060526-117]</t>
  </si>
  <si>
    <t>ENSDARG00000063075</t>
  </si>
  <si>
    <t>soga1</t>
  </si>
  <si>
    <t>suppressor of glucose, autophagy associated 1 [Source:ZFIN;Acc:ZDB-GENE-090313-188]</t>
  </si>
  <si>
    <t>ENSDARG00000019081</t>
  </si>
  <si>
    <t>DHDH</t>
  </si>
  <si>
    <t>zgc:101723 [Source:ZFIN;Acc:ZDB-GENE-040927-25]</t>
  </si>
  <si>
    <t>ENSDARG00000056160</t>
  </si>
  <si>
    <t>hspd1</t>
  </si>
  <si>
    <t>heat shock 60 protein 1 [Source:ZFIN;Acc:ZDB-GENE-021206-1]</t>
  </si>
  <si>
    <t>ENSDARG00000052894</t>
  </si>
  <si>
    <t>znf532</t>
  </si>
  <si>
    <t>zinc finger protein 532 [Source:ZFIN;Acc:ZDB-GENE-060531-40]</t>
  </si>
  <si>
    <t>ENSDARG00000079840</t>
  </si>
  <si>
    <t>kcnma1a</t>
  </si>
  <si>
    <t>potassium large conductance calcium-activated channel, subfamily M, alpha member 1a [Source:ZFIN;Acc:ZDB-GENE-070202-9]</t>
  </si>
  <si>
    <t>ENSDARG00000061993</t>
  </si>
  <si>
    <t>wdr74</t>
  </si>
  <si>
    <t>WD repeat domain 74 [Source:ZFIN;Acc:ZDB-GENE-060929-1138]</t>
  </si>
  <si>
    <t>ENSDARG00000036438</t>
  </si>
  <si>
    <t>ndufv1</t>
  </si>
  <si>
    <t>NADH dehydrogenase (ubiquinone) flavoprotein 1 [Source:ZFIN;Acc:ZDB-GENE-040808-73]</t>
  </si>
  <si>
    <t>ENSDARG00000087483</t>
  </si>
  <si>
    <t>si:dkey-226l10.6</t>
  </si>
  <si>
    <t>si:dkey-226l10.6 [Source:ZFIN;Acc:ZDB-GENE-030131-1550]</t>
  </si>
  <si>
    <t>ENSDARG00000070717</t>
  </si>
  <si>
    <t>slc25a18</t>
  </si>
  <si>
    <t>solute carrier family 25 (glutamate carrier), member 18 [Source:ZFIN;Acc:ZDB-GENE-041111-192]</t>
  </si>
  <si>
    <t>ENSDARG00000061976</t>
  </si>
  <si>
    <t>sema6bb</t>
  </si>
  <si>
    <t>sema domain, transmembrane domain (TM), and cytoplasmic domain, (semaphorin) 6Bb [Source:ZFIN;Acc:ZDB-GENE-081105-129]</t>
  </si>
  <si>
    <t>ENSDARG00000071594</t>
  </si>
  <si>
    <t>TIMM21</t>
  </si>
  <si>
    <t>si:dkey-118j18.1 [Source:ZFIN;Acc:ZDB-GENE-120709-89]</t>
  </si>
  <si>
    <t>ENSDARG00000055232</t>
  </si>
  <si>
    <t>fancc</t>
  </si>
  <si>
    <t>Fanconi anemia, complementation group C [Source:ZFIN;Acc:ZDB-GENE-060510-2]</t>
  </si>
  <si>
    <t>ENSDARG00000078130</t>
  </si>
  <si>
    <t>zgc:193593</t>
  </si>
  <si>
    <t>ENSDARG00000005775</t>
  </si>
  <si>
    <t>scn8aa</t>
  </si>
  <si>
    <t>sodium channel, voltage gated, type VIII, alpha subunit a [Source:ZFIN;Acc:ZDB-GENE-000828-1]</t>
  </si>
  <si>
    <t>ENSDARG00000018296</t>
  </si>
  <si>
    <t>rev1</t>
  </si>
  <si>
    <t>REV1, polymerase (DNA directed) [Source:ZFIN;Acc:ZDB-GENE-081105-180]</t>
  </si>
  <si>
    <t>ENSDARG00000060349</t>
  </si>
  <si>
    <t>wasf1</t>
  </si>
  <si>
    <t>WAS protein family, member 1 [Source:ZFIN;Acc:ZDB-GENE-070705-555]</t>
  </si>
  <si>
    <t>ENSDARG00000011506</t>
  </si>
  <si>
    <t>lpcat1</t>
  </si>
  <si>
    <t>lysophosphatidylcholine acyltransferase 1 [Source:ZFIN;Acc:ZDB-GENE-060503-915]</t>
  </si>
  <si>
    <t>ENSDARG00000018411</t>
  </si>
  <si>
    <t>mknk1</t>
  </si>
  <si>
    <t>MAP kinase interacting serine/threonine kinase 1 [Source:ZFIN;Acc:ZDB-GENE-080220-11]</t>
  </si>
  <si>
    <t>ENSDARG00000045696</t>
  </si>
  <si>
    <t>mrpl23</t>
  </si>
  <si>
    <t>mitochondrial ribosomal protein L23 [Source:ZFIN;Acc:ZDB-GENE-040625-12]</t>
  </si>
  <si>
    <t>ENSDARG00000096457</t>
  </si>
  <si>
    <t>si:dkey-118j18.2</t>
  </si>
  <si>
    <t>si:dkey-118j18.2 [Source:ZFIN;Acc:ZDB-GENE-030131-8692]</t>
  </si>
  <si>
    <t>ENSDARG00000055743</t>
  </si>
  <si>
    <t>ankrd54</t>
  </si>
  <si>
    <t>ankyrin repeat domain 54 [Source:ZFIN;Acc:ZDB-GENE-040718-318]</t>
  </si>
  <si>
    <t>ENSDARG00000094857</t>
  </si>
  <si>
    <t>dio2</t>
  </si>
  <si>
    <t>deiodinase, iodothyronine, type II [Source:ZFIN;Acc:ZDB-GENE-030327-4]</t>
  </si>
  <si>
    <t>ENSDARG00000055539</t>
  </si>
  <si>
    <t>epdl2</t>
  </si>
  <si>
    <t>ependymin-like 2 [Source:ZFIN;Acc:ZDB-GENE-091204-250]</t>
  </si>
  <si>
    <t>ENSDARG00000032263</t>
  </si>
  <si>
    <t>zgc:110224</t>
  </si>
  <si>
    <t>zgc:110224 [Source:ZFIN;Acc:ZDB-GENE-050417-120]</t>
  </si>
  <si>
    <t>ENSDARG00000075339</t>
  </si>
  <si>
    <t>ipp</t>
  </si>
  <si>
    <t>intracisternal A particle-promoted polypeptide [Source:ZFIN;Acc:ZDB-GENE-080204-28]</t>
  </si>
  <si>
    <t>ENSDARG00000102774</t>
  </si>
  <si>
    <t>znf687a</t>
  </si>
  <si>
    <t>zinc finger protein 687a [Source:ZFIN;Acc:ZDB-GENE-100922-32]</t>
  </si>
  <si>
    <t>ENSDARG00000052536</t>
  </si>
  <si>
    <t>tia1</t>
  </si>
  <si>
    <t>TIA1 cytotoxic granule-associated RNA binding protein [Source:ZFIN;Acc:ZDB-GENE-030131-1506]</t>
  </si>
  <si>
    <t>ENSDARG00000041226</t>
  </si>
  <si>
    <t>cdc40</t>
  </si>
  <si>
    <t>cell division cycle 40 homolog (S. cerevisiae) [Source:ZFIN;Acc:ZDB-GENE-050116-3]</t>
  </si>
  <si>
    <t>ENSDARG00000038290</t>
  </si>
  <si>
    <t>thoc5</t>
  </si>
  <si>
    <t>THO complex 5 [Source:ZFIN;Acc:ZDB-GENE-030131-3789]</t>
  </si>
  <si>
    <t>ENSDARG00000100262</t>
  </si>
  <si>
    <t>znf981</t>
  </si>
  <si>
    <t>zinc finger protein 981 [Source:ZFIN;Acc:ZDB-GENE-110913-133]</t>
  </si>
  <si>
    <t>ENSDARG00000041140</t>
  </si>
  <si>
    <t>ddb2</t>
  </si>
  <si>
    <t>damage-specific DNA binding protein 2 [Source:ZFIN;Acc:ZDB-GENE-050419-169]</t>
  </si>
  <si>
    <t>ENSDARG00000078310</t>
  </si>
  <si>
    <t>cecr2</t>
  </si>
  <si>
    <t>cat eye syndrome chromosome region, candidate 2 [Source:ZFIN;Acc:ZDB-GENE-131121-533]</t>
  </si>
  <si>
    <t>ENSDARG00000013771</t>
  </si>
  <si>
    <t>ctss2.2</t>
  </si>
  <si>
    <t>cathepsin S, ortholog 2, tandem duplicate 2 [Source:ZFIN;Acc:ZDB-GENE-050626-55]</t>
  </si>
  <si>
    <t>ENSDARG00000105089</t>
  </si>
  <si>
    <t>ccl39.6</t>
  </si>
  <si>
    <t>chemokine (C-C motif) ligand 39, duplicate 6 [Source:ZFIN;Acc:ZDB-GENE-131121-128]</t>
  </si>
  <si>
    <t>ENSDARG00000087373</t>
  </si>
  <si>
    <t>dnah5</t>
  </si>
  <si>
    <t>dynein, axonemal, heavy chain 5 [Source:ZFIN;Acc:ZDB-GENE-110411-177]</t>
  </si>
  <si>
    <t>ENSDARG00000096631</t>
  </si>
  <si>
    <t>MED9</t>
  </si>
  <si>
    <t>si:ch73-105m5.1 [Source:ZFIN;Acc:ZDB-GENE-121214-244]</t>
  </si>
  <si>
    <t>ENSDARG00000092722</t>
  </si>
  <si>
    <t>unc5da</t>
  </si>
  <si>
    <t>unc-5 netrin receptor Da [Source:ZFIN;Acc:ZDB-GENE-080908-2]</t>
  </si>
  <si>
    <t>ENSDARG00000075783</t>
  </si>
  <si>
    <t>hmgxb4a</t>
  </si>
  <si>
    <t>HMG box domain containing 4a [Source:ZFIN;Acc:ZDB-GENE-070912-675]</t>
  </si>
  <si>
    <t>ENSDARG00000094272</t>
  </si>
  <si>
    <t>map3k19</t>
  </si>
  <si>
    <t>mitogen-activated protein kinase kinase kinase 19 [Source:ZFIN;Acc:ZDB-GENE-081104-140]</t>
  </si>
  <si>
    <t>ENSDARG00000104676</t>
  </si>
  <si>
    <t>prkd2</t>
  </si>
  <si>
    <t>protein kinase D2 [Source:ZFIN;Acc:ZDB-GENE-131120-142]</t>
  </si>
  <si>
    <t>ENSDARG00000093381</t>
  </si>
  <si>
    <t>tgm2l</t>
  </si>
  <si>
    <t>transglutaminase 2, like [Source:ZFIN;Acc:ZDB-GENE-050420-97]</t>
  </si>
  <si>
    <t>ENSDARG00000006368</t>
  </si>
  <si>
    <t>crlf1b</t>
  </si>
  <si>
    <t>cytokine receptor-like factor 1b [Source:ZFIN;Acc:ZDB-GENE-080108-1]</t>
  </si>
  <si>
    <t>ENSDARG00000095458</t>
  </si>
  <si>
    <t>si:dkey-240h12.3</t>
  </si>
  <si>
    <t>si:dkey-240h12.3 [Source:ZFIN;Acc:ZDB-GENE-070705-405]</t>
  </si>
  <si>
    <t>ENSDARG00000045555</t>
  </si>
  <si>
    <t>sco2</t>
  </si>
  <si>
    <t>SCO2 cytochrome c oxidase assembly protein [Source:ZFIN;Acc:ZDB-GENE-041210-173]</t>
  </si>
  <si>
    <t>ENSDARG00000074721</t>
  </si>
  <si>
    <t>rassf9</t>
  </si>
  <si>
    <t>Ras association (RalGDS/AF-6) domain family (N-terminal) member 9 [Source:ZFIN;Acc:ZDB-GENE-091204-470]</t>
  </si>
  <si>
    <t>ENSDARG00000055078</t>
  </si>
  <si>
    <t>chac2</t>
  </si>
  <si>
    <t>ChaC, cation transport regulator homolog 2 (E. coli) [Source:ZFIN;Acc:ZDB-GENE-050706-146]</t>
  </si>
  <si>
    <t>ENSDARG00000059701</t>
  </si>
  <si>
    <t>flii</t>
  </si>
  <si>
    <t>flightless I actin binding protein [Source:ZFIN;Acc:ZDB-GENE-071212-3]</t>
  </si>
  <si>
    <t>ENSDARG00000005526</t>
  </si>
  <si>
    <t>igfn1.1</t>
  </si>
  <si>
    <t>immunoglobulin-like and fibronectin type III domain containing 1, tandem duplicate 1 [Source:ZFIN;Acc:ZDB-GENE-050327-30]</t>
  </si>
  <si>
    <t>ENSDARG00000100842</t>
  </si>
  <si>
    <t>si:ch211-223a21.4</t>
  </si>
  <si>
    <t>si:ch211-223a21.4 [Source:ZFIN;Acc:ZDB-GENE-110913-57]</t>
  </si>
  <si>
    <t>ENSDARG00000099400</t>
  </si>
  <si>
    <t>si:ch211-223a21.6</t>
  </si>
  <si>
    <t>si:ch211-223a21.6 [Source:ZFIN;Acc:ZDB-GENE-110913-177]</t>
  </si>
  <si>
    <t>ENSDARG00000101652</t>
  </si>
  <si>
    <t>haus6</t>
  </si>
  <si>
    <t>HAUS augmin-like complex, subunit 6 [Source:ZFIN;Acc:ZDB-GENE-030131-5517]</t>
  </si>
  <si>
    <t>ENSDARG00000053685</t>
  </si>
  <si>
    <t>gtf2a2</t>
  </si>
  <si>
    <t>general transcription factor IIA, 2 [Source:ZFIN;Acc:ZDB-GENE-050522-513]</t>
  </si>
  <si>
    <t>ENSDARG00000104580</t>
  </si>
  <si>
    <t>znf1099.1</t>
  </si>
  <si>
    <t>ENSDARG00000094890</t>
  </si>
  <si>
    <t>si:ch211-163b2.4</t>
  </si>
  <si>
    <t>si:ch211-163b2.4 [Source:ZFIN;Acc:ZDB-GENE-081104-502]</t>
  </si>
  <si>
    <t>ENSDARG00000057986</t>
  </si>
  <si>
    <t>ints8</t>
  </si>
  <si>
    <t>integrator complex subunit 8 [Source:ZFIN;Acc:ZDB-GENE-050522-556]</t>
  </si>
  <si>
    <t>ENSDARG00000032327</t>
  </si>
  <si>
    <t>usp36</t>
  </si>
  <si>
    <t>ubiquitin specific peptidase 36 [Source:ZFIN;Acc:ZDB-GENE-030131-5450]</t>
  </si>
  <si>
    <t>ENSDARG00000100456</t>
  </si>
  <si>
    <t>ptk2aa</t>
  </si>
  <si>
    <t>protein tyrosine kinase 2aa [Source:ZFIN;Acc:ZDB-GENE-031114-5]</t>
  </si>
  <si>
    <t>ENSDARG00000074688</t>
  </si>
  <si>
    <t>fbrs</t>
  </si>
  <si>
    <t>fibrosin [Source:ZFIN;Acc:ZDB-GENE-111207-1]</t>
  </si>
  <si>
    <t>ENSDARG00000092337</t>
  </si>
  <si>
    <t>gas5</t>
  </si>
  <si>
    <t>growth arrest-specific 5 [Source:ZFIN;Acc:ZDB-GENE-081104-166]</t>
  </si>
  <si>
    <t>ENSDARG00000015224</t>
  </si>
  <si>
    <t>cd2ap</t>
  </si>
  <si>
    <t>CD2-associated protein [Source:ZFIN;Acc:ZDB-GENE-030131-8078]</t>
  </si>
  <si>
    <t>ENSDARG00000020953</t>
  </si>
  <si>
    <t>dnajb6b</t>
  </si>
  <si>
    <t>DnaJ (Hsp40) homolog, subfamily B, member 6b [Source:ZFIN;Acc:ZDB-GENE-040426-1122]</t>
  </si>
  <si>
    <t>ENSDARG00000058780</t>
  </si>
  <si>
    <t>slc9a2</t>
  </si>
  <si>
    <t>solute carrier family 9, subfamily A (NHE2, cation proton antiporter 2), member 2 [Source:ZFIN;Acc:ZDB-GENE-070912-541]</t>
  </si>
  <si>
    <t>ENSDARG00000092243</t>
  </si>
  <si>
    <t>si:ch211-163b2.2</t>
  </si>
  <si>
    <t>si:ch211-163b2.2 [Source:ZFIN;Acc:ZDB-GENE-081105-152]</t>
  </si>
  <si>
    <t>ENSDARG00000104737</t>
  </si>
  <si>
    <t>si:ch211-223a21.3</t>
  </si>
  <si>
    <t>si:ch211-223a21.3 [Source:ZFIN;Acc:ZDB-GENE-110913-50]</t>
  </si>
  <si>
    <t>ENSDARG00000055339</t>
  </si>
  <si>
    <t>MIPEP</t>
  </si>
  <si>
    <t>si:ch73-1a9.4 [Source:ZFIN;Acc:ZDB-GENE-050506-64]</t>
  </si>
  <si>
    <t>ENSDARG00000021242</t>
  </si>
  <si>
    <t>mvp</t>
  </si>
  <si>
    <t>major vault protein [Source:ZFIN;Acc:ZDB-GENE-030826-33]</t>
  </si>
  <si>
    <t>ENSDARG00000069324</t>
  </si>
  <si>
    <t>vps53</t>
  </si>
  <si>
    <t>vacuolar protein sorting 53 homolog (S. cerevisiae) [Source:ZFIN;Acc:ZDB-GENE-041114-199]</t>
  </si>
  <si>
    <t>ENSDARG00000073867</t>
  </si>
  <si>
    <t>si:ch211-87h14.3</t>
  </si>
  <si>
    <t>si:ch211-87h14.3 [Source:ZFIN;Acc:ZDB-GENE-081031-40]</t>
  </si>
  <si>
    <t>ENSDARG00000077946</t>
  </si>
  <si>
    <t>smarcc2</t>
  </si>
  <si>
    <t>SWI/SNF related, matrix associated, actin dependent regulator of chromatin, subfamily c, member 2 [Source:ZFIN;Acc:ZDB-GENE-100728-1]</t>
  </si>
  <si>
    <t>ENSDARG00000077728</t>
  </si>
  <si>
    <t>supv3l1</t>
  </si>
  <si>
    <t>SUV3-like helicase [Source:ZFIN;Acc:ZDB-GENE-030131-2838]</t>
  </si>
  <si>
    <t>ENSDARG00000075817</t>
  </si>
  <si>
    <t>mettl24</t>
  </si>
  <si>
    <t>methyltransferase like 24 [Source:ZFIN;Acc:ZDB-GENE-070424-138]</t>
  </si>
  <si>
    <t>ENSDARG00000039117</t>
  </si>
  <si>
    <t>tefa</t>
  </si>
  <si>
    <t>thyrotrophic embryonic factor a [Source:ZFIN;Acc:ZDB-GENE-990415-264]</t>
  </si>
  <si>
    <t>ENSDARG00000060120</t>
  </si>
  <si>
    <t>glyctk</t>
  </si>
  <si>
    <t>glycerate kinase [Source:ZFIN;Acc:ZDB-GENE-061013-308]</t>
  </si>
  <si>
    <t>ENSDARG00000010948</t>
  </si>
  <si>
    <t>kif11</t>
  </si>
  <si>
    <t>kinesin family member 11 [Source:ZFIN;Acc:ZDB-GENE-020426-1]</t>
  </si>
  <si>
    <t>ENSDARG00000096030</t>
  </si>
  <si>
    <t>si:dkey-262g12.7</t>
  </si>
  <si>
    <t>si:dkey-262g12.7 [Source:ZFIN;Acc:ZDB-GENE-110914-181]</t>
  </si>
  <si>
    <t>ENSDARG00000027088</t>
  </si>
  <si>
    <t>ptgdsb</t>
  </si>
  <si>
    <t>prostaglandin D2 synthase b [Source:ZFIN;Acc:ZDB-GENE-030131-8436]</t>
  </si>
  <si>
    <t>ENSDARG00000021110</t>
  </si>
  <si>
    <t>poc1b</t>
  </si>
  <si>
    <t>POC1 centriolar protein B [Source:ZFIN;Acc:ZDB-GENE-031118-54]</t>
  </si>
  <si>
    <t>ENSDARG00000103388</t>
  </si>
  <si>
    <t>znf609a</t>
  </si>
  <si>
    <t>zinc finger protein 609a [Source:ZFIN;Acc:ZDB-GENE-030131-6219]</t>
  </si>
  <si>
    <t>ENSDARG00000018149</t>
  </si>
  <si>
    <t>slc38a4</t>
  </si>
  <si>
    <t>solute carrier family 38, member 4 [Source:ZFIN;Acc:ZDB-GENE-041010-14]</t>
  </si>
  <si>
    <t>ENSDARG00000037965</t>
  </si>
  <si>
    <t>srrm2</t>
  </si>
  <si>
    <t>serine/arginine repetitive matrix 2 [Source:ZFIN;Acc:ZDB-GENE-050522-399]</t>
  </si>
  <si>
    <t>ENSDARG00000001754</t>
  </si>
  <si>
    <t>noc2l</t>
  </si>
  <si>
    <t>NOC2-like nucleolar associated transcriptional repressor [Source:ZFIN;Acc:ZDB-GENE-000607-75]</t>
  </si>
  <si>
    <t>ENSDARG00000093207</t>
  </si>
  <si>
    <t>si:ch211-244h7.2</t>
  </si>
  <si>
    <t>si:ch211-244h7.2 [Source:ZFIN;Acc:ZDB-GENE-050419-77]</t>
  </si>
  <si>
    <t>ENSDARG00000031929</t>
  </si>
  <si>
    <t>stard14</t>
  </si>
  <si>
    <t>START domain containing 14 [Source:ZFIN;Acc:ZDB-GENE-040426-963]</t>
  </si>
  <si>
    <t>ENSDARG00000055052</t>
  </si>
  <si>
    <t>map2</t>
  </si>
  <si>
    <t>microtubule-associated protein 2 [Source:ZFIN;Acc:ZDB-GENE-041010-118]</t>
  </si>
  <si>
    <t>ENSDARG00000040192</t>
  </si>
  <si>
    <t>nenf</t>
  </si>
  <si>
    <t>neudesin neurotrophic factor [Source:ZFIN;Acc:ZDB-GENE-050320-129]</t>
  </si>
  <si>
    <t>ENSDARG00000091232</t>
  </si>
  <si>
    <t>kcnj1a.1</t>
  </si>
  <si>
    <t>potassium inwardly-rectifying channel, subfamily J, member 1a, tandem duplicate 1 [Source:ZFIN;Acc:ZDB-GENE-031118-55]</t>
  </si>
  <si>
    <t>ENSDARG00000086184</t>
  </si>
  <si>
    <t>FBXO48</t>
  </si>
  <si>
    <t>si:dkey-202b17.4 [Source:ZFIN;Acc:ZDB-GENE-121214-308]</t>
  </si>
  <si>
    <t>ENSDARG00000054804</t>
  </si>
  <si>
    <t>anp32e</t>
  </si>
  <si>
    <t>acidic (leucine-rich) nuclear phosphoprotein 32 family, member E [Source:ZFIN;Acc:ZDB-GENE-040426-2448]</t>
  </si>
  <si>
    <t>ENSDARG00000063051</t>
  </si>
  <si>
    <t>bap1</t>
  </si>
  <si>
    <t>BRCA1 associated protein-1 (ubiquitin carboxy-terminal hydrolase) [Source:ZFIN;Acc:ZDB-GENE-050208-492]</t>
  </si>
  <si>
    <t>ENSDARG00000043451</t>
  </si>
  <si>
    <t>cab39</t>
  </si>
  <si>
    <t>calcium binding protein 39 [Source:ZFIN;Acc:ZDB-GENE-040625-158]</t>
  </si>
  <si>
    <t>ENSDARG00000103814</t>
  </si>
  <si>
    <t>si:dkeyp-55h4.2</t>
  </si>
  <si>
    <t>si:dkeyp-55h4.2 [Source:ZFIN;Acc:ZDB-GENE-131125-90]</t>
  </si>
  <si>
    <t>ENSDARG00000088040</t>
  </si>
  <si>
    <t>MDP1</t>
  </si>
  <si>
    <t>si:dkeyp-27c8.2 [Source:ZFIN;Acc:ZDB-GENE-090311-51]</t>
  </si>
  <si>
    <t>ENSDARG00000020656</t>
  </si>
  <si>
    <t>prkg1a</t>
  </si>
  <si>
    <t>protein kinase, cGMP-dependent, type Ia [Source:ZFIN;Acc:ZDB-GENE-040426-1308]</t>
  </si>
  <si>
    <t>ENSDARG00000033599</t>
  </si>
  <si>
    <t>zgc:100906</t>
  </si>
  <si>
    <t>zgc:100906 [Source:ZFIN;Acc:ZDB-GENE-040801-20]</t>
  </si>
  <si>
    <t>ENSDARG00000062585</t>
  </si>
  <si>
    <t>brat1</t>
  </si>
  <si>
    <t>BRCA1-associated ATM activator 1 [Source:ZFIN;Acc:ZDB-GENE-060421-6989]</t>
  </si>
  <si>
    <t>ENSDARG00000012341</t>
  </si>
  <si>
    <t>capn9</t>
  </si>
  <si>
    <t>calpain 9 [Source:ZFIN;Acc:ZDB-GENE-010724-2]</t>
  </si>
  <si>
    <t>ENSDARG00000032197</t>
  </si>
  <si>
    <t>klf12b</t>
  </si>
  <si>
    <t>Kruppel-like factor 12b [Source:ZFIN;Acc:ZDB-GENE-071004-22]</t>
  </si>
  <si>
    <t>ENSDARG00000059060</t>
  </si>
  <si>
    <t>lgalsla</t>
  </si>
  <si>
    <t>lectin, galactoside-binding-like a [Source:ZFIN;Acc:ZDB-GENE-060616-24]</t>
  </si>
  <si>
    <t>ENSDARG00000028336</t>
  </si>
  <si>
    <t>dhdhl</t>
  </si>
  <si>
    <t>dihydrodiol dehydrogenase (dimeric), like [Source:ZFIN;Acc:ZDB-GENE-040426-2180]</t>
  </si>
  <si>
    <t>ENSDARG00000012450</t>
  </si>
  <si>
    <t>vmp1</t>
  </si>
  <si>
    <t>vacuole membrane protein 1 [Source:ZFIN;Acc:ZDB-GENE-030131-8733]</t>
  </si>
  <si>
    <t>ENSDARG00000014793</t>
  </si>
  <si>
    <t>ehd1b</t>
  </si>
  <si>
    <t>EH-domain containing 1b [Source:ZFIN;Acc:ZDB-GENE-030131-2069]</t>
  </si>
  <si>
    <t>ENSDARG00000090389</t>
  </si>
  <si>
    <t>ndufv3</t>
  </si>
  <si>
    <t>NADH dehydrogenase (ubiquinone) flavoprotein 3 [Source:ZFIN;Acc:ZDB-GENE-030131-6500]</t>
  </si>
  <si>
    <t>ENSDARG00000056621</t>
  </si>
  <si>
    <t>ctcf</t>
  </si>
  <si>
    <t>CCCTC-binding factor (zinc finger protein) [Source:ZFIN;Acc:ZDB-GENE-040624-5]</t>
  </si>
  <si>
    <t>ENSDARG00000062594</t>
  </si>
  <si>
    <t>coq7</t>
  </si>
  <si>
    <t>coenzyme Q7 homolog, ubiquinone (yeast) [Source:ZFIN;Acc:ZDB-GENE-070209-262]</t>
  </si>
  <si>
    <t>ENSDARG00000070470</t>
  </si>
  <si>
    <t>sh3rf1</t>
  </si>
  <si>
    <t>SH3 domain containing ring finger 1 [Source:ZFIN;Acc:ZDB-GENE-030131-6288]</t>
  </si>
  <si>
    <t>ENSDARG00000056847</t>
  </si>
  <si>
    <t>si:dkey-27c15.3</t>
  </si>
  <si>
    <t>si:dkey-27c15.3 [Source:ZFIN;Acc:ZDB-GENE-060503-728]</t>
  </si>
  <si>
    <t>ENSDARG00000008396</t>
  </si>
  <si>
    <t>ftr24</t>
  </si>
  <si>
    <t>finTRIM family, member 24 [Source:ZFIN;Acc:ZDB-GENE-050731-2]</t>
  </si>
  <si>
    <t>ENSDARG00000093111</t>
  </si>
  <si>
    <t>si:ch211-209l18.2</t>
  </si>
  <si>
    <t>si:ch211-209l18.2 [Source:ZFIN;Acc:ZDB-GENE-060503-682]</t>
  </si>
  <si>
    <t>ENSDARG00000045091</t>
  </si>
  <si>
    <t>mrpl10</t>
  </si>
  <si>
    <t>mitochondrial ribosomal protein L10 [Source:ZFIN;Acc:ZDB-GENE-050320-19]</t>
  </si>
  <si>
    <t>ENSDARG00000096877</t>
  </si>
  <si>
    <t>cab39.1</t>
  </si>
  <si>
    <t>ENSDARG00000041137</t>
  </si>
  <si>
    <t>dhrs13a.3</t>
  </si>
  <si>
    <t>dehydrogenase/reductase (SDR family) member 13a, duplicate 3 [Source:ZFIN;Acc:ZDB-GENE-041114-134]</t>
  </si>
  <si>
    <t>ENSDARG00000078535</t>
  </si>
  <si>
    <t>lrrcc1</t>
  </si>
  <si>
    <t>leucine rich repeat and coiled-coil centrosomal protein 1 [Source:ZFIN;Acc:ZDB-GENE-041111-207]</t>
  </si>
  <si>
    <t>ENSDARG00000005945</t>
  </si>
  <si>
    <t>sart1</t>
  </si>
  <si>
    <t>squamous cell carcinoma antigen recognised by T cells [Source:ZFIN;Acc:ZDB-GENE-040718-422]</t>
  </si>
  <si>
    <t>ENSDARG00000067985</t>
  </si>
  <si>
    <t>ftr23</t>
  </si>
  <si>
    <t>finTRIM family, member 23 [Source:ZFIN;Acc:ZDB-GENE-070912-322]</t>
  </si>
  <si>
    <t>ENSDARG00000010873</t>
  </si>
  <si>
    <t>DDX17</t>
  </si>
  <si>
    <t>si:dkey-156n14.5 [Source:ZFIN;Acc:ZDB-GENE-030131-18]</t>
  </si>
  <si>
    <t>ENSDARG00000092880</t>
  </si>
  <si>
    <t>si:ch73-234b20.6</t>
  </si>
  <si>
    <t>si:ch73-234b20.6 [Source:ZFIN;Acc:ZDB-GENE-090312-184]</t>
  </si>
  <si>
    <t>ENSDARG00000095782</t>
  </si>
  <si>
    <t>si:ch211-209l18.6</t>
  </si>
  <si>
    <t>si:ch211-209l18.6 [Source:ZFIN;Acc:ZDB-GENE-110411-11]</t>
  </si>
  <si>
    <t>ENSDARG00000019950</t>
  </si>
  <si>
    <t>carf</t>
  </si>
  <si>
    <t>calcium responsive transcription factor [Source:ZFIN;Acc:ZDB-GENE-070912-172]</t>
  </si>
  <si>
    <t>ENSDARG00000079133</t>
  </si>
  <si>
    <t>si:dkey-10c21.1</t>
  </si>
  <si>
    <t>si:dkey-10c21.1 [Source:ZFIN;Acc:ZDB-GENE-081104-302]</t>
  </si>
  <si>
    <t>ENSDARG00000034307</t>
  </si>
  <si>
    <t>chrne</t>
  </si>
  <si>
    <t>cholinergic receptor, nicotinic, epsilon [Source:ZFIN;Acc:ZDB-GENE-040808-32]</t>
  </si>
  <si>
    <t>ENSDARG00000016263</t>
  </si>
  <si>
    <t>zdhhc5a</t>
  </si>
  <si>
    <t>zinc finger, DHHC-type containing 5a [Source:ZFIN;Acc:ZDB-GENE-090312-92]</t>
  </si>
  <si>
    <t>ENSDARG00000019335</t>
  </si>
  <si>
    <t>hes6</t>
  </si>
  <si>
    <t>hes family bHLH transcription factor 6 [Source:ZFIN;Acc:ZDB-GENE-030828-5]</t>
  </si>
  <si>
    <t>ENSDARG00000090847</t>
  </si>
  <si>
    <t>si:ch211-209l18.4</t>
  </si>
  <si>
    <t>si:ch211-209l18.4 [Source:ZFIN;Acc:ZDB-GENE-110411-221]</t>
  </si>
  <si>
    <t>ENSDARG00000079552</t>
  </si>
  <si>
    <t>maml3</t>
  </si>
  <si>
    <t>mastermind-like transcriptional coactivator 3 [Source:ZFIN;Acc:ZDB-GENE-090313-292]</t>
  </si>
  <si>
    <t>ENSDARG00000078065</t>
  </si>
  <si>
    <t>ftr96</t>
  </si>
  <si>
    <t>finTRIM family, member 96 [Source:ZFIN;Acc:ZDB-GENE-141212-272]</t>
  </si>
  <si>
    <t>ENSDARG00000040440</t>
  </si>
  <si>
    <t>snrpd2</t>
  </si>
  <si>
    <t>small nuclear ribonucleoprotein D2 polypeptide [Source:ZFIN;Acc:ZDB-GENE-040914-10]</t>
  </si>
  <si>
    <t>ENSDARG00000069006</t>
  </si>
  <si>
    <t>tle3b</t>
  </si>
  <si>
    <t>transducin-like enhancer of split 3b [Source:ZFIN;Acc:ZDB-GENE-990415-85]</t>
  </si>
  <si>
    <t>ENSDARG00000061640</t>
  </si>
  <si>
    <t>SIPA1L2</t>
  </si>
  <si>
    <t>si:dkey-77m16.2 [Source:ZFIN;Acc:ZDB-GENE-141212-259]</t>
  </si>
  <si>
    <t>ENSDARG00000078825</t>
  </si>
  <si>
    <t>bub1ba</t>
  </si>
  <si>
    <t>BUB1 mitotic checkpoint serine/threonine kinase Ba [Source:ZFIN;Acc:ZDB-GENE-041014-120]</t>
  </si>
  <si>
    <t>ENSDARG00000005115</t>
  </si>
  <si>
    <t>calub</t>
  </si>
  <si>
    <t>calumenin b [Source:ZFIN;Acc:ZDB-GENE-040426-1251]</t>
  </si>
  <si>
    <t>ENSDARG00000014017</t>
  </si>
  <si>
    <t>rrm1</t>
  </si>
  <si>
    <t>ribonucleotide reductase M1 polypeptide [Source:ZFIN;Acc:ZDB-GENE-990415-247]</t>
  </si>
  <si>
    <t>ENSDARG00000030116</t>
  </si>
  <si>
    <t>susd6</t>
  </si>
  <si>
    <t>sushi domain containing 6 [Source:ZFIN;Acc:ZDB-GENE-030131-8832]</t>
  </si>
  <si>
    <t>ENSDARG00000020676</t>
  </si>
  <si>
    <t>dpp3</t>
  </si>
  <si>
    <t>dipeptidyl-peptidase 3 [Source:ZFIN;Acc:ZDB-GENE-030131-1247]</t>
  </si>
  <si>
    <t>ENSDARG00000002690</t>
  </si>
  <si>
    <t>rabif</t>
  </si>
  <si>
    <t>RAB interacting factor [Source:ZFIN;Acc:ZDB-GENE-040718-216]</t>
  </si>
  <si>
    <t>ENSDARG00000103684</t>
  </si>
  <si>
    <t>ap4e1</t>
  </si>
  <si>
    <t>adaptor-related protein complex 4, epsilon 1 subunit [Source:ZFIN;Acc:ZDB-GENE-061221-3]</t>
  </si>
  <si>
    <t>ENSDARG00000051756</t>
  </si>
  <si>
    <t>pdhx</t>
  </si>
  <si>
    <t>pyruvate dehydrogenase complex, component X [Source:ZFIN;Acc:ZDB-GENE-040426-1539]</t>
  </si>
  <si>
    <t>ENSDARG00000039650</t>
  </si>
  <si>
    <t>itm2cb</t>
  </si>
  <si>
    <t>integral membrane protein 2Cb [Source:ZFIN;Acc:ZDB-GENE-030131-7806]</t>
  </si>
  <si>
    <t>ENSDARG00000025679</t>
  </si>
  <si>
    <t>comtb</t>
  </si>
  <si>
    <t>catechol-O-methyltransferase b [Source:ZFIN;Acc:ZDB-GENE-040724-164]</t>
  </si>
  <si>
    <t>ENSDARG00000005382</t>
  </si>
  <si>
    <t>prdm9</t>
  </si>
  <si>
    <t>PR domain containing 9 [Source:ZFIN;Acc:ZDB-GENE-040426-1319]</t>
  </si>
  <si>
    <t>ENSDARG00000102085</t>
  </si>
  <si>
    <t>si:ch73-158e15.3</t>
  </si>
  <si>
    <t>si:ch73-158e15.3 [Source:ZFIN;Acc:ZDB-GENE-141216-238]</t>
  </si>
  <si>
    <t>ENSDARG00000098222</t>
  </si>
  <si>
    <t>ccbl2.1</t>
  </si>
  <si>
    <t>ENSDARG00000005236</t>
  </si>
  <si>
    <t>srcap</t>
  </si>
  <si>
    <t>Snf2-related CREBBP activator protein [Source:ZFIN;Acc:ZDB-GENE-041008-127]</t>
  </si>
  <si>
    <t>ENSDARG00000076518</t>
  </si>
  <si>
    <t>mettl1</t>
  </si>
  <si>
    <t>methyltransferase like 1 [Source:ZFIN;Acc:ZDB-GENE-041010-24]</t>
  </si>
  <si>
    <t>ENSDARG00000005246</t>
  </si>
  <si>
    <t>asb3</t>
  </si>
  <si>
    <t>ankyrin repeat and SOCS box containing 3 [Source:ZFIN;Acc:ZDB-GENE-030131-6142]</t>
  </si>
  <si>
    <t>ENSDARG00000038537</t>
  </si>
  <si>
    <t>gga1</t>
  </si>
  <si>
    <t>golgi-associated, gamma adaptin ear containing, ARF binding protein 1 [Source:ZFIN;Acc:ZDB-GENE-040822-13]</t>
  </si>
  <si>
    <t>ENSDARG00000006604</t>
  </si>
  <si>
    <t>pvrl3b</t>
  </si>
  <si>
    <t>poliovirus receptor-related 3b [Source:ZFIN;Acc:ZDB-GENE-050327-14]</t>
  </si>
  <si>
    <t>ENSDARG00000086996</t>
  </si>
  <si>
    <t>si:ch73-234b20.5</t>
  </si>
  <si>
    <t>si:ch73-234b20.5 [Source:ZFIN;Acc:ZDB-GENE-041008-183]</t>
  </si>
  <si>
    <t>ENSDARG00000089009</t>
  </si>
  <si>
    <t>frmpd1b</t>
  </si>
  <si>
    <t>FERM and PDZ domain containing 1b [Source:ZFIN;Acc:ZDB-GENE-140328-1]</t>
  </si>
  <si>
    <t>ENSDARG00000096614</t>
  </si>
  <si>
    <t>si:dkey-182i3.10</t>
  </si>
  <si>
    <t>si:dkey-182i3.10 [Source:ZFIN;Acc:ZDB-GENE-121214-231]</t>
  </si>
  <si>
    <t>ENSDARG00000098387</t>
  </si>
  <si>
    <t>tmem176l.3a</t>
  </si>
  <si>
    <t>transmembrane protein 176l.3a [Source:ZFIN;Acc:ZDB-GENE-080829-13]</t>
  </si>
  <si>
    <t>ENSDARG00000051902</t>
  </si>
  <si>
    <t>prmt7</t>
  </si>
  <si>
    <t>protein arginine methyltransferase 7 [Source:ZFIN;Acc:ZDB-GENE-040426-1560]</t>
  </si>
  <si>
    <t>ENSDARG00000002396</t>
  </si>
  <si>
    <t>cry-dash</t>
  </si>
  <si>
    <t>cryptochrome DASH [Source:ZFIN;Acc:ZDB-GENE-040617-2]</t>
  </si>
  <si>
    <t>ENSDARG00000045518</t>
  </si>
  <si>
    <t>tmem110l</t>
  </si>
  <si>
    <t>transmembrane protein 110, like [Source:ZFIN;Acc:ZDB-GENE-040426-912]</t>
  </si>
  <si>
    <t>ENSDARG00000055436</t>
  </si>
  <si>
    <t>ftr97</t>
  </si>
  <si>
    <t>ftr97.1</t>
  </si>
  <si>
    <t>finTRIM family, member 97 [Source:ZFIN;Acc:ZDB-GENE-061026-1]</t>
  </si>
  <si>
    <t>ENSDARG00000079369</t>
  </si>
  <si>
    <t>si:ch211-212g7.6</t>
  </si>
  <si>
    <t>si:ch211-212g7.6 [Source:ZFIN;Acc:ZDB-GENE-030131-4695]</t>
  </si>
  <si>
    <t>ENSDARG00000102904</t>
  </si>
  <si>
    <t>si:ch211-246b8.2</t>
  </si>
  <si>
    <t>si:ch211-246b8.2 [Source:ZFIN;Acc:ZDB-GENE-070705-137]</t>
  </si>
  <si>
    <t>ENSDARG00000013144</t>
  </si>
  <si>
    <t>atp1b1a</t>
  </si>
  <si>
    <t>ATPase, Na+/K+ transporting, beta 1a polypeptide [Source:ZFIN;Acc:ZDB-GENE-001127-3]</t>
  </si>
  <si>
    <t>ENSDARG00000015829</t>
  </si>
  <si>
    <t>mov10a</t>
  </si>
  <si>
    <t>Mov10 RISC complex RNA helicase a [Source:ZFIN;Acc:ZDB-GENE-091230-8]</t>
  </si>
  <si>
    <t>ENSDARG00000103428</t>
  </si>
  <si>
    <t>ogdhb</t>
  </si>
  <si>
    <t>oxoglutarate (alpha-ketoglutarate) dehydrogenase b (lipoamide) [Source:ZFIN;Acc:ZDB-GENE-090311-8]</t>
  </si>
  <si>
    <t>ENSDARG00000056162</t>
  </si>
  <si>
    <t>nr2c2ap</t>
  </si>
  <si>
    <t>nuclear receptor 2C2-associated protein [Source:ZFIN;Acc:ZDB-GENE-050208-758]</t>
  </si>
  <si>
    <t>ENSDARG00000098075</t>
  </si>
  <si>
    <t>sh3bgrl3</t>
  </si>
  <si>
    <t>SH3 domain binding glutamate-rich protein like 3 [Source:ZFIN;Acc:ZDB-GENE-040426-1059]</t>
  </si>
  <si>
    <t>ENSDARG00000044781</t>
  </si>
  <si>
    <t>bace2</t>
  </si>
  <si>
    <t>beta-site APP-cleaving enzyme 2 [Source:ZFIN;Acc:ZDB-GENE-041010-68]</t>
  </si>
  <si>
    <t>ENSDARG00000058454</t>
  </si>
  <si>
    <t>dynll1</t>
  </si>
  <si>
    <t>dynein, light chain, LC8-type 1 [Source:ZFIN;Acc:ZDB-GENE-040426-1961]</t>
  </si>
  <si>
    <t>ENSDARG00000002353</t>
  </si>
  <si>
    <t>tagapa</t>
  </si>
  <si>
    <t>T-cell activation RhoGTPase activating protein a [Source:ZFIN;Acc:ZDB-GENE-040426-1877]</t>
  </si>
  <si>
    <t>ENSDARG00000102512</t>
  </si>
  <si>
    <t>kdm8</t>
  </si>
  <si>
    <t>lysine (K)-specific demethylase 8 [Source:ZFIN;Acc:ZDB-GENE-040718-411]</t>
  </si>
  <si>
    <t>ENSDARG00000014531</t>
  </si>
  <si>
    <t>atg4a</t>
  </si>
  <si>
    <t>autophagy related 4A, cysteine peptidase [Source:ZFIN;Acc:ZDB-GENE-050522-430]</t>
  </si>
  <si>
    <t>ENSDARG00000011863</t>
  </si>
  <si>
    <t>ptk7a</t>
  </si>
  <si>
    <t>protein tyrosine kinase 7a [Source:ZFIN;Acc:ZDB-GENE-050522-216]</t>
  </si>
  <si>
    <t>ENSDARG00000034187</t>
  </si>
  <si>
    <t>calm1b</t>
  </si>
  <si>
    <t>calmodulin 1b [Source:ZFIN;Acc:ZDB-GENE-030804-2]</t>
  </si>
  <si>
    <t>ENSDARG00000006782</t>
  </si>
  <si>
    <t>rb1</t>
  </si>
  <si>
    <t>retinoblastoma 1 [Source:ZFIN;Acc:ZDB-GENE-040428-1]</t>
  </si>
  <si>
    <t>ENSDARG00000086870</t>
  </si>
  <si>
    <t>slc12a2</t>
  </si>
  <si>
    <t>solute carrier family 12 (sodium/potassium/chloride transporter), member 2 [Source:ZFIN;Acc:ZDB-GENE-040625-53]</t>
  </si>
  <si>
    <t>ENSDARG00000045552</t>
  </si>
  <si>
    <t>si:dkey-202b22.6</t>
  </si>
  <si>
    <t>si:dkey-202b22.6 [Source:ZFIN;Acc:ZDB-GENE-041210-176]</t>
  </si>
  <si>
    <t>ENSDARG00000016867</t>
  </si>
  <si>
    <t>rnf128a</t>
  </si>
  <si>
    <t>ring finger protein 128a [Source:ZFIN;Acc:ZDB-GENE-030131-1044]</t>
  </si>
  <si>
    <t>ENSDARG00000018393</t>
  </si>
  <si>
    <t>kank2</t>
  </si>
  <si>
    <t>KN motif and ankyrin repeat domains 2 [Source:ZFIN;Acc:ZDB-GENE-040724-121]</t>
  </si>
  <si>
    <t>ENSDARG00000042510</t>
  </si>
  <si>
    <t>si:dkey-11e23.4</t>
  </si>
  <si>
    <t>si:dkey-11e23.4 [Source:ZFIN;Acc:ZDB-GENE-041001-182]</t>
  </si>
  <si>
    <t>ENSDARG00000063437</t>
  </si>
  <si>
    <t>wnt9a</t>
  </si>
  <si>
    <t>wingless-type MMTV integration site family, member 9A [Source:ZFIN;Acc:ZDB-GENE-060825-97]</t>
  </si>
  <si>
    <t>ENSDARG00000060065</t>
  </si>
  <si>
    <t>ubap2b</t>
  </si>
  <si>
    <t>ubiquitin associated protein 2b [Source:ZFIN;Acc:ZDB-GENE-070209-122]</t>
  </si>
  <si>
    <t>ENSDARG00000012723</t>
  </si>
  <si>
    <t>rbm14a</t>
  </si>
  <si>
    <t>RNA binding motif protein 14a [Source:ZFIN;Acc:ZDB-GENE-050522-496]</t>
  </si>
  <si>
    <t>ENSDARG00000043279</t>
  </si>
  <si>
    <t>aqp12</t>
  </si>
  <si>
    <t>aquaporin 12 [Source:ZFIN;Acc:ZDB-GENE-040718-310]</t>
  </si>
  <si>
    <t>ENSDARG00000018174</t>
  </si>
  <si>
    <t>gnai2a</t>
  </si>
  <si>
    <t>guanine nucleotide binding protein (G protein), alpha inhibiting activity polypeptide 2a [Source:ZFIN;Acc:ZDB-GENE-030131-8365]</t>
  </si>
  <si>
    <t>ENSDARG00000038121</t>
  </si>
  <si>
    <t>ELL3</t>
  </si>
  <si>
    <t>si:ch211-13k12.2 [Source:ZFIN;Acc:ZDB-GENE-061207-5]</t>
  </si>
  <si>
    <t>ENSDARG00000036704</t>
  </si>
  <si>
    <t>tmem18</t>
  </si>
  <si>
    <t>transmembrane protein 18 [Source:ZFIN;Acc:ZDB-GENE-040927-26]</t>
  </si>
  <si>
    <t>ENSDARG00000087596</t>
  </si>
  <si>
    <t>si:ch73-95l15.5</t>
  </si>
  <si>
    <t>si:ch73-95l15.5 [Source:ZFIN;Acc:ZDB-GENE-030131-3481]</t>
  </si>
  <si>
    <t>ENSDARG00000079470</t>
  </si>
  <si>
    <t>cdk17</t>
  </si>
  <si>
    <t>cyclin-dependent kinase 17 [Source:ZFIN;Acc:ZDB-GENE-041210-15]</t>
  </si>
  <si>
    <t>ENSDARG00000101719</t>
  </si>
  <si>
    <t>pargl</t>
  </si>
  <si>
    <t>poly (ADP-ribose) glycohydrolase, like [Source:ZFIN;Acc:ZDB-GENE-090313-286]</t>
  </si>
  <si>
    <t>ENSDARG00000029480</t>
  </si>
  <si>
    <t>specc1</t>
  </si>
  <si>
    <t>sperm antigen with calponin homology and coiled-coil domains 1 [Source:ZFIN;Acc:ZDB-GENE-060526-207]</t>
  </si>
  <si>
    <t>ENSDARG00000058968</t>
  </si>
  <si>
    <t>haus1</t>
  </si>
  <si>
    <t>HAUS augmin-like complex, subunit 1 [Source:ZFIN;Acc:ZDB-GENE-091204-387]</t>
  </si>
  <si>
    <t>ENSDARG00000062192</t>
  </si>
  <si>
    <t>TBC1D8B</t>
  </si>
  <si>
    <t>si:dkey-110k5.6 [Source:ZFIN;Acc:ZDB-GENE-030131-3135]</t>
  </si>
  <si>
    <t>ENSDARG00000016730</t>
  </si>
  <si>
    <t>rfxank</t>
  </si>
  <si>
    <t>regulatory factor X-associated ankyrin-containing protein [Source:ZFIN;Acc:ZDB-GENE-050208-596]</t>
  </si>
  <si>
    <t>ENSDARG00000096668</t>
  </si>
  <si>
    <t>MZT1</t>
  </si>
  <si>
    <t>si:dkey-15d12.2 [Source:ZFIN;Acc:ZDB-GENE-090313-33]</t>
  </si>
  <si>
    <t>ENSDARG00000090685</t>
  </si>
  <si>
    <t>tmem241</t>
  </si>
  <si>
    <t>transmembrane protein 241 [Source:ZFIN;Acc:ZDB-GENE-131127-368]</t>
  </si>
  <si>
    <t>ENSDARG00000062968</t>
  </si>
  <si>
    <t>sbf1</t>
  </si>
  <si>
    <t>SET binding factor 1 [Source:ZFIN;Acc:ZDB-GENE-040718-139]</t>
  </si>
  <si>
    <t>ENSDARG00000092045</t>
  </si>
  <si>
    <t>si:dkey-225k4.1</t>
  </si>
  <si>
    <t>si:dkey-225k4.1 [Source:ZFIN;Acc:ZDB-GENE-091204-219]</t>
  </si>
  <si>
    <t>ENSDARG00000020454</t>
  </si>
  <si>
    <t>psmd8</t>
  </si>
  <si>
    <t>proteasome 26S subunit, non-ATPase 8 [Source:ZFIN;Acc:ZDB-GENE-040625-136]</t>
  </si>
  <si>
    <t>ENSDARG00000068161</t>
  </si>
  <si>
    <t>si:dkey-16p6.4</t>
  </si>
  <si>
    <t>si:dkey-16p6.4 [Source:ZFIN;Acc:ZDB-GENE-110913-5]</t>
  </si>
  <si>
    <t>ENSDARG00000069011</t>
  </si>
  <si>
    <t>si:dkey-287h13.1</t>
  </si>
  <si>
    <t>si:dkey-287h13.1 [Source:ZFIN;Acc:ZDB-GENE-060503-164]</t>
  </si>
  <si>
    <t>ENSDARG00000032849</t>
  </si>
  <si>
    <t>ndrg1a</t>
  </si>
  <si>
    <t>N-myc downstream regulated 1a [Source:ZFIN;Acc:ZDB-GENE-030826-34]</t>
  </si>
  <si>
    <t>ENSDARG00000016871</t>
  </si>
  <si>
    <t>smarce1</t>
  </si>
  <si>
    <t>SWI/SNF related, matrix associated, actin dependent regulator of chromatin, subfamily e, member 1 [Source:ZFIN;Acc:ZDB-GENE-030131-967]</t>
  </si>
  <si>
    <t>ENSDARG00000089139</t>
  </si>
  <si>
    <t>im:7145024</t>
  </si>
  <si>
    <t>im:7145024 [Source:ZFIN;Acc:ZDB-GENE-050208-187]</t>
  </si>
  <si>
    <t>ENSDARG00000057927</t>
  </si>
  <si>
    <t>rps6ka3b</t>
  </si>
  <si>
    <t>ribosomal protein S6 kinase, polypeptide 3b [Source:ZFIN;Acc:ZDB-GENE-070209-74]</t>
  </si>
  <si>
    <t>ENSDARG00000039136</t>
  </si>
  <si>
    <t>cox16</t>
  </si>
  <si>
    <t>COX16 cytochrome c oxidase assembly homolog (S. cerevisiae) [Source:ZFIN;Acc:ZDB-GENE-050417-60]</t>
  </si>
  <si>
    <t>ENSDARG00000024443</t>
  </si>
  <si>
    <t>gnpda2</t>
  </si>
  <si>
    <t>glucosamine-6-phosphate deaminase 2 [Source:ZFIN;Acc:ZDB-GENE-091117-41]</t>
  </si>
  <si>
    <t>ENSDARG00000070834</t>
  </si>
  <si>
    <t>taf13</t>
  </si>
  <si>
    <t>TAF13 RNA polymerase II, TATA box binding protein (TBP)-associated factor [Source:ZFIN;Acc:ZDB-GENE-030131-2873]</t>
  </si>
  <si>
    <t>ENSDARG00000076584</t>
  </si>
  <si>
    <t>patz1</t>
  </si>
  <si>
    <t>POZ (BTB) and AT hook containing zinc finger 1 [Source:ZFIN;Acc:ZDB-GENE-111223-4]</t>
  </si>
  <si>
    <t>ENSDARG00000034210</t>
  </si>
  <si>
    <t>si:dkey-240h12.4</t>
  </si>
  <si>
    <t>si:dkey-240h12.4 [Source:ZFIN;Acc:ZDB-GENE-070705-406]</t>
  </si>
  <si>
    <t>ENSDARG00000076179</t>
  </si>
  <si>
    <t>ngef</t>
  </si>
  <si>
    <t>neuronal guanine nucleotide exchange factor [Source:ZFIN;Acc:ZDB-GENE-130530-794]</t>
  </si>
  <si>
    <t>ENSDARG00000095408</t>
  </si>
  <si>
    <t>si:dkey-30k22.10</t>
  </si>
  <si>
    <t>si:dkey-30k22.10 [Source:ZFIN;Acc:ZDB-GENE-100921-40]</t>
  </si>
  <si>
    <t>ENSDARG00000027867</t>
  </si>
  <si>
    <t>paplna</t>
  </si>
  <si>
    <t>papilin a, proteoglycan-like sulfated glycoprotein [Source:ZFIN;Acc:ZDB-GENE-070815-4]</t>
  </si>
  <si>
    <t>ENSDARG00000098031</t>
  </si>
  <si>
    <t>si:ch73-144d13.8</t>
  </si>
  <si>
    <t>si:ch73-144d13.8 [Source:ZFIN;Acc:ZDB-GENE-131127-72]</t>
  </si>
  <si>
    <t>ENSDARG00000096141</t>
  </si>
  <si>
    <t>zgc:173624</t>
  </si>
  <si>
    <t>zgc:173624 [Source:ZFIN;Acc:ZDB-GENE-071004-60]</t>
  </si>
  <si>
    <t>ENSDARG00000095593</t>
  </si>
  <si>
    <t>si:ch211-134c9.2</t>
  </si>
  <si>
    <t>si:ch211-134c9.2 [Source:ZFIN;Acc:ZDB-GENE-090312-73]</t>
  </si>
  <si>
    <t>ENSDARG00000036685</t>
  </si>
  <si>
    <t>ccnt2a</t>
  </si>
  <si>
    <t>cyclin T2a [Source:ZFIN;Acc:ZDB-GENE-030131-5779]</t>
  </si>
  <si>
    <t>ENSDARG00000079231</t>
  </si>
  <si>
    <t>slc7a14b</t>
  </si>
  <si>
    <t>solute carrier family 7, member 14b [Source:ZFIN;Acc:ZDB-GENE-091113-47]</t>
  </si>
  <si>
    <t>ENSDARG00000026185</t>
  </si>
  <si>
    <t>ccdc94</t>
  </si>
  <si>
    <t>coiled-coil domain containing 94 [Source:ZFIN;Acc:ZDB-GENE-040426-841]</t>
  </si>
  <si>
    <t>ENSDARG00000035167</t>
  </si>
  <si>
    <t>mrpl48</t>
  </si>
  <si>
    <t>mitochondrial ribosomal protein L48 [Source:ZFIN;Acc:ZDB-GENE-041008-125]</t>
  </si>
  <si>
    <t>ENSDARG00000038242</t>
  </si>
  <si>
    <t>zgc:113333</t>
  </si>
  <si>
    <t>zgc:113333 [Source:ZFIN;Acc:ZDB-GENE-050320-57]</t>
  </si>
  <si>
    <t>ENSDARG00000061159</t>
  </si>
  <si>
    <t>gltscr1</t>
  </si>
  <si>
    <t>glioma tumor suppressor candidate region gene 1 [Source:ZFIN;Acc:ZDB-GENE-031116-2]</t>
  </si>
  <si>
    <t>ENSDARG00000005547</t>
  </si>
  <si>
    <t>rint1</t>
  </si>
  <si>
    <t>RAD50 interactor 1 [Source:ZFIN;Acc:ZDB-GENE-041210-174]</t>
  </si>
  <si>
    <t>ENSDARG00000045683</t>
  </si>
  <si>
    <t>ccdc87</t>
  </si>
  <si>
    <t>coiled-coil domain containing 87 [Source:ZFIN;Acc:ZDB-GENE-041210-118]</t>
  </si>
  <si>
    <t>ENSDARG00000001767</t>
  </si>
  <si>
    <t>slc29a2</t>
  </si>
  <si>
    <t>solute carrier family 29 (equilibrative nucleoside transporter), member 2 [Source:ZFIN;Acc:ZDB-GENE-050220-15]</t>
  </si>
  <si>
    <t>ENSDARG00000037790</t>
  </si>
  <si>
    <t>pvalb8</t>
  </si>
  <si>
    <t>parvalbumin 8 [Source:ZFIN;Acc:ZDB-GENE-030805-3]</t>
  </si>
  <si>
    <t>ENSDARG00000044943</t>
  </si>
  <si>
    <t>npepps</t>
  </si>
  <si>
    <t>aminopeptidase puromycin sensitive [Source:ZFIN;Acc:ZDB-GENE-060524-3]</t>
  </si>
  <si>
    <t>ENSDARG00000038858</t>
  </si>
  <si>
    <t>setd7</t>
  </si>
  <si>
    <t>SET domain containing (lysine methyltransferase) 7 [Source:ZFIN;Acc:ZDB-GENE-040718-156]</t>
  </si>
  <si>
    <t>ENSDARG00000095192</t>
  </si>
  <si>
    <t>si:dkey-150k17.2</t>
  </si>
  <si>
    <t>si:dkey-150k17.2 [Source:ZFIN;Acc:ZDB-GENE-060503-806]</t>
  </si>
  <si>
    <t>ENSDARG00000008131</t>
  </si>
  <si>
    <t>sox1b</t>
  </si>
  <si>
    <t>SRY (sex determining region Y)-box 1b [Source:ZFIN;Acc:ZDB-GENE-060322-5]</t>
  </si>
  <si>
    <t>ENSDARG00000021589</t>
  </si>
  <si>
    <t>tmem60</t>
  </si>
  <si>
    <t>transmembrane protein 60 [Source:ZFIN;Acc:ZDB-GENE-040801-222]</t>
  </si>
  <si>
    <t>ENSDARG00000087333</t>
  </si>
  <si>
    <t>scoca</t>
  </si>
  <si>
    <t>short coiled-coil protein a [Source:ZFIN;Acc:ZDB-GENE-061013-114]</t>
  </si>
  <si>
    <t>ENSDARG00000001873</t>
  </si>
  <si>
    <t>phgdh</t>
  </si>
  <si>
    <t>phosphoglycerate dehydrogenase [Source:ZFIN;Acc:ZDB-GENE-030131-647]</t>
  </si>
  <si>
    <t>ENSDARG00000020960</t>
  </si>
  <si>
    <t>hgs</t>
  </si>
  <si>
    <t>hepatocyte growth factor-regulated tyrosine kinase substrate [Source:ZFIN;Acc:ZDB-GENE-030131-6107]</t>
  </si>
  <si>
    <t>ENSDARG00000033616</t>
  </si>
  <si>
    <t>sepn1</t>
  </si>
  <si>
    <t>selenoprotein N, 1 [Source:ZFIN;Acc:ZDB-GENE-030327-7]</t>
  </si>
  <si>
    <t>ENSDARG00000096389</t>
  </si>
  <si>
    <t>sox4a</t>
  </si>
  <si>
    <t>sox4a.1</t>
  </si>
  <si>
    <t>SRY (sex determining region Y)-box 4a [Source:ZFIN;Acc:ZDB-GENE-030131-8290]</t>
  </si>
  <si>
    <t>ENSDARG00000096312</t>
  </si>
  <si>
    <t>si:dkey-150k17.3</t>
  </si>
  <si>
    <t>si:dkey-150k17.3 [Source:ZFIN;Acc:ZDB-GENE-120215-144]</t>
  </si>
  <si>
    <t>ENSDARG00000032430</t>
  </si>
  <si>
    <t>ppp2r1b</t>
  </si>
  <si>
    <t>protein phosphatase 2, regulatory subunit A, beta [Source:ZFIN;Acc:ZDB-GENE-040927-20]</t>
  </si>
  <si>
    <t>ENSDARG00000059246</t>
  </si>
  <si>
    <t>hnrnpd</t>
  </si>
  <si>
    <t>heterogeneous nuclear ribonucleoprotein D [Source:ZFIN;Acc:ZDB-GENE-070424-97]</t>
  </si>
  <si>
    <t>ENSDARG00000045248</t>
  </si>
  <si>
    <t>h3f3b.1.2</t>
  </si>
  <si>
    <t>ENSDARG00000021864</t>
  </si>
  <si>
    <t>rplp1</t>
  </si>
  <si>
    <t>ribosomal protein, large, P1 [Source:ZFIN;Acc:ZDB-GENE-030131-8663]</t>
  </si>
  <si>
    <t>ENSDARG00000035595</t>
  </si>
  <si>
    <t>ficd</t>
  </si>
  <si>
    <t>FIC domain containing [Source:ZFIN;Acc:ZDB-GENE-030131-6588]</t>
  </si>
  <si>
    <t>ENSDARG00000041959</t>
  </si>
  <si>
    <t>cxcr4b</t>
  </si>
  <si>
    <t>chemokine (C-X-C motif), receptor 4b [Source:ZFIN;Acc:ZDB-GENE-010614-1]</t>
  </si>
  <si>
    <t>ENSDARG00000042823</t>
  </si>
  <si>
    <t>spcs2</t>
  </si>
  <si>
    <t>signal peptidase complex subunit 2 [Source:ZFIN;Acc:ZDB-GENE-050320-32]</t>
  </si>
  <si>
    <t>ENSDARG00000018623</t>
  </si>
  <si>
    <t>rad54l</t>
  </si>
  <si>
    <t>RAD54-like (S. cerevisiae) [Source:ZFIN;Acc:ZDB-GENE-040426-968]</t>
  </si>
  <si>
    <t>ENSDARG00000012824</t>
  </si>
  <si>
    <t>itga3b</t>
  </si>
  <si>
    <t>integrin, alpha 3b [Source:ZFIN;Acc:ZDB-GENE-050411-55]</t>
  </si>
  <si>
    <t>ENSDARG00000001880</t>
  </si>
  <si>
    <t>stx3a</t>
  </si>
  <si>
    <t>syntaxin 3A [Source:ZFIN;Acc:ZDB-GENE-040426-1489]</t>
  </si>
  <si>
    <t>ENSDARG00000010051</t>
  </si>
  <si>
    <t>ufd1l</t>
  </si>
  <si>
    <t>ubiquitin fusion degradation 1 like (yeast) [Source:ZFIN;Acc:ZDB-GENE-040718-150]</t>
  </si>
  <si>
    <t>ENSDARG00000015649</t>
  </si>
  <si>
    <t>rap2c</t>
  </si>
  <si>
    <t>RAP2C, member of RAS oncogene family [Source:ZFIN;Acc:ZDB-GENE-041024-1]</t>
  </si>
  <si>
    <t>ENSDARG00000016706</t>
  </si>
  <si>
    <t>atic</t>
  </si>
  <si>
    <t>5-aminoimidazole-4-carboxamide ribonucleotide formyltransferase/IMP cyclohydrolase [Source:ZFIN;Acc:ZDB-GENE-011212-4]</t>
  </si>
  <si>
    <t>ENSDARG00000017842</t>
  </si>
  <si>
    <t>syvn1</t>
  </si>
  <si>
    <t>synovial apoptosis inhibitor 1, synoviolin [Source:ZFIN;Acc:ZDB-GENE-030131-7166]</t>
  </si>
  <si>
    <t>ENSDARG00000098628</t>
  </si>
  <si>
    <t>si:dkey-9i5.1</t>
  </si>
  <si>
    <t>si:dkey-9i5.1 [Source:ZFIN;Acc:ZDB-GENE-110914-220]</t>
  </si>
  <si>
    <t>ENSDARG00000052330</t>
  </si>
  <si>
    <t>slc4a2b</t>
  </si>
  <si>
    <t>solute carrier family 4 (anion exchanger), member 2b [Source:ZFIN;Acc:ZDB-GENE-030429-14]</t>
  </si>
  <si>
    <t>ENSDARG00000095130</t>
  </si>
  <si>
    <t>si:ch211-39i19.5</t>
  </si>
  <si>
    <t>si:ch211-39i19.5 [Source:ZFIN;Acc:ZDB-GENE-081104-229]</t>
  </si>
  <si>
    <t>ENSDARG00000043105</t>
  </si>
  <si>
    <t>qtrt1</t>
  </si>
  <si>
    <t>queuine tRNA-ribosyltransferase 1 [Source:ZFIN;Acc:ZDB-GENE-040426-1625]</t>
  </si>
  <si>
    <t>ENSDARG00000031911</t>
  </si>
  <si>
    <t>tns3.2</t>
  </si>
  <si>
    <t>tensin 3, tandem duplicate 2 [Source:ZFIN;Acc:ZDB-GENE-081031-95]</t>
  </si>
  <si>
    <t>ENSDARG00000002597</t>
  </si>
  <si>
    <t>pabpc1l</t>
  </si>
  <si>
    <t>poly(A) binding protein, cytoplasmic 1-like [Source:ZFIN;Acc:ZDB-GENE-030131-5836]</t>
  </si>
  <si>
    <t>ENSDARG00000017397</t>
  </si>
  <si>
    <t>smarcc1a</t>
  </si>
  <si>
    <t>SWI/SNF related, matrix associated, actin dependent regulator of chromatin, subfamily c, member 1a [Source:ZFIN;Acc:ZDB-GENE-080514-3]</t>
  </si>
  <si>
    <t>ENSDARG00000098228</t>
  </si>
  <si>
    <t>thrap3b</t>
  </si>
  <si>
    <t>thyroid hormone receptor associated protein 3b [Source:ZFIN;Acc:ZDB-GENE-040516-9]</t>
  </si>
  <si>
    <t>ENSDARG00000035146</t>
  </si>
  <si>
    <t>polr2j</t>
  </si>
  <si>
    <t>polymerase (RNA) II (DNA directed) polypeptide J [Source:ZFIN;Acc:ZDB-GENE-050522-120]</t>
  </si>
  <si>
    <t>ENSDARG00000004377</t>
  </si>
  <si>
    <t>ppp1r13ba</t>
  </si>
  <si>
    <t>protein phosphatase 1, regulatory subunit 13Ba [Source:ZFIN;Acc:ZDB-GENE-030131-9805]</t>
  </si>
  <si>
    <t>ENSDARG00000101911</t>
  </si>
  <si>
    <t>si:dkeyp-86d6.2</t>
  </si>
  <si>
    <t>si:dkeyp-86d6.2 [Source:ZFIN;Acc:ZDB-GENE-141216-459]</t>
  </si>
  <si>
    <t>ENSDARG00000092507</t>
  </si>
  <si>
    <t>znf1013</t>
  </si>
  <si>
    <t>zinc finger protein 1013 [Source:ZFIN;Acc:ZDB-GENE-131126-19]</t>
  </si>
  <si>
    <t>ENSDARG00000016788</t>
  </si>
  <si>
    <t>zeb1a</t>
  </si>
  <si>
    <t>zinc finger E-box binding homeobox 1a [Source:ZFIN;Acc:ZDB-GENE-070912-124]</t>
  </si>
  <si>
    <t>ENSDARG00000070083</t>
  </si>
  <si>
    <t>atp5b</t>
  </si>
  <si>
    <t>ATP synthase, H+ transporting, mitochondrial F1 complex, beta polypeptide [Source:ZFIN;Acc:ZDB-GENE-030131-124]</t>
  </si>
  <si>
    <t>ENSDARG00000069521</t>
  </si>
  <si>
    <t>vps29</t>
  </si>
  <si>
    <t>vacuolar protein sorting 29 homolog (S. cerevisiae) [Source:ZFIN;Acc:ZDB-GENE-030131-8764]</t>
  </si>
  <si>
    <t>ENSDARG00000071339</t>
  </si>
  <si>
    <t>borcs8</t>
  </si>
  <si>
    <t>BLOC-1 related complex subunit 8 [Source:ZFIN;Acc:ZDB-GENE-050208-757]</t>
  </si>
  <si>
    <t>ENSDARG00000010244</t>
  </si>
  <si>
    <t>rpl22l1</t>
  </si>
  <si>
    <t>ribosomal protein L22-like 1 [Source:ZFIN;Acc:ZDB-GENE-060804-3]</t>
  </si>
  <si>
    <t>ENSDARG00000055389</t>
  </si>
  <si>
    <t>si:dkey-67c22.2</t>
  </si>
  <si>
    <t>si:dkey-67c22.2 [Source:ZFIN;Acc:ZDB-GENE-030131-5845]</t>
  </si>
  <si>
    <t>ENSDARG00000070565</t>
  </si>
  <si>
    <t>adap2</t>
  </si>
  <si>
    <t>ArfGAP with dual PH domains 2 [Source:ZFIN;Acc:ZDB-GENE-070912-21]</t>
  </si>
  <si>
    <t>ENSDARG00000092445</t>
  </si>
  <si>
    <t>zgc:153352</t>
  </si>
  <si>
    <t>zgc:153352 [Source:ZFIN;Acc:ZDB-GENE-060929-1142]</t>
  </si>
  <si>
    <t>ENSDARG00000098562</t>
  </si>
  <si>
    <t>si:ch211-87m7.3</t>
  </si>
  <si>
    <t>si:ch211-87m7.3 [Source:ZFIN;Acc:ZDB-GENE-120215-233]</t>
  </si>
  <si>
    <t>ENSDARG00000012949</t>
  </si>
  <si>
    <t>scml2</t>
  </si>
  <si>
    <t>sex comb on midleg-like 2 (Drosophila) [Source:ZFIN;Acc:ZDB-GENE-130530-546]</t>
  </si>
  <si>
    <t>ENSDARG00000101362</t>
  </si>
  <si>
    <t>mibp</t>
  </si>
  <si>
    <t>muscle-specific beta 1 integrin binding protein [Source:ZFIN;Acc:ZDB-GENE-030404-1]</t>
  </si>
  <si>
    <t>ENSDARG00000098827</t>
  </si>
  <si>
    <t>si:ch73-158e15.2</t>
  </si>
  <si>
    <t>si:ch73-158e15.2 [Source:ZFIN;Acc:ZDB-GENE-141216-198]</t>
  </si>
  <si>
    <t>ENSDARG00000096166</t>
  </si>
  <si>
    <t>si:dkey-29p23.2</t>
  </si>
  <si>
    <t>si:dkey-29p23.2 [Source:ZFIN;Acc:ZDB-GENE-110914-51]</t>
  </si>
  <si>
    <t>ENSDARG00000101455</t>
  </si>
  <si>
    <t>si:ch211-284k5.2</t>
  </si>
  <si>
    <t>si:ch211-284k5.2 [Source:ZFIN;Acc:ZDB-GENE-131127-514]</t>
  </si>
  <si>
    <t>ENSDARG00000102643</t>
  </si>
  <si>
    <t>chmp1a</t>
  </si>
  <si>
    <t>charged multivesicular body protein 1A [Source:ZFIN;Acc:ZDB-GENE-040426-1474]</t>
  </si>
  <si>
    <t>ENSDARG00000034430</t>
  </si>
  <si>
    <t>zgc:172121</t>
  </si>
  <si>
    <t>zgc:172121 [Source:ZFIN;Acc:ZDB-GENE-030131-9545]</t>
  </si>
  <si>
    <t>ENSDARG00000018047</t>
  </si>
  <si>
    <t>brms1lb</t>
  </si>
  <si>
    <t>breast cancer metastasis-suppressor 1-like b [Source:ZFIN;Acc:ZDB-GENE-081031-54]</t>
  </si>
  <si>
    <t>ENSDARG00000101130</t>
  </si>
  <si>
    <t>adck4</t>
  </si>
  <si>
    <t>aarF domain containing kinase 4 [Source:ZFIN;Acc:ZDB-GENE-060503-803]</t>
  </si>
  <si>
    <t>ENSDARG00000039208</t>
  </si>
  <si>
    <t>nasp</t>
  </si>
  <si>
    <t>nuclear autoantigenic sperm protein (histone-binding) [Source:ZFIN;Acc:ZDB-GENE-030131-5511]</t>
  </si>
  <si>
    <t>ENSDARG00000074548</t>
  </si>
  <si>
    <t>zbtb17</t>
  </si>
  <si>
    <t>zinc finger and BTB domain containing 17 [Source:ZFIN;Acc:ZDB-GENE-090313-240]</t>
  </si>
  <si>
    <t>ENSDARG00000068461</t>
  </si>
  <si>
    <t>zgc:162939</t>
  </si>
  <si>
    <t>zgc:162939 [Source:ZFIN;Acc:ZDB-GENE-070410-115]</t>
  </si>
  <si>
    <t>ENSDARG00000020984</t>
  </si>
  <si>
    <t>slc16a10</t>
  </si>
  <si>
    <t>solute carrier family 16 (aromatic amino acid transporter), member 10 [Source:ZFIN;Acc:ZDB-GENE-040724-214]</t>
  </si>
  <si>
    <t>ENSDARG00000030129</t>
  </si>
  <si>
    <t>si:ch211-87m7.2</t>
  </si>
  <si>
    <t>si:ch211-87m7.2 [Source:ZFIN;Acc:ZDB-GENE-120215-153]</t>
  </si>
  <si>
    <t>ENSDARG00000055314</t>
  </si>
  <si>
    <t>mcmbp</t>
  </si>
  <si>
    <t>minichromosome maintenance complex binding protein [Source:ZFIN;Acc:ZDB-GENE-030131-9676]</t>
  </si>
  <si>
    <t>ENSDARG00000068637</t>
  </si>
  <si>
    <t>si:ch211-281l24.3</t>
  </si>
  <si>
    <t>si:ch211-281l24.3 [Source:ZFIN;Acc:ZDB-GENE-131121-575]</t>
  </si>
  <si>
    <t>ENSDARG00000019752</t>
  </si>
  <si>
    <t>rom1a</t>
  </si>
  <si>
    <t>retinal outer segment membrane protein 1a [Source:ZFIN;Acc:ZDB-GENE-040426-1765]</t>
  </si>
  <si>
    <t>ENSDARG00000014953</t>
  </si>
  <si>
    <t>cnih3</t>
  </si>
  <si>
    <t>cornichon family AMPA receptor auxiliary protein 3 [Source:ZFIN;Acc:ZDB-GENE-041001-180]</t>
  </si>
  <si>
    <t>ENSDARG00000093577</t>
  </si>
  <si>
    <t>si:dkey-70e17.2</t>
  </si>
  <si>
    <t>si:dkey-70e17.2 [Source:ZFIN;Acc:ZDB-GENE-081107-72]</t>
  </si>
  <si>
    <t>ENSDARG00000054136</t>
  </si>
  <si>
    <t>ccdc105</t>
  </si>
  <si>
    <t>coiled-coil domain containing 105 [Source:ZFIN;Acc:ZDB-GENE-131121-219]</t>
  </si>
  <si>
    <t>ENSDARG00000057166</t>
  </si>
  <si>
    <t>c13h10orf11</t>
  </si>
  <si>
    <t>c13h10orf11 homolog (H. sapiens) [Source:ZFIN;Acc:ZDB-GENE-050522-285]</t>
  </si>
  <si>
    <t>ENSDARG00000010481</t>
  </si>
  <si>
    <t>bzw1a</t>
  </si>
  <si>
    <t>basic leucine zipper and W2 domains 1a [Source:ZFIN;Acc:ZDB-GENE-030131-3951]</t>
  </si>
  <si>
    <t>ENSDARG00000011473</t>
  </si>
  <si>
    <t>calcrla</t>
  </si>
  <si>
    <t>calcitonin receptor-like a [Source:ZFIN;Acc:ZDB-GENE-040822-26]</t>
  </si>
  <si>
    <t>ENSDARG00000043848</t>
  </si>
  <si>
    <t>sod1</t>
  </si>
  <si>
    <t>superoxide dismutase 1, soluble [Source:ZFIN;Acc:ZDB-GENE-990415-258]</t>
  </si>
  <si>
    <t>ENSDARG00000052917</t>
  </si>
  <si>
    <t>si:ch211-202f3.3</t>
  </si>
  <si>
    <t>si:ch211-202f3.3 [Source:ZFIN;Acc:ZDB-GENE-080917-19]</t>
  </si>
  <si>
    <t>ENSDARG00000089836</t>
  </si>
  <si>
    <t>MRPS12</t>
  </si>
  <si>
    <t>si:dkey-17e16.10 [Source:ZFIN;Acc:ZDB-GENE-091204-48]</t>
  </si>
  <si>
    <t>ENSDARG00000052247</t>
  </si>
  <si>
    <t>alkbh4</t>
  </si>
  <si>
    <t>alkB homolog 4, lysine demthylase [Source:ZFIN;Acc:ZDB-GENE-060526-275]</t>
  </si>
  <si>
    <t>ENSDARG00000094488</t>
  </si>
  <si>
    <t>si:ch211-214j8.15</t>
  </si>
  <si>
    <t>si:ch211-214j8.15 [Source:ZFIN;Acc:ZDB-GENE-060526-103]</t>
  </si>
  <si>
    <t>ENSDARG00000042821</t>
  </si>
  <si>
    <t>agps</t>
  </si>
  <si>
    <t>alkylglycerone phosphate synthase [Source:ZFIN;Acc:ZDB-GENE-031118-14]</t>
  </si>
  <si>
    <t>ENSDARG00000077928</t>
  </si>
  <si>
    <t>ccdc173</t>
  </si>
  <si>
    <t>coiled-coil domain containing 173 [Source:ZFIN;Acc:ZDB-GENE-081104-457]</t>
  </si>
  <si>
    <t>ENSDARG00000089641</t>
  </si>
  <si>
    <t>ppm1lb</t>
  </si>
  <si>
    <t>protein phosphatase, Mg2+/Mn2+ dependent, 1Lb [Source:ZFIN;Acc:ZDB-GENE-060929-136]</t>
  </si>
  <si>
    <t>ENSDARG00000056167</t>
  </si>
  <si>
    <t>hspe1</t>
  </si>
  <si>
    <t>heat shock 10 protein 1 [Source:ZFIN;Acc:ZDB-GENE-000906-2]</t>
  </si>
  <si>
    <t>ENSDARG00000044820</t>
  </si>
  <si>
    <t>cstf1</t>
  </si>
  <si>
    <t>cleavage stimulation factor, 3' pre-RNA, subunit 1 [Source:ZFIN;Acc:ZDB-GENE-030131-2958]</t>
  </si>
  <si>
    <t>ENSDARG00000017093</t>
  </si>
  <si>
    <t>emc8</t>
  </si>
  <si>
    <t>ER membrane protein complex subunit 8 [Source:ZFIN;Acc:ZDB-GENE-040426-2692]</t>
  </si>
  <si>
    <t>ENSDARG00000061409</t>
  </si>
  <si>
    <t>bivm</t>
  </si>
  <si>
    <t>basic, immunoglobulin-like variable motif containing [Source:ZFIN;Acc:ZDB-GENE-010822-3]</t>
  </si>
  <si>
    <t>ENSDARG00000043658</t>
  </si>
  <si>
    <t>cxadr</t>
  </si>
  <si>
    <t>coxsackie virus and adenovirus receptor [Source:ZFIN;Acc:ZDB-GENE-020814-2]</t>
  </si>
  <si>
    <t>ENSDARG00000069525</t>
  </si>
  <si>
    <t>gpn3</t>
  </si>
  <si>
    <t>GPN-loop GTPase 3 [Source:ZFIN;Acc:ZDB-GENE-040724-141]</t>
  </si>
  <si>
    <t>ENSDARG00000061981</t>
  </si>
  <si>
    <t>lap3</t>
  </si>
  <si>
    <t>leucine aminopeptidase 3 [Source:ZFIN;Acc:ZDB-GENE-060719-1]</t>
  </si>
  <si>
    <t>ENSDARG00000057093</t>
  </si>
  <si>
    <t>kdm5ba</t>
  </si>
  <si>
    <t>lysine (K)-specific demethylase 5Ba [Source:ZFIN;Acc:ZDB-GENE-030131-5379]</t>
  </si>
  <si>
    <t>ENSDARG00000058451</t>
  </si>
  <si>
    <t>rpl6</t>
  </si>
  <si>
    <t>ribosomal protein L6 [Source:ZFIN;Acc:ZDB-GENE-030131-8671]</t>
  </si>
  <si>
    <t>ENSDARG00000056193</t>
  </si>
  <si>
    <t>nme7</t>
  </si>
  <si>
    <t>NME/NM23 family member 7 [Source:ZFIN;Acc:ZDB-GENE-000210-35]</t>
  </si>
  <si>
    <t>ENSDARG00000017127</t>
  </si>
  <si>
    <t>pdzk1ip1</t>
  </si>
  <si>
    <t>PDZK1 interacting protein 1 [Source:ZFIN;Acc:ZDB-GENE-030616-128]</t>
  </si>
  <si>
    <t>ENSDARG00000015566</t>
  </si>
  <si>
    <t>dnmt3ab</t>
  </si>
  <si>
    <t>DNA (cytosine-5-)-methyltransferase 3 alpha b [Source:ZFIN;Acc:ZDB-GENE-050314-3]</t>
  </si>
  <si>
    <t>ENSDARG00000061548</t>
  </si>
  <si>
    <t>si:ch211-145o7.3</t>
  </si>
  <si>
    <t>si:ch211-145o7.3 [Source:ZFIN;Acc:ZDB-GENE-061207-6]</t>
  </si>
  <si>
    <t>ENSDARG00000062756</t>
  </si>
  <si>
    <t>pllp</t>
  </si>
  <si>
    <t>plasmolipin [Source:ZFIN;Acc:ZDB-GENE-050419-195]</t>
  </si>
  <si>
    <t>ENSDARG00000017242</t>
  </si>
  <si>
    <t>garem</t>
  </si>
  <si>
    <t>GRB2 associated, regulator of MAPK1 [Source:ZFIN;Acc:ZDB-GENE-040426-767]</t>
  </si>
  <si>
    <t>ENSDARG00000043746</t>
  </si>
  <si>
    <t>nrxn3a</t>
  </si>
  <si>
    <t>neurexin 3a [Source:ZFIN;Acc:ZDB-GENE-070206-9]</t>
  </si>
  <si>
    <t>ENSDARG00000040841</t>
  </si>
  <si>
    <t>adra2a</t>
  </si>
  <si>
    <t>adrenoceptor alpha 2A [Source:ZFIN;Acc:ZDB-GENE-021010-1]</t>
  </si>
  <si>
    <t>ENSDARG00000061011</t>
  </si>
  <si>
    <t>hlfb</t>
  </si>
  <si>
    <t>hepatic leukemia factor b [Source:ZFIN;Acc:ZDB-GENE-110420-3]</t>
  </si>
  <si>
    <t>ENSDARG00000057352</t>
  </si>
  <si>
    <t>slc25a29</t>
  </si>
  <si>
    <t>solute carrier family 25 (mitochondrial carnitine/acylcarnitine carrier), member 29 [Source:ZFIN;Acc:ZDB-GENE-050913-70]</t>
  </si>
  <si>
    <t>ENSDARG00000019951</t>
  </si>
  <si>
    <t>sec62</t>
  </si>
  <si>
    <t>SEC62 homolog, preprotein translocation factor [Source:ZFIN;Acc:ZDB-GENE-050913-83]</t>
  </si>
  <si>
    <t>ENSDARG00000007418</t>
  </si>
  <si>
    <t>chmp4c</t>
  </si>
  <si>
    <t>charged multivesicular body protein 4C [Source:ZFIN;Acc:ZDB-GENE-050417-389]</t>
  </si>
  <si>
    <t>ENSDARG00000070487</t>
  </si>
  <si>
    <t>MARC2</t>
  </si>
  <si>
    <t>zgc:110783 [Source:ZFIN;Acc:ZDB-GENE-050327-95]</t>
  </si>
  <si>
    <t>ENSDARG00000018425</t>
  </si>
  <si>
    <t>si:ch211-175g6.7</t>
  </si>
  <si>
    <t>si:ch211-175g6.7 [Source:ZFIN;Acc:ZDB-GENE-030131-6611]</t>
  </si>
  <si>
    <t>ENSDARG00000099880</t>
  </si>
  <si>
    <t>SP6</t>
  </si>
  <si>
    <t>zgc:77358 [Source:ZFIN;Acc:ZDB-GENE-040426-1824]</t>
  </si>
  <si>
    <t>ENSDARG00000070463</t>
  </si>
  <si>
    <t>e2f3</t>
  </si>
  <si>
    <t>E2F transcription factor 3 [Source:ZFIN;Acc:ZDB-GENE-070112-882]</t>
  </si>
  <si>
    <t>ENSDARG00000004925</t>
  </si>
  <si>
    <t>immp2l</t>
  </si>
  <si>
    <t>inner mitochondrial membrane peptidase subunit 2 [Source:ZFIN;Acc:ZDB-GENE-040808-9]</t>
  </si>
  <si>
    <t>ENSDARG00000101008</t>
  </si>
  <si>
    <t>soul4</t>
  </si>
  <si>
    <t>heme-binding protein soul4 [Source:ZFIN;Acc:ZDB-GENE-110718-1]</t>
  </si>
  <si>
    <t>ENSDARG00000025383</t>
  </si>
  <si>
    <t>arl2bp</t>
  </si>
  <si>
    <t>ADP-ribosylation factor-like 2 binding protein [Source:ZFIN;Acc:ZDB-GENE-040426-1604]</t>
  </si>
  <si>
    <t>ENSDARG00000061899</t>
  </si>
  <si>
    <t>iqub</t>
  </si>
  <si>
    <t>IQ motif and ubiquitin domain containing [Source:ZFIN;Acc:ZDB-GENE-110421-1]</t>
  </si>
  <si>
    <t>ENSDARG00000059923</t>
  </si>
  <si>
    <t>slc25a47a</t>
  </si>
  <si>
    <t>solute carrier family 25, member 47a [Source:ZFIN;Acc:ZDB-GENE-060616-266]</t>
  </si>
  <si>
    <t>ENSDARG00000018765</t>
  </si>
  <si>
    <t>pknox1.1</t>
  </si>
  <si>
    <t>pbx/knotted 1 homeobox 1.1 [Source:ZFIN;Acc:ZDB-GENE-020122-5]</t>
  </si>
  <si>
    <t>ENSDARG00000020944</t>
  </si>
  <si>
    <t>ezra</t>
  </si>
  <si>
    <t>ezrin a [Source:ZFIN;Acc:ZDB-GENE-050522-18]</t>
  </si>
  <si>
    <t>ENSDARG00000056549</t>
  </si>
  <si>
    <t>vps26a</t>
  </si>
  <si>
    <t>vacuolar protein sorting 26 homolog A (S. pombe) [Source:ZFIN;Acc:ZDB-GENE-040426-1108]</t>
  </si>
  <si>
    <t>ENSDARG00000088023</t>
  </si>
  <si>
    <t>si:dkey-26c10.5</t>
  </si>
  <si>
    <t>si:dkey-26c10.5 [Source:ZFIN;Acc:ZDB-GENE-060607-13]</t>
  </si>
  <si>
    <t>ENSDARG00000015918</t>
  </si>
  <si>
    <t>dlat</t>
  </si>
  <si>
    <t>dihydrolipoamide S-acetyltransferase (E2 component of pyruvate dehydrogenase complex) [Source:ZFIN;Acc:ZDB-GENE-030131-2921]</t>
  </si>
  <si>
    <t>ENSDARG00000007279</t>
  </si>
  <si>
    <t>yipf5</t>
  </si>
  <si>
    <t>Yip1 domain family, member 5 [Source:ZFIN;Acc:ZDB-GENE-040426-1057]</t>
  </si>
  <si>
    <t>ENSDARG00000101733</t>
  </si>
  <si>
    <t>fam168b</t>
  </si>
  <si>
    <t>family with sequence similarity 168, member B [Source:ZFIN;Acc:ZDB-GENE-060929-180]</t>
  </si>
  <si>
    <t>ENSDARG00000031888</t>
  </si>
  <si>
    <t>mapk8a</t>
  </si>
  <si>
    <t>mitogen-activated protein kinase 8a [Source:ZFIN;Acc:ZDB-GENE-080218-17]</t>
  </si>
  <si>
    <t>ENSDARG00000056331</t>
  </si>
  <si>
    <t>ahcyl1</t>
  </si>
  <si>
    <t>adenosylhomocysteinase-like 1 [Source:ZFIN;Acc:ZDB-GENE-021206-7]</t>
  </si>
  <si>
    <t>ENSDARG00000042990</t>
  </si>
  <si>
    <t>cyp2p10</t>
  </si>
  <si>
    <t>cytochrome P450, family 2, subfamily P, polypeptide 10 [Source:ZFIN;Acc:ZDB-GENE-040120-1]</t>
  </si>
  <si>
    <t>ENSDARG00000089983</t>
  </si>
  <si>
    <t>HSH2D</t>
  </si>
  <si>
    <t>si:ch73-109i22.2 [Source:ZFIN;Acc:ZDB-GENE-141211-57]</t>
  </si>
  <si>
    <t>ENSDARG00000002720</t>
  </si>
  <si>
    <t>utp15</t>
  </si>
  <si>
    <t>utp15, U3 small nucleolar ribonucleoprotein, homolog [Source:ZFIN;Acc:ZDB-GENE-030131-3831]</t>
  </si>
  <si>
    <t>ENSDARG00000077818</t>
  </si>
  <si>
    <t>nrg2a</t>
  </si>
  <si>
    <t>neuregulin 2a [Source:ZFIN;Acc:ZDB-GENE-070615-10]</t>
  </si>
  <si>
    <t>ENSDARG00000014956</t>
  </si>
  <si>
    <t>diablob</t>
  </si>
  <si>
    <t>diablo, IAP-binding mitochondrial protein b [Source:ZFIN;Acc:ZDB-GENE-070112-202]</t>
  </si>
  <si>
    <t>ENSDARG00000056128</t>
  </si>
  <si>
    <t>fastkd1</t>
  </si>
  <si>
    <t>FAST kinase domains 1 [Source:ZFIN;Acc:ZDB-GENE-040426-1833]</t>
  </si>
  <si>
    <t>ENSDARG00000056387</t>
  </si>
  <si>
    <t>rnf17</t>
  </si>
  <si>
    <t>ring finger protein 17 [Source:ZFIN;Acc:ZDB-GENE-030131-6451]</t>
  </si>
  <si>
    <t>ENSDARG00000032553</t>
  </si>
  <si>
    <t>egln3</t>
  </si>
  <si>
    <t>egl-9 family hypoxia-inducible factor 3 [Source:ZFIN;Acc:ZDB-GENE-040426-2541]</t>
  </si>
  <si>
    <t>ENSDARG00000104719</t>
  </si>
  <si>
    <t>abcc1</t>
  </si>
  <si>
    <t>ATP-binding cassette, sub-family C (CFTR/MRP), member 1 [Source:ZFIN;Acc:ZDB-GENE-050517-15]</t>
  </si>
  <si>
    <t>ENSDARG00000054031</t>
  </si>
  <si>
    <t>mxd4</t>
  </si>
  <si>
    <t>MAX dimerization protein 4 [Source:ZFIN;Acc:ZDB-GENE-050208-44]</t>
  </si>
  <si>
    <t>ENSDARG00000100487</t>
  </si>
  <si>
    <t>nploc4</t>
  </si>
  <si>
    <t>NPL4 homolog, ubiquitin recognition factor [Source:ZFIN;Acc:ZDB-GENE-030131-5658]</t>
  </si>
  <si>
    <t>ENSDARG00000061180</t>
  </si>
  <si>
    <t>vps45</t>
  </si>
  <si>
    <t>vacuolar protein sorting 45 homolog (S. cerevisiae) [Source:ZFIN;Acc:ZDB-GENE-060503-526]</t>
  </si>
  <si>
    <t>ENSDARG00000005230</t>
  </si>
  <si>
    <t>ssr2</t>
  </si>
  <si>
    <t>signal sequence receptor, beta [Source:ZFIN;Acc:ZDB-GENE-010413-1]</t>
  </si>
  <si>
    <t>ENSDARG00000096800</t>
  </si>
  <si>
    <t>si:ch211-277e21.1</t>
  </si>
  <si>
    <t>si:ch211-277e21.1 [Source:ZFIN;Acc:ZDB-GENE-130603-84]</t>
  </si>
  <si>
    <t>ENSDARG00000058995</t>
  </si>
  <si>
    <t>jmjd4</t>
  </si>
  <si>
    <t>jumonji domain containing 4 [Source:ZFIN;Acc:ZDB-GENE-060929-636]</t>
  </si>
  <si>
    <t>ENSDARG00000044902</t>
  </si>
  <si>
    <t>atp2b4</t>
  </si>
  <si>
    <t>ATPase, Ca++ transporting, plasma membrane 4 [Source:ZFIN;Acc:ZDB-GENE-061027-60]</t>
  </si>
  <si>
    <t>ENSDARG00000004687</t>
  </si>
  <si>
    <t>acaa1</t>
  </si>
  <si>
    <t>acetyl-CoA acyltransferase 1 [Source:ZFIN;Acc:ZDB-GENE-040704-48]</t>
  </si>
  <si>
    <t>ENSDARG00000069440</t>
  </si>
  <si>
    <t>dachd</t>
  </si>
  <si>
    <t>dachshund d [Source:ZFIN;Acc:ZDB-GENE-070427-2]</t>
  </si>
  <si>
    <t>ENSDARG00000103730</t>
  </si>
  <si>
    <t>vgll4b</t>
  </si>
  <si>
    <t>vestigial-like family member 4b [Source:ZFIN;Acc:ZDB-GENE-040426-2445]</t>
  </si>
  <si>
    <t>ENSDARG00000060021</t>
  </si>
  <si>
    <t>vcpkmt</t>
  </si>
  <si>
    <t>valosin containing protein lysine (K) methyltransferase [Source:ZFIN;Acc:ZDB-GENE-060825-19]</t>
  </si>
  <si>
    <t>ENSDARG00000062116</t>
  </si>
  <si>
    <t>ctdsplb</t>
  </si>
  <si>
    <t>CTD (carboxy-terminal domain, RNA polymerase II, polypeptide A) small phosphatase-like b [Source:ZFIN;Acc:ZDB-GENE-060929-488]</t>
  </si>
  <si>
    <t>ENSDARG00000068382</t>
  </si>
  <si>
    <t>pglyrp5</t>
  </si>
  <si>
    <t>peptidoglycan recognition protein 5 [Source:ZFIN;Acc:ZDB-GENE-050419-71]</t>
  </si>
  <si>
    <t>ENSDARG00000007323</t>
  </si>
  <si>
    <t>chmp4bb</t>
  </si>
  <si>
    <t>charged multivesicular body protein 4Bb [Source:ZFIN;Acc:ZDB-GENE-040426-2812]</t>
  </si>
  <si>
    <t>ENSDARG00000063445</t>
  </si>
  <si>
    <t>snap47</t>
  </si>
  <si>
    <t>synaptosomal-associated protein, 47 [Source:ZFIN;Acc:ZDB-GENE-060825-140]</t>
  </si>
  <si>
    <t>ENSDARG00000078817</t>
  </si>
  <si>
    <t>rnf165b</t>
  </si>
  <si>
    <t>ring finger protein 165b [Source:ZFIN;Acc:ZDB-GENE-081104-369]</t>
  </si>
  <si>
    <t>ENSDARG00000027547</t>
  </si>
  <si>
    <t>TPGS1</t>
  </si>
  <si>
    <t>zgc:92789 [Source:ZFIN;Acc:ZDB-GENE-040718-280]</t>
  </si>
  <si>
    <t>ENSDARG00000102893</t>
  </si>
  <si>
    <t>atg7</t>
  </si>
  <si>
    <t>ATG7 autophagy related 7 homolog (S. cerevisiae) [Source:ZFIN;Acc:ZDB-GENE-030131-1633]</t>
  </si>
  <si>
    <t>ENSDARG00000029511</t>
  </si>
  <si>
    <t>kcns3b</t>
  </si>
  <si>
    <t>potassium voltage-gated channel, delayed-rectifier, subfamily S, member 3b [Source:ZFIN;Acc:ZDB-GENE-051120-78]</t>
  </si>
  <si>
    <t>ENSDARG00000075825</t>
  </si>
  <si>
    <t>dlec1</t>
  </si>
  <si>
    <t>deleted in lung and esophageal cancer 1 [Source:ZFIN;Acc:ZDB-GENE-091204-65]</t>
  </si>
  <si>
    <t>ENSDARG00000091723</t>
  </si>
  <si>
    <t>si:ch211-202f3.4</t>
  </si>
  <si>
    <t>si:ch211-202f3.4 [Source:ZFIN;Acc:ZDB-GENE-131120-116]</t>
  </si>
  <si>
    <t>ENSDARG00000043084</t>
  </si>
  <si>
    <t>abhd17ab</t>
  </si>
  <si>
    <t>abhydrolase domain containing 17Ab [Source:ZFIN;Acc:ZDB-GENE-081105-136]</t>
  </si>
  <si>
    <t>ENSDARG00000055945</t>
  </si>
  <si>
    <t>asph</t>
  </si>
  <si>
    <t>aspartate beta-hydroxylase [Source:ZFIN;Acc:ZDB-GENE-031112-5]</t>
  </si>
  <si>
    <t>ENSDARG00000069249</t>
  </si>
  <si>
    <t>aftpha</t>
  </si>
  <si>
    <t>aftiphilin a [Source:ZFIN;Acc:ZDB-GENE-030131-1437]</t>
  </si>
  <si>
    <t>ENSDARG00000103057</t>
  </si>
  <si>
    <t>zfhx3</t>
  </si>
  <si>
    <t>zinc finger homeobox 3 [Source:ZFIN;Acc:ZDB-GENE-030131-7577]</t>
  </si>
  <si>
    <t>ENSDARG00000096972</t>
  </si>
  <si>
    <t>jmjd4.1</t>
  </si>
  <si>
    <t>ENSDARG00000024966</t>
  </si>
  <si>
    <t>MARK4</t>
  </si>
  <si>
    <t>si:dkey-31m14.7 [Source:ZFIN;Acc:ZDB-GENE-121214-92]</t>
  </si>
  <si>
    <t>ENSDARG00000054023</t>
  </si>
  <si>
    <t>ttll6</t>
  </si>
  <si>
    <t>tubulin tyrosine ligase-like family, member 6 [Source:ZFIN;Acc:ZDB-GENE-080107-1]</t>
  </si>
  <si>
    <t>ENSDARG00000026335</t>
  </si>
  <si>
    <t>susd4</t>
  </si>
  <si>
    <t>sushi domain containing 4 [Source:ZFIN;Acc:ZDB-GENE-110511-1]</t>
  </si>
  <si>
    <t>ENSDARG00000005652</t>
  </si>
  <si>
    <t>man1a1</t>
  </si>
  <si>
    <t>mannosidase, alpha, class 1A, member 1 [Source:ZFIN;Acc:ZDB-GENE-041014-321]</t>
  </si>
  <si>
    <t>ENSDARG00000104901</t>
  </si>
  <si>
    <t>ostc</t>
  </si>
  <si>
    <t>oligosaccharyltransferase complex subunit [Source:ZFIN;Acc:ZDB-GENE-040426-1079]</t>
  </si>
  <si>
    <t>ENSDARG00000079366</t>
  </si>
  <si>
    <t>ppp1r9ba</t>
  </si>
  <si>
    <t>protein phosphatase 1, regulatory subunit 9Ba [Source:ZFIN;Acc:ZDB-GENE-091006-1]</t>
  </si>
  <si>
    <t>ENSDARG00000068841</t>
  </si>
  <si>
    <t>si:dkey-29p23.1</t>
  </si>
  <si>
    <t>si:dkey-29p23.1 [Source:ZFIN;Acc:ZDB-GENE-081103-27]</t>
  </si>
  <si>
    <t>ENSDARG00000067591</t>
  </si>
  <si>
    <t>puraa</t>
  </si>
  <si>
    <t>purine-rich element binding protein Aa [Source:ZFIN;Acc:ZDB-GENE-040624-8]</t>
  </si>
  <si>
    <t>ENSDARG00000060115</t>
  </si>
  <si>
    <t>lrrn1</t>
  </si>
  <si>
    <t>leucine rich repeat neuronal 1 [Source:ZFIN;Acc:ZDB-GENE-071126-1]</t>
  </si>
  <si>
    <t>ENSDARG00000043732</t>
  </si>
  <si>
    <t>cops4</t>
  </si>
  <si>
    <t>COP9 constitutive photomorphogenic homolog subunit 4 (Arabidopsis) [Source:ZFIN;Acc:ZDB-GENE-030131-4317]</t>
  </si>
  <si>
    <t>ENSDARG00000029088</t>
  </si>
  <si>
    <t>guf1</t>
  </si>
  <si>
    <t>GUF1 homolog, GTPase [Source:ZFIN;Acc:ZDB-GENE-030131-4289]</t>
  </si>
  <si>
    <t>ENSDARG00000020043</t>
  </si>
  <si>
    <t>cnot8</t>
  </si>
  <si>
    <t>CCR4-NOT transcription complex, subunit 8 [Source:ZFIN;Acc:ZDB-GENE-040426-2845]</t>
  </si>
  <si>
    <t>ENSDARG00000003527</t>
  </si>
  <si>
    <t>mak16</t>
  </si>
  <si>
    <t>MAK16 homolog (S. cerevisiae) [Source:ZFIN;Acc:ZDB-GENE-020419-35]</t>
  </si>
  <si>
    <t>ENSDARG00000100157</t>
  </si>
  <si>
    <t>tamm41</t>
  </si>
  <si>
    <t>TAM41 mitochondrial translocator assembly and maintenance homolog [Source:ZFIN;Acc:ZDB-GENE-051030-99]</t>
  </si>
  <si>
    <t>ENSDARG00000017525</t>
  </si>
  <si>
    <t>ccnt1</t>
  </si>
  <si>
    <t>cyclin T1 [Source:ZFIN;Acc:ZDB-GENE-030131-6397]</t>
  </si>
  <si>
    <t>ENSDARG00000017612</t>
  </si>
  <si>
    <t>pnpo</t>
  </si>
  <si>
    <t>pyridoxamine 5'-phosphate oxidase [Source:ZFIN;Acc:ZDB-GENE-060602-2]</t>
  </si>
  <si>
    <t>ENSDARG00000077404</t>
  </si>
  <si>
    <t>ncoa3</t>
  </si>
  <si>
    <t>nuclear receptor coactivator 3 [Source:ZFIN;Acc:ZDB-GENE-051107-8]</t>
  </si>
  <si>
    <t>ENSDARG00000078644</t>
  </si>
  <si>
    <t>theg</t>
  </si>
  <si>
    <t>theg spermatid protein [Source:ZFIN;Acc:ZDB-GENE-070912-59]</t>
  </si>
  <si>
    <t>ENSDARG00000069271</t>
  </si>
  <si>
    <t>kbtbd4</t>
  </si>
  <si>
    <t>kelch repeat and BTB (POZ) domain containing 4 [Source:ZFIN;Acc:ZDB-GENE-040426-937]</t>
  </si>
  <si>
    <t>ENSDARG00000074666</t>
  </si>
  <si>
    <t>CA4</t>
  </si>
  <si>
    <t>zgc:153760 [Source:ZFIN;Acc:ZDB-GENE-060929-528]</t>
  </si>
  <si>
    <t>ENSDARG00000071410</t>
  </si>
  <si>
    <t>cks2</t>
  </si>
  <si>
    <t>CDC28 protein kinase regulatory subunit 2 [Source:ZFIN;Acc:ZDB-GENE-050208-508]</t>
  </si>
  <si>
    <t>ENSDARG00000086302</t>
  </si>
  <si>
    <t>proser1</t>
  </si>
  <si>
    <t>proline and serine rich 1 [Source:ZFIN;Acc:ZDB-GENE-111003-1]</t>
  </si>
  <si>
    <t>ENSDARG00000089399</t>
  </si>
  <si>
    <t>tmem176l.2</t>
  </si>
  <si>
    <t>transmembrane protein 176l.2 [Source:ZFIN;Acc:ZDB-GENE-080829-12]</t>
  </si>
  <si>
    <t>ENSDARG00000035433</t>
  </si>
  <si>
    <t>arpc5lb</t>
  </si>
  <si>
    <t>actin related protein 2/3 complex, subunit 5-like, b [Source:ZFIN;Acc:ZDB-GENE-060531-161]</t>
  </si>
  <si>
    <t>ENSDARG00000040853</t>
  </si>
  <si>
    <t>shoc2</t>
  </si>
  <si>
    <t>SHOC2 leucine-rich repeat scaffold protein [Source:ZFIN;Acc:ZDB-GENE-050208-523]</t>
  </si>
  <si>
    <t>ENSDARG00000026829</t>
  </si>
  <si>
    <t>cotl1</t>
  </si>
  <si>
    <t>coactosin-like F-actin binding protein 1 [Source:ZFIN;Acc:ZDB-GENE-030131-8325]</t>
  </si>
  <si>
    <t>ENSDARG00000009315</t>
  </si>
  <si>
    <t>clgn</t>
  </si>
  <si>
    <t>calmegin [Source:ZFIN;Acc:ZDB-GENE-060929-708]</t>
  </si>
  <si>
    <t>ENSDARG00000056832</t>
  </si>
  <si>
    <t>exo1</t>
  </si>
  <si>
    <t>exonuclease 1 [Source:ZFIN;Acc:ZDB-GENE-040426-2828]</t>
  </si>
  <si>
    <t>ENSDARG00000069066</t>
  </si>
  <si>
    <t>nufip2</t>
  </si>
  <si>
    <t>nuclear fragile X mental retardation protein interacting protein 2 [Source:ZFIN;Acc:ZDB-GENE-041111-7]</t>
  </si>
  <si>
    <t>ENSDARG00000073773</t>
  </si>
  <si>
    <t>tti2</t>
  </si>
  <si>
    <t>TELO2 interacting protein 2 [Source:ZFIN;Acc:ZDB-GENE-110411-25]</t>
  </si>
  <si>
    <t>ENSDARG00000089110</t>
  </si>
  <si>
    <t>si:ch211-198b3.4</t>
  </si>
  <si>
    <t>si:ch211-198b3.4 [Source:ZFIN;Acc:ZDB-GENE-121119-1]</t>
  </si>
  <si>
    <t>ENSDARG00000044437</t>
  </si>
  <si>
    <t>cdca5</t>
  </si>
  <si>
    <t>cell division cycle associated 5 [Source:ZFIN;Acc:ZDB-GENE-030131-235]</t>
  </si>
  <si>
    <t>ENSDARG00000025671</t>
  </si>
  <si>
    <t>grm6b</t>
  </si>
  <si>
    <t>glutamate receptor, metabotropic 6b [Source:ZFIN;Acc:ZDB-GENE-021120-2]</t>
  </si>
  <si>
    <t>ENSDARG00000057021</t>
  </si>
  <si>
    <t>vps36</t>
  </si>
  <si>
    <t>vacuolar protein sorting 36 homolog (S. cerevisiae) [Source:ZFIN;Acc:ZDB-GENE-030131-7753]</t>
  </si>
  <si>
    <t>ENSDARG00000098338</t>
  </si>
  <si>
    <t>si:ch73-340n8.4</t>
  </si>
  <si>
    <t>si:ch73-340n8.4 [Source:ZFIN;Acc:ZDB-GENE-141216-448]</t>
  </si>
  <si>
    <t>ENSDARG00000086985</t>
  </si>
  <si>
    <t>klc4</t>
  </si>
  <si>
    <t>kinesin light chain 4 [Source:ZFIN;Acc:ZDB-GENE-050417-350]</t>
  </si>
  <si>
    <t>ENSDARG00000016093</t>
  </si>
  <si>
    <t>qtrtd1</t>
  </si>
  <si>
    <t>queuine tRNA-ribosyltransferase domain containing 1 [Source:ZFIN;Acc:ZDB-GENE-060427-4]</t>
  </si>
  <si>
    <t>ENSDARG00000018907</t>
  </si>
  <si>
    <t>kat6a</t>
  </si>
  <si>
    <t>K(lysine) acetyltransferase 6A [Source:ZFIN;Acc:ZDB-GENE-021022-3]</t>
  </si>
  <si>
    <t>ENSDARG00000099177</t>
  </si>
  <si>
    <t>dok1b</t>
  </si>
  <si>
    <t>docking protein 1b [Source:ZFIN;Acc:ZDB-GENE-040426-2063]</t>
  </si>
  <si>
    <t>ENSDARG00000018492</t>
  </si>
  <si>
    <t>znf503</t>
  </si>
  <si>
    <t>zinc finger protein 503 [Source:ZFIN;Acc:ZDB-GENE-031113-5]</t>
  </si>
  <si>
    <t>ENSDARG00000062549</t>
  </si>
  <si>
    <t>acmsd</t>
  </si>
  <si>
    <t>aminocarboxymuconate semialdehyde decarboxylase [Source:ZFIN;Acc:ZDB-GENE-070410-103]</t>
  </si>
  <si>
    <t>ENSDARG00000004979</t>
  </si>
  <si>
    <t>elovl5</t>
  </si>
  <si>
    <t>ELOVL fatty acid elongase 5 [Source:ZFIN;Acc:ZDB-GENE-040407-2]</t>
  </si>
  <si>
    <t>ENSDARG00000013279</t>
  </si>
  <si>
    <t>znf76</t>
  </si>
  <si>
    <t>zinc finger protein 76 [Source:ZFIN;Acc:ZDB-GENE-061027-379]</t>
  </si>
  <si>
    <t>ENSDARG00000015822</t>
  </si>
  <si>
    <t>sesn3</t>
  </si>
  <si>
    <t>sestrin 3 [Source:ZFIN;Acc:ZDB-GENE-040426-2924]</t>
  </si>
  <si>
    <t>ENSDARG00000035978</t>
  </si>
  <si>
    <t>ube3c</t>
  </si>
  <si>
    <t>ubiquitin protein ligase E3C [Source:ZFIN;Acc:ZDB-GENE-040426-1211]</t>
  </si>
  <si>
    <t>ENSDARG00000105243</t>
  </si>
  <si>
    <t>ogt.1</t>
  </si>
  <si>
    <t>O-linked N-acetylglucosamine (GlcNAc) transferase, tandem duplicate 1 [Source:ZFIN;Acc:ZDB-GENE-030131-9631]</t>
  </si>
  <si>
    <t>ENSDARG00000017659</t>
  </si>
  <si>
    <t>sps2</t>
  </si>
  <si>
    <t>selenophosphate synthetase 2 [Source:ZFIN;Acc:ZDB-GENE-030327-5]</t>
  </si>
  <si>
    <t>ENSDARG00000097956</t>
  </si>
  <si>
    <t>kmt2ba</t>
  </si>
  <si>
    <t>kmt2ba.1</t>
  </si>
  <si>
    <t>ENSDARG00000058102</t>
  </si>
  <si>
    <t>sardh</t>
  </si>
  <si>
    <t>sarcosine dehydrogenase [Source:ZFIN;Acc:ZDB-GENE-040426-996]</t>
  </si>
  <si>
    <t>ENSDARG00000027915</t>
  </si>
  <si>
    <t>zc2hc1a</t>
  </si>
  <si>
    <t>zinc finger, C2HC-type containing 1A [Source:ZFIN;Acc:ZDB-GENE-030131-3132]</t>
  </si>
  <si>
    <t>ENSDARG00000099899</t>
  </si>
  <si>
    <t>si:dkeyp-51g9.4</t>
  </si>
  <si>
    <t>si:dkeyp-51g9.4 [Source:ZFIN;Acc:ZDB-GENEP-060503-8]</t>
  </si>
  <si>
    <t>ENSDARG00000021853</t>
  </si>
  <si>
    <t>ntpcr</t>
  </si>
  <si>
    <t>nucleoside-triphosphatase, cancer-related [Source:ZFIN;Acc:ZDB-GENE-040801-200]</t>
  </si>
  <si>
    <t>ENSDARG00000025346</t>
  </si>
  <si>
    <t>znf277</t>
  </si>
  <si>
    <t>zinc finger protein 277 [Source:ZFIN;Acc:ZDB-GENE-040426-1633]</t>
  </si>
  <si>
    <t>ENSDARG00000040407</t>
  </si>
  <si>
    <t>usp22</t>
  </si>
  <si>
    <t>ubiquitin specific peptidase 22 [Source:ZFIN;Acc:ZDB-GENE-060512-211]</t>
  </si>
  <si>
    <t>ENSDARG00000031200</t>
  </si>
  <si>
    <t>ppp2r5cb</t>
  </si>
  <si>
    <t>protein phosphatase 2, regulatory subunit B', gamma b [Source:ZFIN;Acc:ZDB-GENE-041014-4]</t>
  </si>
  <si>
    <t>ENSDARG00000062951</t>
  </si>
  <si>
    <t>tldc1</t>
  </si>
  <si>
    <t>TBC/LysM-associated domain containing 1 [Source:ZFIN;Acc:ZDB-GENE-050419-140]</t>
  </si>
  <si>
    <t>ENSDARG00000014013</t>
  </si>
  <si>
    <t>lbr</t>
  </si>
  <si>
    <t>lamin B receptor [Source:ZFIN;Acc:ZDB-GENE-030804-11]</t>
  </si>
  <si>
    <t>ENSDARG00000092801</t>
  </si>
  <si>
    <t>si:dkey-71b5.6</t>
  </si>
  <si>
    <t>si:dkey-71b5.6 [Source:ZFIN;Acc:ZDB-GENE-100922-111]</t>
  </si>
  <si>
    <t>ENSDARG00000033450</t>
  </si>
  <si>
    <t>nkap</t>
  </si>
  <si>
    <t>NFKB activating protein [Source:ZFIN;Acc:ZDB-GENE-030131-8064]</t>
  </si>
  <si>
    <t>ENSDARG00000054454</t>
  </si>
  <si>
    <t>epha4a</t>
  </si>
  <si>
    <t>eph receptor A4a [Source:ZFIN;Acc:ZDB-GENE-001207-7]</t>
  </si>
  <si>
    <t>ENSDARG00000070833</t>
  </si>
  <si>
    <t>lin52</t>
  </si>
  <si>
    <t>lin-52 DREAM MuvB core complex component [Source:ZFIN;Acc:ZDB-GENE-061110-82]</t>
  </si>
  <si>
    <t>ENSDARG00000102233</t>
  </si>
  <si>
    <t>oxld1</t>
  </si>
  <si>
    <t>oxidoreductase-like domain containing 1 [Source:ZFIN;Acc:ZDB-GENE-130603-23]</t>
  </si>
  <si>
    <t>ENSDARG00000036510</t>
  </si>
  <si>
    <t>ccnt2b</t>
  </si>
  <si>
    <t>cyclin T2b [Source:ZFIN;Acc:ZDB-GENE-030131-183]</t>
  </si>
  <si>
    <t>ENSDARG00000078133</t>
  </si>
  <si>
    <t>kdm2ab</t>
  </si>
  <si>
    <t>lysine (K)-specific demethylase 2Ab [Source:ZFIN;Acc:ZDB-GENE-101007-5]</t>
  </si>
  <si>
    <t>ENSDARG00000077313</t>
  </si>
  <si>
    <t>slc46a3</t>
  </si>
  <si>
    <t>solute carrier family 46, member 3 [Source:ZFIN;Acc:ZDB-GENE-100105-2]</t>
  </si>
  <si>
    <t>ENSDARG00000077776</t>
  </si>
  <si>
    <t>csnk2b</t>
  </si>
  <si>
    <t>casein kinase 2, beta polypeptide [Source:ZFIN;Acc:ZDB-GENE-990415-29]</t>
  </si>
  <si>
    <t>ENSDARG00000040021</t>
  </si>
  <si>
    <t>ebag9</t>
  </si>
  <si>
    <t>estrogen receptor binding site associated, antigen, 9 [Source:ZFIN;Acc:ZDB-GENE-040426-1093]</t>
  </si>
  <si>
    <t>ENSDARG00000097406</t>
  </si>
  <si>
    <t>si:dkey-81e3.2</t>
  </si>
  <si>
    <t>si:dkey-81e3.2 [Source:ZFIN;Acc:ZDB-GENE-131119-24]</t>
  </si>
  <si>
    <t>ENSDARG00000097886</t>
  </si>
  <si>
    <t>si:ch1073-172f18.2</t>
  </si>
  <si>
    <t>si:ch1073-172f18.2 [Source:ZFIN;Acc:ZDB-GENE-070912-3]</t>
  </si>
  <si>
    <t>ENSDARG00000013317</t>
  </si>
  <si>
    <t>pygmb</t>
  </si>
  <si>
    <t>phosphorylase, glycogen, muscle b [Source:ZFIN;Acc:ZDB-GENE-040426-1206]</t>
  </si>
  <si>
    <t>ENSDARG00000091889</t>
  </si>
  <si>
    <t>si:dkey-225d17.2</t>
  </si>
  <si>
    <t>si:dkey-225d17.2 [Source:ZFIN;Acc:ZDB-GENE-081105-74]</t>
  </si>
  <si>
    <t>ENSDARG00000104940</t>
  </si>
  <si>
    <t>fam96a</t>
  </si>
  <si>
    <t>family with sequence similarity 96, member A [Source:ZFIN;Acc:ZDB-GENE-040426-1965]</t>
  </si>
  <si>
    <t>ENSDARG00000076213</t>
  </si>
  <si>
    <t>DOCK4</t>
  </si>
  <si>
    <t>si:dkey-81e3.1 [Source:ZFIN;Acc:ZDB-GENE-120703-34]</t>
  </si>
  <si>
    <t>ENSDARG00000013966</t>
  </si>
  <si>
    <t>psma6b</t>
  </si>
  <si>
    <t>proteasome subunit alpha 6b [Source:ZFIN;Acc:ZDB-GENE-040718-329]</t>
  </si>
  <si>
    <t>ENSDARG00000097273</t>
  </si>
  <si>
    <t>si:ch211-229d2.7</t>
  </si>
  <si>
    <t>si:ch211-229d2.7 [Source:ZFIN;Acc:ZDB-GENE-131121-300]</t>
  </si>
  <si>
    <t>ENSDARG00000077093</t>
  </si>
  <si>
    <t>scaf4a</t>
  </si>
  <si>
    <t>SR-related CTD-associated factor 4a [Source:ZFIN;Acc:ZDB-GENE-030131-9003]</t>
  </si>
  <si>
    <t>ENSDARG00000014137</t>
  </si>
  <si>
    <t>picalmb</t>
  </si>
  <si>
    <t>phosphatidylinositol binding clathrin assembly protein b [Source:ZFIN;Acc:ZDB-GENE-030131-6795]</t>
  </si>
  <si>
    <t>ENSDARG00000096306</t>
  </si>
  <si>
    <t>LRRC41</t>
  </si>
  <si>
    <t>si:ch1073-342h5.2 [Source:ZFIN;Acc:ZDB-GENE-120215-249]</t>
  </si>
  <si>
    <t>ENSDARG00000012325</t>
  </si>
  <si>
    <t>GEN1</t>
  </si>
  <si>
    <t>zgc:110269 [Source:ZFIN;Acc:ZDB-GENE-050417-81]</t>
  </si>
  <si>
    <t>ENSDARG00000060941</t>
  </si>
  <si>
    <t>ANKFN1</t>
  </si>
  <si>
    <t>si:ch211-277e21.2 [Source:ZFIN;Acc:ZDB-GENE-130603-21]</t>
  </si>
  <si>
    <t>ENSDARG00000055996</t>
  </si>
  <si>
    <t>rps8a</t>
  </si>
  <si>
    <t>ribosomal protein S8a [Source:ZFIN;Acc:ZDB-GENE-030131-8626]</t>
  </si>
  <si>
    <t>ENSDARG00000093978</t>
  </si>
  <si>
    <t>zgc:77486</t>
  </si>
  <si>
    <t>zgc:77486 [Source:ZFIN;Acc:ZDB-GENE-040426-2056]</t>
  </si>
  <si>
    <t>ENSDARG00000005481</t>
  </si>
  <si>
    <t>nfkbiaa</t>
  </si>
  <si>
    <t>nuclear factor of kappa light polypeptide gene enhancer in B-cells inhibitor, alpha a [Source:ZFIN;Acc:ZDB-GENE-040426-2227]</t>
  </si>
  <si>
    <t>ENSDARG00000067646</t>
  </si>
  <si>
    <t>tmem232</t>
  </si>
  <si>
    <t>transmembrane protein 232 [Source:ZFIN;Acc:ZDB-GENE-070705-434]</t>
  </si>
  <si>
    <t>ENSDARG00000014626</t>
  </si>
  <si>
    <t>dlx3b</t>
  </si>
  <si>
    <t>distal-less homeobox 3b [Source:ZFIN;Acc:ZDB-GENE-980526-280]</t>
  </si>
  <si>
    <t>ENSDARG00000089875</t>
  </si>
  <si>
    <t>si:ch211-226o13.2</t>
  </si>
  <si>
    <t>si:ch211-226o13.2 [Source:ZFIN;Acc:ZDB-GENE-110913-67]</t>
  </si>
  <si>
    <t>ENSDARG00000042319</t>
  </si>
  <si>
    <t>cdca4</t>
  </si>
  <si>
    <t>cell division cycle associated 4 [Source:ZFIN;Acc:ZDB-GENE-030131-1695]</t>
  </si>
  <si>
    <t>ENSDARG00000024488</t>
  </si>
  <si>
    <t>top2a</t>
  </si>
  <si>
    <t>topoisomerase (DNA) II alpha [Source:ZFIN;Acc:ZDB-GENE-030131-2453]</t>
  </si>
  <si>
    <t>ENSDARG00000069100</t>
  </si>
  <si>
    <t>aldh9a1a.1</t>
  </si>
  <si>
    <t>aldehyde dehydrogenase 9 family, member A1a, tandem duplicate 1 [Source:ZFIN;Acc:ZDB-GENE-030131-1257]</t>
  </si>
  <si>
    <t>ENSDARG00000012499</t>
  </si>
  <si>
    <t>per1b</t>
  </si>
  <si>
    <t>period circadian clock 1b [Source:ZFIN;Acc:ZDB-GENE-040419-1]</t>
  </si>
  <si>
    <t>ENSDARG00000095707</t>
  </si>
  <si>
    <t>si:dkey-183n20.2</t>
  </si>
  <si>
    <t>si:dkey-183n20.2 [Source:ZFIN;Acc:ZDB-GENE-041001-153]</t>
  </si>
  <si>
    <t>ENSDARG00000060004</t>
  </si>
  <si>
    <t>fzd7a</t>
  </si>
  <si>
    <t>frizzled class receptor 7a [Source:ZFIN;Acc:ZDB-GENE-990415-223]</t>
  </si>
  <si>
    <t>ENSDARG00000042892</t>
  </si>
  <si>
    <t>paip1</t>
  </si>
  <si>
    <t>poly(A) binding protein interacting protein 1 [Source:ZFIN;Acc:ZDB-GENE-040801-247]</t>
  </si>
  <si>
    <t>ENSDARG00000089075</t>
  </si>
  <si>
    <t>si:ch73-173p19.1</t>
  </si>
  <si>
    <t>si:ch73-173p19.1 [Source:ZFIN;Acc:ZDB-GENE-130530-952]</t>
  </si>
  <si>
    <t>ENSDARG00000075625</t>
  </si>
  <si>
    <t>lrig1</t>
  </si>
  <si>
    <t>leucine-rich repeats and immunoglobulin-like domains 1 [Source:ZFIN;Acc:ZDB-GENE-031113-23]</t>
  </si>
  <si>
    <t>ENSDARG00000013830</t>
  </si>
  <si>
    <t>osbpl2b</t>
  </si>
  <si>
    <t>oxysterol binding protein-like 2b [Source:ZFIN;Acc:ZDB-GENE-030131-6138]</t>
  </si>
  <si>
    <t>ENSDARG00000007989</t>
  </si>
  <si>
    <t>nedd8</t>
  </si>
  <si>
    <t>neural precursor cell expressed, developmentally down-regulated 8 [Source:ZFIN;Acc:ZDB-GENE-030616-588]</t>
  </si>
  <si>
    <t>ENSDARG00000004632</t>
  </si>
  <si>
    <t>egln1b</t>
  </si>
  <si>
    <t>egl-9 family hypoxia-inducible factor 1b [Source:ZFIN;Acc:ZDB-GENE-040718-338]</t>
  </si>
  <si>
    <t>ENSDARG00000014081</t>
  </si>
  <si>
    <t>fam184a</t>
  </si>
  <si>
    <t>family with sequence similarity 184, member A [Source:ZFIN;Acc:ZDB-GENE-041014-214]</t>
  </si>
  <si>
    <t>ENSDARG00000075758</t>
  </si>
  <si>
    <t>ywhabb</t>
  </si>
  <si>
    <t>tyrosine 3-monooxygenase/tryptophan 5-monooxygenase activation protein, beta polypeptide b [Source:ZFIN;Acc:ZDB-GENE-040426-2160]</t>
  </si>
  <si>
    <t>ENSDARG00000071046</t>
  </si>
  <si>
    <t>bbip1</t>
  </si>
  <si>
    <t>BBSome interacting protein 1 [Source:ZFIN;Acc:ZDB-GENE-050208-445]</t>
  </si>
  <si>
    <t>ENSDARG00000096857</t>
  </si>
  <si>
    <t>si:ch73-126m5.4</t>
  </si>
  <si>
    <t>si:ch73-126m5.4 [Source:ZFIN;Acc:ZDB-GENE-131121-185]</t>
  </si>
  <si>
    <t>ENSDARG00000029783</t>
  </si>
  <si>
    <t>dedd</t>
  </si>
  <si>
    <t>death effector domain containing [Source:ZFIN;Acc:ZDB-GENE-040718-386]</t>
  </si>
  <si>
    <t>ENSDARG00000008494</t>
  </si>
  <si>
    <t>myl6</t>
  </si>
  <si>
    <t>myosin, light chain 6, alkali, smooth muscle and non-muscle [Source:ZFIN;Acc:ZDB-GENE-041010-28]</t>
  </si>
  <si>
    <t>ENSDARG00000098257</t>
  </si>
  <si>
    <t>pcdh15a</t>
  </si>
  <si>
    <t>protocadherin-related 15a [Source:ZFIN;Acc:ZDB-GENE-030616-3]</t>
  </si>
  <si>
    <t>ENSDARG00000103714</t>
  </si>
  <si>
    <t>rab6a</t>
  </si>
  <si>
    <t>RAB6A, member RAS oncogene family [Source:ZFIN;Acc:ZDB-GENE-040426-2849]</t>
  </si>
  <si>
    <t>ENSDARG00000010149</t>
  </si>
  <si>
    <t>atp5a1</t>
  </si>
  <si>
    <t>ATP synthase, H+ transporting, mitochondrial F1 complex, alpha subunit 1, cardiac muscle [Source:ZFIN;Acc:ZDB-GENE-060201-1]</t>
  </si>
  <si>
    <t>ENSDARG00000099814</t>
  </si>
  <si>
    <t>FBXO46</t>
  </si>
  <si>
    <t>si:dkey-114g7.4 [Source:ZFIN;Acc:ZDB-GENE-060503-897]</t>
  </si>
  <si>
    <t>ENSDARG00000051916</t>
  </si>
  <si>
    <t>cdk7</t>
  </si>
  <si>
    <t>cyclin-dependent kinase 7 [Source:ZFIN;Acc:ZDB-GENE-010320-2]</t>
  </si>
  <si>
    <t>ENSDARG00000063352</t>
  </si>
  <si>
    <t>inpp4aa</t>
  </si>
  <si>
    <t>inositol polyphosphate-4-phosphatase type I Aa [Source:ZFIN;Acc:ZDB-GENE-060312-5]</t>
  </si>
  <si>
    <t>ENSDARG00000042698</t>
  </si>
  <si>
    <t>si:dkey-15j16.6</t>
  </si>
  <si>
    <t>si:dkey-15j16.6 [Source:ZFIN;Acc:ZDB-GENE-130531-45]</t>
  </si>
  <si>
    <t>ENSDARG00000005867</t>
  </si>
  <si>
    <t>gon4l</t>
  </si>
  <si>
    <t>gon-4-like (C. elegans) [Source:ZFIN;Acc:ZDB-GENE-070117-2447]</t>
  </si>
  <si>
    <t>ENSDARG00000069850</t>
  </si>
  <si>
    <t>mrpl30</t>
  </si>
  <si>
    <t>mitochondrial ribosomal protein L30 [Source:ZFIN;Acc:ZDB-GENE-050522-240]</t>
  </si>
  <si>
    <t>ENSDARG00000059298</t>
  </si>
  <si>
    <t>spcs1</t>
  </si>
  <si>
    <t>signal peptidase complex subunit 1 [Source:ZFIN;Acc:ZDB-GENE-050809-130]</t>
  </si>
  <si>
    <t>ENSDARG00000043858</t>
  </si>
  <si>
    <t>cdk19</t>
  </si>
  <si>
    <t>cyclin-dependent kinase 19 [Source:ZFIN;Acc:ZDB-GENE-040724-19]</t>
  </si>
  <si>
    <t>ENSDARG00000009212</t>
  </si>
  <si>
    <t>ppiaa</t>
  </si>
  <si>
    <t>peptidylprolyl isomerase Aa (cyclophilin A) [Source:ZFIN;Acc:ZDB-GENE-030131-8556]</t>
  </si>
  <si>
    <t>ENSDARG00000100862</t>
  </si>
  <si>
    <t>gprc5c</t>
  </si>
  <si>
    <t>G protein-coupled receptor, class C, group 5, member C [Source:ZFIN;Acc:ZDB-GENE-070928-27]</t>
  </si>
  <si>
    <t>ENSDARG00000041022</t>
  </si>
  <si>
    <t>pdcd4b</t>
  </si>
  <si>
    <t>programmed cell death 4b [Source:ZFIN;Acc:ZDB-GENE-030131-9847]</t>
  </si>
  <si>
    <t>ENSDARG00000069853</t>
  </si>
  <si>
    <t>txndc9</t>
  </si>
  <si>
    <t>thioredoxin domain containing 9 [Source:ZFIN;Acc:ZDB-GENE-030131-8569]</t>
  </si>
  <si>
    <t>ENSDARG00000044114</t>
  </si>
  <si>
    <t>cyb561d2</t>
  </si>
  <si>
    <t>cytochrome b561 family, member D2 [Source:ZFIN;Acc:ZDB-GENE-041010-205]</t>
  </si>
  <si>
    <t>ENSDARG00000061505</t>
  </si>
  <si>
    <t>mrps9</t>
  </si>
  <si>
    <t>mitochondrial ribosomal protein S9 [Source:ZFIN;Acc:ZDB-GENE-060825-257]</t>
  </si>
  <si>
    <t>ENSDARG00000105511</t>
  </si>
  <si>
    <t>si:ch211-243c14.5</t>
  </si>
  <si>
    <t>si:ch211-243c14.5 [Source:ZFIN;Acc:ZDB-GENE-160113-152]</t>
  </si>
  <si>
    <t>ENSDARG00000056108</t>
  </si>
  <si>
    <t>ndufa4</t>
  </si>
  <si>
    <t>NADH dehydrogenase (ubiquinone) 1 alpha subcomplex, 4 [Source:ZFIN;Acc:ZDB-GENE-040426-1962]</t>
  </si>
  <si>
    <t>ENSDARG00000042824</t>
  </si>
  <si>
    <t>nfe2l2a</t>
  </si>
  <si>
    <t>nuclear factor, erythroid 2-like 2a [Source:ZFIN;Acc:ZDB-GENE-030723-2]</t>
  </si>
  <si>
    <t>ENSDARG00000038476</t>
  </si>
  <si>
    <t>si:dkeyp-68b7.7</t>
  </si>
  <si>
    <t>si:dkeyp-68b7.7 [Source:ZFIN;Acc:ZDB-GENE-070912-672]</t>
  </si>
  <si>
    <t>ENSDARG00000040764</t>
  </si>
  <si>
    <t>id1</t>
  </si>
  <si>
    <t>inhibitor of DNA binding 1 [Source:ZFIN;Acc:ZDB-GENE-990415-96]</t>
  </si>
  <si>
    <t>ENSDARG00000063031</t>
  </si>
  <si>
    <t>rad54l2</t>
  </si>
  <si>
    <t>RAD54-like 2 (S. cerevisiae) [Source:ZFIN;Acc:ZDB-GENE-030131-3097]</t>
  </si>
  <si>
    <t>ENSDARG00000040443</t>
  </si>
  <si>
    <t>polr2i</t>
  </si>
  <si>
    <t>polymerase (RNA) II (DNA directed) polypeptide I [Source:ZFIN;Acc:ZDB-GENE-041010-106]</t>
  </si>
  <si>
    <t>ENSDARG00000031496</t>
  </si>
  <si>
    <t>ap1ar</t>
  </si>
  <si>
    <t>adaptor-related protein complex 1 associated regulatory protein [Source:ZFIN;Acc:ZDB-GENE-130530-580]</t>
  </si>
  <si>
    <t>ENSDARG00000100582</t>
  </si>
  <si>
    <t>si:ch211-195b11.3</t>
  </si>
  <si>
    <t>si:ch211-195b11.3 [Source:ZFIN;Acc:ZDB-GENE-141222-6]</t>
  </si>
  <si>
    <t>ENSDARG00000096939</t>
  </si>
  <si>
    <t>id1.1</t>
  </si>
  <si>
    <t>ENSDARG00000021735</t>
  </si>
  <si>
    <t>cacna1ba</t>
  </si>
  <si>
    <t>calcium channel, voltage-dependent, N type, alpha 1B subunit, a [Source:ZFIN;Acc:ZDB-GENE-060531-44]</t>
  </si>
  <si>
    <t>ENSDARG00000105036</t>
  </si>
  <si>
    <t>arl6ip4</t>
  </si>
  <si>
    <t>ADP-ribosylation factor-like 6 interacting protein 4 [Source:ZFIN;Acc:ZDB-GENE-050522-405]</t>
  </si>
  <si>
    <t>ENSDARG00000054352</t>
  </si>
  <si>
    <t>lrrc9</t>
  </si>
  <si>
    <t>leucine rich repeat containing 9 [Source:ZFIN;Acc:ZDB-GENE-080917-56]</t>
  </si>
  <si>
    <t>ENSDARG00000068828</t>
  </si>
  <si>
    <t>bloc1s3</t>
  </si>
  <si>
    <t>biogenesis of lysosomal organelles complex-1, subunit 3 [Source:ZFIN;Acc:ZDB-GENE-050913-10]</t>
  </si>
  <si>
    <t>ENSDARG00000038207</t>
  </si>
  <si>
    <t>aldh4a1</t>
  </si>
  <si>
    <t>aldehyde dehydrogenase 4 family, member A1 [Source:ZFIN;Acc:ZDB-GENE-040426-1179]</t>
  </si>
  <si>
    <t>ENSDARG00000030006</t>
  </si>
  <si>
    <t>SLC6A7</t>
  </si>
  <si>
    <t>zgc:158225 [Source:ZFIN;Acc:ZDB-GENE-070112-1492]</t>
  </si>
  <si>
    <t>ENSDARG00000003109</t>
  </si>
  <si>
    <t>rcan1a</t>
  </si>
  <si>
    <t>regulator of calcineurin 1a [Source:ZFIN;Acc:ZDB-GENE-040801-135]</t>
  </si>
  <si>
    <t>ENSDARG00000055445</t>
  </si>
  <si>
    <t>slc22a15</t>
  </si>
  <si>
    <t>solute carrier family 22, member 15 [Source:ZFIN;Acc:ZDB-GENE-070928-5]</t>
  </si>
  <si>
    <t>ENSDARG00000015557</t>
  </si>
  <si>
    <t>zgc:100829</t>
  </si>
  <si>
    <t>zgc:100829 [Source:ZFIN;Acc:ZDB-GENE-040801-54]</t>
  </si>
  <si>
    <t>ENSDARG00000078458</t>
  </si>
  <si>
    <t>ppp1r37</t>
  </si>
  <si>
    <t>protein phosphatase 1, regulatory subunit 37 [Source:ZFIN;Acc:ZDB-GENE-050208-7]</t>
  </si>
  <si>
    <t>ENSDARG00000056166</t>
  </si>
  <si>
    <t>si:ch211-241c24.4</t>
  </si>
  <si>
    <t>si:ch211-241c24.4 [Source:ZFIN;Acc:ZDB-GENE-160114-69]</t>
  </si>
  <si>
    <t>ENSDARG00000055225</t>
  </si>
  <si>
    <t>dock8</t>
  </si>
  <si>
    <t>dedicator of cytokinesis 8 [Source:ZFIN;Acc:ZDB-GENE-060503-743]</t>
  </si>
  <si>
    <t>ENSDARG00000056085</t>
  </si>
  <si>
    <t>mob4</t>
  </si>
  <si>
    <t>MOB family member 4, phocein [Source:ZFIN;Acc:ZDB-GENE-040801-174]</t>
  </si>
  <si>
    <t>ENSDARG00000068888</t>
  </si>
  <si>
    <t>klhl41a</t>
  </si>
  <si>
    <t>kelch-like family member 41a [Source:ZFIN;Acc:ZDB-GENE-081105-22]</t>
  </si>
  <si>
    <t>ENSDARG00000059128</t>
  </si>
  <si>
    <t>uqcrh</t>
  </si>
  <si>
    <t>ubiquinol-cytochrome c reductase hinge protein [Source:ZFIN;Acc:ZDB-GENE-051030-93]</t>
  </si>
  <si>
    <t>ENSDARG00000095623</t>
  </si>
  <si>
    <t>dpm2</t>
  </si>
  <si>
    <t>dolichyl-phosphate mannosyltransferase polypeptide 2, regulatory subunit [Source:ZFIN;Acc:ZDB-GENE-030131-9093]</t>
  </si>
  <si>
    <t>ENSDARG00000034424</t>
  </si>
  <si>
    <t>atp1b2b</t>
  </si>
  <si>
    <t>ATPase, Na+/K+ transporting, beta 2b polypeptide [Source:ZFIN;Acc:ZDB-GENE-010718-1]</t>
  </si>
  <si>
    <t>ENSDARG00000024746</t>
  </si>
  <si>
    <t>hsp90aa1.2</t>
  </si>
  <si>
    <t>heat shock protein 90, alpha (cytosolic), class A member 1, tandem duplicate 2 [Source:ZFIN;Acc:ZDB-GENE-031001-3]</t>
  </si>
  <si>
    <t>ENSDARG00000051746</t>
  </si>
  <si>
    <t>cecr1a</t>
  </si>
  <si>
    <t>cat eye syndrome chromosome region, candidate 1a [Source:ZFIN;Acc:ZDB-GENE-030902-4]</t>
  </si>
  <si>
    <t>ENSDARG00000006508</t>
  </si>
  <si>
    <t>pip5k1bb</t>
  </si>
  <si>
    <t>phosphatidylinositol-4-phosphate 5-kinase, type I, beta b [Source:ZFIN;Acc:ZDB-GENE-040912-141]</t>
  </si>
  <si>
    <t>ENSDARG00000001910</t>
  </si>
  <si>
    <t>rorab</t>
  </si>
  <si>
    <t>RAR-related orphan receptor A, paralog b [Source:ZFIN;Acc:ZDB-GENE-040426-855]</t>
  </si>
  <si>
    <t>ENSDARG00000039827</t>
  </si>
  <si>
    <t>bbs5</t>
  </si>
  <si>
    <t>Bardet-Biedl syndrome 5 [Source:ZFIN;Acc:ZDB-GENE-040426-1083]</t>
  </si>
  <si>
    <t>ENSDARG00000086551</t>
  </si>
  <si>
    <t>irs4a</t>
  </si>
  <si>
    <t>insulin receptor substrate 4a [Source:ZFIN;Acc:ZDB-GENE-120215-92]</t>
  </si>
  <si>
    <t>ENSDARG00000029018</t>
  </si>
  <si>
    <t>cdkn1ba</t>
  </si>
  <si>
    <t>cyclin-dependent kinase inhibitor 1Ba [Source:ZFIN;Acc:ZDB-GENE-040812-3]</t>
  </si>
  <si>
    <t>ENSDARG00000103026</t>
  </si>
  <si>
    <t>p3h2</t>
  </si>
  <si>
    <t>prolyl 3-hydroxylase 2 [Source:ZFIN;Acc:ZDB-GENE-061207-44]</t>
  </si>
  <si>
    <t>ENSDARG00000038881</t>
  </si>
  <si>
    <t>acaa2</t>
  </si>
  <si>
    <t>acetyl-CoA acyltransferase 2 [Source:ZFIN;Acc:ZDB-GENE-040426-1996]</t>
  </si>
  <si>
    <t>ENSDARG00000089223</t>
  </si>
  <si>
    <t>ngfrb</t>
  </si>
  <si>
    <t>nerve growth factor receptor b [Source:ZFIN;Acc:ZDB-GENE-070606-2]</t>
  </si>
  <si>
    <t>ENSDARG00000097996</t>
  </si>
  <si>
    <t>usp2a</t>
  </si>
  <si>
    <t>usp2a.1</t>
  </si>
  <si>
    <t>ENSDARG00000057882</t>
  </si>
  <si>
    <t>arpc3</t>
  </si>
  <si>
    <t>actin related protein 2/3 complex, subunit 3 [Source:ZFIN;Acc:ZDB-GENE-040625-107]</t>
  </si>
  <si>
    <t>ENSDARG00000010981</t>
  </si>
  <si>
    <t>zdhhc3a</t>
  </si>
  <si>
    <t>zinc finger, DHHC-type containing 3a [Source:ZFIN;Acc:ZDB-GENE-040718-484]</t>
  </si>
  <si>
    <t>ENSDARG00000042322</t>
  </si>
  <si>
    <t>si:dkey-177p2.6</t>
  </si>
  <si>
    <t>si:dkey-177p2.6 [Source:ZFIN;Acc:ZDB-GENE-030131-5926]</t>
  </si>
  <si>
    <t>ENSDARG00000009217</t>
  </si>
  <si>
    <t>tom1l2</t>
  </si>
  <si>
    <t>target of myb1 like 2 membrane trafficking protein [Source:ZFIN;Acc:ZDB-GENE-061013-3]</t>
  </si>
  <si>
    <t>ENSDARG00000019444</t>
  </si>
  <si>
    <t>ssr4</t>
  </si>
  <si>
    <t>signal sequence receptor, delta [Source:ZFIN;Acc:ZDB-GENE-030131-4900]</t>
  </si>
  <si>
    <t>ENSDARG00000094901</t>
  </si>
  <si>
    <t>abcc6b.2</t>
  </si>
  <si>
    <t>ATP-binding cassette, sub-family C (CFTR/MRP), member 6b, tandem duplicate 2 [Source:ZFIN;Acc:ZDB-GENE-110208-2]</t>
  </si>
  <si>
    <t>ENSDARG00000044362</t>
  </si>
  <si>
    <t>unc119b</t>
  </si>
  <si>
    <t>unc-119 homolog b (C. elegans) [Source:ZFIN;Acc:ZDB-GENE-050201-2]</t>
  </si>
  <si>
    <t>ENSDARG00000045519</t>
  </si>
  <si>
    <t>sfmbt2</t>
  </si>
  <si>
    <t>Scm-like with four mbt domains 2 [Source:ZFIN;Acc:ZDB-GENE-041210-196]</t>
  </si>
  <si>
    <t>ENSDARG00000032970</t>
  </si>
  <si>
    <t>cox4i1</t>
  </si>
  <si>
    <t>cytochrome c oxidase subunit IV isoform 1 [Source:ZFIN;Acc:ZDB-GENE-030131-5175]</t>
  </si>
  <si>
    <t>ENSDARG00000015676</t>
  </si>
  <si>
    <t>nmd3</t>
  </si>
  <si>
    <t>NMD3 ribosome export adaptor [Source:ZFIN;Acc:ZDB-GENE-050320-149]</t>
  </si>
  <si>
    <t>ENSDARG00000077069</t>
  </si>
  <si>
    <t>srgn</t>
  </si>
  <si>
    <t>serglycin [Source:ZFIN;Acc:ZDB-GENE-030131-7127]</t>
  </si>
  <si>
    <t>ENSDARG00000052827</t>
  </si>
  <si>
    <t>top3a</t>
  </si>
  <si>
    <t>topoisomerase (DNA) III alpha [Source:ZFIN;Acc:ZDB-GENE-071212-2]</t>
  </si>
  <si>
    <t>ENSDARG00000097478</t>
  </si>
  <si>
    <t>qkia</t>
  </si>
  <si>
    <t>QKI, KH domain containing, RNA binding a [Source:ZFIN;Acc:ZDB-GENE-990415-230]</t>
  </si>
  <si>
    <t>ENSDARG00000001621</t>
  </si>
  <si>
    <t>nfyal</t>
  </si>
  <si>
    <t>nuclear transcription factor Y, alpha, like [Source:ZFIN;Acc:ZDB-GENE-040718-491]</t>
  </si>
  <si>
    <t>ENSDARG00000030832</t>
  </si>
  <si>
    <t>otofa</t>
  </si>
  <si>
    <t>otoferlin a [Source:ZFIN;Acc:ZDB-GENE-030131-7778]</t>
  </si>
  <si>
    <t>ENSDARG00000043960</t>
  </si>
  <si>
    <t>rpf2</t>
  </si>
  <si>
    <t>ribosome production factor 2 homolog [Source:ZFIN;Acc:ZDB-GENE-040426-2501]</t>
  </si>
  <si>
    <t>ENSDARG00000022254</t>
  </si>
  <si>
    <t>prkcbb</t>
  </si>
  <si>
    <t>protein kinase C, beta b [Source:ZFIN;Acc:ZDB-GENE-040426-1178]</t>
  </si>
  <si>
    <t>ENSDARG00000035147</t>
  </si>
  <si>
    <t>lrwd1</t>
  </si>
  <si>
    <t>leucine-rich repeats and WD repeat domain containing 1 [Source:ZFIN;Acc:ZDB-GENE-030131-5335]</t>
  </si>
  <si>
    <t>ENSDARG00000021509</t>
  </si>
  <si>
    <t>tab2</t>
  </si>
  <si>
    <t>TGF-beta activated kinase 1/MAP3K7 binding protein 2 [Source:ZFIN;Acc:ZDB-GENE-040426-933]</t>
  </si>
  <si>
    <t>ENSDARG00000075323</t>
  </si>
  <si>
    <t>srfbp1</t>
  </si>
  <si>
    <t>serum response factor binding protein 1 [Source:ZFIN;Acc:ZDB-GENE-040426-1991]</t>
  </si>
  <si>
    <t>ENSDARG00000063446</t>
  </si>
  <si>
    <t>iba57</t>
  </si>
  <si>
    <t>IBA57 homolog, iron-sulfur cluster assembly [Source:ZFIN;Acc:ZDB-GENE-060929-712]</t>
  </si>
  <si>
    <t>ENSDARG00000037789</t>
  </si>
  <si>
    <t>pvalb1</t>
  </si>
  <si>
    <t>parvalbumin 1 [Source:ZFIN;Acc:ZDB-GENE-040625-57]</t>
  </si>
  <si>
    <t>ENSDARG00000041644</t>
  </si>
  <si>
    <t>TMEM27</t>
  </si>
  <si>
    <t>si:dkey-194e6.1 [Source:ZFIN;Acc:ZDB-GENE-100922-43]</t>
  </si>
  <si>
    <t>ENSDARG00000098644</t>
  </si>
  <si>
    <t>si:ch211-126j24.1</t>
  </si>
  <si>
    <t>si:ch211-126j24.1 [Source:ZFIN;Acc:ZDB-GENE-050208-133]</t>
  </si>
  <si>
    <t>ENSDARG00000005625</t>
  </si>
  <si>
    <t>tmem57a</t>
  </si>
  <si>
    <t>transmembrane protein 57a [Source:ZFIN;Acc:ZDB-GENE-040426-1097]</t>
  </si>
  <si>
    <t>ENSDARG00000018738</t>
  </si>
  <si>
    <t>zw10</t>
  </si>
  <si>
    <t>zw10 kinetochore protein [Source:ZFIN;Acc:ZDB-GENE-040426-800]</t>
  </si>
  <si>
    <t>ENSDARG00000053528</t>
  </si>
  <si>
    <t>nog3</t>
  </si>
  <si>
    <t>noggin 3 [Source:ZFIN;Acc:ZDB-GENE-990714-8]</t>
  </si>
  <si>
    <t>ENSDARG00000079374</t>
  </si>
  <si>
    <t>tjp1b</t>
  </si>
  <si>
    <t>tight junction protein 1b [Source:ZFIN;Acc:ZDB-GENE-070925-1]</t>
  </si>
  <si>
    <t>ENSDARG00000034685</t>
  </si>
  <si>
    <t>tmem198b</t>
  </si>
  <si>
    <t>transmembrane protein 198b [Source:ZFIN;Acc:ZDB-GENE-050809-123]</t>
  </si>
  <si>
    <t>ENSDARG00000034503</t>
  </si>
  <si>
    <t>per2</t>
  </si>
  <si>
    <t>period circadian clock 2 [Source:ZFIN;Acc:ZDB-GENE-011220-2]</t>
  </si>
  <si>
    <t>ENSDARG00000012422</t>
  </si>
  <si>
    <t>col11a2</t>
  </si>
  <si>
    <t>collagen, type XI, alpha 2 [Source:ZFIN;Acc:ZDB-GENE-000208-23]</t>
  </si>
  <si>
    <t>ENSDARG00000004870</t>
  </si>
  <si>
    <t>psen1</t>
  </si>
  <si>
    <t>presenilin 1 [Source:ZFIN;Acc:ZDB-GENE-991119-4]</t>
  </si>
  <si>
    <t>ENSDARG00000074591</t>
  </si>
  <si>
    <t>eda</t>
  </si>
  <si>
    <t>ectodysplasin A [Source:ZFIN;Acc:ZDB-GENE-050107-6]</t>
  </si>
  <si>
    <t>ENSDARG00000052654</t>
  </si>
  <si>
    <t>thrab</t>
  </si>
  <si>
    <t>thyroid hormone receptor alpha b [Source:ZFIN;Acc:ZDB-GENE-060613-1]</t>
  </si>
  <si>
    <t>ENSDARG00000037574</t>
  </si>
  <si>
    <t>rps6kal</t>
  </si>
  <si>
    <t>ribosomal protein S6 kinase a, like [Source:ZFIN;Acc:ZDB-GENE-030131-9616]</t>
  </si>
  <si>
    <t>ENSDARG00000100501</t>
  </si>
  <si>
    <t>si:dkey-202l22.4</t>
  </si>
  <si>
    <t>si:dkey-202l22.4 [Source:ZFIN;Acc:ZDB-GENE-131120-36]</t>
  </si>
  <si>
    <t>ENSDARG00000074335</t>
  </si>
  <si>
    <t>boc</t>
  </si>
  <si>
    <t>BOC cell adhesion associated, oncogene regulated [Source:ZFIN;Acc:ZDB-GENE-030131-6560]</t>
  </si>
  <si>
    <t>ENSDARG00000032990</t>
  </si>
  <si>
    <t>plxnb3</t>
  </si>
  <si>
    <t>plexin B3 [Source:ZFIN;Acc:ZDB-GENE-081104-53]</t>
  </si>
  <si>
    <t>ENSDARG00000043446</t>
  </si>
  <si>
    <t>efhd1</t>
  </si>
  <si>
    <t>EF-hand domain family, member D1 [Source:ZFIN;Acc:ZDB-GENE-030131-7461]</t>
  </si>
  <si>
    <t>ENSDARG00000020228</t>
  </si>
  <si>
    <t>usf2</t>
  </si>
  <si>
    <t>upstream transcription factor 2, c-fos interacting [Source:ZFIN;Acc:ZDB-GENE-030131-8475]</t>
  </si>
  <si>
    <t>ENSDARG00000071345</t>
  </si>
  <si>
    <t>mgst2</t>
  </si>
  <si>
    <t>microsomal glutathione S-transferase 2 [Source:ZFIN;Acc:ZDB-GENE-060616-94]</t>
  </si>
  <si>
    <t>ENSDARG00000018181</t>
  </si>
  <si>
    <t>dnajc28</t>
  </si>
  <si>
    <t>DnaJ (Hsp40) homolog, subfamily C, member 28 [Source:ZFIN;Acc:ZDB-GENE-050417-130]</t>
  </si>
  <si>
    <t>ENSDARG00000078722</t>
  </si>
  <si>
    <t>clip1a</t>
  </si>
  <si>
    <t>CAP-GLY domain containing linker protein 1a [Source:ZFIN;Acc:ZDB-GENE-060526-282]</t>
  </si>
  <si>
    <t>ENSDARG00000020448</t>
  </si>
  <si>
    <t>adi1</t>
  </si>
  <si>
    <t>acireductone dioxygenase 1 [Source:ZFIN;Acc:ZDB-GENE-030131-2799]</t>
  </si>
  <si>
    <t>ENSDARG00000013711</t>
  </si>
  <si>
    <t>PLIN5</t>
  </si>
  <si>
    <t>ENSDARG00000011673</t>
  </si>
  <si>
    <t>si:ch211-246m6.5</t>
  </si>
  <si>
    <t>si:ch211-246m6.5 [Source:ZFIN;Acc:ZDB-GENE-050208-577]</t>
  </si>
  <si>
    <t>ENSDARG00000030107</t>
  </si>
  <si>
    <t>SYNE2</t>
  </si>
  <si>
    <t>si:ch211-207i1.2 [Source:ZFIN;Acc:ZDB-GENE-041014-149]</t>
  </si>
  <si>
    <t>ENSDARG00000017728</t>
  </si>
  <si>
    <t>phb2b</t>
  </si>
  <si>
    <t>prohibitin 2b [Source:ZFIN;Acc:ZDB-GENE-040718-430]</t>
  </si>
  <si>
    <t>ENSDARG00000087556</t>
  </si>
  <si>
    <t>pacrg</t>
  </si>
  <si>
    <t>PARK2 co-regulated [Source:ZFIN;Acc:ZDB-GENE-041114-100]</t>
  </si>
  <si>
    <t>ENSDARG00000100564</t>
  </si>
  <si>
    <t>SIL1</t>
  </si>
  <si>
    <t>si:ch211-195b11.7 [Source:ZFIN;Acc:ZDB-GENE-160113-49]</t>
  </si>
  <si>
    <t>ENSDARG00000105458</t>
  </si>
  <si>
    <t>AKAP14</t>
  </si>
  <si>
    <t>si:dkeyp-81f3.4 [Source:ZFIN;Acc:ZDB-GENE-160113-129]</t>
  </si>
  <si>
    <t>ENSDARG00000075831</t>
  </si>
  <si>
    <t>slc7a8a</t>
  </si>
  <si>
    <t>solute carrier family 7 (amino acid transporter light chain, L system), member 8a [Source:ZFIN;Acc:ZDB-GENE-121120-2]</t>
  </si>
  <si>
    <t>ENSDARG00000102491</t>
  </si>
  <si>
    <t>gpr142</t>
  </si>
  <si>
    <t>G protein-coupled receptor 142 [Source:ZFIN;Acc:ZDB-GENE-130603-30]</t>
  </si>
  <si>
    <t>ENSDARG00000087226</t>
  </si>
  <si>
    <t>kbtbd2</t>
  </si>
  <si>
    <t>kelch repeat and BTB (POZ) domain containing 2 [Source:ZFIN;Acc:ZDB-GENE-060929-1262]</t>
  </si>
  <si>
    <t>ENSDARG00000097264</t>
  </si>
  <si>
    <t>si:ch211-40k21.5</t>
  </si>
  <si>
    <t>si:ch211-40k21.5 [Source:ZFIN;Acc:ZDB-GENE-131121-368]</t>
  </si>
  <si>
    <t>ENSDARG00000078745</t>
  </si>
  <si>
    <t>pnpla8</t>
  </si>
  <si>
    <t>patatin-like phospholipase domain containing 8 [Source:ZFIN;Acc:ZDB-GENE-070705-553]</t>
  </si>
  <si>
    <t>ENSDARG00000060775</t>
  </si>
  <si>
    <t>arl10</t>
  </si>
  <si>
    <t>ADP-ribosylation factor-like 10 [Source:ZFIN;Acc:ZDB-GENE-091204-51]</t>
  </si>
  <si>
    <t>ENSDARG00000063535</t>
  </si>
  <si>
    <t>chd4a</t>
  </si>
  <si>
    <t>chromodomain helicase DNA binding protein 4a [Source:ZFIN;Acc:ZDB-GENE-041111-187]</t>
  </si>
  <si>
    <t>ENSDARG00000043443</t>
  </si>
  <si>
    <t>kcnj13</t>
  </si>
  <si>
    <t>potassium inwardly-rectifying channel, subfamily J, member 13 [Source:ZFIN;Acc:ZDB-GENE-070129-1]</t>
  </si>
  <si>
    <t>ENSDARG00000071560</t>
  </si>
  <si>
    <t>dlx4b</t>
  </si>
  <si>
    <t>distal-less homeobox 4b [Source:ZFIN;Acc:ZDB-GENE-990415-50]</t>
  </si>
  <si>
    <t>ENSDARG00000094471</t>
  </si>
  <si>
    <t>si:dkey-231k6.4</t>
  </si>
  <si>
    <t>si:dkey-231k6.4 [Source:ZFIN;Acc:ZDB-GENE-081104-381]</t>
  </si>
  <si>
    <t>ENSDARG00000054778</t>
  </si>
  <si>
    <t>pogza</t>
  </si>
  <si>
    <t>pogo transposable element with ZNF domain a [Source:ZFIN;Acc:ZDB-GENE-040914-76]</t>
  </si>
  <si>
    <t>ENSDARG00000056396</t>
  </si>
  <si>
    <t>dusp22a</t>
  </si>
  <si>
    <t>dual specificity phosphatase 22a [Source:ZFIN;Acc:ZDB-GENE-040718-219]</t>
  </si>
  <si>
    <t>ENSDARG00000008239</t>
  </si>
  <si>
    <t>mocs3</t>
  </si>
  <si>
    <t>molybdenum cofactor synthesis 3 [Source:ZFIN;Acc:ZDB-GENE-040426-782]</t>
  </si>
  <si>
    <t>ENSDARG00000034270</t>
  </si>
  <si>
    <t>ogdha</t>
  </si>
  <si>
    <t>oxoglutarate (alpha-ketoglutarate) dehydrogenase a (lipoamide) [Source:ZFIN;Acc:ZDB-GENE-030131-2143]</t>
  </si>
  <si>
    <t>ENSDARG00000032049</t>
  </si>
  <si>
    <t>enah</t>
  </si>
  <si>
    <t>enabled homolog (Drosophila) [Source:ZFIN;Acc:ZDB-GENE-010323-11]</t>
  </si>
  <si>
    <t>ENSDARG00000018281</t>
  </si>
  <si>
    <t>cfap161</t>
  </si>
  <si>
    <t>cilia and flagella associated protein 161 [Source:ZFIN;Acc:ZDB-GENE-050417-296]</t>
  </si>
  <si>
    <t>ENSDARG00000097532</t>
  </si>
  <si>
    <t>si:ch73-93k15.5</t>
  </si>
  <si>
    <t>si:ch73-93k15.5 [Source:ZFIN;Acc:ZDB-GENE-131121-427]</t>
  </si>
  <si>
    <t>ENSDARG00000061602</t>
  </si>
  <si>
    <t>ssx2ipb</t>
  </si>
  <si>
    <t>synovial sarcoma, X breakpoint 2 interacting protein b [Source:ZFIN;Acc:ZDB-GENE-050208-601]</t>
  </si>
  <si>
    <t>ENSDARG00000031494</t>
  </si>
  <si>
    <t>prrc2a</t>
  </si>
  <si>
    <t>proline-rich coiled-coil 2A [Source:ZFIN;Acc:ZDB-GENE-010501-4]</t>
  </si>
  <si>
    <t>ENSDARG00000076041</t>
  </si>
  <si>
    <t>wwc1</t>
  </si>
  <si>
    <t>WW and C2 domain containing 1 [Source:ZFIN;Acc:ZDB-GENE-091118-8]</t>
  </si>
  <si>
    <t>ENSDARG00000027825</t>
  </si>
  <si>
    <t>naa50</t>
  </si>
  <si>
    <t>N(alpha)-acetyltransferase 50, NatE catalytic subunit [Source:ZFIN;Acc:ZDB-GENE-040801-142]</t>
  </si>
  <si>
    <t>ENSDARG00000036868</t>
  </si>
  <si>
    <t>tbpl1</t>
  </si>
  <si>
    <t>TBP-like 1 [Source:ZFIN;Acc:ZDB-GENE-040520-2]</t>
  </si>
  <si>
    <t>ENSDARG00000079502</t>
  </si>
  <si>
    <t>gal3st2</t>
  </si>
  <si>
    <t>galactose-3-O-sulfotransferase 2 [Source:ZFIN;Acc:ZDB-GENE-131127-533]</t>
  </si>
  <si>
    <t>ENSDARG00000098140</t>
  </si>
  <si>
    <t>ankrd13d</t>
  </si>
  <si>
    <t>ankyrin repeat domain 13 family, member D [Source:ZFIN;Acc:ZDB-GENE-101007-3]</t>
  </si>
  <si>
    <t>ENSDARG00000070698</t>
  </si>
  <si>
    <t>kbtbd8</t>
  </si>
  <si>
    <t>kelch repeat and BTB (POZ) domain containing 8 [Source:ZFIN;Acc:ZDB-GENE-030114-8]</t>
  </si>
  <si>
    <t>ENSDARG00000075297</t>
  </si>
  <si>
    <t>trnt1</t>
  </si>
  <si>
    <t>tRNA nucleotidyl transferase, CCA-adding, 1 [Source:ZFIN;Acc:ZDB-GENE-040625-176]</t>
  </si>
  <si>
    <t>ENSDARG00000042751</t>
  </si>
  <si>
    <t>riok3</t>
  </si>
  <si>
    <t>RIO kinase 3 (yeast) [Source:ZFIN;Acc:ZDB-GENE-040801-133]</t>
  </si>
  <si>
    <t>ENSDARG00000057939</t>
  </si>
  <si>
    <t>ythdf3</t>
  </si>
  <si>
    <t>YTH N(6)-methyladenosine RNA binding protein 3 [Source:ZFIN;Acc:ZDB-GENE-030131-6123]</t>
  </si>
  <si>
    <t>ENSDARG00000027851</t>
  </si>
  <si>
    <t>ccdc191</t>
  </si>
  <si>
    <t>coiled-coil domain containing 191 [Source:ZFIN;Acc:ZDB-GENE-050102-4]</t>
  </si>
  <si>
    <t>ENSDARG00000013528</t>
  </si>
  <si>
    <t>mcm9</t>
  </si>
  <si>
    <t>minichromosome maintenance 9 homologous recombination repair factor [Source:ZFIN;Acc:ZDB-GENE-041014-310]</t>
  </si>
  <si>
    <t>ENSDARG00000093333</t>
  </si>
  <si>
    <t>si:dkey-38n4.2</t>
  </si>
  <si>
    <t>si:dkey-38n4.2 [Source:ZFIN;Acc:ZDB-GENE-071005-3]</t>
  </si>
  <si>
    <t>ENSDARG00000005350</t>
  </si>
  <si>
    <t>dip2ba</t>
  </si>
  <si>
    <t>disco-interacting protein 2 homolog Ba [Source:ZFIN;Acc:ZDB-GENE-040426-2305]</t>
  </si>
  <si>
    <t>ENSDARG00000004311</t>
  </si>
  <si>
    <t>ldlrap1a</t>
  </si>
  <si>
    <t>low density lipoprotein receptor adaptor protein 1a [Source:ZFIN;Acc:ZDB-GENE-030328-13]</t>
  </si>
  <si>
    <t>ENSDARG00000058940</t>
  </si>
  <si>
    <t>si:ch211-248e11.2</t>
  </si>
  <si>
    <t>si:ch211-248e11.2 [Source:ZFIN;Acc:ZDB-GENE-081104-197]</t>
  </si>
  <si>
    <t>ENSDARG00000001976</t>
  </si>
  <si>
    <t>fkbp16</t>
  </si>
  <si>
    <t>FK506 binding protein 16 [Source:ZFIN;Acc:ZDB-GENE-050208-116]</t>
  </si>
  <si>
    <t>ENSDARG00000024964</t>
  </si>
  <si>
    <t>inadl</t>
  </si>
  <si>
    <t>InaD-like (Drosophila) [Source:ZFIN;Acc:ZDB-GENE-030616-129]</t>
  </si>
  <si>
    <t>ENSDARG00000069844</t>
  </si>
  <si>
    <t>irg1</t>
  </si>
  <si>
    <t>immunoresponsive 1 homolog (mouse) [Source:ZFIN;Acc:ZDB-GENE-081104-428]</t>
  </si>
  <si>
    <t>ENSDARG00000074356</t>
  </si>
  <si>
    <t>fxn</t>
  </si>
  <si>
    <t>frataxin [Source:ZFIN;Acc:ZDB-GENE-070209-286]</t>
  </si>
  <si>
    <t>ENSDARG00000053961</t>
  </si>
  <si>
    <t>slc2a11a</t>
  </si>
  <si>
    <t>solute carrier family 2 (facilitated glucose transporter), member 11a [Source:ZFIN;Acc:ZDB-GENE-080723-20]</t>
  </si>
  <si>
    <t>ENSDARG00000079015</t>
  </si>
  <si>
    <t>brca2</t>
  </si>
  <si>
    <t>breast cancer 2, early onset [Source:ZFIN;Acc:ZDB-GENE-060510-3]</t>
  </si>
  <si>
    <t>ENSDARG00000062103</t>
  </si>
  <si>
    <t>ankrd24</t>
  </si>
  <si>
    <t>ankyrin repeat domain 24 [Source:ZFIN;Acc:ZDB-GENE-050208-747]</t>
  </si>
  <si>
    <t>ENSDARG00000069846</t>
  </si>
  <si>
    <t>zgc:162944</t>
  </si>
  <si>
    <t>zgc:162944 [Source:ZFIN;Acc:ZDB-GENE-070424-75]</t>
  </si>
  <si>
    <t>ENSDARG00000004167</t>
  </si>
  <si>
    <t>zgc:110366</t>
  </si>
  <si>
    <t>zgc:110366 [Source:ZFIN;Acc:ZDB-GENE-050417-302]</t>
  </si>
  <si>
    <t>ENSDARG00000010070</t>
  </si>
  <si>
    <t>adam9</t>
  </si>
  <si>
    <t>ADAM metallopeptidase domain 9 [Source:ZFIN;Acc:ZDB-GENE-040912-127]</t>
  </si>
  <si>
    <t>ENSDARG00000025808</t>
  </si>
  <si>
    <t>taf5l</t>
  </si>
  <si>
    <t>TAF5-like RNA polymerase II, p300/CBP-associated factor (PCAF)-associated factor [Source:ZFIN;Acc:ZDB-GENE-030131-5987]</t>
  </si>
  <si>
    <t>ENSDARG00000056835</t>
  </si>
  <si>
    <t>laynb</t>
  </si>
  <si>
    <t>layilin b [Source:ZFIN;Acc:ZDB-GENE-071012-6]</t>
  </si>
  <si>
    <t>ENSDARG00000023443</t>
  </si>
  <si>
    <t>tjp2b</t>
  </si>
  <si>
    <t>tight junction protein 2b (zona occludens 2) [Source:ZFIN;Acc:ZDB-GENE-040718-58]</t>
  </si>
  <si>
    <t>ENSDARG00000019962</t>
  </si>
  <si>
    <t>dopey1</t>
  </si>
  <si>
    <t>dopey family member 1 [Source:ZFIN;Acc:ZDB-GENE-050309-65]</t>
  </si>
  <si>
    <t>ENSDARG00000077431</t>
  </si>
  <si>
    <t>usf3</t>
  </si>
  <si>
    <t>upstream transcription factor family member 3 [Source:ZFIN;Acc:ZDB-GENE-111109-1]</t>
  </si>
  <si>
    <t>ENSDARG00000070403</t>
  </si>
  <si>
    <t>wdyhv1</t>
  </si>
  <si>
    <t>WDYHV motif containing 1 [Source:ZFIN;Acc:ZDB-GENE-060503-848]</t>
  </si>
  <si>
    <t>ENSDARG00000074085</t>
  </si>
  <si>
    <t>si:ch1073-188e1.1</t>
  </si>
  <si>
    <t>si:ch1073-188e1.1 [Source:ZFIN;Acc:ZDB-GENE-070705-5]</t>
  </si>
  <si>
    <t>ENSDARG00000011262</t>
  </si>
  <si>
    <t>traip</t>
  </si>
  <si>
    <t>TRAF-interacting protein [Source:ZFIN;Acc:ZDB-GENE-040801-30]</t>
  </si>
  <si>
    <t>ENSDARG00000021309</t>
  </si>
  <si>
    <t>rhoca</t>
  </si>
  <si>
    <t>ras homolog family member Ca [Source:ZFIN;Acc:ZDB-GENE-040426-1337]</t>
  </si>
  <si>
    <t>ENSDARG00000076238</t>
  </si>
  <si>
    <t>GRAMD1C</t>
  </si>
  <si>
    <t>si:ch73-93k15.2 [Source:ZFIN;Acc:ZDB-GENE-030131-4925]</t>
  </si>
  <si>
    <t>ENSDARG00000017235</t>
  </si>
  <si>
    <t>eif5a</t>
  </si>
  <si>
    <t>eukaryotic translation initiation factor 5A [Source:ZFIN;Acc:ZDB-GENE-040426-2229]</t>
  </si>
  <si>
    <t>ENSDARG00000062315</t>
  </si>
  <si>
    <t>sik2b</t>
  </si>
  <si>
    <t>salt-inducible kinase 2b [Source:ZFIN;Acc:ZDB-GENE-071012-1]</t>
  </si>
  <si>
    <t>ENSDARG00000062216</t>
  </si>
  <si>
    <t>narfl</t>
  </si>
  <si>
    <t>nuclear prelamin A recognition factor-like [Source:ZFIN;Acc:ZDB-GENE-070209-119]</t>
  </si>
  <si>
    <t>ENSDARG00000098836</t>
  </si>
  <si>
    <t>myocd</t>
  </si>
  <si>
    <t>myocardin [Source:ZFIN;Acc:ZDB-GENE-121214-328]</t>
  </si>
  <si>
    <t>ENSDARG00000020777</t>
  </si>
  <si>
    <t>cep85l</t>
  </si>
  <si>
    <t>centrosomal protein 85, like [Source:ZFIN;Acc:ZDB-GENE-041014-309]</t>
  </si>
  <si>
    <t>ENSDARG00000041811</t>
  </si>
  <si>
    <t>rps25</t>
  </si>
  <si>
    <t>ribosomal protein S25 [Source:ZFIN;Acc:ZDB-GENE-040426-1788]</t>
  </si>
  <si>
    <t>ENSDARG00000035679</t>
  </si>
  <si>
    <t>si:rp71-45k5.4</t>
  </si>
  <si>
    <t>si:rp71-45k5.4 [Source:ZFIN;Acc:ZDB-GENE-060503-941]</t>
  </si>
  <si>
    <t>ENSDARG00000037517</t>
  </si>
  <si>
    <t>slc35c2</t>
  </si>
  <si>
    <t>solute carrier family 35 (GDP-fucose transporter), member C2 [Source:ZFIN;Acc:ZDB-GENE-030131-2202]</t>
  </si>
  <si>
    <t>ENSDARG00000037060</t>
  </si>
  <si>
    <t>kmt2d</t>
  </si>
  <si>
    <t>lysine (K)-specific methyltransferase 2D [Source:ZFIN;Acc:ZDB-GENE-060223-2]</t>
  </si>
  <si>
    <t>ENSDARG00000102717</t>
  </si>
  <si>
    <t>TMEM42</t>
  </si>
  <si>
    <t>si:dkey-99n20.7 [Source:ZFIN;Acc:ZDB-GENE-141212-402]</t>
  </si>
  <si>
    <t>ENSDARG00000069099</t>
  </si>
  <si>
    <t>tmco1</t>
  </si>
  <si>
    <t>transmembrane and coiled-coil domains 1 [Source:ZFIN;Acc:ZDB-GENE-050417-344]</t>
  </si>
  <si>
    <t>ENSDARG00000076318</t>
  </si>
  <si>
    <t>atp6v1ab</t>
  </si>
  <si>
    <t>ATPase, H+ transporting, lysosomal, V1 subunit Ab [Source:ZFIN;Acc:ZDB-GENE-030131-9529]</t>
  </si>
  <si>
    <t>ENSDARG00000030945</t>
  </si>
  <si>
    <t>si:ch211-259g3.4</t>
  </si>
  <si>
    <t>si:ch211-259g3.4 [Source:ZFIN;Acc:ZDB-GENE-030131-8118]</t>
  </si>
  <si>
    <t>ENSDARG00000003429</t>
  </si>
  <si>
    <t>hnrpdl</t>
  </si>
  <si>
    <t>heterogeneous nuclear ribonucleoprotein D-like [Source:ZFIN;Acc:ZDB-GENE-040426-2717]</t>
  </si>
  <si>
    <t>ENSDARG00000096602</t>
  </si>
  <si>
    <t>si:ch1073-357b18.4</t>
  </si>
  <si>
    <t>si:ch1073-357b18.4 [Source:ZFIN;Acc:ZDB-GENE-121214-213]</t>
  </si>
  <si>
    <t>ENSDARG00000043854</t>
  </si>
  <si>
    <t>ppil4</t>
  </si>
  <si>
    <t>peptidylprolyl isomerase (cyclophilin)-like 4 [Source:ZFIN;Acc:ZDB-GENE-030131-6251]</t>
  </si>
  <si>
    <t>ENSDARG00000030765</t>
  </si>
  <si>
    <t>hadh</t>
  </si>
  <si>
    <t>hydroxyacyl-CoA dehydrogenase [Source:ZFIN;Acc:ZDB-GENE-040801-261]</t>
  </si>
  <si>
    <t>ENSDARG00000078113</t>
  </si>
  <si>
    <t>atp5ia</t>
  </si>
  <si>
    <t>ATP synthase, H+ transporting, mitochondrial Fo complex, subunit Ea [Source:ZFIN;Acc:ZDB-GENE-070928-12]</t>
  </si>
  <si>
    <t>ENSDARG00000093412</t>
  </si>
  <si>
    <t>sertad2a</t>
  </si>
  <si>
    <t>SERTA domain containing 2a [Source:ZFIN;Acc:ZDB-GENE-050309-236]</t>
  </si>
  <si>
    <t>ENSDARG00000043554</t>
  </si>
  <si>
    <t>mrpl40</t>
  </si>
  <si>
    <t>mitochondrial ribosomal protein L40 [Source:ZFIN;Acc:ZDB-GENE-040912-37]</t>
  </si>
  <si>
    <t>ENSDARG00000055679</t>
  </si>
  <si>
    <t>mto1</t>
  </si>
  <si>
    <t>mitochondrial tRNA translation optimization 1 [Source:ZFIN;Acc:ZDB-GENE-070209-253]</t>
  </si>
  <si>
    <t>ENSDARG00000078835</t>
  </si>
  <si>
    <t>ict1</t>
  </si>
  <si>
    <t>immature colon carcinoma transcript 1 [Source:ZFIN;Acc:ZDB-GENE-121214-202]</t>
  </si>
  <si>
    <t>ENSDARG00000002385</t>
  </si>
  <si>
    <t>atm</t>
  </si>
  <si>
    <t>ATM serine/threonine kinase [Source:ZFIN;Acc:ZDB-GENE-040809-1]</t>
  </si>
  <si>
    <t>ENSDARG00000079329</t>
  </si>
  <si>
    <t>rfwd2</t>
  </si>
  <si>
    <t>ring finger and WD repeat domain 2 [Source:ZFIN;Acc:ZDB-GENE-070410-134]</t>
  </si>
  <si>
    <t>ENSDARG00000058753</t>
  </si>
  <si>
    <t>si:ch73-213k20.5</t>
  </si>
  <si>
    <t>si:ch73-213k20.5 [Source:ZFIN;Acc:ZDB-GENE-120727-11]</t>
  </si>
  <si>
    <t>ENSDARG00000103484</t>
  </si>
  <si>
    <t>si:ch211-215k15.5</t>
  </si>
  <si>
    <t>si:ch211-215k15.5 [Source:ZFIN;Acc:ZDB-GENE-041111-115]</t>
  </si>
  <si>
    <t>ENSDARG00000056840</t>
  </si>
  <si>
    <t>otud5b</t>
  </si>
  <si>
    <t>OTU deubiquitinase 5b [Source:ZFIN;Acc:ZDB-GENE-040801-50]</t>
  </si>
  <si>
    <t>ENSDARG00000036212</t>
  </si>
  <si>
    <t>tbc1d5</t>
  </si>
  <si>
    <t>TBC1 domain family, member 5 [Source:ZFIN;Acc:ZDB-GENE-040426-1197]</t>
  </si>
  <si>
    <t>ENSDARG00000030583</t>
  </si>
  <si>
    <t>foxk2</t>
  </si>
  <si>
    <t>forkhead box K2 [Source:ZFIN;Acc:ZDB-GENE-030131-2861]</t>
  </si>
  <si>
    <t>ENSDARG00000060029</t>
  </si>
  <si>
    <t>fam160b2</t>
  </si>
  <si>
    <t>family with sequence similarity 160, member B2 [Source:ZFIN;Acc:ZDB-GENE-061110-76]</t>
  </si>
  <si>
    <t>ENSDARG00000040565</t>
  </si>
  <si>
    <t>ckmb</t>
  </si>
  <si>
    <t>creatine kinase, muscle b [Source:ZFIN;Acc:ZDB-GENE-040426-2128]</t>
  </si>
  <si>
    <t>ENSDARG00000061048</t>
  </si>
  <si>
    <t>ranbp9</t>
  </si>
  <si>
    <t>RAN binding protein 9 [Source:ZFIN;Acc:ZDB-GENE-021030-5]</t>
  </si>
  <si>
    <t>ENSDARG00000025338</t>
  </si>
  <si>
    <t>hagh</t>
  </si>
  <si>
    <t>hydroxyacylglutathione hydrolase [Source:ZFIN;Acc:ZDB-GENE-030131-8921]</t>
  </si>
  <si>
    <t>ENSDARG00000061314</t>
  </si>
  <si>
    <t>ngrn</t>
  </si>
  <si>
    <t>neugrin, neurite outgrowth associated [Source:ZFIN;Acc:ZDB-GENE-060503-19]</t>
  </si>
  <si>
    <t>ENSDARG00000043856</t>
  </si>
  <si>
    <t>amd1</t>
  </si>
  <si>
    <t>adenosylmethionine decarboxylase 1 [Source:ZFIN;Acc:ZDB-GENE-040426-760]</t>
  </si>
  <si>
    <t>ENSDARG00000003899</t>
  </si>
  <si>
    <t>zdhhc23b</t>
  </si>
  <si>
    <t>zinc finger, DHHC-type containing 23b [Source:ZFIN;Acc:ZDB-GENE-040808-13]</t>
  </si>
  <si>
    <t>ENSDARG00000094112</t>
  </si>
  <si>
    <t>slc22a21</t>
  </si>
  <si>
    <t>solute carrier family 22 (organic cation transporter), member 21 [Source:ZFIN;Acc:ZDB-GENE-091118-62]</t>
  </si>
  <si>
    <t>ENSDARG00000055538</t>
  </si>
  <si>
    <t>avl9</t>
  </si>
  <si>
    <t>AVL9 homolog (S. cerevisiase) [Source:ZFIN;Acc:ZDB-GENE-060825-261]</t>
  </si>
  <si>
    <t>ENSDARG00000054696</t>
  </si>
  <si>
    <t>psmb4</t>
  </si>
  <si>
    <t>proteasome subunit beta 4 [Source:ZFIN;Acc:ZDB-GENE-050417-333]</t>
  </si>
  <si>
    <t>ENSDARG00000018121</t>
  </si>
  <si>
    <t>cenpj</t>
  </si>
  <si>
    <t>centromere protein J [Source:ZFIN;Acc:ZDB-GENE-030131-6323]</t>
  </si>
  <si>
    <t>ENSDARG00000037259</t>
  </si>
  <si>
    <t>ndufb6</t>
  </si>
  <si>
    <t>NADH dehydrogenase (ubiquinone) 1 beta subcomplex, 6 [Source:ZFIN;Acc:ZDB-GENE-040426-1781]</t>
  </si>
  <si>
    <t>ENSDARG00000007786</t>
  </si>
  <si>
    <t>tmx2b</t>
  </si>
  <si>
    <t>thioredoxin-related transmembrane protein 2b [Source:ZFIN;Acc:ZDB-GENE-040625-105]</t>
  </si>
  <si>
    <t>ENSDARG00000075111</t>
  </si>
  <si>
    <t>als2a</t>
  </si>
  <si>
    <t>amyotrophic lateral sclerosis 2a (juvenile) [Source:ZFIN;Acc:ZDB-GENE-070402-2]</t>
  </si>
  <si>
    <t>ENSDARG00000016085</t>
  </si>
  <si>
    <t>mbnl3</t>
  </si>
  <si>
    <t>muscleblind-like splicing regulator 3 [Source:ZFIN;Acc:ZDB-GENE-081002-3]</t>
  </si>
  <si>
    <t>ENSDARG00000014171</t>
  </si>
  <si>
    <t>bloc1s1</t>
  </si>
  <si>
    <t>biogenesis of lysosomal organelles complex-1, subunit 1 [Source:ZFIN;Acc:ZDB-GENE-050208-569]</t>
  </si>
  <si>
    <t>ENSDARG00000056427</t>
  </si>
  <si>
    <t>auts2a</t>
  </si>
  <si>
    <t>autism susceptibility candidate 2a [Source:ZFIN;Acc:ZDB-GENE-030616-571]</t>
  </si>
  <si>
    <t>ENSDARG00000037057</t>
  </si>
  <si>
    <t>gcdha</t>
  </si>
  <si>
    <t>glutaryl-CoA dehydrogenase a [Source:ZFIN;Acc:ZDB-GENE-040426-1855]</t>
  </si>
  <si>
    <t>ENSDARG00000100261</t>
  </si>
  <si>
    <t>MAP10</t>
  </si>
  <si>
    <t>si:ch1073-266p11.2 [Source:ZFIN;Acc:ZDB-GENE-141216-287]</t>
  </si>
  <si>
    <t>ENSDARG00000029308</t>
  </si>
  <si>
    <t>prr15lb</t>
  </si>
  <si>
    <t>proline rich 15-like b [Source:ZFIN;Acc:ZDB-GENE-050417-201]</t>
  </si>
  <si>
    <t>ENSDARG00000037283</t>
  </si>
  <si>
    <t>plrg1</t>
  </si>
  <si>
    <t>pleiotropic regulator 1 [Source:ZFIN;Acc:ZDB-GENE-040426-2787]</t>
  </si>
  <si>
    <t>ENSDARG00000077044</t>
  </si>
  <si>
    <t>arl6ip5a</t>
  </si>
  <si>
    <t>ADP-ribosylation factor-like 6 interacting protein 5a [Source:ZFIN;Acc:ZDB-GENE-031113-22]</t>
  </si>
  <si>
    <t>ENSDARG00000034718</t>
  </si>
  <si>
    <t>tfpia</t>
  </si>
  <si>
    <t>tissue factor pathway inhibitor a [Source:ZFIN;Acc:ZDB-GENE-030711-1]</t>
  </si>
  <si>
    <t>ENSDARG00000021557</t>
  </si>
  <si>
    <t>wdr45b</t>
  </si>
  <si>
    <t>WD repeat domain 45B [Source:ZFIN;Acc:ZDB-GENE-040426-863]</t>
  </si>
  <si>
    <t>ENSDARG00000003616</t>
  </si>
  <si>
    <t>arih1</t>
  </si>
  <si>
    <t>ariadne ubiquitin-conjugating enzyme E2 binding protein homolog 1 (Drosophila) [Source:ZFIN;Acc:ZDB-GENE-030131-5213]</t>
  </si>
  <si>
    <t>ENSDARG00000035678</t>
  </si>
  <si>
    <t>zgc:91910</t>
  </si>
  <si>
    <t>zgc:91910 [Source:ZFIN;Acc:ZDB-GENE-040808-48]</t>
  </si>
  <si>
    <t>ENSDARG00000029615</t>
  </si>
  <si>
    <t>zgc:77056</t>
  </si>
  <si>
    <t>zgc:77056 [Source:ZFIN;Acc:ZDB-GENE-030131-5248]</t>
  </si>
  <si>
    <t>ENSDARG00000056078</t>
  </si>
  <si>
    <t>rftn2</t>
  </si>
  <si>
    <t>raftlin family member 2 [Source:ZFIN;Acc:ZDB-GENE-040426-2760]</t>
  </si>
  <si>
    <t>ENSDARG00000090526</t>
  </si>
  <si>
    <t>PLEKHS1</t>
  </si>
  <si>
    <t>PLEKHS1.1</t>
  </si>
  <si>
    <t>zgc:158404 [Source:ZFIN;Acc:ZDB-GENE-070112-592]</t>
  </si>
  <si>
    <t>ENSDARG00000042851</t>
  </si>
  <si>
    <t>srp9</t>
  </si>
  <si>
    <t>signal recognition particle 9 [Source:ZFIN;Acc:ZDB-GENE-040426-1106]</t>
  </si>
  <si>
    <t>ENSDARG00000060362</t>
  </si>
  <si>
    <t>nadkb</t>
  </si>
  <si>
    <t>NAD kinase b [Source:ZFIN;Acc:ZDB-GENE-061103-433]</t>
  </si>
  <si>
    <t>ENSDARG00000009178</t>
  </si>
  <si>
    <t>zfand1</t>
  </si>
  <si>
    <t>zinc finger, AN1-type domain 1 [Source:ZFIN;Acc:ZDB-GENE-040801-269]</t>
  </si>
  <si>
    <t>ENSDARG00000092398</t>
  </si>
  <si>
    <t>si:ch211-112l17.3</t>
  </si>
  <si>
    <t>si:ch211-112l17.3 [Source:ZFIN;Acc:ZDB-GENE-060526-10]</t>
  </si>
  <si>
    <t>ENSDARG00000076171</t>
  </si>
  <si>
    <t>znf827</t>
  </si>
  <si>
    <t>zinc finger protein 827 [Source:ZFIN;Acc:ZDB-GENE-080728-3]</t>
  </si>
  <si>
    <t>ENSDARG00000056407</t>
  </si>
  <si>
    <t>irf8</t>
  </si>
  <si>
    <t>interferon regulatory factor 8 [Source:ZFIN;Acc:ZDB-GENE-040718-367]</t>
  </si>
  <si>
    <t>ENSDARG00000041576</t>
  </si>
  <si>
    <t>nudt18</t>
  </si>
  <si>
    <t>nudix (nucleoside diphosphate linked moiety X)-type motif 18 [Source:ZFIN;Acc:ZDB-GENE-050417-388]</t>
  </si>
  <si>
    <t>ENSDARG00000030038</t>
  </si>
  <si>
    <t>grcc10</t>
  </si>
  <si>
    <t>gene rich cluster, C10 gene [Source:ZFIN;Acc:ZDB-GENE-030131-2279]</t>
  </si>
  <si>
    <t>ENSDARG00000004318</t>
  </si>
  <si>
    <t>cbwd</t>
  </si>
  <si>
    <t>COBW domain containing [Source:ZFIN;Acc:ZDB-GENE-040426-2388]</t>
  </si>
  <si>
    <t>ENSDARG00000094666</t>
  </si>
  <si>
    <t>si:ch73-223d24.4</t>
  </si>
  <si>
    <t>si:ch73-223d24.4 [Source:ZFIN;Acc:ZDB-GENE-081104-261]</t>
  </si>
  <si>
    <t>ENSDARG00000061560</t>
  </si>
  <si>
    <t>stim1b</t>
  </si>
  <si>
    <t>stromal interaction molecule 1b [Source:ZFIN;Acc:ZDB-GENE-060531-4]</t>
  </si>
  <si>
    <t>ENSDARG00000021048</t>
  </si>
  <si>
    <t>clptm1l</t>
  </si>
  <si>
    <t>CLPTM1-like [Source:ZFIN;Acc:ZDB-GENE-040718-75]</t>
  </si>
  <si>
    <t>ENSDARG00000061508</t>
  </si>
  <si>
    <t>tgfbrap1</t>
  </si>
  <si>
    <t>transforming growth factor, beta receptor associated protein 1 [Source:ZFIN;Acc:ZDB-GENE-070410-66]</t>
  </si>
  <si>
    <t>ENSDARG00000031770</t>
  </si>
  <si>
    <t>kat7b</t>
  </si>
  <si>
    <t>K(lysine) acetyltransferase 7b [Source:ZFIN;Acc:ZDB-GENE-030131-1901]</t>
  </si>
  <si>
    <t>ENSDARG00000040110</t>
  </si>
  <si>
    <t>kif20bb</t>
  </si>
  <si>
    <t>kinesin family member 20Bb [Source:ZFIN;Acc:ZDB-GENE-030131-9684]</t>
  </si>
  <si>
    <t>ENSDARG00000069527</t>
  </si>
  <si>
    <t>ube2g1b</t>
  </si>
  <si>
    <t>ubiquitin-conjugating enzyme E2G 1b (UBC7 homolog, yeast) [Source:ZFIN;Acc:ZDB-GENE-040426-2939]</t>
  </si>
  <si>
    <t>ENSDARG00000076699</t>
  </si>
  <si>
    <t>ipmka</t>
  </si>
  <si>
    <t>inositol polyphosphate multikinase a [Source:ZFIN;Acc:ZDB-GENE-090312-161]</t>
  </si>
  <si>
    <t>ENSDARG00000028793</t>
  </si>
  <si>
    <t>nlk2</t>
  </si>
  <si>
    <t>nemo-like kinase, type 2 [Source:ZFIN;Acc:ZDB-GENE-080320-1]</t>
  </si>
  <si>
    <t>ENSDARG00000074390</t>
  </si>
  <si>
    <t>tmem176l.4</t>
  </si>
  <si>
    <t>transmembrane protein 176l.4 [Source:ZFIN;Acc:ZDB-GENE-030131-3532]</t>
  </si>
  <si>
    <t>ENSDARG00000042133</t>
  </si>
  <si>
    <t>si:dkey-51e6.1</t>
  </si>
  <si>
    <t>si:dkey-51e6.1 [Source:ZFIN;Acc:ZDB-GENE-041014-198]</t>
  </si>
  <si>
    <t>ENSDARG00000061419</t>
  </si>
  <si>
    <t>zmat4b</t>
  </si>
  <si>
    <t>zinc finger, matrin-type 4b [Source:ZFIN;Acc:ZDB-GENE-091118-68]</t>
  </si>
  <si>
    <t>ENSDARG00000034080</t>
  </si>
  <si>
    <t>plcd1b</t>
  </si>
  <si>
    <t>phospholipase C, delta 1b [Source:ZFIN;Acc:ZDB-GENE-030131-9435]</t>
  </si>
  <si>
    <t>ENSDARG00000074638</t>
  </si>
  <si>
    <t>loxhd1b</t>
  </si>
  <si>
    <t>lipoxygenase homology domains 1b [Source:ZFIN;Acc:ZDB-GENE-081104-370]</t>
  </si>
  <si>
    <t>ENSDARG00000102899</t>
  </si>
  <si>
    <t>cremb</t>
  </si>
  <si>
    <t>cAMP responsive element modulator b [Source:ZFIN;Acc:ZDB-GENE-050417-150]</t>
  </si>
  <si>
    <t>ENSDARG00000005989</t>
  </si>
  <si>
    <t>rgl1</t>
  </si>
  <si>
    <t>ral guanine nucleotide dissociation stimulator-like 1 [Source:ZFIN;Acc:ZDB-GENE-040426-1816]</t>
  </si>
  <si>
    <t>ENSDARG00000012790</t>
  </si>
  <si>
    <t>tmem161a</t>
  </si>
  <si>
    <t>transmembrane protein 161A [Source:ZFIN;Acc:ZDB-GENE-041111-267]</t>
  </si>
  <si>
    <t>ENSDARG00000045824</t>
  </si>
  <si>
    <t>zgc:101783</t>
  </si>
  <si>
    <t>zgc:101783 [Source:ZFIN;Acc:ZDB-GENE-040912-48]</t>
  </si>
  <si>
    <t>ENSDARG00000035434</t>
  </si>
  <si>
    <t>zmat5</t>
  </si>
  <si>
    <t>zinc finger, matrin-type 5 [Source:ZFIN;Acc:ZDB-GENE-040808-31]</t>
  </si>
  <si>
    <t>ENSDARG00000070416</t>
  </si>
  <si>
    <t>zgc:162816</t>
  </si>
  <si>
    <t>zgc:162816 [Source:ZFIN;Acc:ZDB-GENE-070410-94]</t>
  </si>
  <si>
    <t>ENSDARG00000071203</t>
  </si>
  <si>
    <t>sptssa</t>
  </si>
  <si>
    <t>serine palmitoyltransferase, small subunit A [Source:ZFIN;Acc:ZDB-GENE-050320-26]</t>
  </si>
  <si>
    <t>ENSDARG00000042688</t>
  </si>
  <si>
    <t>bora</t>
  </si>
  <si>
    <t>bora, aurora kinase A activator [Source:ZFIN;Acc:ZDB-GENE-041114-165]</t>
  </si>
  <si>
    <t>ENSDARG00000056029</t>
  </si>
  <si>
    <t>cyp26c1</t>
  </si>
  <si>
    <t>cyp26c1.1</t>
  </si>
  <si>
    <t>cytochrome P450, family 26, subfamily C, polypeptide 1 [Source:ZFIN;Acc:ZDB-GENE-050714-2]</t>
  </si>
  <si>
    <t>ENSDARG00000021975</t>
  </si>
  <si>
    <t>ginm1</t>
  </si>
  <si>
    <t>glycoprotein integral membrane 1 [Source:ZFIN;Acc:ZDB-GENE-030131-5900]</t>
  </si>
  <si>
    <t>ENSDARG00000017244</t>
  </si>
  <si>
    <t>chd6</t>
  </si>
  <si>
    <t>chromodomain helicase DNA binding protein 6 [Source:ZFIN;Acc:ZDB-GENE-130530-559]</t>
  </si>
  <si>
    <t>ENSDARG00000079119</t>
  </si>
  <si>
    <t>si:ch211-229d2.5</t>
  </si>
  <si>
    <t>si:ch211-229d2.5 [Source:ZFIN;Acc:ZDB-GENE-121214-200]</t>
  </si>
  <si>
    <t>ENSDARG00000103131</t>
  </si>
  <si>
    <t>VWA5A.1</t>
  </si>
  <si>
    <t>si:ch1073-340j19.1 [Source:ZFIN;Acc:ZDB-GENE-131125-50]</t>
  </si>
  <si>
    <t>ENSDARG00000098445</t>
  </si>
  <si>
    <t>ANKRD53</t>
  </si>
  <si>
    <t>si:ch211-1o7.2 [Source:ZFIN;Acc:ZDB-GENE-141222-28]</t>
  </si>
  <si>
    <t>ENSDARG00000101528</t>
  </si>
  <si>
    <t>si:ch211-194h1.2</t>
  </si>
  <si>
    <t>si:ch211-194h1.2 [Source:ZFIN;Acc:ZDB-GENE-110913-110]</t>
  </si>
  <si>
    <t>ENSDARG00000100919</t>
  </si>
  <si>
    <t>slc5a2</t>
  </si>
  <si>
    <t>solute carrier family 5 (sodium/glucose cotransporter), member 2 [Source:ZFIN;Acc:ZDB-GENE-040426-2498]</t>
  </si>
  <si>
    <t>ENSDARG00000099350</t>
  </si>
  <si>
    <t>si:ch211-283l16.1</t>
  </si>
  <si>
    <t>si:ch211-283l16.1 [Source:ZFIN;Acc:ZDB-GENE-110913-44]</t>
  </si>
  <si>
    <t>ENSDARG00000092020</t>
  </si>
  <si>
    <t>si:dkey-71b5.4</t>
  </si>
  <si>
    <t>si:dkey-71b5.4 [Source:ZFIN;Acc:ZDB-GENE-100922-221]</t>
  </si>
  <si>
    <t>ENSDARG00000093926</t>
  </si>
  <si>
    <t>si:dkey-71b5.2</t>
  </si>
  <si>
    <t>si:dkey-71b5.2 [Source:ZFIN;Acc:ZDB-GENE-100922-273]</t>
  </si>
  <si>
    <t>ENSDARG00000071467</t>
  </si>
  <si>
    <t>zbtb33</t>
  </si>
  <si>
    <t>zinc finger and BTB domain containing 33 [Source:ZFIN;Acc:ZDB-GENE-070412-3]</t>
  </si>
  <si>
    <t>ENSDARG00000043877</t>
  </si>
  <si>
    <t>mmachc</t>
  </si>
  <si>
    <t>methylmalonic aciduria (cobalamin deficiency) cblC type, with homocystinuria [Source:ZFIN;Acc:ZDB-GENE-030131-3167]</t>
  </si>
  <si>
    <t>ENSDARG00000020405</t>
  </si>
  <si>
    <t>napab</t>
  </si>
  <si>
    <t>N-ethylmaleimide-sensitive factor attachment protein, alpha b [Source:ZFIN;Acc:ZDB-GENE-030131-5290]</t>
  </si>
  <si>
    <t>ENSDARG00000019526</t>
  </si>
  <si>
    <t>agfg1b</t>
  </si>
  <si>
    <t>ArfGAP with FG repeats 1b [Source:ZFIN;Acc:ZDB-GENE-040426-1520]</t>
  </si>
  <si>
    <t>ENSDARG00000073911</t>
  </si>
  <si>
    <t>tmem255a</t>
  </si>
  <si>
    <t>transmembrane protein 255A [Source:ZFIN;Acc:ZDB-GENE-070412-2]</t>
  </si>
  <si>
    <t>ENSDARG00000025555</t>
  </si>
  <si>
    <t>ormdl3</t>
  </si>
  <si>
    <t>ORMDL sphingolipid biosynthesis regulator 3 [Source:ZFIN;Acc:ZDB-GENE-041010-190]</t>
  </si>
  <si>
    <t>ENSDARG00000052746</t>
  </si>
  <si>
    <t>grinab</t>
  </si>
  <si>
    <t>glutamate receptor, ionotropic, N-methyl D-aspartate-associated protein 1b (glutamate binding) [Source:ZFIN;Acc:ZDB-GENE-040426-1367]</t>
  </si>
  <si>
    <t>ENSDARG00000069298</t>
  </si>
  <si>
    <t>osbpl9</t>
  </si>
  <si>
    <t>oxysterol binding protein-like 9 [Source:ZFIN;Acc:ZDB-GENE-061110-103]</t>
  </si>
  <si>
    <t>ENSDARG00000021827</t>
  </si>
  <si>
    <t>katna1</t>
  </si>
  <si>
    <t>katanin p60 (ATPase containing) subunit A 1 [Source:ZFIN;Acc:ZDB-GENE-050522-514]</t>
  </si>
  <si>
    <t>ENSDARG00000093570</t>
  </si>
  <si>
    <t>si:dkey-25o1.7</t>
  </si>
  <si>
    <t>si:dkey-25o1.7 [Source:ZFIN;Acc:ZDB-GENE-091204-375]</t>
  </si>
  <si>
    <t>ENSDARG00000037238</t>
  </si>
  <si>
    <t>smad5</t>
  </si>
  <si>
    <t>SMAD family member 5 [Source:ZFIN;Acc:ZDB-GENE-990603-9]</t>
  </si>
  <si>
    <t>ENSDARG00000017272</t>
  </si>
  <si>
    <t>eapp</t>
  </si>
  <si>
    <t>e2f-associated phosphoprotein [Source:ZFIN;Acc:ZDB-GENE-030131-5529]</t>
  </si>
  <si>
    <t>ENSDARG00000058696</t>
  </si>
  <si>
    <t>tbl1xr1a</t>
  </si>
  <si>
    <t>transducin (beta)-like 1 X-linked receptor 1a [Source:ZFIN;Acc:ZDB-GENE-050522-314]</t>
  </si>
  <si>
    <t>ENSDARG00000026862</t>
  </si>
  <si>
    <t>aktip</t>
  </si>
  <si>
    <t>akt interacting protein [Source:ZFIN;Acc:ZDB-GENE-030909-5]</t>
  </si>
  <si>
    <t>ENSDARG00000016415</t>
  </si>
  <si>
    <t>dhtkd1</t>
  </si>
  <si>
    <t>dehydrogenase E1 and transketolase domain containing 1 [Source:ZFIN;Acc:ZDB-GENE-041212-44]</t>
  </si>
  <si>
    <t>ENSDARG00000016866</t>
  </si>
  <si>
    <t>fam102ab</t>
  </si>
  <si>
    <t>family with sequence similarity 102, member Ab [Source:ZFIN;Acc:ZDB-GENE-060929-412]</t>
  </si>
  <si>
    <t>ENSDARG00000062109</t>
  </si>
  <si>
    <t>shdb</t>
  </si>
  <si>
    <t>Src homology 2 domain containing transforming protein D, b [Source:ZFIN;Acc:ZDB-GENE-030131-6059]</t>
  </si>
  <si>
    <t>ENSDARG00000040024</t>
  </si>
  <si>
    <t>gpd1l</t>
  </si>
  <si>
    <t>glycerol-3-phosphate dehydrogenase 1-like [Source:ZFIN;Acc:ZDB-GENE-041010-220]</t>
  </si>
  <si>
    <t>ENSDARG00000010662</t>
  </si>
  <si>
    <t>fbxo36a</t>
  </si>
  <si>
    <t>F-box protein 36a [Source:ZFIN;Acc:ZDB-GENE-060929-986]</t>
  </si>
  <si>
    <t>ENSDARG00000008363</t>
  </si>
  <si>
    <t>mcl1b</t>
  </si>
  <si>
    <t>myeloid cell leukemia 1b [Source:ZFIN;Acc:ZDB-GENE-030825-1]</t>
  </si>
  <si>
    <t>ENSDARG00000097180</t>
  </si>
  <si>
    <t>si:dkey-7i4.21</t>
  </si>
  <si>
    <t>si:dkey-7i4.21 [Source:ZFIN;Acc:ZDB-GENE-131121-50]</t>
  </si>
  <si>
    <t>ENSDARG00000076236</t>
  </si>
  <si>
    <t>lrrc18b</t>
  </si>
  <si>
    <t>leucine rich repeat containing 18b [Source:ZFIN;Acc:ZDB-GENE-110315-1]</t>
  </si>
  <si>
    <t>ENSDARG00000074365</t>
  </si>
  <si>
    <t>zgc:171901</t>
  </si>
  <si>
    <t>zgc:171901 [Source:ZFIN;Acc:ZDB-GENE-080220-13]</t>
  </si>
  <si>
    <t>ENSDARG00000063519</t>
  </si>
  <si>
    <t>PLEKHB1</t>
  </si>
  <si>
    <t>si:ch211-176g13.7 [Source:ZFIN;Acc:ZDB-GENE-030131-7664]</t>
  </si>
  <si>
    <t>ENSDARG00000030803</t>
  </si>
  <si>
    <t>zgc:110006</t>
  </si>
  <si>
    <t>zgc:110006 [Source:ZFIN;Acc:ZDB-GENE-050522-119]</t>
  </si>
  <si>
    <t>ENSDARG00000029533</t>
  </si>
  <si>
    <t>rpl18</t>
  </si>
  <si>
    <t>ribosomal protein L18 [Source:ZFIN;Acc:ZDB-GENE-040801-165]</t>
  </si>
  <si>
    <t>ENSDARG00000087639</t>
  </si>
  <si>
    <t>si:dkey-33o22.1</t>
  </si>
  <si>
    <t>si:dkey-33o22.1 [Source:ZFIN;Acc:ZDB-GENE-091204-221]</t>
  </si>
  <si>
    <t>ENSDARG00000044584</t>
  </si>
  <si>
    <t>tex261</t>
  </si>
  <si>
    <t>testis expressed 261 [Source:ZFIN;Acc:ZDB-GENE-050522-400]</t>
  </si>
  <si>
    <t>ENSDARG00000037260</t>
  </si>
  <si>
    <t>toporsa</t>
  </si>
  <si>
    <t>topoisomerase I binding, arginine/serine-rich a [Source:ZFIN;Acc:ZDB-GENE-030131-6401]</t>
  </si>
  <si>
    <t>ENSDARG00000078865</t>
  </si>
  <si>
    <t>cxxc5a</t>
  </si>
  <si>
    <t>CXXC finger protein 5a [Source:ZFIN;Acc:ZDB-GENE-030131-3178]</t>
  </si>
  <si>
    <t>ENSDARG00000097589</t>
  </si>
  <si>
    <t>zgc:174574</t>
  </si>
  <si>
    <t>zgc:174574 [Source:ZFIN;Acc:ZDB-GENE-030131-1529]</t>
  </si>
  <si>
    <t>ENSDARG00000057167</t>
  </si>
  <si>
    <t>eif4g2b</t>
  </si>
  <si>
    <t>eukaryotic translation initiation factor 4, gamma 2b [Source:ZFIN;Acc:ZDB-GENE-030131-6550]</t>
  </si>
  <si>
    <t>ENSDARG00000033539</t>
  </si>
  <si>
    <t>paics</t>
  </si>
  <si>
    <t>phosphoribosylaminoimidazole carboxylase, phosphoribosylaminoimidazole succinocarboxamide synthetase [Source:ZFIN;Acc:ZDB-GENE-030131-9762]</t>
  </si>
  <si>
    <t>ENSDARG00000008832</t>
  </si>
  <si>
    <t>neu1</t>
  </si>
  <si>
    <t>neuraminidase 1 [Source:ZFIN;Acc:ZDB-GENE-060503-592]</t>
  </si>
  <si>
    <t>ENSDARG00000092360</t>
  </si>
  <si>
    <t>si:ch211-51h9.6</t>
  </si>
  <si>
    <t>si:ch211-51h9.6 [Source:ZFIN;Acc:ZDB-GENE-081104-234]</t>
  </si>
  <si>
    <t>ENSDARG00000097281</t>
  </si>
  <si>
    <t>znf1011</t>
  </si>
  <si>
    <t>zinc finger protein 1011 [Source:ZFIN;Acc:ZDB-GENE-131120-89]</t>
  </si>
  <si>
    <t>ENSDARG00000088567</t>
  </si>
  <si>
    <t>VPS72</t>
  </si>
  <si>
    <t>si:ch211-203d17.1 [Source:ZFIN;Acc:ZDB-GENE-100922-13]</t>
  </si>
  <si>
    <t>ENSDARG00000008413</t>
  </si>
  <si>
    <t>atp11a</t>
  </si>
  <si>
    <t>ATPase, class VI, type 11A [Source:ZFIN;Acc:ZDB-GENE-090311-52]</t>
  </si>
  <si>
    <t>ENSDARG00000095705</t>
  </si>
  <si>
    <t>CDPF1</t>
  </si>
  <si>
    <t>si:ch211-239e6.4 [Source:ZFIN;Acc:ZDB-GENE-041210-170]</t>
  </si>
  <si>
    <t>ENSDARG00000056270</t>
  </si>
  <si>
    <t>atpaf2</t>
  </si>
  <si>
    <t>ATP synthase mitochondrial F1 complex assembly factor 2 [Source:ZFIN;Acc:ZDB-GENE-050411-18]</t>
  </si>
  <si>
    <t>ENSDARG00000041599</t>
  </si>
  <si>
    <t>zgc:91860</t>
  </si>
  <si>
    <t>zgc:91860 [Source:ZFIN;Acc:ZDB-GENE-040704-34]</t>
  </si>
  <si>
    <t>ENSDARG00000042147</t>
  </si>
  <si>
    <t>rbbp5</t>
  </si>
  <si>
    <t>retinoblastoma binding protein 5 [Source:ZFIN;Acc:ZDB-GENE-040426-886]</t>
  </si>
  <si>
    <t>ENSDARG00000020811</t>
  </si>
  <si>
    <t>efemp2b</t>
  </si>
  <si>
    <t>EGF containing fibulin-like extracellular matrix protein 2b [Source:ZFIN;Acc:ZDB-GENE-030219-125]</t>
  </si>
  <si>
    <t>ENSDARG00000078285</t>
  </si>
  <si>
    <t>pik3ap1</t>
  </si>
  <si>
    <t>phosphoinositide-3-kinase adaptor protein 1 [Source:ZFIN;Acc:ZDB-GENE-090313-250]</t>
  </si>
  <si>
    <t>ENSDARG00000097803</t>
  </si>
  <si>
    <t>si:ch211-275j6.5</t>
  </si>
  <si>
    <t>si:ch211-275j6.5 [Source:ZFIN;Acc:ZDB-GENE-130109-1]</t>
  </si>
  <si>
    <t>ENSDARG00000044914</t>
  </si>
  <si>
    <t>suclg2</t>
  </si>
  <si>
    <t>succinate-CoA ligase, GDP-forming, beta subunit [Source:ZFIN;Acc:ZDB-GENE-030114-3]</t>
  </si>
  <si>
    <t>ENSDARG00000096948</t>
  </si>
  <si>
    <t>im:7143333</t>
  </si>
  <si>
    <t>im:7143333 [Source:ZFIN;Acc:ZDB-GENE-041111-186]</t>
  </si>
  <si>
    <t>ENSDARG00000016122</t>
  </si>
  <si>
    <t>ptrhd1</t>
  </si>
  <si>
    <t>peptidyl-tRNA hydrolase domain containing 1 [Source:ZFIN;Acc:ZDB-GENE-081110-2]</t>
  </si>
  <si>
    <t>ENSDARG00000095163</t>
  </si>
  <si>
    <t>si:ch211-202h14.1</t>
  </si>
  <si>
    <t>si:ch211-202h14.1 [Source:ZFIN;Acc:ZDB-GENE-141215-53]</t>
  </si>
  <si>
    <t>ENSDARG00000094938</t>
  </si>
  <si>
    <t>si:dkey-199i24.3</t>
  </si>
  <si>
    <t>si:dkey-199i24.3 [Source:ZFIN;Acc:ZDB-GENE-050420-198]</t>
  </si>
  <si>
    <t>ENSDARG00000077180</t>
  </si>
  <si>
    <t>slc37a4b</t>
  </si>
  <si>
    <t>slc37a4b.1</t>
  </si>
  <si>
    <t>solute carrier family 37 (glucose-6-phosphate transporter), member 4b [Source:ZFIN;Acc:ZDB-GENE-040426-827]</t>
  </si>
  <si>
    <t>ENSDARG00000042877</t>
  </si>
  <si>
    <t>heca</t>
  </si>
  <si>
    <t>hdc homolog, cell cycle regulator [Source:ZFIN;Acc:ZDB-GENE-041001-173]</t>
  </si>
  <si>
    <t>ENSDARG00000062053</t>
  </si>
  <si>
    <t>kif1bp</t>
  </si>
  <si>
    <t>kif1 binding protein [Source:ZFIN;Acc:ZDB-GENE-070117-1989]</t>
  </si>
  <si>
    <t>ENSDARG00000054574</t>
  </si>
  <si>
    <t>znhit1</t>
  </si>
  <si>
    <t>zinc finger, HIT-type containing 1 [Source:ZFIN;Acc:ZDB-GENE-050417-272]</t>
  </si>
  <si>
    <t>ENSDARG00000069843</t>
  </si>
  <si>
    <t>kctd12.1</t>
  </si>
  <si>
    <t>potassium channel tetramerisation domain containing 12.1 [Source:ZFIN;Acc:ZDB-GENE-030902-5]</t>
  </si>
  <si>
    <t>ENSDARG00000032708</t>
  </si>
  <si>
    <t>arl4cb</t>
  </si>
  <si>
    <t>ADP-ribosylation factor-like 4Cb [Source:ZFIN;Acc:ZDB-GENE-040426-2382]</t>
  </si>
  <si>
    <t>ENSDARG00000026871</t>
  </si>
  <si>
    <t>uchl1</t>
  </si>
  <si>
    <t>ubiquitin carboxyl-terminal esterase L1 (ubiquitin thiolesterase) [Source:ZFIN;Acc:ZDB-GENE-030131-3844]</t>
  </si>
  <si>
    <t>ENSDARG00000069673</t>
  </si>
  <si>
    <t>chid1</t>
  </si>
  <si>
    <t>chitinase domain containing 1 [Source:ZFIN;Acc:ZDB-GENE-030131-9169]</t>
  </si>
  <si>
    <t>ENSDARG00000058560</t>
  </si>
  <si>
    <t>adrm1</t>
  </si>
  <si>
    <t>adhesion regulating molecule 1 [Source:ZFIN;Acc:ZDB-GENE-040426-905]</t>
  </si>
  <si>
    <t>ENSDARG00000051857</t>
  </si>
  <si>
    <t>tes</t>
  </si>
  <si>
    <t>testis derived transcript (3 LIM domains) [Source:ZFIN;Acc:ZDB-GENE-040718-59]</t>
  </si>
  <si>
    <t>ENSDARG00000095860</t>
  </si>
  <si>
    <t>si:dkey-263l8.2</t>
  </si>
  <si>
    <t>si:dkey-263l8.2 [Source:ZFIN;Acc:ZDB-GENE-110411-95]</t>
  </si>
  <si>
    <t>ENSDARG00000013623</t>
  </si>
  <si>
    <t>vdac2</t>
  </si>
  <si>
    <t>voltage-dependent anion channel 2 [Source:ZFIN;Acc:ZDB-GENE-030131-845]</t>
  </si>
  <si>
    <t>ENSDARG00000015240</t>
  </si>
  <si>
    <t>cdkl5</t>
  </si>
  <si>
    <t>cyclin-dependent kinase-like 5 [Source:ZFIN;Acc:ZDB-GENE-081022-110]</t>
  </si>
  <si>
    <t>ENSDARG00000101859</t>
  </si>
  <si>
    <t>MNT</t>
  </si>
  <si>
    <t>si:dkey-95o3.4 [Source:ZFIN;Acc:ZDB-GENE-121214-300]</t>
  </si>
  <si>
    <t>ENSDARG00000038205</t>
  </si>
  <si>
    <t>her2</t>
  </si>
  <si>
    <t>hairy-related 2 [Source:ZFIN;Acc:ZDB-GENE-980526-274]</t>
  </si>
  <si>
    <t>ENSDARG00000042876</t>
  </si>
  <si>
    <t>abracl</t>
  </si>
  <si>
    <t>ABRA C-terminal like [Source:ZFIN;Acc:ZDB-GENE-030131-8594]</t>
  </si>
  <si>
    <t>ENSDARG00000004301</t>
  </si>
  <si>
    <t>rhogb</t>
  </si>
  <si>
    <t>ras homolog family member Gb [Source:ZFIN;Acc:ZDB-GENE-030131-8877]</t>
  </si>
  <si>
    <t>ENSDARG00000052818</t>
  </si>
  <si>
    <t>smcr8a</t>
  </si>
  <si>
    <t>Smith-Magenis syndrome chromosome region, candidate 8a [Source:ZFIN;Acc:ZDB-GENE-071212-4]</t>
  </si>
  <si>
    <t>ENSDARG00000040152</t>
  </si>
  <si>
    <t>nek4</t>
  </si>
  <si>
    <t>NIMA-related kinase 4 [Source:ZFIN;Acc:ZDB-GENE-040426-1392]</t>
  </si>
  <si>
    <t>ENSDARG00000004517</t>
  </si>
  <si>
    <t>ppat</t>
  </si>
  <si>
    <t>phosphoribosyl pyrophosphate amidotransferase [Source:ZFIN;Acc:ZDB-GENE-041210-323]</t>
  </si>
  <si>
    <t>ENSDARG00000002037</t>
  </si>
  <si>
    <t>pfkfb2b</t>
  </si>
  <si>
    <t>6-phosphofructo-2-kinase/fructose-2,6-biphosphatase 2b [Source:ZFIN;Acc:ZDB-GENE-120222-1]</t>
  </si>
  <si>
    <t>ENSDARG00000045092</t>
  </si>
  <si>
    <t>cdk5rap3</t>
  </si>
  <si>
    <t>CDK5 regulatory subunit associated protein 3 [Source:ZFIN;Acc:ZDB-GENE-040625-90]</t>
  </si>
  <si>
    <t>ENSDARG00000018257</t>
  </si>
  <si>
    <t>ncoa1</t>
  </si>
  <si>
    <t>nuclear receptor coactivator 1 [Source:ZFIN;Acc:ZDB-GENE-041001-175]</t>
  </si>
  <si>
    <t>ENSDARG00000061352</t>
  </si>
  <si>
    <t>bcl11aa</t>
  </si>
  <si>
    <t>B-cell CLL/lymphoma 11Aa [Source:ZFIN;Acc:ZDB-GENE-060421-4643]</t>
  </si>
  <si>
    <t>ENSDARG00000010785</t>
  </si>
  <si>
    <t>thbs1b</t>
  </si>
  <si>
    <t>thrombospondin 1b [Source:ZFIN;Acc:ZDB-GENE-020708-1]</t>
  </si>
  <si>
    <t>ENSDARG00000030020</t>
  </si>
  <si>
    <t>agfg1a</t>
  </si>
  <si>
    <t>ArfGAP with FG repeats 1a [Source:ZFIN;Acc:ZDB-GENE-030131-5808]</t>
  </si>
  <si>
    <t>ENSDARG00000035706</t>
  </si>
  <si>
    <t>dock6</t>
  </si>
  <si>
    <t>dedicator of cytokinesis 6 [Source:ZFIN;Acc:ZDB-GENE-120411-11]</t>
  </si>
  <si>
    <t>ENSDARG00000007219</t>
  </si>
  <si>
    <t>actn1</t>
  </si>
  <si>
    <t>actinin, alpha 1 [Source:ZFIN;Acc:ZDB-GENE-081113-4]</t>
  </si>
  <si>
    <t>ENSDARG00000020072</t>
  </si>
  <si>
    <t>thbs4b</t>
  </si>
  <si>
    <t>thrombospondin 4b [Source:ZFIN;Acc:ZDB-GENE-020708-4]</t>
  </si>
  <si>
    <t>ENSDARG00000017385</t>
  </si>
  <si>
    <t>b9d2</t>
  </si>
  <si>
    <t>B9 protein domain 2 [Source:ZFIN;Acc:ZDB-GENE-040718-90]</t>
  </si>
  <si>
    <t>ENSDARG00000017037</t>
  </si>
  <si>
    <t>ikbkg</t>
  </si>
  <si>
    <t>inhibitor of kappa light polypeptide gene enhancer in B-cells, kinase gamma [Source:ZFIN;Acc:ZDB-GENE-050327-68]</t>
  </si>
  <si>
    <t>ENSDARG00000069937</t>
  </si>
  <si>
    <t>dnm2a</t>
  </si>
  <si>
    <t>dynamin 2a [Source:ZFIN;Acc:ZDB-GENE-050913-84]</t>
  </si>
  <si>
    <t>ENSDARG00000042873</t>
  </si>
  <si>
    <t>slc25a27</t>
  </si>
  <si>
    <t>solute carrier family 25, member 27 [Source:ZFIN;Acc:ZDB-GENE-040426-1290]</t>
  </si>
  <si>
    <t>ENSDARG00000099184</t>
  </si>
  <si>
    <t>map2k6</t>
  </si>
  <si>
    <t>mitogen-activated protein kinase kinase 6 [Source:ZFIN;Acc:ZDB-GENE-010202-3]</t>
  </si>
  <si>
    <t>ENSDARG00000104015</t>
  </si>
  <si>
    <t>fgfr1bl</t>
  </si>
  <si>
    <t>fgfr1bl.1</t>
  </si>
  <si>
    <t>fibroblast growth factor receptor 1b, like [Source:ZFIN;Acc:ZDB-GENE-091204-406]</t>
  </si>
  <si>
    <t>ENSDARG00000018984</t>
  </si>
  <si>
    <t>eya2</t>
  </si>
  <si>
    <t>EYA transcriptional coactivator and phosphatase 2 [Source:ZFIN;Acc:ZDB-GENE-040912-24]</t>
  </si>
  <si>
    <t>ENSDARG00000063390</t>
  </si>
  <si>
    <t>pvrl2l</t>
  </si>
  <si>
    <t>poliovirus receptor-related 2 like [Source:ZFIN;Acc:ZDB-GENE-060503-249]</t>
  </si>
  <si>
    <t>ENSDARG00000091658</t>
  </si>
  <si>
    <t>sptssb</t>
  </si>
  <si>
    <t>serine palmitoyltransferase, small subunit B [Source:ZFIN;Acc:ZDB-GENE-060421-6887]</t>
  </si>
  <si>
    <t>ENSDARG00000055838</t>
  </si>
  <si>
    <t>mettl16</t>
  </si>
  <si>
    <t>methyltransferase like 16 [Source:ZFIN;Acc:ZDB-GENE-040801-130]</t>
  </si>
  <si>
    <t>ENSDARG00000006766</t>
  </si>
  <si>
    <t>snd1</t>
  </si>
  <si>
    <t>staphylococcal nuclease and tudor domain containing 1 [Source:ZFIN;Acc:ZDB-GENE-030131-3124]</t>
  </si>
  <si>
    <t>ENSDARG00000096992</t>
  </si>
  <si>
    <t>zgc:153405</t>
  </si>
  <si>
    <t>zgc:153405 [Source:ZFIN;Acc:ZDB-GENE-060825-170]</t>
  </si>
  <si>
    <t>ENSDARG00000029885</t>
  </si>
  <si>
    <t>rab41</t>
  </si>
  <si>
    <t>RAB41, member RAS oncogene family [Source:ZFIN;Acc:ZDB-GENE-040426-2686]</t>
  </si>
  <si>
    <t>ENSDARG00000071116</t>
  </si>
  <si>
    <t>eepd1</t>
  </si>
  <si>
    <t>endonuclease/exonuclease/phosphatase family domain containing 1 [Source:ZFIN;Acc:ZDB-GENE-040426-1831]</t>
  </si>
  <si>
    <t>ENSDARG00000076134</t>
  </si>
  <si>
    <t>zgc:162972</t>
  </si>
  <si>
    <t>zgc:162972 [Source:ZFIN;Acc:ZDB-GENE-070424-49]</t>
  </si>
  <si>
    <t>ENSDARG00000003244</t>
  </si>
  <si>
    <t>gbp3</t>
  </si>
  <si>
    <t>guanylate binding protein 3 [Source:ZFIN;Acc:ZDB-GENE-070912-176]</t>
  </si>
  <si>
    <t>ENSDARG00000052263</t>
  </si>
  <si>
    <t>rab1aa</t>
  </si>
  <si>
    <t>RAB1A, member RAS oncogene family a [Source:ZFIN;Acc:ZDB-GENE-090312-110]</t>
  </si>
  <si>
    <t>ENSDARG00000055216</t>
  </si>
  <si>
    <t>tuba1c</t>
  </si>
  <si>
    <t>tubulin, alpha 1c [Source:ZFIN;Acc:ZDB-GENE-061114-1]</t>
  </si>
  <si>
    <t>ENSDARG00000042864</t>
  </si>
  <si>
    <t>rpl7l1</t>
  </si>
  <si>
    <t>ribosomal protein L7-like 1 [Source:ZFIN;Acc:ZDB-GENE-030131-970]</t>
  </si>
  <si>
    <t>ENSDARG00000098935</t>
  </si>
  <si>
    <t>bxdc2</t>
  </si>
  <si>
    <t>brix domain containing 2 [Source:ZFIN;Acc:ZDB-GENE-060518-1]</t>
  </si>
  <si>
    <t>ENSDARG00000043004</t>
  </si>
  <si>
    <t>si:dkeyp-117h8.4</t>
  </si>
  <si>
    <t>si:dkeyp-117h8.4 [Source:ZFIN;Acc:ZDB-GENE-030804-4]</t>
  </si>
  <si>
    <t>ENSDARG00000105408</t>
  </si>
  <si>
    <t>si:ch211-237b12.4</t>
  </si>
  <si>
    <t>si:ch211-237b12.4 [Source:ZFIN;Acc:ZDB-GENE-030131-8765]</t>
  </si>
  <si>
    <t>ENSDARG00000077215</t>
  </si>
  <si>
    <t>eif4g3a</t>
  </si>
  <si>
    <t>eukaryotic translation initiation factor 4 gamma, 3a [Source:ZFIN;Acc:ZDB-GENE-120810-2]</t>
  </si>
  <si>
    <t>ENSDARG00000091574</t>
  </si>
  <si>
    <t>suox</t>
  </si>
  <si>
    <t>sulfite oxidase [Source:ZFIN;Acc:ZDB-GENE-070718-3]</t>
  </si>
  <si>
    <t>ENSDARG00000076829</t>
  </si>
  <si>
    <t>ankib1b</t>
  </si>
  <si>
    <t>ankyrin repeat and IBR domain containing 1b [Source:ZFIN;Acc:ZDB-GENE-100920-6]</t>
  </si>
  <si>
    <t>ENSDARG00000077664</t>
  </si>
  <si>
    <t>zgc:110239</t>
  </si>
  <si>
    <t>zgc:110239 [Source:ZFIN;Acc:ZDB-GENE-050417-107]</t>
  </si>
  <si>
    <t>ENSDARG00000096786</t>
  </si>
  <si>
    <t>si:ch211-28p3.3</t>
  </si>
  <si>
    <t>si:ch211-28p3.3 [Source:ZFIN;Acc:ZDB-GENE-130603-7]</t>
  </si>
  <si>
    <t>ENSDARG00000009001</t>
  </si>
  <si>
    <t>pdia6</t>
  </si>
  <si>
    <t>protein disulfide isomerase family A, member 6 [Source:ZFIN;Acc:ZDB-GENE-030131-879]</t>
  </si>
  <si>
    <t>ENSDARG00000103762</t>
  </si>
  <si>
    <t>rln1</t>
  </si>
  <si>
    <t>relaxin 1 [Source:ZFIN;Acc:ZDB-GENE-120215-201]</t>
  </si>
  <si>
    <t>ENSDARG00000098605</t>
  </si>
  <si>
    <t>slx1b</t>
  </si>
  <si>
    <t>SLX1 homolog B, structure-specific endonuclease subunit [Source:ZFIN;Acc:ZDB-GENE-130530-826]</t>
  </si>
  <si>
    <t>ENSDARG00000053939</t>
  </si>
  <si>
    <t>tgfa</t>
  </si>
  <si>
    <t>transforming growth factor, alpha [Source:ZFIN;Acc:ZDB-GENE-040724-208]</t>
  </si>
  <si>
    <t>ENSDARG00000076324</t>
  </si>
  <si>
    <t>lmtk2</t>
  </si>
  <si>
    <t>lemur tyrosine kinase 2 [Source:ZFIN;Acc:ZDB-GENE-100812-11]</t>
  </si>
  <si>
    <t>ENSDARG00000102477</t>
  </si>
  <si>
    <t>stard4</t>
  </si>
  <si>
    <t>StAR-related lipid transfer (START) domain containing 4 [Source:ZFIN;Acc:ZDB-GENE-050417-168]</t>
  </si>
  <si>
    <t>ENSDARG00000025340</t>
  </si>
  <si>
    <t>tusc2b</t>
  </si>
  <si>
    <t>tumor suppressor candidate 2b [Source:ZFIN;Acc:ZDB-GENE-040718-99]</t>
  </si>
  <si>
    <t>ENSDARG00000039424</t>
  </si>
  <si>
    <t>snrpb2</t>
  </si>
  <si>
    <t>small nuclear ribonucleoprotein polypeptide B2 [Source:ZFIN;Acc:ZDB-GENE-060616-2]</t>
  </si>
  <si>
    <t>ENSDARG00000068759</t>
  </si>
  <si>
    <t>CDCA2</t>
  </si>
  <si>
    <t>si:ch211-244o22.2 [Source:ZFIN;Acc:ZDB-GENE-030131-3271]</t>
  </si>
  <si>
    <t>ENSDARG00000101878</t>
  </si>
  <si>
    <t>kdf1b</t>
  </si>
  <si>
    <t>keratinocyte differentiation factor 1b [Source:ZFIN;Acc:ZDB-GENE-100922-285]</t>
  </si>
  <si>
    <t>ENSDARG00000104701</t>
  </si>
  <si>
    <t>map7d1b</t>
  </si>
  <si>
    <t>MAP7 domain containing 1b [Source:ZFIN;Acc:ZDB-GENE-080215-23]</t>
  </si>
  <si>
    <t>ENSDARG00000092766</t>
  </si>
  <si>
    <t>si:dkeyp-68b7.7.1</t>
  </si>
  <si>
    <t>ENSDARG00000068431</t>
  </si>
  <si>
    <t>si:ch211-195h23.3</t>
  </si>
  <si>
    <t>si:ch211-195h23.3 [Source:ZFIN;Acc:ZDB-GENE-070912-174]</t>
  </si>
  <si>
    <t>ENSDARG00000032298</t>
  </si>
  <si>
    <t>tbc1d20</t>
  </si>
  <si>
    <t>TBC1 domain family, member 20 [Source:ZFIN;Acc:ZDB-GENE-050626-61]</t>
  </si>
  <si>
    <t>ENSDARG00000104808</t>
  </si>
  <si>
    <t>jak2a</t>
  </si>
  <si>
    <t>Janus kinase 2a [Source:ZFIN;Acc:ZDB-GENE-980526-481]</t>
  </si>
  <si>
    <t>ENSDARG00000004840</t>
  </si>
  <si>
    <t>rassf1</t>
  </si>
  <si>
    <t>Ras association (RalGDS/AF-6) domain family 1 [Source:ZFIN;Acc:ZDB-GENE-040912-14]</t>
  </si>
  <si>
    <t>ENSDARG00000099770</t>
  </si>
  <si>
    <t>si:ch73-338d8.4</t>
  </si>
  <si>
    <t>si:ch73-338d8.4 [Source:ZFIN;Acc:ZDB-GENE-141212-174]</t>
  </si>
  <si>
    <t>ENSDARG00000094602</t>
  </si>
  <si>
    <t>si:dkey-7n6.2</t>
  </si>
  <si>
    <t>si:dkey-7n6.2 [Source:ZFIN;Acc:ZDB-GENE-091204-262]</t>
  </si>
  <si>
    <t>ENSDARG00000042854</t>
  </si>
  <si>
    <t>ephx1</t>
  </si>
  <si>
    <t>epoxide hydrolase 1, microsomal (xenobiotic) [Source:ZFIN;Acc:ZDB-GENE-040426-913]</t>
  </si>
  <si>
    <t>ENSDARG00000044596</t>
  </si>
  <si>
    <t>pgap2</t>
  </si>
  <si>
    <t>post-GPI attachment to proteins 2 [Source:ZFIN;Acc:ZDB-GENE-050320-119]</t>
  </si>
  <si>
    <t>ENSDARG00000056954</t>
  </si>
  <si>
    <t>si:dkeyp-38g8.5</t>
  </si>
  <si>
    <t>si:dkeyp-38g8.5 [Source:ZFIN;Acc:ZDB-GENE-081104-62]</t>
  </si>
  <si>
    <t>ENSDARG00000045754</t>
  </si>
  <si>
    <t>mettl25</t>
  </si>
  <si>
    <t>methyltransferase like 25 [Source:ZFIN;Acc:ZDB-GENE-041210-90]</t>
  </si>
  <si>
    <t>ENSDARG00000071413</t>
  </si>
  <si>
    <t>mier2</t>
  </si>
  <si>
    <t>mesoderm induction early response 1, family member 2 [Source:ZFIN;Acc:ZDB-GENE-050208-795]</t>
  </si>
  <si>
    <t>ENSDARG00000103969</t>
  </si>
  <si>
    <t>smyhc2</t>
  </si>
  <si>
    <t>slow myosin heavy chain 2 [Source:ZFIN;Acc:ZDB-GENE-070822-12]</t>
  </si>
  <si>
    <t>ENSDARG00000006396</t>
  </si>
  <si>
    <t>nrcama</t>
  </si>
  <si>
    <t>neuronal cell adhesion molecule a [Source:ZFIN;Acc:ZDB-GENE-041210-235]</t>
  </si>
  <si>
    <t>ENSDARG00000004256</t>
  </si>
  <si>
    <t>wnt11</t>
  </si>
  <si>
    <t>wingless-type MMTV integration site family, member 11 [Source:ZFIN;Acc:ZDB-GENE-990603-12]</t>
  </si>
  <si>
    <t>ENSDARG00000034883</t>
  </si>
  <si>
    <t>acbd5a</t>
  </si>
  <si>
    <t>acyl-CoA binding domain containing 5a [Source:ZFIN;Acc:ZDB-GENE-050522-268]</t>
  </si>
  <si>
    <t>ENSDARG00000057238</t>
  </si>
  <si>
    <t>si:dkey-30k6.5</t>
  </si>
  <si>
    <t>si:dkey-30k6.5 [Source:ZFIN;Acc:ZDB-GENE-091204-299]</t>
  </si>
  <si>
    <t>ENSDARG00000051836</t>
  </si>
  <si>
    <t>im:6904482</t>
  </si>
  <si>
    <t>im:6904482 [Source:ZFIN;Acc:ZDB-GENE-050506-81]</t>
  </si>
  <si>
    <t>ENSDARG00000079516</t>
  </si>
  <si>
    <t>cisd1</t>
  </si>
  <si>
    <t>CDGSH iron sulfur domain 1 [Source:ZFIN;Acc:ZDB-GENE-040426-1162]</t>
  </si>
  <si>
    <t>ENSDARG00000037805</t>
  </si>
  <si>
    <t>lgals3bpa</t>
  </si>
  <si>
    <t>lectin, galactoside-binding, soluble, 3 binding protein a [Source:ZFIN;Acc:ZDB-GENE-060331-57]</t>
  </si>
  <si>
    <t>ENSDARG00000076480</t>
  </si>
  <si>
    <t>mcf2lb</t>
  </si>
  <si>
    <t>mcf.2 cell line derived transforming sequence-like b [Source:ZFIN;Acc:ZDB-GENE-081104-416]</t>
  </si>
  <si>
    <t>ENSDARG00000052419</t>
  </si>
  <si>
    <t>ankrd12</t>
  </si>
  <si>
    <t>ankyrin repeat domain 12 [Source:ZFIN;Acc:ZDB-GENE-040426-846]</t>
  </si>
  <si>
    <t>ENSDARG00000010083</t>
  </si>
  <si>
    <t>rbfox3</t>
  </si>
  <si>
    <t>RNA binding protein, fox-1 homolog (C. elegans) 3 [Source:ZFIN;Acc:ZDB-GENE-111213-1]</t>
  </si>
  <si>
    <t>ENSDARG00000043835</t>
  </si>
  <si>
    <t>rab3ab</t>
  </si>
  <si>
    <t>RAB3A, member RAS oncogene family, b [Source:ZFIN;Acc:ZDB-GENE-041210-268]</t>
  </si>
  <si>
    <t>ENSDARG00000029729</t>
  </si>
  <si>
    <t>clybl</t>
  </si>
  <si>
    <t>citrate lyase beta like [Source:ZFIN;Acc:ZDB-GENE-030516-6]</t>
  </si>
  <si>
    <t>ENSDARG00000100400</t>
  </si>
  <si>
    <t>si:ch1073-435i13.1</t>
  </si>
  <si>
    <t>si:ch1073-435i13.1 [Source:ZFIN;Acc:ZDB-GENE-160114-33]</t>
  </si>
  <si>
    <t>ENSDARG00000099200</t>
  </si>
  <si>
    <t>zgc:123103</t>
  </si>
  <si>
    <t>zgc:123103 [Source:ZFIN;Acc:ZDB-GENE-051030-105]</t>
  </si>
  <si>
    <t>ENSDARG00000087674</t>
  </si>
  <si>
    <t>si:ch1073-127d16.1</t>
  </si>
  <si>
    <t>si:ch1073-127d16.1 [Source:ZFIN;Acc:ZDB-GENE-120214-30]</t>
  </si>
  <si>
    <t>ENSDARG00000029881</t>
  </si>
  <si>
    <t>kcnh2a</t>
  </si>
  <si>
    <t>potassium voltage-gated channel, subfamily H (eag-related), member 2a [Source:ZFIN;Acc:ZDB-GENE-070912-699]</t>
  </si>
  <si>
    <t>ENSDARG00000055930</t>
  </si>
  <si>
    <t>zc3h7b</t>
  </si>
  <si>
    <t>zinc finger CCCH-type containing 7B [Source:ZFIN;Acc:ZDB-GENE-080208-7]</t>
  </si>
  <si>
    <t>ENSDARG00000052000</t>
  </si>
  <si>
    <t>cav2</t>
  </si>
  <si>
    <t>caveolin 2 [Source:ZFIN;Acc:ZDB-GENE-040625-164]</t>
  </si>
  <si>
    <t>ENSDARG00000045755</t>
  </si>
  <si>
    <t>ccdc59</t>
  </si>
  <si>
    <t>coiled-coil domain containing 59 [Source:ZFIN;Acc:ZDB-GENE-041210-91]</t>
  </si>
  <si>
    <t>ENSDARG00000034982</t>
  </si>
  <si>
    <t>zcchc8</t>
  </si>
  <si>
    <t>zinc finger, CCHC domain containing 8 [Source:ZFIN;Acc:ZDB-GENE-060526-6]</t>
  </si>
  <si>
    <t>ENSDARG00000015072</t>
  </si>
  <si>
    <t>dmrt2a</t>
  </si>
  <si>
    <t>doublesex and mab-3 related transcription factor 2a [Source:ZFIN;Acc:ZDB-GENE-990621-7]</t>
  </si>
  <si>
    <t>ENSDARG00000052277</t>
  </si>
  <si>
    <t>cabp2b</t>
  </si>
  <si>
    <t>calcium binding protein 2b [Source:ZFIN;Acc:ZDB-GENE-081028-55]</t>
  </si>
  <si>
    <t>ENSDARG00000056252</t>
  </si>
  <si>
    <t>sort1b</t>
  </si>
  <si>
    <t>sortilin 1b [Source:ZFIN;Acc:ZDB-GENE-030131-7447]</t>
  </si>
  <si>
    <t>ENSDARG00000098749</t>
  </si>
  <si>
    <t>tbcd</t>
  </si>
  <si>
    <t>tubulin folding cofactor D [Source:ZFIN;Acc:ZDB-GENE-060823-1]</t>
  </si>
  <si>
    <t>ENSDARG00000019856</t>
  </si>
  <si>
    <t>atp1a1b</t>
  </si>
  <si>
    <t>ATPase, Na+/K+ transporting, alpha 1b polypeptide [Source:ZFIN;Acc:ZDB-GENE-001212-5]</t>
  </si>
  <si>
    <t>ENSDARG00000075528</t>
  </si>
  <si>
    <t>lyrm9</t>
  </si>
  <si>
    <t>LYR motif containing 9 [Source:ZFIN;Acc:ZDB-GENE-081022-28]</t>
  </si>
  <si>
    <t>ENSDARG00000037966</t>
  </si>
  <si>
    <t>thoc6</t>
  </si>
  <si>
    <t>THO complex 6 [Source:ZFIN;Acc:ZDB-GENE-041010-198]</t>
  </si>
  <si>
    <t>ENSDARG00000053082</t>
  </si>
  <si>
    <t>thada</t>
  </si>
  <si>
    <t>thyroid adenoma associated [Source:ZFIN;Acc:ZDB-GENE-050320-49]</t>
  </si>
  <si>
    <t>ENSDARG00000020840</t>
  </si>
  <si>
    <t>mcrs1</t>
  </si>
  <si>
    <t>microspherule protein 1 [Source:ZFIN;Acc:ZDB-GENE-040426-2434]</t>
  </si>
  <si>
    <t>ENSDARG00000044125</t>
  </si>
  <si>
    <t>txn</t>
  </si>
  <si>
    <t>thioredoxin [Source:ZFIN;Acc:ZDB-GENE-040718-162]</t>
  </si>
  <si>
    <t>ENSDARG00000091538</t>
  </si>
  <si>
    <t>zranb3</t>
  </si>
  <si>
    <t>zinc finger, RAN-binding domain containing 3 [Source:ZFIN;Acc:ZDB-GENE-060712-1]</t>
  </si>
  <si>
    <t>ENSDARG00000078392</t>
  </si>
  <si>
    <t>chpfa</t>
  </si>
  <si>
    <t>chondroitin polymerizing factor a [Source:ZFIN;Acc:ZDB-GENE-100504-2]</t>
  </si>
  <si>
    <t>ENSDARG00000105096</t>
  </si>
  <si>
    <t>si:ch1073-67j19.1</t>
  </si>
  <si>
    <t>si:ch1073-67j19.1 [Source:ZFIN;Acc:ZDB-GENE-141216-297]</t>
  </si>
  <si>
    <t>ENSDARG00000075459</t>
  </si>
  <si>
    <t>ptpn20</t>
  </si>
  <si>
    <t>protein tyrosine phosphatase, non-receptor type 20 [Source:ZFIN;Acc:ZDB-GENE-090313-90]</t>
  </si>
  <si>
    <t>ENSDARG00000100789</t>
  </si>
  <si>
    <t>plgrkt</t>
  </si>
  <si>
    <t>plasminogen receptor, C-terminal lysine transmembrane protein [Source:ZFIN;Acc:ZDB-GENE-050809-125]</t>
  </si>
  <si>
    <t>ENSDARG00000094277</t>
  </si>
  <si>
    <t>mrpl44</t>
  </si>
  <si>
    <t>mitochondrial ribosomal protein L44 [Source:ZFIN;Acc:ZDB-GENE-050913-59]</t>
  </si>
  <si>
    <t>ENSDARG00000092087</t>
  </si>
  <si>
    <t>CMKLR1</t>
  </si>
  <si>
    <t>CMKLR1.1</t>
  </si>
  <si>
    <t>si:ch211-240b21.5 [Source:ZFIN;Acc:ZDB-GENE-060526-128]</t>
  </si>
  <si>
    <t>ENSDARG00000039152</t>
  </si>
  <si>
    <t>fbxo36b</t>
  </si>
  <si>
    <t>F-box protein 36b [Source:ZFIN;Acc:ZDB-GENE-060825-271]</t>
  </si>
  <si>
    <t>ENSDARG00000054560</t>
  </si>
  <si>
    <t>her15.2</t>
  </si>
  <si>
    <t>hairy and enhancer of split-related 15, tandem duplicate 2 [Source:ZFIN;Acc:ZDB-GENE-070627-1]</t>
  </si>
  <si>
    <t>ENSDARG00000061819</t>
  </si>
  <si>
    <t>wscd2</t>
  </si>
  <si>
    <t>WSC domain containing 2 [Source:ZFIN;Acc:ZDB-GENE-060526-124]</t>
  </si>
  <si>
    <t>ENSDARG00000078941</t>
  </si>
  <si>
    <t>ano9a</t>
  </si>
  <si>
    <t>anoctamin 9a [Source:ZFIN;Acc:ZDB-GENE-071004-46]</t>
  </si>
  <si>
    <t>ENSDARG00000101873</t>
  </si>
  <si>
    <t>dtwd2</t>
  </si>
  <si>
    <t>DTW domain containing 2 [Source:ZFIN;Acc:ZDB-GENE-120215-183]</t>
  </si>
  <si>
    <t>ENSDARG00000054562</t>
  </si>
  <si>
    <t>her15.1</t>
  </si>
  <si>
    <t>hairy and enhancer of split-related 15, tandem duplicate 1 [Source:ZFIN;Acc:ZDB-GENE-030707-2]</t>
  </si>
  <si>
    <t>ENSDARG00000043360</t>
  </si>
  <si>
    <t>dph3</t>
  </si>
  <si>
    <t>diphthamide biosynthesis 3 [Source:ZFIN;Acc:ZDB-GENE-050522-545]</t>
  </si>
  <si>
    <t>ENSDARG00000104976</t>
  </si>
  <si>
    <t>si:ch1073-67j19.2</t>
  </si>
  <si>
    <t>si:ch1073-67j19.2 [Source:ZFIN;Acc:ZDB-GENE-141216-263]</t>
  </si>
  <si>
    <t>ENSDARG00000016904</t>
  </si>
  <si>
    <t>bckdk</t>
  </si>
  <si>
    <t>branched chain ketoacid dehydrogenase kinase [Source:ZFIN;Acc:ZDB-GENE-021204-1]</t>
  </si>
  <si>
    <t>ENSDARG00000075881</t>
  </si>
  <si>
    <t>si:ch211-39k3.2</t>
  </si>
  <si>
    <t>si:ch211-39k3.2 [Source:ZFIN;Acc:ZDB-GENE-070705-180]</t>
  </si>
  <si>
    <t>ENSDARG00000099996</t>
  </si>
  <si>
    <t>rhot1a</t>
  </si>
  <si>
    <t>ras homolog family member T1a [Source:ZFIN;Acc:ZDB-GENE-030131-5354]</t>
  </si>
  <si>
    <t>ENSDARG00000102267</t>
  </si>
  <si>
    <t>znf750</t>
  </si>
  <si>
    <t>zinc finger protein 750 [Source:ZFIN;Acc:ZDB-GENE-050417-313]</t>
  </si>
  <si>
    <t>ENSDARG00000027813</t>
  </si>
  <si>
    <t>nus1</t>
  </si>
  <si>
    <t>NUS1 dehydrodolichyl diphosphate synthase subunit [Source:ZFIN;Acc:ZDB-GENE-040718-48]</t>
  </si>
  <si>
    <t>ENSDARG00000086740</t>
  </si>
  <si>
    <t>phyh</t>
  </si>
  <si>
    <t>phytanoyl-CoA 2-hydroxylase [Source:ZFIN;Acc:ZDB-GENE-050417-361]</t>
  </si>
  <si>
    <t>ENSDARG00000074635</t>
  </si>
  <si>
    <t>abca1a</t>
  </si>
  <si>
    <t>ATP-binding cassette, sub-family A (ABC1), member 1A [Source:ZFIN;Acc:ZDB-GENE-031006-12]</t>
  </si>
  <si>
    <t>ENSDARG00000074163</t>
  </si>
  <si>
    <t>zgc:162879</t>
  </si>
  <si>
    <t>zgc:162879 [Source:ZFIN;Acc:ZDB-GENE-070424-92]</t>
  </si>
  <si>
    <t>ENSDARG00000057007</t>
  </si>
  <si>
    <t>ctbp1</t>
  </si>
  <si>
    <t>C-terminal binding protein 1 [Source:ZFIN;Acc:ZDB-GENE-010130-1]</t>
  </si>
  <si>
    <t>ENSDARG00000069085</t>
  </si>
  <si>
    <t>ints2</t>
  </si>
  <si>
    <t>integrator complex subunit 2 [Source:ZFIN;Acc:ZDB-GENE-050522-148]</t>
  </si>
  <si>
    <t>ENSDARG00000022767</t>
  </si>
  <si>
    <t>apobb.1</t>
  </si>
  <si>
    <t>apolipoprotein Bb, tandem duplicate 1 [Source:ZFIN;Acc:ZDB-GENE-030131-9732]</t>
  </si>
  <si>
    <t>ENSDARG00000086856</t>
  </si>
  <si>
    <t>stk35</t>
  </si>
  <si>
    <t>serine/threonine kinase 35 [Source:ZFIN;Acc:ZDB-GENE-061103-553]</t>
  </si>
  <si>
    <t>ENSDARG00000100731</t>
  </si>
  <si>
    <t>slc27a2b</t>
  </si>
  <si>
    <t>solute carrier family 27 (fatty acid transporter), member 2b [Source:ZFIN;Acc:ZDB-GENE-081104-49]</t>
  </si>
  <si>
    <t>ENSDARG00000100025</t>
  </si>
  <si>
    <t>si:ch211-231f6.6</t>
  </si>
  <si>
    <t>si:ch211-231f6.6 [Source:ZFIN;Acc:ZDB-GENE-141216-156]</t>
  </si>
  <si>
    <t>ENSDARG00000060027</t>
  </si>
  <si>
    <t>nom1</t>
  </si>
  <si>
    <t>nucleolar protein with MIF4G domain 1 [Source:ZFIN;Acc:ZDB-GENE-060503-321]</t>
  </si>
  <si>
    <t>ENSDARG00000013312</t>
  </si>
  <si>
    <t>cadps2</t>
  </si>
  <si>
    <t>Ca++-dependent secretion activator 2 [Source:ZFIN;Acc:ZDB-GENE-030903-1]</t>
  </si>
  <si>
    <t>ENSDARG00000043211</t>
  </si>
  <si>
    <t>ripk4</t>
  </si>
  <si>
    <t>receptor-interacting serine-threonine kinase 4 [Source:ZFIN;Acc:ZDB-GENE-040426-2042]</t>
  </si>
  <si>
    <t>ENSDARG00000021985</t>
  </si>
  <si>
    <t>ercc2</t>
  </si>
  <si>
    <t>excision repair cross-complementation group 2 [Source:ZFIN;Acc:ZDB-GENE-040426-997]</t>
  </si>
  <si>
    <t>ENSDARG00000077297</t>
  </si>
  <si>
    <t>nbr1</t>
  </si>
  <si>
    <t>neighbor of brca1 gene 1 [Source:ZFIN;Acc:ZDB-GENE-030131-9112]</t>
  </si>
  <si>
    <t>ENSDARG00000053934</t>
  </si>
  <si>
    <t>hdhd3</t>
  </si>
  <si>
    <t>haloacid dehalogenase-like hydrolase domain containing 3 [Source:ZFIN;Acc:ZDB-GENE-040724-118]</t>
  </si>
  <si>
    <t>ENSDARG00000060101</t>
  </si>
  <si>
    <t>trappc12</t>
  </si>
  <si>
    <t>trafficking protein particle complex 12 [Source:ZFIN;Acc:ZDB-GENE-070112-1282]</t>
  </si>
  <si>
    <t>ENSDARG00000029911</t>
  </si>
  <si>
    <t>casc3</t>
  </si>
  <si>
    <t>cancer susceptibility candidate 3 [Source:ZFIN;Acc:ZDB-GENE-040308-2]</t>
  </si>
  <si>
    <t>ENSDARG00000005122</t>
  </si>
  <si>
    <t>atp2a2b</t>
  </si>
  <si>
    <t>ATPase, Ca++ transporting, cardiac muscle, slow twitch 2b [Source:ZFIN;Acc:ZDB-GENE-030131-867]</t>
  </si>
  <si>
    <t>ENSDARG00000078311</t>
  </si>
  <si>
    <t>dcaf6</t>
  </si>
  <si>
    <t>ddb1 and cul4 associated factor 6 [Source:ZFIN;Acc:ZDB-GENE-090206-2]</t>
  </si>
  <si>
    <t>ENSDARG00000022763</t>
  </si>
  <si>
    <t>hpcal1</t>
  </si>
  <si>
    <t>hippocalcin-like 1 [Source:ZFIN;Acc:ZDB-GENE-040426-1242]</t>
  </si>
  <si>
    <t>ENSDARG00000103566</t>
  </si>
  <si>
    <t>tomm20</t>
  </si>
  <si>
    <t>translocase of outer mitochondrial membrane 20 homolog (yeast) [Source:ZFIN;Acc:ZDB-GENE-040718-451]</t>
  </si>
  <si>
    <t>ENSDARG00000068629</t>
  </si>
  <si>
    <t>cd151l</t>
  </si>
  <si>
    <t>CD151 antigen, like [Source:ZFIN;Acc:ZDB-GENE-040426-1868]</t>
  </si>
  <si>
    <t>ENSDARG00000046053</t>
  </si>
  <si>
    <t>slc27a6</t>
  </si>
  <si>
    <t>solute carrier family 27 (fatty acid transporter), member 6 [Source:ZFIN;Acc:ZDB-GENE-060825-27]</t>
  </si>
  <si>
    <t>ENSDARG00000058229</t>
  </si>
  <si>
    <t>acot11a</t>
  </si>
  <si>
    <t>acyl-CoA thioesterase 11a [Source:ZFIN;Acc:ZDB-GENE-050522-538]</t>
  </si>
  <si>
    <t>ENSDARG00000043361</t>
  </si>
  <si>
    <t>nck2b</t>
  </si>
  <si>
    <t>NCK adaptor protein 2b [Source:ZFIN;Acc:ZDB-GENE-040801-235]</t>
  </si>
  <si>
    <t>ENSDARG00000021033</t>
  </si>
  <si>
    <t>herpud2</t>
  </si>
  <si>
    <t>HERPUD family member 2 [Source:ZFIN;Acc:ZDB-GENE-040426-868]</t>
  </si>
  <si>
    <t>ENSDARG00000053196</t>
  </si>
  <si>
    <t>mtor</t>
  </si>
  <si>
    <t>mechanistic target of rapamycin (serine/threonine kinase) [Source:ZFIN;Acc:ZDB-GENE-030131-2974]</t>
  </si>
  <si>
    <t>ENSDARG00000045105</t>
  </si>
  <si>
    <t>foxn2b</t>
  </si>
  <si>
    <t>forkhead box N2b [Source:ZFIN;Acc:ZDB-GENE-050417-1]</t>
  </si>
  <si>
    <t>ENSDARG00000063182</t>
  </si>
  <si>
    <t>rc3h1b</t>
  </si>
  <si>
    <t>ring finger and CCCH-type domains 1b [Source:ZFIN;Acc:ZDB-GENE-060503-79]</t>
  </si>
  <si>
    <t>ENSDARG00000099930</t>
  </si>
  <si>
    <t>col27a1b</t>
  </si>
  <si>
    <t>collagen, type XXVII, alpha 1b [Source:ZFIN;Acc:ZDB-GENE-100119-2]</t>
  </si>
  <si>
    <t>ENSDARG00000009472</t>
  </si>
  <si>
    <t>med19b</t>
  </si>
  <si>
    <t>mediator complex subunit 19b [Source:ZFIN;Acc:ZDB-GENE-040727-4]</t>
  </si>
  <si>
    <t>ENSDARG00000068763</t>
  </si>
  <si>
    <t>plcg2</t>
  </si>
  <si>
    <t>phospholipase C, gamma 2 [Source:ZFIN;Acc:ZDB-GENE-030131-9532]</t>
  </si>
  <si>
    <t>ENSDARG00000019000</t>
  </si>
  <si>
    <t>smc3</t>
  </si>
  <si>
    <t>structural maintenance of chromosomes 3 [Source:ZFIN;Acc:ZDB-GENE-030131-3196]</t>
  </si>
  <si>
    <t>ENSDARG00000104177</t>
  </si>
  <si>
    <t>cpne3</t>
  </si>
  <si>
    <t>copine III [Source:ZFIN;Acc:ZDB-GENE-040426-763]</t>
  </si>
  <si>
    <t>ENSDARG00000017569</t>
  </si>
  <si>
    <t>reep3a</t>
  </si>
  <si>
    <t>receptor accessory protein 3a [Source:ZFIN;Acc:ZDB-GENE-051127-47]</t>
  </si>
  <si>
    <t>ENSDARG00000045367</t>
  </si>
  <si>
    <t>tuba1b</t>
  </si>
  <si>
    <t>tubulin, alpha 1b [Source:ZFIN;Acc:ZDB-GENE-030822-1]</t>
  </si>
  <si>
    <t>ENSDARG00000092315</t>
  </si>
  <si>
    <t>si:dkeyp-15f12.4</t>
  </si>
  <si>
    <t>si:dkeyp-15f12.4 [Source:ZFIN;Acc:ZDB-GENE-060526-367]</t>
  </si>
  <si>
    <t>ENSDARG00000015780</t>
  </si>
  <si>
    <t>ankrd46b</t>
  </si>
  <si>
    <t>ankyrin repeat domain 46b [Source:ZFIN;Acc:ZDB-GENE-050114-7]</t>
  </si>
  <si>
    <t>ENSDARG00000012234</t>
  </si>
  <si>
    <t>psme3</t>
  </si>
  <si>
    <t>proteasome activator subunit 3 [Source:ZFIN;Acc:ZDB-GENE-991110-19]</t>
  </si>
  <si>
    <t>ENSDARG00000079930</t>
  </si>
  <si>
    <t>si:dkeyp-68b7.5</t>
  </si>
  <si>
    <t>si:dkeyp-68b7.5 [Source:ZFIN;Acc:ZDB-GENE-070912-670]</t>
  </si>
  <si>
    <t>ENSDARG00000086505</t>
  </si>
  <si>
    <t>mast3b</t>
  </si>
  <si>
    <t>microtubule associated serine/threonine kinase 3b [Source:ZFIN;Acc:ZDB-GENE-111209-1]</t>
  </si>
  <si>
    <t>ENSDARG00000037281</t>
  </si>
  <si>
    <t>fgg</t>
  </si>
  <si>
    <t>fibrinogen gamma chain [Source:ZFIN;Acc:ZDB-GENE-040426-1998]</t>
  </si>
  <si>
    <t>ENSDARG00000015968</t>
  </si>
  <si>
    <t>rabgef1l</t>
  </si>
  <si>
    <t>RAB guanine nucleotide exchange factor (GEF) 1, like [Source:ZFIN;Acc:ZDB-GENE-040426-813]</t>
  </si>
  <si>
    <t>ENSDARG00000099144</t>
  </si>
  <si>
    <t>igfbp3</t>
  </si>
  <si>
    <t>insulin-like growth factor binding protein 3 [Source:ZFIN;Acc:ZDB-GENE-040412-1]</t>
  </si>
  <si>
    <t>ENSDARG00000028896</t>
  </si>
  <si>
    <t>plpp2b</t>
  </si>
  <si>
    <t>phospholipid phosphatase 2b [Source:ZFIN;Acc:ZDB-GENE-030131-7425]</t>
  </si>
  <si>
    <t>ENSDARG00000103747</t>
  </si>
  <si>
    <t>cav1</t>
  </si>
  <si>
    <t>caveolin 1 [Source:ZFIN;Acc:ZDB-GENE-030131-2415]</t>
  </si>
  <si>
    <t>ENSDARG00000042522</t>
  </si>
  <si>
    <t>katnbl1</t>
  </si>
  <si>
    <t>katanin p80 subunit B-like 1 [Source:ZFIN;Acc:ZDB-GENE-030131-4155]</t>
  </si>
  <si>
    <t>ENSDARG00000059212</t>
  </si>
  <si>
    <t>ciao1</t>
  </si>
  <si>
    <t>cytosolic iron-sulfur assembly component 1 [Source:ZFIN;Acc:ZDB-GENE-040426-839]</t>
  </si>
  <si>
    <t>ENSDARG00000028628</t>
  </si>
  <si>
    <t>gdap1l1</t>
  </si>
  <si>
    <t>ganglioside induced differentiation associated protein 1-like 1 [Source:ZFIN;Acc:ZDB-GENE-080812-2]</t>
  </si>
  <si>
    <t>ENSDARG00000103606</t>
  </si>
  <si>
    <t>NDST1</t>
  </si>
  <si>
    <t>si:ch211-151g22.1 [Source:ZFIN;Acc:ZDB-GENE-091204-12]</t>
  </si>
  <si>
    <t>ENSDARG00000039173</t>
  </si>
  <si>
    <t>ctslb</t>
  </si>
  <si>
    <t>cathepsin Lb [Source:ZFIN;Acc:ZDB-GENE-980526-285]</t>
  </si>
  <si>
    <t>ENSDARG00000036865</t>
  </si>
  <si>
    <t>slc2a12</t>
  </si>
  <si>
    <t>solute carrier family 2 (facilitated glucose transporter), member 12 [Source:ZFIN;Acc:ZDB-GENE-040426-1513]</t>
  </si>
  <si>
    <t>ENSDARG00000005842</t>
  </si>
  <si>
    <t>cd9a</t>
  </si>
  <si>
    <t>CD9 molecule a [Source:ZFIN;Acc:ZDB-GENE-030131-1175]</t>
  </si>
  <si>
    <t>ENSDARG00000104244</t>
  </si>
  <si>
    <t>twsg1a</t>
  </si>
  <si>
    <t>twisted gastrulation BMP signaling modulator 1a [Source:ZFIN;Acc:ZDB-GENE-010509-2]</t>
  </si>
  <si>
    <t>ENSDARG00000029474</t>
  </si>
  <si>
    <t>camk1b</t>
  </si>
  <si>
    <t>calcium/calmodulin-dependent protein kinase Ib [Source:ZFIN;Acc:ZDB-GENE-141014-1]</t>
  </si>
  <si>
    <t>ENSDARG00000074245</t>
  </si>
  <si>
    <t>spen</t>
  </si>
  <si>
    <t>spen family transcriptional repressor [Source:ZFIN;Acc:ZDB-GENE-050309-70]</t>
  </si>
  <si>
    <t>ENSDARG00000075571</t>
  </si>
  <si>
    <t>bicd2</t>
  </si>
  <si>
    <t>bicaudal D homolog 2 (Drosophila) [Source:ZFIN;Acc:ZDB-GENE-120717-1]</t>
  </si>
  <si>
    <t>ENSDARG00000031161</t>
  </si>
  <si>
    <t>nr1d4a</t>
  </si>
  <si>
    <t>nuclear receptor subfamily 1, group D, member 4a [Source:ZFIN;Acc:ZDB-GENE-080403-5]</t>
  </si>
  <si>
    <t>ENSDARG00000043963</t>
  </si>
  <si>
    <t>ACTL7A</t>
  </si>
  <si>
    <t>si:ch211-241j12.3 [Source:ZFIN;Acc:ZDB-GENE-040724-72]</t>
  </si>
  <si>
    <t>ENSDARG00000021895</t>
  </si>
  <si>
    <t>disc1</t>
  </si>
  <si>
    <t>disrupted in schizophrenia 1 [Source:ZFIN;Acc:ZDB-GENE-090122-1]</t>
  </si>
  <si>
    <t>ENSDARG00000028119</t>
  </si>
  <si>
    <t>sumo3a</t>
  </si>
  <si>
    <t>small ubiquitin-like modifier 3a [Source:ZFIN;Acc:ZDB-GENE-040426-2133]</t>
  </si>
  <si>
    <t>ENSDARG00000018693</t>
  </si>
  <si>
    <t>cdh2</t>
  </si>
  <si>
    <t>cadherin 2, type 1, N-cadherin (neuronal) [Source:ZFIN;Acc:ZDB-GENE-990415-171]</t>
  </si>
  <si>
    <t>ENSDARG00000060253</t>
  </si>
  <si>
    <t>si:ch211-216b21.2</t>
  </si>
  <si>
    <t>si:ch211-216b21.2 [Source:ZFIN;Acc:ZDB-GENE-130603-96]</t>
  </si>
  <si>
    <t>ENSDARG00000105445</t>
  </si>
  <si>
    <t>si:ch211-190h11.2</t>
  </si>
  <si>
    <t>si:ch211-190h11.2 [Source:ZFIN;Acc:ZDB-GENE-160114-2]</t>
  </si>
  <si>
    <t>ENSDARG00000077434</t>
  </si>
  <si>
    <t>mon1bb</t>
  </si>
  <si>
    <t>MON1 secretory trafficking family member Bb [Source:ZFIN;Acc:ZDB-GENE-030131-3790]</t>
  </si>
  <si>
    <t>ENSDARG00000071097</t>
  </si>
  <si>
    <t>si:ch73-367f21.4</t>
  </si>
  <si>
    <t>si:ch73-367f21.4 [Source:ZFIN;Acc:ZDB-GENE-120214-27]</t>
  </si>
  <si>
    <t>ENSDARG00000003631</t>
  </si>
  <si>
    <t>clockb</t>
  </si>
  <si>
    <t>clock circadian regulator b [Source:ZFIN;Acc:ZDB-GENE-030408-2]</t>
  </si>
  <si>
    <t>ENSDARG00000091836</t>
  </si>
  <si>
    <t>casp7</t>
  </si>
  <si>
    <t>caspase 7, apoptosis-related cysteine peptidase [Source:ZFIN;Acc:ZDB-GENE-050522-506]</t>
  </si>
  <si>
    <t>ENSDARG00000003517</t>
  </si>
  <si>
    <t>impa1</t>
  </si>
  <si>
    <t>inositol(myo)-1(or 4)-monophosphatase 1 [Source:ZFIN;Acc:ZDB-GENE-040718-245]</t>
  </si>
  <si>
    <t>ENSDARG00000094988</t>
  </si>
  <si>
    <t>si:dkeyp-13a3.6</t>
  </si>
  <si>
    <t>si:dkeyp-13a3.6 [Source:ZFIN;Acc:ZDB-GENE-070912-637]</t>
  </si>
  <si>
    <t>ENSDARG00000102989</t>
  </si>
  <si>
    <t>si:ch73-334l12.4</t>
  </si>
  <si>
    <t>si:ch73-334l12.4 [Source:ZFIN;Acc:ZDB-GENE-131127-194]</t>
  </si>
  <si>
    <t>ENSDARG00000034291</t>
  </si>
  <si>
    <t>rpl37</t>
  </si>
  <si>
    <t>ribosomal protein L37 [Source:ZFIN;Acc:ZDB-GENE-040625-39]</t>
  </si>
  <si>
    <t>ENSDARG00000002467</t>
  </si>
  <si>
    <t>rdh14b</t>
  </si>
  <si>
    <t>retinol dehydrogenase 14b (all-trans/9-cis/11-cis) [Source:ZFIN;Acc:ZDB-GENE-030131-6605]</t>
  </si>
  <si>
    <t>ENSDARG00000057649</t>
  </si>
  <si>
    <t>satb1a</t>
  </si>
  <si>
    <t>SATB homeobox 1a [Source:ZFIN;Acc:ZDB-GENE-031010-36]</t>
  </si>
  <si>
    <t>ENSDARG00000042509</t>
  </si>
  <si>
    <t>glod4</t>
  </si>
  <si>
    <t>glyoxalase domain containing 4 [Source:ZFIN;Acc:ZDB-GENE-040912-38]</t>
  </si>
  <si>
    <t>ENSDARG00000058392</t>
  </si>
  <si>
    <t>adcy2a</t>
  </si>
  <si>
    <t>adenylate cyclase 2a [Source:ZFIN;Acc:ZDB-GENE-061109-1]</t>
  </si>
  <si>
    <t>ENSDARG00000053840</t>
  </si>
  <si>
    <t>ei24</t>
  </si>
  <si>
    <t>etoposide induced 2.4 [Source:ZFIN;Acc:ZDB-GENE-050417-457]</t>
  </si>
  <si>
    <t>ENSDARG00000001889</t>
  </si>
  <si>
    <t>tuba1a</t>
  </si>
  <si>
    <t>tubulin, alpha 1a [Source:ZFIN;Acc:ZDB-GENE-090507-4]</t>
  </si>
  <si>
    <t>ENSDARG00000040528</t>
  </si>
  <si>
    <t>lgals3bpb</t>
  </si>
  <si>
    <t>lectin, galactoside-binding, soluble, 3 binding protein b [Source:ZFIN;Acc:ZDB-GENE-040426-2262]</t>
  </si>
  <si>
    <t>ENSDARG00000075177</t>
  </si>
  <si>
    <t>ribc2</t>
  </si>
  <si>
    <t>RIB43A domain with coiled-coils 2 [Source:ZFIN;Acc:ZDB-GENE-050411-27]</t>
  </si>
  <si>
    <t>ENSDARG00000069672</t>
  </si>
  <si>
    <t>tyw5</t>
  </si>
  <si>
    <t>tRNA-yW synthesizing protein 5 [Source:ZFIN;Acc:ZDB-GENE-060929-894]</t>
  </si>
  <si>
    <t>ENSDARG00000002405</t>
  </si>
  <si>
    <t>si:ch211-225b11.1</t>
  </si>
  <si>
    <t>si:ch211-225b11.1 [Source:ZFIN;Acc:ZDB-GENE-060531-39]</t>
  </si>
  <si>
    <t>ENSDARG00000018997</t>
  </si>
  <si>
    <t>cplx2l</t>
  </si>
  <si>
    <t>complexin 2, like [Source:ZFIN;Acc:ZDB-GENE-040718-160]</t>
  </si>
  <si>
    <t>ENSDARG00000055027</t>
  </si>
  <si>
    <t>pomt2</t>
  </si>
  <si>
    <t>protein-O-mannosyltransferase 2 [Source:ZFIN;Acc:ZDB-GENE-070112-1002]</t>
  </si>
  <si>
    <t>ENSDARG00000009837</t>
  </si>
  <si>
    <t>agk</t>
  </si>
  <si>
    <t>acylglycerol kinase [Source:ZFIN;Acc:ZDB-GENE-030131-6202]</t>
  </si>
  <si>
    <t>ENSDARG00000015997</t>
  </si>
  <si>
    <t>mfsd5</t>
  </si>
  <si>
    <t>major facilitator superfamily domain containing 5 [Source:ZFIN;Acc:ZDB-GENE-040718-468]</t>
  </si>
  <si>
    <t>ENSDARG00000070986</t>
  </si>
  <si>
    <t>sergef</t>
  </si>
  <si>
    <t>secretion regulating guanine nucleotide exchange factor [Source:ZFIN;Acc:ZDB-GENE-061220-11]</t>
  </si>
  <si>
    <t>ENSDARG00000089503</t>
  </si>
  <si>
    <t>si:ch73-367f21.5</t>
  </si>
  <si>
    <t>si:ch73-367f21.5 [Source:ZFIN;Acc:ZDB-GENE-120214-29]</t>
  </si>
  <si>
    <t>ENSDARG00000011298</t>
  </si>
  <si>
    <t>atf7a</t>
  </si>
  <si>
    <t>activating transcription factor 7a [Source:ZFIN;Acc:ZDB-GENE-050721-2]</t>
  </si>
  <si>
    <t>ENSDARG00000056783</t>
  </si>
  <si>
    <t>raraa</t>
  </si>
  <si>
    <t>retinoic acid receptor, alpha a [Source:ZFIN;Acc:ZDB-GENE-980526-284]</t>
  </si>
  <si>
    <t>ENSDARG00000032013</t>
  </si>
  <si>
    <t>pafah1b1a</t>
  </si>
  <si>
    <t>platelet-activating factor acetylhydrolase 1b, regulatory subunit 1a [Source:ZFIN;Acc:ZDB-GENE-040116-2]</t>
  </si>
  <si>
    <t>ENSDARG00000043180</t>
  </si>
  <si>
    <t>gpd1b</t>
  </si>
  <si>
    <t>glycerol-3-phosphate dehydrogenase 1b [Source:ZFIN;Acc:ZDB-GENE-030131-3906]</t>
  </si>
  <si>
    <t>ENSDARG00000016470</t>
  </si>
  <si>
    <t>anxa5b</t>
  </si>
  <si>
    <t>annexin A5b [Source:ZFIN;Acc:ZDB-GENE-030131-9076]</t>
  </si>
  <si>
    <t>ENSDARG00000010962</t>
  </si>
  <si>
    <t>fkbp7</t>
  </si>
  <si>
    <t>FK506 binding protein 7 [Source:ZFIN;Acc:ZDB-GENE-030616-182]</t>
  </si>
  <si>
    <t>ENSDARG00000078991</t>
  </si>
  <si>
    <t>NAT8</t>
  </si>
  <si>
    <t>si:ch211-195e19.1 [Source:ZFIN;Acc:ZDB-GENE-141216-110]</t>
  </si>
  <si>
    <t>ENSDARG00000036995</t>
  </si>
  <si>
    <t>lsm6</t>
  </si>
  <si>
    <t>LSM6 homolog, U6 small nuclear RNA and mRNA degradation associated [Source:ZFIN;Acc:ZDB-GENE-040625-50]</t>
  </si>
  <si>
    <t>ENSDARG00000102200</t>
  </si>
  <si>
    <t>man2a1</t>
  </si>
  <si>
    <t>mannosidase, alpha, class 2A, member 1 [Source:ZFIN;Acc:ZDB-GENE-060526-31]</t>
  </si>
  <si>
    <t>ENSDARG00000103422</t>
  </si>
  <si>
    <t>usp10</t>
  </si>
  <si>
    <t>ubiquitin specific peptidase 10 [Source:ZFIN;Acc:ZDB-GENE-030219-132]</t>
  </si>
  <si>
    <t>ENSDARG00000059811</t>
  </si>
  <si>
    <t>smpd5</t>
  </si>
  <si>
    <t>sphingomyelin phosphodiesterase 5 [Source:ZFIN;Acc:ZDB-GENE-061110-22]</t>
  </si>
  <si>
    <t>ENSDARG00000057042</t>
  </si>
  <si>
    <t>tm2d1</t>
  </si>
  <si>
    <t>TM2 domain containing 1 [Source:ZFIN;Acc:ZDB-GENE-050208-580]</t>
  </si>
  <si>
    <t>ENSDARG00000060069</t>
  </si>
  <si>
    <t>isoc1</t>
  </si>
  <si>
    <t>isochorismatase domain containing 1 [Source:ZFIN;Acc:ZDB-GENE-061020-1]</t>
  </si>
  <si>
    <t>ENSDARG00000023117</t>
  </si>
  <si>
    <t>gopc</t>
  </si>
  <si>
    <t>golgi-associated PDZ and coiled-coil motif containing [Source:ZFIN;Acc:ZDB-GENE-030131-5086]</t>
  </si>
  <si>
    <t>ENSDARG00000079128</t>
  </si>
  <si>
    <t>becn1</t>
  </si>
  <si>
    <t>beclin 1, autophagy related [Source:ZFIN;Acc:ZDB-GENE-040426-1666]</t>
  </si>
  <si>
    <t>ENSDARG00000058672</t>
  </si>
  <si>
    <t>NUGGC</t>
  </si>
  <si>
    <t>NUGGC.3</t>
  </si>
  <si>
    <t>si:dkey-266f7.1 [Source:ZFIN;Acc:ZDB-GENE-061207-67]</t>
  </si>
  <si>
    <t>ENSDARG00000034293</t>
  </si>
  <si>
    <t>hif1ab</t>
  </si>
  <si>
    <t>hypoxia inducible factor 1, alpha subunit (basic helix-loop-helix transcription factor) b [Source:ZFIN;Acc:ZDB-GENE-040426-706]</t>
  </si>
  <si>
    <t>ENSDARG00000006125</t>
  </si>
  <si>
    <t>csnk1db</t>
  </si>
  <si>
    <t>casein kinase 1, delta b [Source:ZFIN;Acc:ZDB-GENE-040426-2385]</t>
  </si>
  <si>
    <t>ENSDARG00000087443</t>
  </si>
  <si>
    <t>ptp4a2a</t>
  </si>
  <si>
    <t>protein tyrosine phosphatase type IVA, member 2a [Source:ZFIN;Acc:ZDB-GENE-040930-1]</t>
  </si>
  <si>
    <t>ENSDARG00000018891</t>
  </si>
  <si>
    <t>rnaseh2a</t>
  </si>
  <si>
    <t>ribonuclease H2, subunit A [Source:ZFIN;Acc:ZDB-GENE-040426-976]</t>
  </si>
  <si>
    <t>ENSDARG00000006192</t>
  </si>
  <si>
    <t>gatad2ab</t>
  </si>
  <si>
    <t>GATA zinc finger domain containing 2Ab [Source:ZFIN;Acc:ZDB-GENE-040426-2372]</t>
  </si>
  <si>
    <t>ENSDARG00000043728</t>
  </si>
  <si>
    <t>srek1ip1</t>
  </si>
  <si>
    <t>SREK1-interacting protein 1 [Source:ZFIN;Acc:ZDB-GENE-051030-24]</t>
  </si>
  <si>
    <t>ENSDARG00000103992</t>
  </si>
  <si>
    <t>si:dkey-146m20.14</t>
  </si>
  <si>
    <t>si:dkey-146m20.14 [Source:ZFIN;Acc:ZDB-GENE-120703-9]</t>
  </si>
  <si>
    <t>ENSDARG00000018968</t>
  </si>
  <si>
    <t>acvr1ba</t>
  </si>
  <si>
    <t>activin A receptor, type IBa [Source:ZFIN;Acc:ZDB-GENE-980526-527]</t>
  </si>
  <si>
    <t>ENSDARG00000103339</t>
  </si>
  <si>
    <t>si:ch211-193l2.5</t>
  </si>
  <si>
    <t>si:ch211-193l2.5 [Source:ZFIN;Acc:ZDB-GENE-141216-226]</t>
  </si>
  <si>
    <t>ENSDARG00000062489</t>
  </si>
  <si>
    <t>march8</t>
  </si>
  <si>
    <t>membrane-associated ring finger (C3HC4) 8 [Source:ZFIN;Acc:ZDB-GENE-080204-8]</t>
  </si>
  <si>
    <t>ENSDARG00000103935</t>
  </si>
  <si>
    <t>rab27a</t>
  </si>
  <si>
    <t>RAB27A, member RAS oncogene family [Source:ZFIN;Acc:ZDB-GENE-050913-46]</t>
  </si>
  <si>
    <t>ENSDARG00000021149</t>
  </si>
  <si>
    <t>cbr1l</t>
  </si>
  <si>
    <t>carbonyl reductase 1-like [Source:ZFIN;Acc:ZDB-GENE-030131-9642]</t>
  </si>
  <si>
    <t>ENSDARG00000061796</t>
  </si>
  <si>
    <t>rasgrp4</t>
  </si>
  <si>
    <t>RAS guanyl releasing protein 4 [Source:ZFIN;Acc:ZDB-GENE-050419-110]</t>
  </si>
  <si>
    <t>ENSDARG00000087647</t>
  </si>
  <si>
    <t>sept7a</t>
  </si>
  <si>
    <t>septin 7a [Source:ZFIN;Acc:ZDB-GENE-040426-1008]</t>
  </si>
  <si>
    <t>ENSDARG00000040027</t>
  </si>
  <si>
    <t>osbpl10</t>
  </si>
  <si>
    <t>oxysterol binding protein-like 10 [Source:ZFIN;Acc:ZDB-GENE-081002-4]</t>
  </si>
  <si>
    <t>ENSDARG00000103166</t>
  </si>
  <si>
    <t>si:zfos-2069a7.3</t>
  </si>
  <si>
    <t>si:zfos-2069a7.3 [Source:ZFIN;Acc:ZDB-GENE-141212-368]</t>
  </si>
  <si>
    <t>ENSDARG00000039343</t>
  </si>
  <si>
    <t>ahcyl2</t>
  </si>
  <si>
    <t>adenosylhomocysteinase-like 2 [Source:ZFIN;Acc:ZDB-GENE-040115-5]</t>
  </si>
  <si>
    <t>ENSDARG00000030957</t>
  </si>
  <si>
    <t>yipf4</t>
  </si>
  <si>
    <t>Yip1 domain family, member 4 [Source:ZFIN;Acc:ZDB-GENE-040426-2253]</t>
  </si>
  <si>
    <t>ENSDARG00000089806</t>
  </si>
  <si>
    <t>si:dkey-239j18.3</t>
  </si>
  <si>
    <t>si:dkey-239j18.3 [Source:ZFIN;Acc:ZDB-GENE-121214-39]</t>
  </si>
  <si>
    <t>ENSDARG00000045257</t>
  </si>
  <si>
    <t>decr2</t>
  </si>
  <si>
    <t>2,4-dienoyl CoA reductase 2, peroxisomal [Source:ZFIN;Acc:ZDB-GENE-040426-2612]</t>
  </si>
  <si>
    <t>ENSDARG00000059351</t>
  </si>
  <si>
    <t>hnrnpa3</t>
  </si>
  <si>
    <t>heterogeneous nuclear ribonucleoprotein A3 [Source:ZFIN;Acc:ZDB-GENE-060224-1]</t>
  </si>
  <si>
    <t>ENSDARG00000098057</t>
  </si>
  <si>
    <t>dscaml1</t>
  </si>
  <si>
    <t>Down syndrome cell adhesion molecule like 1 [Source:ZFIN;Acc:ZDB-GENE-110601-1]</t>
  </si>
  <si>
    <t>ENSDARG00000000690</t>
  </si>
  <si>
    <t>sypl2b</t>
  </si>
  <si>
    <t>synaptophysin-like 2b [Source:ZFIN;Acc:ZDB-GENE-050417-309]</t>
  </si>
  <si>
    <t>ENSDARG00000067920</t>
  </si>
  <si>
    <t>rab8a</t>
  </si>
  <si>
    <t>RAB8A, member RAS oncogene family [Source:ZFIN;Acc:ZDB-GENE-070424-36]</t>
  </si>
  <si>
    <t>ENSDARG00000092283</t>
  </si>
  <si>
    <t>cxl34b.11</t>
  </si>
  <si>
    <t>CX chemokine ligand 34b, duplicate 11 [Source:ZFIN;Acc:ZDB-GENE-091204-33]</t>
  </si>
  <si>
    <t>ENSDARG00000096711</t>
  </si>
  <si>
    <t>si:ch211-194k22.8</t>
  </si>
  <si>
    <t>si:ch211-194k22.8 [Source:ZFIN;Acc:ZDB-GENE-030131-1820]</t>
  </si>
  <si>
    <t>ENSDARG00000087798</t>
  </si>
  <si>
    <t>pdyn</t>
  </si>
  <si>
    <t>prodynorphin [Source:ZFIN;Acc:ZDB-GENE-060417-1]</t>
  </si>
  <si>
    <t>ENSDARG00000019525</t>
  </si>
  <si>
    <t>tbcelb</t>
  </si>
  <si>
    <t>tubulin folding cofactor E-like b [Source:ZFIN;Acc:ZDB-GENE-100921-13]</t>
  </si>
  <si>
    <t>ENSDARG00000058538</t>
  </si>
  <si>
    <t>alcamb</t>
  </si>
  <si>
    <t>activated leukocyte cell adhesion molecule b [Source:ZFIN;Acc:ZDB-GENE-030131-1768]</t>
  </si>
  <si>
    <t>ENSDARG00000103996</t>
  </si>
  <si>
    <t>spdl1</t>
  </si>
  <si>
    <t>spindle apparatus coiled-coil protein 1 [Source:ZFIN;Acc:ZDB-GENE-070928-7]</t>
  </si>
  <si>
    <t>ENSDARG00000097461</t>
  </si>
  <si>
    <t>si:dkey-31b16.15</t>
  </si>
  <si>
    <t>si:dkey-31b16.15 [Source:ZFIN;Acc:ZDB-GENE-131121-487]</t>
  </si>
  <si>
    <t>ENSDARG00000031952</t>
  </si>
  <si>
    <t>mb</t>
  </si>
  <si>
    <t>myoglobin [Source:ZFIN;Acc:ZDB-GENE-040426-1430]</t>
  </si>
  <si>
    <t>ENSDARG00000076501</t>
  </si>
  <si>
    <t>asxl2</t>
  </si>
  <si>
    <t>additional sex combs like transcriptional regulator 2 [Source:ZFIN;Acc:ZDB-GENE-100412-1]</t>
  </si>
  <si>
    <t>ENSDARG00000059236</t>
  </si>
  <si>
    <t>ptger4a</t>
  </si>
  <si>
    <t>prostaglandin E receptor 4 (subtype EP4) a [Source:ZFIN;Acc:ZDB-GENE-060222-1]</t>
  </si>
  <si>
    <t>ENSDARG00000078585</t>
  </si>
  <si>
    <t>mon1a</t>
  </si>
  <si>
    <t>MON1 secretory trafficking family member A [Source:ZFIN;Acc:ZDB-GENE-070615-6]</t>
  </si>
  <si>
    <t>ENSDARG00000052975</t>
  </si>
  <si>
    <t>ubqln4</t>
  </si>
  <si>
    <t>ubiquilin 4 [Source:ZFIN;Acc:ZDB-GENE-030131-6269]</t>
  </si>
  <si>
    <t>ENSDARG00000019345</t>
  </si>
  <si>
    <t>mark3a</t>
  </si>
  <si>
    <t>MAP/microtubule affinity-regulating kinase 3a [Source:ZFIN;Acc:ZDB-GENE-030131-6232]</t>
  </si>
  <si>
    <t>ENSDARG00000026149</t>
  </si>
  <si>
    <t>slc46a1</t>
  </si>
  <si>
    <t>solute carrier family 46 (folate transporter), member 1 [Source:ZFIN;Acc:ZDB-GENE-040426-1012]</t>
  </si>
  <si>
    <t>ENSDARG00000087832</t>
  </si>
  <si>
    <t>bcl3</t>
  </si>
  <si>
    <t>B-cell CLL/lymphoma 3 [Source:ZFIN;Acc:ZDB-GENE-061013-1]</t>
  </si>
  <si>
    <t>ENSDARG00000074599</t>
  </si>
  <si>
    <t>frmd4ba</t>
  </si>
  <si>
    <t>FERM domain containing 4Ba [Source:ZFIN;Acc:ZDB-GENE-130412-1]</t>
  </si>
  <si>
    <t>ENSDARG00000041239</t>
  </si>
  <si>
    <t>wdr20b</t>
  </si>
  <si>
    <t>WD repeat domain 20b [Source:ZFIN;Acc:ZDB-GENE-041014-234]</t>
  </si>
  <si>
    <t>ENSDARG00000037895</t>
  </si>
  <si>
    <t>ramp2</t>
  </si>
  <si>
    <t>receptor (G protein-coupled) activity modifying protein 2 [Source:ZFIN;Acc:ZDB-GENE-080204-79]</t>
  </si>
  <si>
    <t>ENSDARG00000012192</t>
  </si>
  <si>
    <t>cant1a</t>
  </si>
  <si>
    <t>calcium activated nucleotidase 1a [Source:ZFIN;Acc:ZDB-GENE-040426-2441]</t>
  </si>
  <si>
    <t>ENSDARG00000063347</t>
  </si>
  <si>
    <t>TRPM4</t>
  </si>
  <si>
    <t>si:ch211-173d10.1 [Source:ZFIN;Acc:ZDB-GENE-121214-115]</t>
  </si>
  <si>
    <t>ENSDARG00000043806</t>
  </si>
  <si>
    <t>postna</t>
  </si>
  <si>
    <t>periostin, osteoblast specific factor a [Source:ZFIN;Acc:ZDB-GENE-091113-23]</t>
  </si>
  <si>
    <t>ENSDARG00000056268</t>
  </si>
  <si>
    <t>atxn7l2b</t>
  </si>
  <si>
    <t>ataxin 7-like 2b [Source:ZFIN;Acc:ZDB-GENE-040718-403]</t>
  </si>
  <si>
    <t>ENSDARG00000019280</t>
  </si>
  <si>
    <t>larsb</t>
  </si>
  <si>
    <t>leucyl-tRNA synthetase b [Source:ZFIN;Acc:ZDB-GENE-030114-7]</t>
  </si>
  <si>
    <t>ENSDARG00000012025</t>
  </si>
  <si>
    <t>hs6st2</t>
  </si>
  <si>
    <t>heparan sulfate 6-O-sulfotransferase 2 [Source:ZFIN;Acc:ZDB-GENE-030909-14]</t>
  </si>
  <si>
    <t>ENSDARG00000089953</t>
  </si>
  <si>
    <t>si:ch73-367f21.6</t>
  </si>
  <si>
    <t>si:ch73-367f21.6 [Source:ZFIN;Acc:ZDB-GENE-120214-31]</t>
  </si>
  <si>
    <t>ENSDARG00000052408</t>
  </si>
  <si>
    <t>mgat2</t>
  </si>
  <si>
    <t>mannosyl (alpha-1,6-)-glycoprotein beta-1,2-N-acetylglucosaminyltransferase [Source:ZFIN;Acc:ZDB-GENE-070410-54]</t>
  </si>
  <si>
    <t>ENSDARG00000015088</t>
  </si>
  <si>
    <t>dnajb11</t>
  </si>
  <si>
    <t>DnaJ (Hsp40) homolog, subfamily B, member 11 [Source:ZFIN;Acc:ZDB-GENE-031113-9]</t>
  </si>
  <si>
    <t>ENSDARG00000053315</t>
  </si>
  <si>
    <t>tmprss3a</t>
  </si>
  <si>
    <t>transmembrane protease, serine 3a [Source:ZFIN;Acc:ZDB-GENE-070912-70]</t>
  </si>
  <si>
    <t>ENSDARG00000037919</t>
  </si>
  <si>
    <t>rbbp6</t>
  </si>
  <si>
    <t>retinoblastoma binding protein 6 [Source:ZFIN;Acc:ZDB-GENE-040930-5]</t>
  </si>
  <si>
    <t>ENSDARG00000042124</t>
  </si>
  <si>
    <t>si:dkey-4e7.3</t>
  </si>
  <si>
    <t>si:dkey-4e7.3 [Source:ZFIN;Acc:ZDB-GENE-070912-542]</t>
  </si>
  <si>
    <t>ENSDARG00000091304</t>
  </si>
  <si>
    <t>card19</t>
  </si>
  <si>
    <t>caspase recruitment domain family, member 19 [Source:ZFIN;Acc:ZDB-GENE-041008-5]</t>
  </si>
  <si>
    <t>ENSDARG00000002184</t>
  </si>
  <si>
    <t>igbp1</t>
  </si>
  <si>
    <t>immunoglobulin (CD79A) binding protein 1 [Source:ZFIN;Acc:ZDB-GENE-040426-2928]</t>
  </si>
  <si>
    <t>ENSDARG00000098226</t>
  </si>
  <si>
    <t>smpd3</t>
  </si>
  <si>
    <t>sphingomyelin phosphodiesterase 3, neutral [Source:ZFIN;Acc:ZDB-GENE-081104-280]</t>
  </si>
  <si>
    <t>ENSDARG00000041232</t>
  </si>
  <si>
    <t>rps29</t>
  </si>
  <si>
    <t>ribosomal protein S29 [Source:ZFIN;Acc:ZDB-GENE-040622-5]</t>
  </si>
  <si>
    <t>ENSDARG00000094647</t>
  </si>
  <si>
    <t>nsun5</t>
  </si>
  <si>
    <t>ENSDARG00000062272</t>
  </si>
  <si>
    <t>afg3l2</t>
  </si>
  <si>
    <t>AFG3-like AAA ATPase 2 [Source:ZFIN;Acc:ZDB-GENE-070912-46]</t>
  </si>
  <si>
    <t>ENSDARG00000079620</t>
  </si>
  <si>
    <t>amigo1</t>
  </si>
  <si>
    <t>adhesion molecule with Ig-like domain 1 [Source:ZFIN;Acc:ZDB-GENE-060503-114]</t>
  </si>
  <si>
    <t>ENSDARG00000043209</t>
  </si>
  <si>
    <t>nsun5.1</t>
  </si>
  <si>
    <t>NOP2/Sun domain family, member 5 [Source:ZFIN;Acc:ZDB-GENE-040426-2476]</t>
  </si>
  <si>
    <t>ENSDARG00000068503</t>
  </si>
  <si>
    <t>gbgt1l4</t>
  </si>
  <si>
    <t>globoside alpha-1,3-N-acetylgalactosaminyltransferase 1, like 4 [Source:ZFIN;Acc:ZDB-GENE-031204-4]</t>
  </si>
  <si>
    <t>ENSDARG00000094085</t>
  </si>
  <si>
    <t>si:dkeyp-79c2.1</t>
  </si>
  <si>
    <t>si:dkeyp-79c2.1 [Source:ZFIN;Acc:ZDB-GENE-091112-8]</t>
  </si>
  <si>
    <t>ENSDARG00000075435</t>
  </si>
  <si>
    <t>akap11</t>
  </si>
  <si>
    <t>A kinase (PRKA) anchor protein 11 [Source:ZFIN;Acc:ZDB-GENE-090804-1]</t>
  </si>
  <si>
    <t>ENSDARG00000063583</t>
  </si>
  <si>
    <t>map2k4a</t>
  </si>
  <si>
    <t>mitogen-activated protein kinase kinase 4a [Source:ZFIN;Acc:ZDB-GENE-060512-98]</t>
  </si>
  <si>
    <t>ENSDARG00000094752</t>
  </si>
  <si>
    <t>rpe65b</t>
  </si>
  <si>
    <t>retinal pigment epithelium-specific protein 65b [Source:ZFIN;Acc:ZDB-GENE-050410-16]</t>
  </si>
  <si>
    <t>ENSDARG00000045947</t>
  </si>
  <si>
    <t>HRC</t>
  </si>
  <si>
    <t>ENSDARG00000035264</t>
  </si>
  <si>
    <t>riok2</t>
  </si>
  <si>
    <t>RIO kinase 2 (yeast) [Source:ZFIN;Acc:ZDB-GENE-040426-2913]</t>
  </si>
  <si>
    <t>ENSDARG00000062487</t>
  </si>
  <si>
    <t>si:dkey-6n6.1</t>
  </si>
  <si>
    <t>si:dkey-6n6.1 [Source:ZFIN;Acc:ZDB-GENE-060503-80]</t>
  </si>
  <si>
    <t>ENSDARG00000045051</t>
  </si>
  <si>
    <t>slc16a3</t>
  </si>
  <si>
    <t>solute carrier family 16 (monocarboxylate transporter), member 3 [Source:ZFIN;Acc:ZDB-GENE-030131-5487]</t>
  </si>
  <si>
    <t>ENSDARG00000038432</t>
  </si>
  <si>
    <t>actr10</t>
  </si>
  <si>
    <t>actin-related protein 10 homolog (S. cerevisiae) [Source:ZFIN;Acc:ZDB-GENE-040426-768]</t>
  </si>
  <si>
    <t>ENSDARG00000099351</t>
  </si>
  <si>
    <t>igfbp1a</t>
  </si>
  <si>
    <t>insulin-like growth factor binding protein 1a [Source:ZFIN;Acc:ZDB-GENE-021231-1]</t>
  </si>
  <si>
    <t>ENSDARG00000091428</t>
  </si>
  <si>
    <t>FCHSD2</t>
  </si>
  <si>
    <t>si:ch211-176g13.8 [Source:ZFIN;Acc:ZDB-GENE-091204-303]</t>
  </si>
  <si>
    <t>ENSDARG00000009266</t>
  </si>
  <si>
    <t>uevld</t>
  </si>
  <si>
    <t>UEV and lactate/malate dehyrogenase domains [Source:ZFIN;Acc:ZDB-GENE-040801-138]</t>
  </si>
  <si>
    <t>ENSDARG00000023999</t>
  </si>
  <si>
    <t>heatr5a</t>
  </si>
  <si>
    <t>HEAT repeat containing 5a [Source:ZFIN;Acc:ZDB-GENE-030616-152]</t>
  </si>
  <si>
    <t>ENSDARG00000077788</t>
  </si>
  <si>
    <t>arhgef10</t>
  </si>
  <si>
    <t>Rho guanine nucleotide exchange factor (GEF) 10 [Source:ZFIN;Acc:ZDB-GENE-030131-6210]</t>
  </si>
  <si>
    <t>ENSDARG00000052115</t>
  </si>
  <si>
    <t>ehf</t>
  </si>
  <si>
    <t>ets homologous factor [Source:ZFIN;Acc:ZDB-GENE-060312-7]</t>
  </si>
  <si>
    <t>ENSDARG00000074708</t>
  </si>
  <si>
    <t>armc3</t>
  </si>
  <si>
    <t>armadillo repeat containing 3 [Source:ZFIN;Acc:ZDB-GENE-110614-1]</t>
  </si>
  <si>
    <t>ENSDARG00000101935</t>
  </si>
  <si>
    <t>si:ch211-195b11.4</t>
  </si>
  <si>
    <t>si:ch211-195b11.4 [Source:ZFIN;Acc:ZDB-GENE-141215-38]</t>
  </si>
  <si>
    <t>ENSDARG00000067549</t>
  </si>
  <si>
    <t>adamts12</t>
  </si>
  <si>
    <t>ADAM metallopeptidase with thrombospondin type 1 motif, 12 [Source:ZFIN;Acc:ZDB-GENE-070705-471]</t>
  </si>
  <si>
    <t>ENSDARG00000036162</t>
  </si>
  <si>
    <t>hnrnpa0b</t>
  </si>
  <si>
    <t>heterogeneous nuclear ribonucleoprotein A0b [Source:ZFIN;Acc:ZDB-GENE-030131-6154]</t>
  </si>
  <si>
    <t>ENSDARG00000071679</t>
  </si>
  <si>
    <t>mydgf</t>
  </si>
  <si>
    <t>myeloid-derived growth factor [Source:ZFIN;Acc:ZDB-GENE-040718-183]</t>
  </si>
  <si>
    <t>ENSDARG00000101431</t>
  </si>
  <si>
    <t>gas8</t>
  </si>
  <si>
    <t>growth arrest-specific 8 [Source:ZFIN;Acc:ZDB-GENE-030131-1980]</t>
  </si>
  <si>
    <t>ENSDARG00000052816</t>
  </si>
  <si>
    <t>shmt1</t>
  </si>
  <si>
    <t>serine hydroxymethyltransferase 1 (soluble) [Source:ZFIN;Acc:ZDB-GENE-040426-1558]</t>
  </si>
  <si>
    <t>ENSDARG00000018476</t>
  </si>
  <si>
    <t>pak2b</t>
  </si>
  <si>
    <t>p21 protein (Cdc42/Rac)-activated kinase 2b [Source:ZFIN;Acc:ZDB-GENE-030131-3759]</t>
  </si>
  <si>
    <t>ENSDARG00000017522</t>
  </si>
  <si>
    <t>ctdp1</t>
  </si>
  <si>
    <t>CTD (carboxy-terminal domain, RNA polymerase II, polypeptide A) phosphatase, subunit 1 [Source:ZFIN;Acc:ZDB-GENE-040720-1]</t>
  </si>
  <si>
    <t>ENSDARG00000007184</t>
  </si>
  <si>
    <t>zbtb16a</t>
  </si>
  <si>
    <t>zinc finger and BTB domain containing 16a [Source:ZFIN;Acc:ZDB-GENE-030131-1989]</t>
  </si>
  <si>
    <t>ENSDARG00000035149</t>
  </si>
  <si>
    <t>pex12</t>
  </si>
  <si>
    <t>peroxisomal biogenesis factor 12 [Source:ZFIN;Acc:ZDB-GENE-040426-929]</t>
  </si>
  <si>
    <t>ENSDARG00000055570</t>
  </si>
  <si>
    <t>gpr61</t>
  </si>
  <si>
    <t>G protein-coupled receptor 61 [Source:ZFIN;Acc:ZDB-GENE-081104-239]</t>
  </si>
  <si>
    <t>ENSDARG00000055912</t>
  </si>
  <si>
    <t>nipa2</t>
  </si>
  <si>
    <t>non imprinted in Prader-Willi/Angelman syndrome 2 (human) [Source:ZFIN;Acc:ZDB-GENE-040426-2134]</t>
  </si>
  <si>
    <t>ENSDARG00000016543</t>
  </si>
  <si>
    <t>rnmtl1a</t>
  </si>
  <si>
    <t>RNA methyltransferase like 1a [Source:ZFIN;Acc:ZDB-GENE-050417-184]</t>
  </si>
  <si>
    <t>ENSDARG00000010078</t>
  </si>
  <si>
    <t>nup133</t>
  </si>
  <si>
    <t>nucleoporin 133 [Source:ZFIN;Acc:ZDB-GENE-040426-2941]</t>
  </si>
  <si>
    <t>ENSDARG00000042329</t>
  </si>
  <si>
    <t>BCR</t>
  </si>
  <si>
    <t>si:dkey-91m11.5 [Source:ZFIN;Acc:ZDB-GENE-060503-932]</t>
  </si>
  <si>
    <t>ENSDARG00000092556</t>
  </si>
  <si>
    <t>si:ch211-214j8.12</t>
  </si>
  <si>
    <t>si:ch211-214j8.12 [Source:ZFIN;Acc:ZDB-GENE-060526-102]</t>
  </si>
  <si>
    <t>ENSDARG00000075525</t>
  </si>
  <si>
    <t>cln8</t>
  </si>
  <si>
    <t>ceroid-lipofuscinosis, neuronal 8 [Source:ZFIN;Acc:ZDB-GENE-060906-3]</t>
  </si>
  <si>
    <t>ENSDARG00000009870</t>
  </si>
  <si>
    <t>mapk8b</t>
  </si>
  <si>
    <t>mitogen-activated protein kinase 8b [Source:ZFIN;Acc:ZDB-GENE-010202-1]</t>
  </si>
  <si>
    <t>ENSDARG00000060006</t>
  </si>
  <si>
    <t>nedd4l</t>
  </si>
  <si>
    <t>neural precursor cell expressed, developmentally down-regulated 4-like [Source:ZFIN;Acc:ZDB-GENE-051118-2]</t>
  </si>
  <si>
    <t>ENSDARG00000040505</t>
  </si>
  <si>
    <t>yif1b</t>
  </si>
  <si>
    <t>Yip1 interacting factor homolog B (S. cerevisiae) [Source:ZFIN;Acc:ZDB-GENE-041114-16]</t>
  </si>
  <si>
    <t>ENSDARG00000034173</t>
  </si>
  <si>
    <t>prkcq</t>
  </si>
  <si>
    <t>protein kinase C, theta [Source:ZFIN;Acc:ZDB-GENE-041210-195]</t>
  </si>
  <si>
    <t>ENSDARG00000010789</t>
  </si>
  <si>
    <t>homer3</t>
  </si>
  <si>
    <t>homer scaffolding protein 3 [Source:ZFIN;Acc:ZDB-GENE-040426-739]</t>
  </si>
  <si>
    <t>ENSDARG00000091867</t>
  </si>
  <si>
    <t>si:dkey-49m19.5</t>
  </si>
  <si>
    <t>si:dkey-49m19.5 [Source:ZFIN;Acc:ZDB-GENE-050208-725]</t>
  </si>
  <si>
    <t>ENSDARG00000054400</t>
  </si>
  <si>
    <t>si:ch211-198n5.11</t>
  </si>
  <si>
    <t>si:ch211-198n5.11 [Source:ZFIN;Acc:ZDB-GENE-050411-52]</t>
  </si>
  <si>
    <t>ENSDARG00000061631</t>
  </si>
  <si>
    <t>fbxo11a.1</t>
  </si>
  <si>
    <t>ENSDARG00000004581</t>
  </si>
  <si>
    <t>sel1l</t>
  </si>
  <si>
    <t>sel-1 suppressor of lin-12-like (C. elegans) [Source:ZFIN;Acc:ZDB-GENE-041001-122]</t>
  </si>
  <si>
    <t>ENSDARG00000101458</t>
  </si>
  <si>
    <t>r3hdm1</t>
  </si>
  <si>
    <t>R3H domain containing 1 [Source:ZFIN;Acc:ZDB-GENE-030131-7119]</t>
  </si>
  <si>
    <t>ENSDARG00000026178</t>
  </si>
  <si>
    <t>ube3d</t>
  </si>
  <si>
    <t>ubiquitin protein ligase E3D [Source:ZFIN;Acc:ZDB-GENE-091218-3]</t>
  </si>
  <si>
    <t>ENSDARG00000037708</t>
  </si>
  <si>
    <t>exosc10</t>
  </si>
  <si>
    <t>exosome component 10 [Source:ZFIN;Acc:ZDB-GENE-040426-781]</t>
  </si>
  <si>
    <t>ENSDARG00000078387</t>
  </si>
  <si>
    <t>si:dkey-92i15.4</t>
  </si>
  <si>
    <t>si:dkey-92i15.4 [Source:ZFIN;Acc:ZDB-GENE-030131-8422]</t>
  </si>
  <si>
    <t>ENSDARG00000086489</t>
  </si>
  <si>
    <t>si:ch211-3n24.1</t>
  </si>
  <si>
    <t>si:ch211-3n24.1 [Source:ZFIN;Acc:ZDB-GENE-141215-71]</t>
  </si>
  <si>
    <t>ENSDARG00000038990</t>
  </si>
  <si>
    <t>wnt3</t>
  </si>
  <si>
    <t>wingless-type MMTV integration site family, member 3 [Source:ZFIN;Acc:ZDB-GENE-081003-1]</t>
  </si>
  <si>
    <t>ENSDARG00000103315</t>
  </si>
  <si>
    <t>si:dkey-30d10.1</t>
  </si>
  <si>
    <t>si:dkey-30d10.1 [Source:ZFIN;Acc:ZDB-GENE-141216-284]</t>
  </si>
  <si>
    <t>ENSDARG00000079131</t>
  </si>
  <si>
    <t>si:dkeyp-118b1.2</t>
  </si>
  <si>
    <t>si:dkeyp-118b1.2 [Source:ZFIN;Acc:ZDB-GENE-030131-7685]</t>
  </si>
  <si>
    <t>ENSDARG00000029307</t>
  </si>
  <si>
    <t>zgc:101800</t>
  </si>
  <si>
    <t>zgc:101800 [Source:ZFIN;Acc:ZDB-GENE-041212-46]</t>
  </si>
  <si>
    <t>ENSDARG00000062986</t>
  </si>
  <si>
    <t>pnpla7a</t>
  </si>
  <si>
    <t>patatin-like phospholipase domain containing 7a [Source:ZFIN;Acc:ZDB-GENE-070112-1812]</t>
  </si>
  <si>
    <t>ENSDARG00000038056</t>
  </si>
  <si>
    <t>fgfbp2b</t>
  </si>
  <si>
    <t>fibroblast growth factor binding protein 2b [Source:ZFIN;Acc:ZDB-GENE-070410-95]</t>
  </si>
  <si>
    <t>ENSDARG00000062561</t>
  </si>
  <si>
    <t>adck1</t>
  </si>
  <si>
    <t>aarF domain containing kinase 1 [Source:ZFIN;Acc:ZDB-GENE-080401-5]</t>
  </si>
  <si>
    <t>ENSDARG00000018569</t>
  </si>
  <si>
    <t>tnfrsf1a</t>
  </si>
  <si>
    <t>tumor necrosis factor receptor superfamily, member 1a [Source:ZFIN;Acc:ZDB-GENE-040426-2252]</t>
  </si>
  <si>
    <t>ENSDARG00000090785</t>
  </si>
  <si>
    <t>diaph3</t>
  </si>
  <si>
    <t>diaphanous-related formin 3 [Source:ZFIN;Acc:ZDB-GENE-040801-144]</t>
  </si>
  <si>
    <t>ENSDARG00000070513</t>
  </si>
  <si>
    <t>brpf3a</t>
  </si>
  <si>
    <t>bromodomain and PHD finger containing, 3a [Source:ZFIN;Acc:ZDB-GENE-130530-730]</t>
  </si>
  <si>
    <t>ENSDARG00000057011</t>
  </si>
  <si>
    <t>dpm1</t>
  </si>
  <si>
    <t>dolichyl-phosphate mannosyltransferase polypeptide 1, catalytic subunit [Source:ZFIN;Acc:ZDB-GENE-040801-115]</t>
  </si>
  <si>
    <t>ENSDARG00000059234</t>
  </si>
  <si>
    <t>mrps27</t>
  </si>
  <si>
    <t>mitochondrial ribosomal protein S27 [Source:ZFIN;Acc:ZDB-GENE-040808-39]</t>
  </si>
  <si>
    <t>ENSDARG00000056628</t>
  </si>
  <si>
    <t>tmem170a</t>
  </si>
  <si>
    <t>transmembrane protein 170A [Source:ZFIN;Acc:ZDB-GENE-040426-1622]</t>
  </si>
  <si>
    <t>ENSDARG00000099240</t>
  </si>
  <si>
    <t>acap3b</t>
  </si>
  <si>
    <t>ArfGAP with coiled-coil, ankyrin repeat and PH domains 3b [Source:ZFIN;Acc:ZDB-GENE-070209-274]</t>
  </si>
  <si>
    <t>ENSDARG00000103663</t>
  </si>
  <si>
    <t>NINJ1</t>
  </si>
  <si>
    <t>si:ch1073-278o19.1 [Source:ZFIN;Acc:ZDB-GENE-141216-96]</t>
  </si>
  <si>
    <t>ENSDARG00000071040</t>
  </si>
  <si>
    <t>smim8</t>
  </si>
  <si>
    <t>small integral membrane protein 8 [Source:ZFIN;Acc:ZDB-GENE-050522-423]</t>
  </si>
  <si>
    <t>ENSDARG00000074730</t>
  </si>
  <si>
    <t>pkmyt1</t>
  </si>
  <si>
    <t>protein kinase, membrane associated tyrosine/threonine 1 [Source:ZFIN;Acc:ZDB-GENE-060810-80]</t>
  </si>
  <si>
    <t>ENSDARG00000062381</t>
  </si>
  <si>
    <t>si:ch211-238n5.4</t>
  </si>
  <si>
    <t>si:ch211-238n5.4 [Source:ZFIN;Acc:ZDB-GENE-050419-80]</t>
  </si>
  <si>
    <t>ENSDARG00000053291</t>
  </si>
  <si>
    <t>pnrc2</t>
  </si>
  <si>
    <t>proline-rich nuclear receptor coactivator 2 [Source:ZFIN;Acc:ZDB-GENE-030131-5475]</t>
  </si>
  <si>
    <t>ENSDARG00000070898</t>
  </si>
  <si>
    <t>si:ch211-262h13.3</t>
  </si>
  <si>
    <t>si:ch211-262h13.3 [Source:ZFIN;Acc:ZDB-GENE-050208-532]</t>
  </si>
  <si>
    <t>ENSDARG00000044597</t>
  </si>
  <si>
    <t>ncbp3</t>
  </si>
  <si>
    <t>nuclear cap binding subunit 3 [Source:ZFIN;Acc:ZDB-GENE-040426-826]</t>
  </si>
  <si>
    <t>ENSDARG00000069168</t>
  </si>
  <si>
    <t>si:dkey-73n10.1</t>
  </si>
  <si>
    <t>si:dkey-73n10.1 [Source:ZFIN;Acc:ZDB-GENE-030131-9311]</t>
  </si>
  <si>
    <t>ENSDARG00000098635</t>
  </si>
  <si>
    <t>irf2bp2b</t>
  </si>
  <si>
    <t>interferon regulatory factor 2 binding protein 2b [Source:ZFIN;Acc:ZDB-GENE-040426-2574]</t>
  </si>
  <si>
    <t>ENSDARG00000097639</t>
  </si>
  <si>
    <t>si:ch73-265h17.4</t>
  </si>
  <si>
    <t>si:ch73-265h17.4 [Source:ZFIN;Acc:ZDB-GENE-131121-594]</t>
  </si>
  <si>
    <t>ENSDARG00000104837</t>
  </si>
  <si>
    <t>nudc</t>
  </si>
  <si>
    <t>nudC nuclear distribution protein [Source:ZFIN;Acc:ZDB-GENE-040426-899]</t>
  </si>
  <si>
    <t>ENSDARG00000104989</t>
  </si>
  <si>
    <t>wnk2</t>
  </si>
  <si>
    <t>WNK lysine deficient protein kinase 2 [Source:ZFIN;Acc:ZDB-GENE-160114-3]</t>
  </si>
  <si>
    <t>ENSDARG00000028379</t>
  </si>
  <si>
    <t>trub2</t>
  </si>
  <si>
    <t>TruB pseudouridine (psi) synthase family member 2 [Source:ZFIN;Acc:ZDB-GENE-040704-41]</t>
  </si>
  <si>
    <t>ENSDARG00000043497</t>
  </si>
  <si>
    <t>scrn2</t>
  </si>
  <si>
    <t>secernin 2 [Source:ZFIN;Acc:ZDB-GENE-040724-75]</t>
  </si>
  <si>
    <t>ENSDARG00000077764</t>
  </si>
  <si>
    <t>FAAH</t>
  </si>
  <si>
    <t>si:zfos-1404b8.2 [Source:ZFIN;Acc:ZDB-GENE-120215-165]</t>
  </si>
  <si>
    <t>ENSDARG00000011648</t>
  </si>
  <si>
    <t>snrpd1</t>
  </si>
  <si>
    <t>small nuclear ribonucleoprotein D1 polypeptide [Source:ZFIN;Acc:ZDB-GENE-020419-14]</t>
  </si>
  <si>
    <t>ENSDARG00000036161</t>
  </si>
  <si>
    <t>hnrnpa0l</t>
  </si>
  <si>
    <t>heterogeneous nuclear ribonucleoprotein A0, like [Source:ZFIN;Acc:ZDB-GENE-030131-618]</t>
  </si>
  <si>
    <t>ENSDARG00000104028</t>
  </si>
  <si>
    <t>si:dkey-74k8.3</t>
  </si>
  <si>
    <t>si:dkey-74k8.3 [Source:ZFIN;Acc:ZDB-GENE-141222-20]</t>
  </si>
  <si>
    <t>ENSDARG00000007885</t>
  </si>
  <si>
    <t>fancl</t>
  </si>
  <si>
    <t>Fanconi anemia, complementation group L [Source:ZFIN;Acc:ZDB-GENE-040426-1045]</t>
  </si>
  <si>
    <t>ENSDARG00000070903</t>
  </si>
  <si>
    <t>met</t>
  </si>
  <si>
    <t>MET proto-oncogene, receptor tyrosine kinase [Source:ZFIN;Acc:ZDB-GENE-041014-1]</t>
  </si>
  <si>
    <t>ENSDARG00000014704</t>
  </si>
  <si>
    <t>pgm2l1</t>
  </si>
  <si>
    <t>phosphoglucomutase 2-like 1 [Source:ZFIN;Acc:ZDB-GENE-041008-205]</t>
  </si>
  <si>
    <t>ENSDARG00000060748</t>
  </si>
  <si>
    <t>tsfm</t>
  </si>
  <si>
    <t>Ts translation elongation factor, mitochondrial [Source:ZFIN;Acc:ZDB-GENE-061215-17]</t>
  </si>
  <si>
    <t>ENSDARG00000007196</t>
  </si>
  <si>
    <t>rae1</t>
  </si>
  <si>
    <t>ribonucleic acid export 1 [Source:ZFIN;Acc:ZDB-GENE-040426-1029]</t>
  </si>
  <si>
    <t>ENSDARG00000001710</t>
  </si>
  <si>
    <t>flot1a</t>
  </si>
  <si>
    <t>flotillin 1a [Source:ZFIN;Acc:ZDB-GENE-020430-1]</t>
  </si>
  <si>
    <t>ENSDARG00000029432</t>
  </si>
  <si>
    <t>tph1a</t>
  </si>
  <si>
    <t>tryptophan hydroxylase 1 (tryptophan 5-monooxygenase) a [Source:ZFIN;Acc:ZDB-GENE-030317-1]</t>
  </si>
  <si>
    <t>ENSDARG00000021113</t>
  </si>
  <si>
    <t>ptmaa</t>
  </si>
  <si>
    <t>prothymosin, alpha a [Source:ZFIN;Acc:ZDB-GENE-030131-7647]</t>
  </si>
  <si>
    <t>ENSDARG00000024877</t>
  </si>
  <si>
    <t>ptgr1</t>
  </si>
  <si>
    <t>prostaglandin reductase 1 [Source:ZFIN;Acc:ZDB-GENE-041212-80]</t>
  </si>
  <si>
    <t>ENSDARG00000039969</t>
  </si>
  <si>
    <t>akirin1</t>
  </si>
  <si>
    <t>akirin 1 [Source:ZFIN;Acc:ZDB-GENE-040426-2178]</t>
  </si>
  <si>
    <t>ENSDARG00000098430</t>
  </si>
  <si>
    <t>znf1078</t>
  </si>
  <si>
    <t>zinc finger protein 1078 [Source:ZFIN;Acc:ZDB-GENE-080218-3]</t>
  </si>
  <si>
    <t>ENSDARG00000023852</t>
  </si>
  <si>
    <t>lsm4</t>
  </si>
  <si>
    <t>LSM4 homolog, U6 small nuclear RNA and mRNA degradation associated [Source:ZFIN;Acc:ZDB-GENE-040426-1652]</t>
  </si>
  <si>
    <t>ENSDARG00000100354</t>
  </si>
  <si>
    <t>si:ch73-42p12.2</t>
  </si>
  <si>
    <t>si:ch73-42p12.2 [Source:ZFIN;Acc:ZDB-GENE-141216-329]</t>
  </si>
  <si>
    <t>ENSDARG00000058444</t>
  </si>
  <si>
    <t>snx6</t>
  </si>
  <si>
    <t>sorting nexin 6 [Source:ZFIN;Acc:ZDB-GENE-050913-152]</t>
  </si>
  <si>
    <t>ENSDARG00000062636</t>
  </si>
  <si>
    <t>fem1b</t>
  </si>
  <si>
    <t>fem-1 homolog b (C. elegans) [Source:ZFIN;Acc:ZDB-GENE-071009-3]</t>
  </si>
  <si>
    <t>ENSDARG00000005416</t>
  </si>
  <si>
    <t>map3k5</t>
  </si>
  <si>
    <t>mitogen-activated protein kinase kinase kinase 5 [Source:ZFIN;Acc:ZDB-GENE-030827-3]</t>
  </si>
  <si>
    <t>ENSDARG00000004702</t>
  </si>
  <si>
    <t>irf2bp2a</t>
  </si>
  <si>
    <t>interferon regulatory factor 2 binding protein 2a [Source:ZFIN;Acc:ZDB-GENE-030131-7809]</t>
  </si>
  <si>
    <t>ENSDARG00000033978</t>
  </si>
  <si>
    <t>nxn</t>
  </si>
  <si>
    <t>nucleoredoxin [Source:ZFIN;Acc:ZDB-GENE-050522-75]</t>
  </si>
  <si>
    <t>ENSDARG00000075725</t>
  </si>
  <si>
    <t>cep152</t>
  </si>
  <si>
    <t>centrosomal protein 152 [Source:ZFIN;Acc:ZDB-GENE-111005-1]</t>
  </si>
  <si>
    <t>ENSDARG00000019128</t>
  </si>
  <si>
    <t>tpm4b</t>
  </si>
  <si>
    <t>tropomyosin 4b [Source:ZFIN;Acc:ZDB-GENE-030131-2964]</t>
  </si>
  <si>
    <t>ENSDARG00000056757</t>
  </si>
  <si>
    <t>SLC39A8</t>
  </si>
  <si>
    <t>si:ch211-195e19.2 [Source:ZFIN;Acc:ZDB-GENE-141216-230]</t>
  </si>
  <si>
    <t>ENSDARG00000099336</t>
  </si>
  <si>
    <t>mvda</t>
  </si>
  <si>
    <t>mevalonate (diphospho) decarboxylase a [Source:ZFIN;Acc:ZDB-GENE-041114-127]</t>
  </si>
  <si>
    <t>ENSDARG00000061385</t>
  </si>
  <si>
    <t>haus3</t>
  </si>
  <si>
    <t>HAUS augmin-like complex, subunit 3 [Source:ZFIN;Acc:ZDB-GENE-060929-592]</t>
  </si>
  <si>
    <t>ENSDARG00000052429</t>
  </si>
  <si>
    <t>syngr2a</t>
  </si>
  <si>
    <t>synaptogyrin 2a [Source:ZFIN;Acc:ZDB-GENE-070112-1292]</t>
  </si>
  <si>
    <t>ENSDARG00000003925</t>
  </si>
  <si>
    <t>cx28.6</t>
  </si>
  <si>
    <t>connexin 28.6 [Source:ZFIN;Acc:ZDB-GENE-040406-4]</t>
  </si>
  <si>
    <t>ENSDARG00000023933</t>
  </si>
  <si>
    <t>skila</t>
  </si>
  <si>
    <t>SKI-like proto-oncogene a [Source:ZFIN;Acc:ZDB-GENE-070912-548]</t>
  </si>
  <si>
    <t>ENSDARG00000062606</t>
  </si>
  <si>
    <t>si:dkey-26i13.8</t>
  </si>
  <si>
    <t>si:dkey-26i13.8 [Source:ZFIN;Acc:ZDB-GENE-090312-134]</t>
  </si>
  <si>
    <t>ENSDARG00000011600</t>
  </si>
  <si>
    <t>epha4b</t>
  </si>
  <si>
    <t>eph receptor A4b [Source:ZFIN;Acc:ZDB-GENE-030826-6]</t>
  </si>
  <si>
    <t>ENSDARG00000020041</t>
  </si>
  <si>
    <t>zgc:163107</t>
  </si>
  <si>
    <t>zgc:163107 [Source:ZFIN;Acc:ZDB-GENE-070521-7]</t>
  </si>
  <si>
    <t>ENSDARG00000103186</t>
  </si>
  <si>
    <t>si:ch73-389k6.1</t>
  </si>
  <si>
    <t>si:ch73-389k6.1 [Source:ZFIN;Acc:ZDB-GENE-091204-408]</t>
  </si>
  <si>
    <t>ENSDARG00000021547</t>
  </si>
  <si>
    <t>vrk2</t>
  </si>
  <si>
    <t>vaccinia related kinase 2 [Source:ZFIN;Acc:ZDB-GENE-040426-1046]</t>
  </si>
  <si>
    <t>ENSDARG00000098383</t>
  </si>
  <si>
    <t>RNH1.13</t>
  </si>
  <si>
    <t>si:dkey-14o6.1 [Source:ZFIN;Acc:ZDB-GENE-081103-51]</t>
  </si>
  <si>
    <t>ENSDARG00000092648</t>
  </si>
  <si>
    <t>mvdb</t>
  </si>
  <si>
    <t>mevalonate (diphospho) decarboxylase b [Source:ZFIN;Acc:ZDB-GENE-060503-404]</t>
  </si>
  <si>
    <t>ENSDARG00000071586</t>
  </si>
  <si>
    <t>tgfbi</t>
  </si>
  <si>
    <t>transforming growth factor, beta-induced [Source:ZFIN;Acc:ZDB-GENE-030131-73]</t>
  </si>
  <si>
    <t>ENSDARG00000095185</t>
  </si>
  <si>
    <t>si:ch211-274p24.2</t>
  </si>
  <si>
    <t>si:ch211-274p24.2 [Source:ZFIN;Acc:ZDB-GENE-050309-265]</t>
  </si>
  <si>
    <t>ENSDARG00000104953</t>
  </si>
  <si>
    <t>stt3a</t>
  </si>
  <si>
    <t>STT3A, subunit of the oligosaccharyltransferase complex (catalytic) [Source:ZFIN;Acc:ZDB-GENE-021015-3]</t>
  </si>
  <si>
    <t>ENSDARG00000098126</t>
  </si>
  <si>
    <t>znf985.2</t>
  </si>
  <si>
    <t>ENSDARG00000045815</t>
  </si>
  <si>
    <t>mcm10</t>
  </si>
  <si>
    <t>minichromosome maintenance 10 replication initiation factor [Source:ZFIN;Acc:ZDB-GENE-041210-42]</t>
  </si>
  <si>
    <t>ENSDARG00000036775</t>
  </si>
  <si>
    <t>dtd2</t>
  </si>
  <si>
    <t>D-tyrosyl-tRNA deacylase 2 [Source:ZFIN;Acc:ZDB-GENE-040822-45]</t>
  </si>
  <si>
    <t>ENSDARG00000093240</t>
  </si>
  <si>
    <t>GMEB2</t>
  </si>
  <si>
    <t>si:ch73-302a13.2 [Source:ZFIN;Acc:ZDB-GENE-090313-149]</t>
  </si>
  <si>
    <t>ENSDARG00000025174</t>
  </si>
  <si>
    <t>HABP4</t>
  </si>
  <si>
    <t>zgc:103482 [Source:ZFIN;Acc:ZDB-GENE-041010-115]</t>
  </si>
  <si>
    <t>ENSDARG00000077469</t>
  </si>
  <si>
    <t>polr1b</t>
  </si>
  <si>
    <t>polymerase (RNA) I polypeptide B [Source:ZFIN;Acc:ZDB-GENE-040426-1598]</t>
  </si>
  <si>
    <t>ENSDARG00000062206</t>
  </si>
  <si>
    <t>skiv2l</t>
  </si>
  <si>
    <t>SKI2 homolog, superkiller viralicidic activity 2-like [Source:ZFIN;Acc:ZDB-GENE-010430-5]</t>
  </si>
  <si>
    <t>ENSDARG00000005916</t>
  </si>
  <si>
    <t>srpk3</t>
  </si>
  <si>
    <t>SRSF protein kinase 3 [Source:ZFIN;Acc:ZDB-GENE-101025-2]</t>
  </si>
  <si>
    <t>ENSDARG00000054821</t>
  </si>
  <si>
    <t>nubpl</t>
  </si>
  <si>
    <t>nucleotide binding protein-like [Source:ZFIN;Acc:ZDB-GENE-040718-140]</t>
  </si>
  <si>
    <t>ENSDARG00000056001</t>
  </si>
  <si>
    <t>fryb</t>
  </si>
  <si>
    <t>furry homolog b (Drosophila) [Source:ZFIN;Acc:ZDB-GENE-080215-5]</t>
  </si>
  <si>
    <t>ENSDARG00000057708</t>
  </si>
  <si>
    <t>PHTF1</t>
  </si>
  <si>
    <t>zgc:175264 [Source:ZFIN;Acc:ZDB-GENE-080204-123]</t>
  </si>
  <si>
    <t>ENSDARG00000026198</t>
  </si>
  <si>
    <t>enoph1</t>
  </si>
  <si>
    <t>enolase-phosphatase 1 [Source:ZFIN;Acc:ZDB-GENE-040704-73]</t>
  </si>
  <si>
    <t>ENSDARG00000059123</t>
  </si>
  <si>
    <t>plcd1a</t>
  </si>
  <si>
    <t>phospholipase C, delta 1a [Source:ZFIN;Acc:ZDB-GENE-071004-78]</t>
  </si>
  <si>
    <t>ENSDARG00000104089</t>
  </si>
  <si>
    <t>p3h4</t>
  </si>
  <si>
    <t>prolyl 3-hydroxylase family member 4 (non-enzymatic) [Source:ZFIN;Acc:ZDB-GENE-030131-1599]</t>
  </si>
  <si>
    <t>ENSDARG00000099134</t>
  </si>
  <si>
    <t>zgc:195356</t>
  </si>
  <si>
    <t>zgc:195356 [Source:ZFIN;Acc:ZDB-GENE-030131-6619]</t>
  </si>
  <si>
    <t>ENSDARG00000038309</t>
  </si>
  <si>
    <t>dnajc15</t>
  </si>
  <si>
    <t>DnaJ (Hsp40) homolog, subfamily C, member 15 [Source:ZFIN;Acc:ZDB-GENE-040801-216]</t>
  </si>
  <si>
    <t>ENSDARG00000045886</t>
  </si>
  <si>
    <t>slc38a2</t>
  </si>
  <si>
    <t>solute carrier family 38, member 2 [Source:ZFIN;Acc:ZDB-GENE-030131-9659]</t>
  </si>
  <si>
    <t>ENSDARG00000094175</t>
  </si>
  <si>
    <t>znf1027</t>
  </si>
  <si>
    <t>zinc finger protein 1027 [Source:ZFIN;Acc:ZDB-GENE-110913-160]</t>
  </si>
  <si>
    <t>ENSDARG00000037261</t>
  </si>
  <si>
    <t>mtap</t>
  </si>
  <si>
    <t>methylthioadenosine phosphorylase [Source:ZFIN;Acc:ZDB-GENE-040426-1505]</t>
  </si>
  <si>
    <t>ENSDARG00000095752</t>
  </si>
  <si>
    <t>si:dkeyp-13a3.7</t>
  </si>
  <si>
    <t>si:dkeyp-13a3.7 [Source:ZFIN;Acc:ZDB-GENE-070912-638]</t>
  </si>
  <si>
    <t>ENSDARG00000040564</t>
  </si>
  <si>
    <t>hnrnpul1</t>
  </si>
  <si>
    <t>heterogeneous nuclear ribonucleoprotein U-like 1 [Source:ZFIN;Acc:ZDB-GENE-040426-2432]</t>
  </si>
  <si>
    <t>ENSDARG00000057929</t>
  </si>
  <si>
    <t>naf1</t>
  </si>
  <si>
    <t>nuclear assembly factor 1 homolog (S. cerevisiae) [Source:ZFIN;Acc:ZDB-GENE-030131-4546]</t>
  </si>
  <si>
    <t>ENSDARG00000043727</t>
  </si>
  <si>
    <t>cwc27</t>
  </si>
  <si>
    <t>CWC27 spliceosome-associated protein homolog (S. cerevisiae) [Source:ZFIN;Acc:ZDB-GENE-040426-1118]</t>
  </si>
  <si>
    <t>ENSDARG00000035663</t>
  </si>
  <si>
    <t>zgc:103438</t>
  </si>
  <si>
    <t>zgc:103438 [Source:ZFIN;Acc:ZDB-GENE-041010-131]</t>
  </si>
  <si>
    <t>ENSDARG00000058032</t>
  </si>
  <si>
    <t>si:dkey-6n6.2</t>
  </si>
  <si>
    <t>si:dkey-6n6.2 [Source:ZFIN;Acc:ZDB-GENE-060503-173]</t>
  </si>
  <si>
    <t>ENSDARG00000003475</t>
  </si>
  <si>
    <t>sult1st5</t>
  </si>
  <si>
    <t>sulfotransferase family 1, cytosolic sulfotransferase 5 [Source:ZFIN;Acc:ZDB-GENE-050809-2]</t>
  </si>
  <si>
    <t>ENSDARG00000096270</t>
  </si>
  <si>
    <t>si:dkey-176g1.6</t>
  </si>
  <si>
    <t>si:dkey-176g1.6 [Source:ZFIN;Acc:ZDB-GENE-120215-87]</t>
  </si>
  <si>
    <t>ENSDARG00000094578</t>
  </si>
  <si>
    <t>epsti1</t>
  </si>
  <si>
    <t>epithelial stromal interaction 1 [Source:ZFIN;Acc:ZDB-GENE-081104-172]</t>
  </si>
  <si>
    <t>ENSDARG00000088717</t>
  </si>
  <si>
    <t>ecrg4b</t>
  </si>
  <si>
    <t>esophageal cancer related gene 4b [Source:ZFIN;Acc:ZDB-GENE-110324-2]</t>
  </si>
  <si>
    <t>ENSDARG00000099705</t>
  </si>
  <si>
    <t>foxred1</t>
  </si>
  <si>
    <t>FAD-dependent oxidoreductase domain containing 1 [Source:ZFIN;Acc:ZDB-GENE-080204-64]</t>
  </si>
  <si>
    <t>ENSDARG00000010155</t>
  </si>
  <si>
    <t>abi1a</t>
  </si>
  <si>
    <t>abl-interactor 1a [Source:ZFIN;Acc:ZDB-GENE-040426-1701]</t>
  </si>
  <si>
    <t>ENSDARG00000090156</t>
  </si>
  <si>
    <t>pttg1ipa</t>
  </si>
  <si>
    <t>pituitary tumor-transforming 1 interacting protein a [Source:ZFIN;Acc:ZDB-GENE-030131-505]</t>
  </si>
  <si>
    <t>ENSDARG00000075795</t>
  </si>
  <si>
    <t>nol7</t>
  </si>
  <si>
    <t>nucleolar protein 7 [Source:ZFIN;Acc:ZDB-GENE-030131-9100]</t>
  </si>
  <si>
    <t>ENSDARG00000055613</t>
  </si>
  <si>
    <t>zgc:123238</t>
  </si>
  <si>
    <t>zgc:123238 [Source:ZFIN;Acc:ZDB-GENE-051023-3]</t>
  </si>
  <si>
    <t>ENSDARG00000100296</t>
  </si>
  <si>
    <t>pja2</t>
  </si>
  <si>
    <t>praja ring finger 2 [Source:ZFIN;Acc:ZDB-GENE-060526-337]</t>
  </si>
  <si>
    <t>ENSDARG00000012144</t>
  </si>
  <si>
    <t>emc7</t>
  </si>
  <si>
    <t>ER membrane protein complex subunit 7 [Source:ZFIN;Acc:ZDB-GENE-041001-170]</t>
  </si>
  <si>
    <t>ENSDARG00000026845</t>
  </si>
  <si>
    <t>rhoaa</t>
  </si>
  <si>
    <t>ras homolog gene family, member Aa [Source:ZFIN;Acc:ZDB-GENE-040426-2150]</t>
  </si>
  <si>
    <t>ENSDARG00000100292</t>
  </si>
  <si>
    <t>fam166b</t>
  </si>
  <si>
    <t>family with sequence similarity 166, member B [Source:ZFIN;Acc:ZDB-GENE-070209-41]</t>
  </si>
  <si>
    <t>ENSDARG00000004343</t>
  </si>
  <si>
    <t>nelfe</t>
  </si>
  <si>
    <t>negative elongation factor complex member E [Source:ZFIN;Acc:ZDB-GENE-040718-69]</t>
  </si>
  <si>
    <t>ENSDARG00000004930</t>
  </si>
  <si>
    <t>lmo7a</t>
  </si>
  <si>
    <t>LIM domain 7a [Source:ZFIN;Acc:ZDB-GENE-030219-74]</t>
  </si>
  <si>
    <t>ENSDARG00000057729</t>
  </si>
  <si>
    <t>ephb6</t>
  </si>
  <si>
    <t>eph receptor B6 [Source:ZFIN;Acc:ZDB-GENE-100922-51]</t>
  </si>
  <si>
    <t>ENSDARG00000026548</t>
  </si>
  <si>
    <t>cyp2u1</t>
  </si>
  <si>
    <t>cytochrome P450, family 2, subfamily U, polypeptide 1 [Source:ZFIN;Acc:ZDB-GENE-070730-1]</t>
  </si>
  <si>
    <t>ENSDARG00000062096</t>
  </si>
  <si>
    <t>pm20d1.2</t>
  </si>
  <si>
    <t>peptidase M20 domain containing 1, tandem duplicate 2 [Source:ZFIN;Acc:ZDB-GENE-061013-637]</t>
  </si>
  <si>
    <t>ENSDARG00000095086</t>
  </si>
  <si>
    <t>cfdp1</t>
  </si>
  <si>
    <t>craniofacial development protein 1 [Source:ZFIN;Acc:ZDB-GENE-030131-5736]</t>
  </si>
  <si>
    <t>ENSDARG00000078217</t>
  </si>
  <si>
    <t>cblc</t>
  </si>
  <si>
    <t>Cbl proto-oncogene C, E3 ubiquitin protein ligase [Source:ZFIN;Acc:ZDB-GENE-080220-20]</t>
  </si>
  <si>
    <t>ENSDARG00000060785</t>
  </si>
  <si>
    <t>pcnxl4</t>
  </si>
  <si>
    <t>pecanex-like 4 (Drosophila) [Source:ZFIN;Acc:ZDB-GENE-070209-185]</t>
  </si>
  <si>
    <t>ENSDARG00000006491</t>
  </si>
  <si>
    <t>agpat9l</t>
  </si>
  <si>
    <t>1-acylglycerol-3-phosphate O-acyltransferase 9, like [Source:ZFIN;Acc:ZDB-GENE-060531-19]</t>
  </si>
  <si>
    <t>ENSDARG00000041802</t>
  </si>
  <si>
    <t>rnf141</t>
  </si>
  <si>
    <t>ring finger protein 141 [Source:ZFIN;Acc:ZDB-GENE-040625-71]</t>
  </si>
  <si>
    <t>ENSDARG00000074734</t>
  </si>
  <si>
    <t>msl1a</t>
  </si>
  <si>
    <t>male-specific lethal 1 homolog a (Drosophila) [Source:ZFIN;Acc:ZDB-GENE-030131-8168]</t>
  </si>
  <si>
    <t>ENSDARG00000051816</t>
  </si>
  <si>
    <t>aass</t>
  </si>
  <si>
    <t>aminoadipate-semialdehyde synthase [Source:ZFIN;Acc:ZDB-GENE-061220-8]</t>
  </si>
  <si>
    <t>ENSDARG00000094366</t>
  </si>
  <si>
    <t>si:dkey-260g12.1</t>
  </si>
  <si>
    <t>si:dkey-260g12.1 [Source:ZFIN;Acc:ZDB-GENE-100922-284]</t>
  </si>
  <si>
    <t>ENSDARG00000009862</t>
  </si>
  <si>
    <t>dcps</t>
  </si>
  <si>
    <t>decapping enzyme, scavenger [Source:ZFIN;Acc:ZDB-GENE-040311-1]</t>
  </si>
  <si>
    <t>ENSDARG00000074086</t>
  </si>
  <si>
    <t>tecpr1b</t>
  </si>
  <si>
    <t>tectonin beta-propeller repeat containing 1b [Source:ZFIN;Acc:ZDB-GENE-100812-12]</t>
  </si>
  <si>
    <t>ENSDARG00000095041</t>
  </si>
  <si>
    <t>si:rp71-78h1.10</t>
  </si>
  <si>
    <t>si:rp71-78h1.10 [Source:ZFIN;Acc:ZDB-GENE-100922-86]</t>
  </si>
  <si>
    <t>ENSDARG00000102736</t>
  </si>
  <si>
    <t>sars2</t>
  </si>
  <si>
    <t>seryl-tRNA synthetase 2, mitochondrial [Source:ZFIN;Acc:ZDB-GENE-040426-1616]</t>
  </si>
  <si>
    <t>ENSDARG00000062108</t>
  </si>
  <si>
    <t>iffo1b</t>
  </si>
  <si>
    <t>intermediate filament family orphan 1b [Source:ZFIN;Acc:ZDB-GENE-050208-308]</t>
  </si>
  <si>
    <t>ENSDARG00000030368</t>
  </si>
  <si>
    <t>naa15b</t>
  </si>
  <si>
    <t>N(alpha)-acetyltransferase 15, NatA auxiliary subunit b [Source:ZFIN;Acc:ZDB-GENE-030131-6031]</t>
  </si>
  <si>
    <t>ENSDARG00000005023</t>
  </si>
  <si>
    <t>fkbp9</t>
  </si>
  <si>
    <t>FK506 binding protein 9 [Source:ZFIN;Acc:ZDB-GENE-040801-23]</t>
  </si>
  <si>
    <t>ENSDARG00000015546</t>
  </si>
  <si>
    <t>alpl</t>
  </si>
  <si>
    <t>alkaline phosphatase, liver/bone/kidney [Source:ZFIN;Acc:ZDB-GENE-040420-1]</t>
  </si>
  <si>
    <t>ENSDARG00000044402</t>
  </si>
  <si>
    <t>nop16</t>
  </si>
  <si>
    <t>NOP16 nucleolar protein homolog (yeast) [Source:ZFIN;Acc:ZDB-GENE-040718-267]</t>
  </si>
  <si>
    <t>ENSDARG00000012946</t>
  </si>
  <si>
    <t>syap1</t>
  </si>
  <si>
    <t>synapse associated protein 1 [Source:ZFIN;Acc:ZDB-GENE-040426-917]</t>
  </si>
  <si>
    <t>ENSDARG00000070440</t>
  </si>
  <si>
    <t>atp6v1c2</t>
  </si>
  <si>
    <t>ATPase, H+ transporting, lysosomal, V1 subunit C2 [Source:ZFIN;Acc:ZDB-GENE-131127-65]</t>
  </si>
  <si>
    <t>ENSDARG00000029500</t>
  </si>
  <si>
    <t>rpl34</t>
  </si>
  <si>
    <t>ribosomal protein L34 [Source:ZFIN;Acc:ZDB-GENE-040426-1033]</t>
  </si>
  <si>
    <t>ENSDARG00000019498</t>
  </si>
  <si>
    <t>cry5</t>
  </si>
  <si>
    <t>cryptochrome circadian clock 5 [Source:ZFIN;Acc:ZDB-GENE-010426-8]</t>
  </si>
  <si>
    <t>ENSDARG00000002406</t>
  </si>
  <si>
    <t>zmynd10</t>
  </si>
  <si>
    <t>zinc finger, MYND-type containing 10 [Source:ZFIN;Acc:ZDB-GENE-040426-1218]</t>
  </si>
  <si>
    <t>ENSDARG00000093821</t>
  </si>
  <si>
    <t>si:ch211-110p13.9</t>
  </si>
  <si>
    <t>si:ch211-110p13.9 [Source:ZFIN;Acc:ZDB-GENE-060526-9]</t>
  </si>
  <si>
    <t>ENSDARG00000097421</t>
  </si>
  <si>
    <t>si:dkeyp-50b9.1</t>
  </si>
  <si>
    <t>si:dkeyp-50b9.1 [Source:ZFIN;Acc:ZDB-GENE-131127-254]</t>
  </si>
  <si>
    <t>ENSDARG00000059276</t>
  </si>
  <si>
    <t>hoxd4a</t>
  </si>
  <si>
    <t>homeobox D4a [Source:ZFIN;Acc:ZDB-GENE-980526-214]</t>
  </si>
  <si>
    <t>ENSDARG00000076490</t>
  </si>
  <si>
    <t>ankrd40</t>
  </si>
  <si>
    <t>ankyrin repeat domain 40 [Source:ZFIN;Acc:ZDB-GENE-120612-2]</t>
  </si>
  <si>
    <t>ENSDARG00000098991</t>
  </si>
  <si>
    <t>znf1095</t>
  </si>
  <si>
    <t>zinc finger protein 1095 [Source:ZFIN;Acc:ZDB-GENE-110913-124]</t>
  </si>
  <si>
    <t>ENSDARG00000004948</t>
  </si>
  <si>
    <t>bccip</t>
  </si>
  <si>
    <t>BRCA2 and CDKN1A interacting protein [Source:ZFIN;Acc:ZDB-GENE-050320-39]</t>
  </si>
  <si>
    <t>ENSDARG00000056801</t>
  </si>
  <si>
    <t>sufu</t>
  </si>
  <si>
    <t>suppressor of fused homolog (Drosophila) [Source:ZFIN;Acc:ZDB-GENE-030131-6223]</t>
  </si>
  <si>
    <t>ENSDARG00000025350</t>
  </si>
  <si>
    <t>prdx2</t>
  </si>
  <si>
    <t>peroxiredoxin 2 [Source:ZFIN;Acc:ZDB-GENE-030326-2]</t>
  </si>
  <si>
    <t>ENSDARG00000059280</t>
  </si>
  <si>
    <t>hoxd3a</t>
  </si>
  <si>
    <t>homeobox D3a [Source:ZFIN;Acc:ZDB-GENE-990415-120]</t>
  </si>
  <si>
    <t>ENSDARG00000092508</t>
  </si>
  <si>
    <t>TTF1</t>
  </si>
  <si>
    <t>si:ch73-376l24.2 [Source:ZFIN;Acc:ZDB-GENE-100922-46]</t>
  </si>
  <si>
    <t>ENSDARG00000013861</t>
  </si>
  <si>
    <t>armc1</t>
  </si>
  <si>
    <t>armadillo repeat containing 1 [Source:ZFIN;Acc:ZDB-GENE-041212-33]</t>
  </si>
  <si>
    <t>ENSDARG00000052063</t>
  </si>
  <si>
    <t>col4a5</t>
  </si>
  <si>
    <t>collagen, type IV, alpha 5 (Alport syndrome) [Source:ZFIN;Acc:ZDB-GENE-030131-2281]</t>
  </si>
  <si>
    <t>ENSDARG00000033020</t>
  </si>
  <si>
    <t>ppcdc</t>
  </si>
  <si>
    <t>phosphopantothenoylcysteine decarboxylase [Source:ZFIN;Acc:ZDB-GENE-040426-1749]</t>
  </si>
  <si>
    <t>ENSDARG00000057676</t>
  </si>
  <si>
    <t>golga7</t>
  </si>
  <si>
    <t>golgin A7 [Source:ZFIN;Acc:ZDB-GENE-040625-142]</t>
  </si>
  <si>
    <t>ENSDARG00000070094</t>
  </si>
  <si>
    <t>sytl1</t>
  </si>
  <si>
    <t>synaptotagmin-like 1 [Source:ZFIN;Acc:ZDB-GENE-060503-439]</t>
  </si>
  <si>
    <t>ENSDARG00000097753</t>
  </si>
  <si>
    <t>slirp</t>
  </si>
  <si>
    <t>SRA stem-loop interacting RNA binding protein [Source:ZFIN;Acc:ZDB-GENE-030729-30]</t>
  </si>
  <si>
    <t>ENSDARG00000078355</t>
  </si>
  <si>
    <t>zc3h4</t>
  </si>
  <si>
    <t>zinc finger CCCH-type containing 4 [Source:ZFIN;Acc:ZDB-GENE-100330-1]</t>
  </si>
  <si>
    <t>ENSDARG00000001249</t>
  </si>
  <si>
    <t>pcgf1</t>
  </si>
  <si>
    <t>polycomb group ring finger 1 [Source:ZFIN;Acc:ZDB-GENE-030616-605]</t>
  </si>
  <si>
    <t>ENSDARG00000103435</t>
  </si>
  <si>
    <t>sorbs1</t>
  </si>
  <si>
    <t>sorbin and SH3 domain containing 1 [Source:ZFIN;Acc:ZDB-GENE-090313-168]</t>
  </si>
  <si>
    <t>ENSDARG00000054272</t>
  </si>
  <si>
    <t>caprin1b</t>
  </si>
  <si>
    <t>cell cycle associated protein 1b [Source:ZFIN;Acc:ZDB-GENE-040426-2020]</t>
  </si>
  <si>
    <t>ENSDARG00000101942</t>
  </si>
  <si>
    <t>si:dkey-260j18.2</t>
  </si>
  <si>
    <t>si:dkey-260j18.2 [Source:ZFIN;Acc:ZDB-GENE-030131-3956]</t>
  </si>
  <si>
    <t>ENSDARG00000045262</t>
  </si>
  <si>
    <t>gsnb</t>
  </si>
  <si>
    <t>gelsolin b [Source:ZFIN;Acc:ZDB-GENE-030131-8567]</t>
  </si>
  <si>
    <t>ENSDARG00000015472</t>
  </si>
  <si>
    <t>gpc4</t>
  </si>
  <si>
    <t>glypican 4 [Source:ZFIN;Acc:ZDB-GENE-011119-1]</t>
  </si>
  <si>
    <t>ENSDARG00000015003</t>
  </si>
  <si>
    <t>arhgap4b</t>
  </si>
  <si>
    <t>Rho GTPase activating protein 4b [Source:ZFIN;Acc:ZDB-GENE-090311-38]</t>
  </si>
  <si>
    <t>ENSDARG00000077461</t>
  </si>
  <si>
    <t>dhx32a</t>
  </si>
  <si>
    <t>DEAH (Asp-Glu-Ala-His) box polypeptide 32a [Source:ZFIN;Acc:ZDB-GENE-130613-6]</t>
  </si>
  <si>
    <t>ENSDARG00000075752</t>
  </si>
  <si>
    <t>myo18aa</t>
  </si>
  <si>
    <t>myosin XVIIIAa [Source:ZFIN;Acc:ZDB-GENE-080425-5]</t>
  </si>
  <si>
    <t>ENSDARG00000058079</t>
  </si>
  <si>
    <t>txndc17</t>
  </si>
  <si>
    <t>thioredoxin domain containing 17 [Source:ZFIN;Acc:ZDB-GENE-040801-193]</t>
  </si>
  <si>
    <t>ENSDARG00000061397</t>
  </si>
  <si>
    <t>trip12</t>
  </si>
  <si>
    <t>thyroid hormone receptor interactor 12 [Source:ZFIN;Acc:ZDB-GENE-041111-262]</t>
  </si>
  <si>
    <t>ENSDARG00000076799</t>
  </si>
  <si>
    <t>rnd3a</t>
  </si>
  <si>
    <t>Rho family GTPase 3a [Source:ZFIN;Acc:ZDB-GENE-010319-40]</t>
  </si>
  <si>
    <t>ENSDARG00000079611</t>
  </si>
  <si>
    <t>sema4c</t>
  </si>
  <si>
    <t>sema domain, immunoglobulin domain (Ig), transmembrane domain (TM) and short cytoplasmic domain, (semaphorin) 4C [Source:ZFIN;Acc:ZDB-GENE-080303-16]</t>
  </si>
  <si>
    <t>ENSDARG00000022466</t>
  </si>
  <si>
    <t>clcn5b</t>
  </si>
  <si>
    <t>chloride channel, voltage-sensitive 5b [Source:ZFIN;Acc:ZDB-GENE-110407-11]</t>
  </si>
  <si>
    <t>ENSDARG00000039647</t>
  </si>
  <si>
    <t>slc6a1b</t>
  </si>
  <si>
    <t>solute carrier family 6 (neurotransmitter transporter), member 1b [Source:ZFIN;Acc:ZDB-GENE-041114-57]</t>
  </si>
  <si>
    <t>ENSDARG00000020979</t>
  </si>
  <si>
    <t>fam65c</t>
  </si>
  <si>
    <t>family with sequence similarity 65, member C [Source:ZFIN;Acc:ZDB-GENE-050220-13]</t>
  </si>
  <si>
    <t>ENSDARG00000097039</t>
  </si>
  <si>
    <t>si:dkey-199l17.8</t>
  </si>
  <si>
    <t>si:dkey-199l17.8 [Source:ZFIN;Acc:ZDB-GENE-131127-325]</t>
  </si>
  <si>
    <t>ENSDARG00000076533</t>
  </si>
  <si>
    <t>nfe2l1b</t>
  </si>
  <si>
    <t>nuclear factor, erythroid 2-like 1b [Source:ZFIN;Acc:ZDB-GENE-120319-2]</t>
  </si>
  <si>
    <t>ENSDARG00000061737</t>
  </si>
  <si>
    <t>ece1</t>
  </si>
  <si>
    <t>endothelin converting enzyme 1 [Source:ZFIN;Acc:ZDB-GENE-061110-100]</t>
  </si>
  <si>
    <t>ENSDARG00000063596</t>
  </si>
  <si>
    <t>wbscr22</t>
  </si>
  <si>
    <t>Williams Beuren syndrome chromosome region 22 [Source:ZFIN;Acc:ZDB-GENE-070410-68]</t>
  </si>
  <si>
    <t>ENSDARG00000073957</t>
  </si>
  <si>
    <t>tox3</t>
  </si>
  <si>
    <t>TOX high mobility group box family member 3 [Source:ZFIN;Acc:ZDB-GENE-090312-209]</t>
  </si>
  <si>
    <t>ENSDARG00000095698</t>
  </si>
  <si>
    <t>si:dkey-228a15.1</t>
  </si>
  <si>
    <t>si:dkey-228a15.1 [Source:ZFIN;Acc:ZDB-GENE-060503-344]</t>
  </si>
  <si>
    <t>ENSDARG00000007247</t>
  </si>
  <si>
    <t>ric8a</t>
  </si>
  <si>
    <t>RIC8 guanine nucleotide exchange factor A [Source:ZFIN;Acc:ZDB-GENE-040927-18]</t>
  </si>
  <si>
    <t>ENSDARG00000028533</t>
  </si>
  <si>
    <t>macf1a</t>
  </si>
  <si>
    <t>microtubule-actin crosslinking factor 1a [Source:ZFIN;Acc:ZDB-GENE-030131-3606]</t>
  </si>
  <si>
    <t>ENSDARG00000029133</t>
  </si>
  <si>
    <t>tubgcp3</t>
  </si>
  <si>
    <t>tubulin, gamma complex associated protein 3 [Source:ZFIN;Acc:ZDB-GENE-030616-538]</t>
  </si>
  <si>
    <t>ENSDARG00000094107</t>
  </si>
  <si>
    <t>TTF1.1</t>
  </si>
  <si>
    <t>si:ch73-37h15.2 [Source:ZFIN;Acc:ZDB-GENE-041008-214]</t>
  </si>
  <si>
    <t>ENSDARG00000069342</t>
  </si>
  <si>
    <t>KLF14</t>
  </si>
  <si>
    <t>zgc:153115 [Source:ZFIN;Acc:ZDB-GENE-061013-418]</t>
  </si>
  <si>
    <t>ENSDARG00000053753</t>
  </si>
  <si>
    <t>mff</t>
  </si>
  <si>
    <t>mitochondrial fission factor [Source:ZFIN;Acc:ZDB-GENE-040426-1510]</t>
  </si>
  <si>
    <t>ENSDARG00000061242</t>
  </si>
  <si>
    <t>tuft1a</t>
  </si>
  <si>
    <t>tuftelin 1a [Source:ZFIN;Acc:ZDB-GENE-061103-184]</t>
  </si>
  <si>
    <t>ENSDARG00000062168</t>
  </si>
  <si>
    <t>tmem168b</t>
  </si>
  <si>
    <t>transmembrane protein 168b [Source:ZFIN;Acc:ZDB-GENE-090406-3]</t>
  </si>
  <si>
    <t>ENSDARG00000039872</t>
  </si>
  <si>
    <t>lamtor2</t>
  </si>
  <si>
    <t>late endosomal/lysosomal adaptor, MAPK and MTOR activator 2 [Source:ZFIN;Acc:ZDB-GENE-040801-63]</t>
  </si>
  <si>
    <t>ENSDARG00000057414</t>
  </si>
  <si>
    <t>phb</t>
  </si>
  <si>
    <t>prohibitin [Source:ZFIN;Acc:ZDB-GENE-030131-6577]</t>
  </si>
  <si>
    <t>ENSDARG00000086847</t>
  </si>
  <si>
    <t>irgq1</t>
  </si>
  <si>
    <t>immunity-related GTPase family, q1 [Source:ZFIN;Acc:ZDB-GENE-051212-3]</t>
  </si>
  <si>
    <t>ENSDARG00000020771</t>
  </si>
  <si>
    <t>tnr</t>
  </si>
  <si>
    <t>tenascin R (restrictin, janusin) [Source:ZFIN;Acc:ZDB-GENE-030804-1]</t>
  </si>
  <si>
    <t>ENSDARG00000056984</t>
  </si>
  <si>
    <t>rad9a</t>
  </si>
  <si>
    <t>RAD9 checkpoint clamp component A [Source:ZFIN;Acc:ZDB-GENE-040426-935]</t>
  </si>
  <si>
    <t>ENSDARG00000062420</t>
  </si>
  <si>
    <t>nfia</t>
  </si>
  <si>
    <t>nuclear factor I/A [Source:ZFIN;Acc:ZDB-GENE-050208-501]</t>
  </si>
  <si>
    <t>ENSDARG00000020328</t>
  </si>
  <si>
    <t>plekha6</t>
  </si>
  <si>
    <t>pleckstrin homology domain containing, family A member 6 [Source:ZFIN;Acc:ZDB-GENE-140106-14]</t>
  </si>
  <si>
    <t>ENSDARG00000035895</t>
  </si>
  <si>
    <t>fndc5b</t>
  </si>
  <si>
    <t>fibronectin type III domain containing 5b [Source:ZFIN;Acc:ZDB-GENE-060503-916]</t>
  </si>
  <si>
    <t>ENSDARG00000062997</t>
  </si>
  <si>
    <t>hyal2b</t>
  </si>
  <si>
    <t>hyaluronoglucosaminidase 2b [Source:ZFIN;Acc:ZDB-GENE-050208-414]</t>
  </si>
  <si>
    <t>ENSDARG00000014329</t>
  </si>
  <si>
    <t>npm1a</t>
  </si>
  <si>
    <t>nucleophosmin 1a (nucleolar phosphoprotein B23, numatrin) [Source:ZFIN;Acc:ZDB-GENE-021028-1]</t>
  </si>
  <si>
    <t>ENSDARG00000088877</t>
  </si>
  <si>
    <t>smarcd2</t>
  </si>
  <si>
    <t>SWI/SNF related, matrix associated, actin dependent regulator of chromatin, subfamily d, member 2 [Source:ZFIN;Acc:ZDB-GENE-080215-1]</t>
  </si>
  <si>
    <t>ENSDARG00000026322</t>
  </si>
  <si>
    <t>dhrs13a.1</t>
  </si>
  <si>
    <t>dehydrogenase/reductase (SDR family) member 13a, tandem duplicate 1 [Source:ZFIN;Acc:ZDB-GENE-041114-58]</t>
  </si>
  <si>
    <t>ENSDARG00000061257</t>
  </si>
  <si>
    <t>zgc:153240</t>
  </si>
  <si>
    <t>zgc:153240 [Source:ZFIN;Acc:ZDB-GENE-060825-218]</t>
  </si>
  <si>
    <t>ENSDARG00000058218</t>
  </si>
  <si>
    <t>fam151a</t>
  </si>
  <si>
    <t>family with sequence similarity 151, member A [Source:ZFIN;Acc:ZDB-GENE-070705-105]</t>
  </si>
  <si>
    <t>ENSDARG00000090656</t>
  </si>
  <si>
    <t>arid4b</t>
  </si>
  <si>
    <t>AT rich interactive domain 4B (RBP1-like) [Source:ZFIN;Acc:ZDB-GENE-040426-1976]</t>
  </si>
  <si>
    <t>ENSDARG00000004251</t>
  </si>
  <si>
    <t>dhfr</t>
  </si>
  <si>
    <t>dihydrofolate reductase [Source:ZFIN;Acc:ZDB-GENE-010406-5]</t>
  </si>
  <si>
    <t>ENSDARG00000031657</t>
  </si>
  <si>
    <t>fahd1</t>
  </si>
  <si>
    <t>fumarylacetoacetate hydrolase domain containing 1 [Source:ZFIN;Acc:ZDB-GENE-050522-448]</t>
  </si>
  <si>
    <t>ENSDARG00000013095</t>
  </si>
  <si>
    <t>gclc</t>
  </si>
  <si>
    <t>glutamate-cysteine ligase, catalytic subunit [Source:ZFIN;Acc:ZDB-GENE-030131-5056]</t>
  </si>
  <si>
    <t>ENSDARG00000069671</t>
  </si>
  <si>
    <t>zgc:123096</t>
  </si>
  <si>
    <t>zgc:123096 [Source:ZFIN;Acc:ZDB-GENE-050506-22]</t>
  </si>
  <si>
    <t>ENSDARG00000074303</t>
  </si>
  <si>
    <t>phf12a</t>
  </si>
  <si>
    <t>PHD finger protein 12a [Source:ZFIN;Acc:ZDB-GENE-030131-3876]</t>
  </si>
  <si>
    <t>ENSDARG00000070511</t>
  </si>
  <si>
    <t>si:dkey-183j2.10</t>
  </si>
  <si>
    <t>si:dkey-183j2.10 [Source:ZFIN;Acc:ZDB-GENE-130530-729]</t>
  </si>
  <si>
    <t>ENSDARG00000016664</t>
  </si>
  <si>
    <t>rnf20</t>
  </si>
  <si>
    <t>ring finger protein 20, E3 ubiquitin protein ligase [Source:ZFIN;Acc:ZDB-GENE-130404-2]</t>
  </si>
  <si>
    <t>ENSDARG00000063416</t>
  </si>
  <si>
    <t>ptprk</t>
  </si>
  <si>
    <t>protein tyrosine phosphatase, receptor type, K [Source:ZFIN;Acc:ZDB-GENE-030131-9834]</t>
  </si>
  <si>
    <t>ENSDARG00000055723</t>
  </si>
  <si>
    <t>hsp70l</t>
  </si>
  <si>
    <t>heat shock cognate 70-kd protein, like [Source:ZFIN;Acc:ZDB-GENE-050321-1]</t>
  </si>
  <si>
    <t>ENSDARG00000044281</t>
  </si>
  <si>
    <t>erbb2ip</t>
  </si>
  <si>
    <t>erbb2 interacting protein [Source:ZFIN;Acc:ZDB-GENE-061103-403]</t>
  </si>
  <si>
    <t>ENSDARG00000030839</t>
  </si>
  <si>
    <t>tescb</t>
  </si>
  <si>
    <t>tescalcin b [Source:ZFIN;Acc:ZDB-GENE-040426-1903]</t>
  </si>
  <si>
    <t>ENSDARG00000099644</t>
  </si>
  <si>
    <t>si:ch211-193l2.4</t>
  </si>
  <si>
    <t>si:ch211-193l2.4 [Source:ZFIN;Acc:ZDB-GENE-141216-189]</t>
  </si>
  <si>
    <t>ENSDARG00000074129</t>
  </si>
  <si>
    <t>edem3</t>
  </si>
  <si>
    <t>ER degradation enhancer, mannosidase alpha-like 3 [Source:ZFIN;Acc:ZDB-GENE-070801-5]</t>
  </si>
  <si>
    <t>ENSDARG00000069590</t>
  </si>
  <si>
    <t>tmem150c</t>
  </si>
  <si>
    <t>transmembrane protein 150C [Source:ZFIN;Acc:ZDB-GENE-090112-5]</t>
  </si>
  <si>
    <t>ENSDARG00000099802</t>
  </si>
  <si>
    <t>pnp5b</t>
  </si>
  <si>
    <t>purine nucleoside phosphorylase 5b [Source:ZFIN;Acc:ZDB-GENE-040912-54]</t>
  </si>
  <si>
    <t>ENSDARG00000102574</t>
  </si>
  <si>
    <t>si:ch73-21d24.1</t>
  </si>
  <si>
    <t>si:ch73-21d24.1 [Source:ZFIN;Acc:ZDB-GENE-141216-244]</t>
  </si>
  <si>
    <t>ENSDARG00000015907</t>
  </si>
  <si>
    <t>dcbld1</t>
  </si>
  <si>
    <t>discoidin, CUB and LCCL domain containing 1 [Source:ZFIN;Acc:ZDB-GENE-050913-77]</t>
  </si>
  <si>
    <t>ENSDARG00000099915</t>
  </si>
  <si>
    <t>p2ry2.1</t>
  </si>
  <si>
    <t>purinergic receptor P2Y, G-protein coupled, 2, tandem duplicate 1 [Source:ZFIN;Acc:ZDB-GENE-091204-455]</t>
  </si>
  <si>
    <t>ENSDARG00000045160</t>
  </si>
  <si>
    <t>msrb1b</t>
  </si>
  <si>
    <t>methionine sulfoxide reductase B1b [Source:ZFIN;Acc:ZDB-GENE-040912-88]</t>
  </si>
  <si>
    <t>ENSDARG00000055813</t>
  </si>
  <si>
    <t>FCGRT</t>
  </si>
  <si>
    <t>si:dkey-225f5.5 [Source:ZFIN;Acc:ZDB-GENE-141216-18]</t>
  </si>
  <si>
    <t>ENSDARG00000010487</t>
  </si>
  <si>
    <t>sae1</t>
  </si>
  <si>
    <t>SUMO1 activating enzyme subunit 1 [Source:ZFIN;Acc:ZDB-GENE-040625-21]</t>
  </si>
  <si>
    <t>ENSDARG00000005104</t>
  </si>
  <si>
    <t>limk2</t>
  </si>
  <si>
    <t>LIM domain kinase 2 [Source:ZFIN;Acc:ZDB-GENE-040718-398]</t>
  </si>
  <si>
    <t>ENSDARG00000003776</t>
  </si>
  <si>
    <t>pip4k2aa</t>
  </si>
  <si>
    <t>phosphatidylinositol-5-phosphate 4-kinase, type II, alpha a [Source:ZFIN;Acc:ZDB-GENE-080721-18]</t>
  </si>
  <si>
    <t>ENSDARG00000053609</t>
  </si>
  <si>
    <t>pddc1</t>
  </si>
  <si>
    <t>Parkinson disease 7 domain containing 1 [Source:ZFIN;Acc:ZDB-GENE-051030-96]</t>
  </si>
  <si>
    <t>ENSDARG00000056338</t>
  </si>
  <si>
    <t>szrd1</t>
  </si>
  <si>
    <t>SUZ RNA binding domain containing 1 [Source:ZFIN;Acc:ZDB-GENE-050522-55]</t>
  </si>
  <si>
    <t>ENSDARG00000077409</t>
  </si>
  <si>
    <t>cby1</t>
  </si>
  <si>
    <t>chibby homolog 1 (Drosophila) [Source:ZFIN;Acc:ZDB-GENE-030131-5074]</t>
  </si>
  <si>
    <t>ENSDARG00000018602</t>
  </si>
  <si>
    <t>rab5aa</t>
  </si>
  <si>
    <t>RAB5A, member RAS oncogene family, a [Source:ZFIN;Acc:ZDB-GENE-030131-139]</t>
  </si>
  <si>
    <t>ENSDARG00000025522</t>
  </si>
  <si>
    <t>sgk1</t>
  </si>
  <si>
    <t>serum/glucocorticoid regulated kinase 1 [Source:ZFIN;Acc:ZDB-GENE-030131-2860]</t>
  </si>
  <si>
    <t>ENSDARG00000024759</t>
  </si>
  <si>
    <t>inhbab</t>
  </si>
  <si>
    <t>inhibin, beta Ab [Source:ZFIN;Acc:ZDB-GENE-050525-2]</t>
  </si>
  <si>
    <t>ENSDARG00000007444</t>
  </si>
  <si>
    <t>ift81</t>
  </si>
  <si>
    <t>intraflagellar transport 81 homolog [Source:ZFIN;Acc:ZDB-GENE-040714-3]</t>
  </si>
  <si>
    <t>ENSDARG00000091131</t>
  </si>
  <si>
    <t>cry1bb</t>
  </si>
  <si>
    <t>cryptochrome circadian clock 1bb [Source:ZFIN;Acc:ZDB-GENE-010426-5]</t>
  </si>
  <si>
    <t>ENSDARG00000070723</t>
  </si>
  <si>
    <t>ndufa9a</t>
  </si>
  <si>
    <t>NADH dehydrogenase (ubiquinone) 1 alpha subcomplex, 9a [Source:ZFIN;Acc:ZDB-GENE-050320-20]</t>
  </si>
  <si>
    <t>ENSDARG00000019250</t>
  </si>
  <si>
    <t>fancf</t>
  </si>
  <si>
    <t>Fanconi anemia, complementation group F [Source:ZFIN;Acc:ZDB-GENE-060306-3]</t>
  </si>
  <si>
    <t>ENSDARG00000076703</t>
  </si>
  <si>
    <t>zfand4</t>
  </si>
  <si>
    <t>zinc finger, AN1-type domain 4 [Source:ZFIN;Acc:ZDB-GENE-090312-102]</t>
  </si>
  <si>
    <t>ENSDARG00000003444</t>
  </si>
  <si>
    <t>dhrs7</t>
  </si>
  <si>
    <t>dehydrogenase/reductase (SDR family) member 7 [Source:ZFIN;Acc:ZDB-GENE-060825-21]</t>
  </si>
  <si>
    <t>ENSDARG00000039684</t>
  </si>
  <si>
    <t>sirt5</t>
  </si>
  <si>
    <t>sirtuin 5 [Source:ZFIN;Acc:ZDB-GENE-040718-349]</t>
  </si>
  <si>
    <t>ENSDARG00000074378</t>
  </si>
  <si>
    <t>junba</t>
  </si>
  <si>
    <t>jun B proto-oncogene a [Source:ZFIN;Acc:ZDB-GENE-040426-2172]</t>
  </si>
  <si>
    <t>ENSDARG00000074319</t>
  </si>
  <si>
    <t>sall1a</t>
  </si>
  <si>
    <t>spalt-like transcription factor 1a [Source:ZFIN;Acc:ZDB-GENE-020228-2]</t>
  </si>
  <si>
    <t>ENSDARG00000095905</t>
  </si>
  <si>
    <t>si:ch211-262h13.6</t>
  </si>
  <si>
    <t>si:ch211-262h13.6 [Source:ZFIN;Acc:ZDB-GENE-110411-76]</t>
  </si>
  <si>
    <t>ENSDARG00000030981</t>
  </si>
  <si>
    <t>tmem127</t>
  </si>
  <si>
    <t>transmembrane protein 127 [Source:ZFIN;Acc:ZDB-GENE-050522-97]</t>
  </si>
  <si>
    <t>ENSDARG00000041560</t>
  </si>
  <si>
    <t>si:dkey-102f14.5</t>
  </si>
  <si>
    <t>si:dkey-102f14.5 [Source:ZFIN;Acc:ZDB-GENE-060503-705]</t>
  </si>
  <si>
    <t>ENSDARG00000102356</t>
  </si>
  <si>
    <t>scp2b</t>
  </si>
  <si>
    <t>sterol carrier protein 2b [Source:ZFIN;Acc:ZDB-GENE-041010-196]</t>
  </si>
  <si>
    <t>ENSDARG00000002311</t>
  </si>
  <si>
    <t>fabp11b</t>
  </si>
  <si>
    <t>fatty acid binding protein 11b [Source:ZFIN;Acc:ZDB-GENE-050522-391]</t>
  </si>
  <si>
    <t>ENSDARG00000074293</t>
  </si>
  <si>
    <t>adnpb</t>
  </si>
  <si>
    <t>activity-dependent neuroprotector homeobox b [Source:ZFIN;Acc:ZDB-GENE-030131-6385]</t>
  </si>
  <si>
    <t>ENSDARG00000071333</t>
  </si>
  <si>
    <t>si:ch211-212d10.2</t>
  </si>
  <si>
    <t>si:ch211-212d10.2 [Source:ZFIN;Acc:ZDB-GENE-050208-516]</t>
  </si>
  <si>
    <t>ENSDARG00000042484</t>
  </si>
  <si>
    <t>tle2</t>
  </si>
  <si>
    <t>transducin-like enhancer of split 2 (E(sp1) homolog, Drosophila) [Source:ZFIN;Acc:ZDB-GENE-030131-2826]</t>
  </si>
  <si>
    <t>ENSDARG00000035715</t>
  </si>
  <si>
    <t>marcksl1b</t>
  </si>
  <si>
    <t>MARCKS-like 1b [Source:ZFIN;Acc:ZDB-GENE-040426-2315]</t>
  </si>
  <si>
    <t>ENSDARG00000093799</t>
  </si>
  <si>
    <t>setbp1</t>
  </si>
  <si>
    <t>SET binding protein 1 [Source:ZFIN;Acc:ZDB-GENE-060526-72]</t>
  </si>
  <si>
    <t>ENSDARG00000101368</t>
  </si>
  <si>
    <t>CNGB3</t>
  </si>
  <si>
    <t>si:ch211-189o17.6 [Source:ZFIN;Acc:ZDB-GENE-091118-102]</t>
  </si>
  <si>
    <t>ENSDARG00000012196</t>
  </si>
  <si>
    <t>fer</t>
  </si>
  <si>
    <t>fer (fps/fes related) tyrosine kinase [Source:ZFIN;Acc:ZDB-GENE-060526-234]</t>
  </si>
  <si>
    <t>ENSDARG00000061761</t>
  </si>
  <si>
    <t>opa3</t>
  </si>
  <si>
    <t>optic atrophy 3 [Source:ZFIN;Acc:ZDB-GENE-050210-1]</t>
  </si>
  <si>
    <t>ENSDARG00000094833</t>
  </si>
  <si>
    <t>coa5</t>
  </si>
  <si>
    <t>cytochrome C oxidase assembly factor 5 [Source:ZFIN;Acc:ZDB-GENE-060825-53]</t>
  </si>
  <si>
    <t>ENSDARG00000008904</t>
  </si>
  <si>
    <t>smarca2</t>
  </si>
  <si>
    <t>SWI/SNF related, matrix associated, actin dependent regulator of chromatin, subfamily a, member 2 [Source:ZFIN;Acc:ZDB-GENE-030131-5964]</t>
  </si>
  <si>
    <t>ENSDARG00000098666</t>
  </si>
  <si>
    <t>PPRC1</t>
  </si>
  <si>
    <t>si:dkey-93h22.8 [Source:ZFIN;Acc:ZDB-GENE-041008-203]</t>
  </si>
  <si>
    <t>ENSDARG00000076223</t>
  </si>
  <si>
    <t>SERP1</t>
  </si>
  <si>
    <t>zgc:92744 [Source:ZFIN;Acc:ZDB-GENE-040718-312]</t>
  </si>
  <si>
    <t>ENSDARG00000034309</t>
  </si>
  <si>
    <t>cox10</t>
  </si>
  <si>
    <t>COX10 heme A:farnesyltransferase cytochrome c oxidase assembly factor [Source:ZFIN;Acc:ZDB-GENE-041111-239]</t>
  </si>
  <si>
    <t>ENSDARG00000037046</t>
  </si>
  <si>
    <t>rad51b</t>
  </si>
  <si>
    <t>RAD51 paralog B [Source:ZFIN;Acc:ZDB-GENE-040426-2750]</t>
  </si>
  <si>
    <t>ENSDARG00000068745</t>
  </si>
  <si>
    <t>MAP4</t>
  </si>
  <si>
    <t>si:dkey-77a20.5 [Source:ZFIN;Acc:ZDB-GENE-070912-581]</t>
  </si>
  <si>
    <t>ENSDARG00000074660</t>
  </si>
  <si>
    <t>rilp</t>
  </si>
  <si>
    <t>Rab interacting lysosomal protein [Source:ZFIN;Acc:ZDB-GENE-100408-4]</t>
  </si>
  <si>
    <t>ENSDARG00000006074</t>
  </si>
  <si>
    <t>uck2a</t>
  </si>
  <si>
    <t>uridine-cytidine kinase 2a [Source:ZFIN;Acc:ZDB-GENE-030131-7158]</t>
  </si>
  <si>
    <t>ENSDARG00000018681</t>
  </si>
  <si>
    <t>saal1</t>
  </si>
  <si>
    <t>serum amyloid A-like 1 [Source:ZFIN;Acc:ZDB-GENE-040426-725]</t>
  </si>
  <si>
    <t>ENSDARG00000097415</t>
  </si>
  <si>
    <t>lrrc53</t>
  </si>
  <si>
    <t>leucine rich repeat containing 53 [Source:ZFIN;Acc:ZDB-GENE-131121-432]</t>
  </si>
  <si>
    <t>ENSDARG00000042747</t>
  </si>
  <si>
    <t>coasy</t>
  </si>
  <si>
    <t>CoA synthase [Source:ZFIN;Acc:ZDB-GENE-040912-137]</t>
  </si>
  <si>
    <t>ENSDARG00000040959</t>
  </si>
  <si>
    <t>rabl3</t>
  </si>
  <si>
    <t>RAB, member of RAS oncogene family-like 3 [Source:ZFIN;Acc:ZDB-GENE-040808-11]</t>
  </si>
  <si>
    <t>ENSDARG00000032469</t>
  </si>
  <si>
    <t>ampd3b</t>
  </si>
  <si>
    <t>adenosine monophosphate deaminase 3b [Source:ZFIN;Acc:ZDB-GENE-030131-5929]</t>
  </si>
  <si>
    <t>ENSDARG00000006719</t>
  </si>
  <si>
    <t>specc1la</t>
  </si>
  <si>
    <t>sperm antigen with calponin homology and coiled-coil domains 1-like a [Source:ZFIN;Acc:ZDB-GENE-060810-139]</t>
  </si>
  <si>
    <t>ENSDARG00000010316</t>
  </si>
  <si>
    <t>qars</t>
  </si>
  <si>
    <t>glutaminyl-tRNA synthetase [Source:ZFIN;Acc:ZDB-GENE-040426-1011]</t>
  </si>
  <si>
    <t>ENSDARG00000062302</t>
  </si>
  <si>
    <t>znf652</t>
  </si>
  <si>
    <t>zinc finger protein 652 [Source:ZFIN;Acc:ZDB-GENE-030131-5857]</t>
  </si>
  <si>
    <t>ENSDARG00000076487</t>
  </si>
  <si>
    <t>haao</t>
  </si>
  <si>
    <t>3-hydroxyanthranilate 3,4-dioxygenase [Source:ZFIN;Acc:ZDB-GENE-041114-89]</t>
  </si>
  <si>
    <t>ENSDARG00000021677</t>
  </si>
  <si>
    <t>phf11</t>
  </si>
  <si>
    <t>PHD finger protein 11 [Source:ZFIN;Acc:ZDB-GENE-081104-417]</t>
  </si>
  <si>
    <t>ENSDARG00000043559</t>
  </si>
  <si>
    <t>gle1</t>
  </si>
  <si>
    <t>GLE1 RNA export mediator homolog (yeast) [Source:ZFIN;Acc:ZDB-GENE-040831-4]</t>
  </si>
  <si>
    <t>ENSDARG00000056794</t>
  </si>
  <si>
    <t>ARL3</t>
  </si>
  <si>
    <t>zgc:110197 [Source:ZFIN;Acc:ZDB-GENE-050417-368]</t>
  </si>
  <si>
    <t>ENSDARG00000095944</t>
  </si>
  <si>
    <t>si:ch73-103b2.1</t>
  </si>
  <si>
    <t>si:ch73-103b2.1 [Source:ZFIN;Acc:ZDB-GENE-110408-42]</t>
  </si>
  <si>
    <t>ENSDARG00000059806</t>
  </si>
  <si>
    <t>sacm1lb</t>
  </si>
  <si>
    <t>SAC1 suppressor of actin mutations 1-like b (yeast) [Source:ZFIN;Acc:ZDB-GENE-070112-542]</t>
  </si>
  <si>
    <t>ENSDARG00000087657</t>
  </si>
  <si>
    <t>fasn</t>
  </si>
  <si>
    <t>fatty acid synthase [Source:ZFIN;Acc:ZDB-GENE-030131-7802]</t>
  </si>
  <si>
    <t>ENSDARG00000101707</t>
  </si>
  <si>
    <t>si:ch211-156b7.4</t>
  </si>
  <si>
    <t>si:ch211-156b7.4 [Source:ZFIN;Acc:ZDB-GENE-141212-376]</t>
  </si>
  <si>
    <t>ENSDARG00000037967</t>
  </si>
  <si>
    <t>si:dkey-16l2.16</t>
  </si>
  <si>
    <t>si:dkey-16l2.16 [Source:ZFIN;Acc:ZDB-GENE-141219-36]</t>
  </si>
  <si>
    <t>ENSDARG00000016490</t>
  </si>
  <si>
    <t>rab11fip3</t>
  </si>
  <si>
    <t>RAB11 family interacting protein 3 (class II) [Source:ZFIN;Acc:ZDB-GENE-040724-138]</t>
  </si>
  <si>
    <t>ENSDARG00000038635</t>
  </si>
  <si>
    <t>magoh</t>
  </si>
  <si>
    <t>mago homolog, exon junction complex core component [Source:ZFIN;Acc:ZDB-GENE-041216-1]</t>
  </si>
  <si>
    <t>ENSDARG00000032619</t>
  </si>
  <si>
    <t>tob1a</t>
  </si>
  <si>
    <t>transducer of ERBB2, 1a [Source:ZFIN;Acc:ZDB-GENE-031030-4]</t>
  </si>
  <si>
    <t>ENSDARG00000015747</t>
  </si>
  <si>
    <t>aarsd1</t>
  </si>
  <si>
    <t>alanyl-tRNA synthetase domain containing 1 [Source:ZFIN;Acc:ZDB-GENE-040801-91]</t>
  </si>
  <si>
    <t>ENSDARG00000075143</t>
  </si>
  <si>
    <t>nanp</t>
  </si>
  <si>
    <t>N-acetylneuraminic acid phosphatase [Source:ZFIN;Acc:ZDB-GENE-050522-94]</t>
  </si>
  <si>
    <t>ENSDARG00000078492</t>
  </si>
  <si>
    <t>swi5</t>
  </si>
  <si>
    <t>SWI5 homologous recombination repair protein [Source:ZFIN;Acc:ZDB-GENE-091204-368]</t>
  </si>
  <si>
    <t>ENSDARG00000032199</t>
  </si>
  <si>
    <t>gpc3</t>
  </si>
  <si>
    <t>glypican 3 [Source:ZFIN;Acc:ZDB-GENE-031212-1]</t>
  </si>
  <si>
    <t>ENSDARG00000061222</t>
  </si>
  <si>
    <t>uba7</t>
  </si>
  <si>
    <t>ubiquitin-like modifier activating enzyme 7 [Source:ZFIN;Acc:ZDB-GENE-121120-4]</t>
  </si>
  <si>
    <t>ENSDARG00000092254</t>
  </si>
  <si>
    <t>si:ch211-190h11.1</t>
  </si>
  <si>
    <t>si:ch211-190h11.1 [Source:ZFIN;Acc:ZDB-GENE-160113-151]</t>
  </si>
  <si>
    <t>ENSDARG00000087666</t>
  </si>
  <si>
    <t>fibpb</t>
  </si>
  <si>
    <t>fibroblast growth factor (acidic) intracellular binding protein b [Source:ZFIN;Acc:ZDB-GENE-040630-2]</t>
  </si>
  <si>
    <t>ENSDARG00000057681</t>
  </si>
  <si>
    <t>si:ch211-266o15.1</t>
  </si>
  <si>
    <t>si:ch211-266o15.1 [Source:ZFIN;Acc:ZDB-GENE-131127-116]</t>
  </si>
  <si>
    <t>ENSDARG00000056181</t>
  </si>
  <si>
    <t>ncam1a</t>
  </si>
  <si>
    <t>neural cell adhesion molecule 1a [Source:ZFIN;Acc:ZDB-GENE-990415-31]</t>
  </si>
  <si>
    <t>ENSDARG00000012942</t>
  </si>
  <si>
    <t>itgb5</t>
  </si>
  <si>
    <t>integrin, beta 5 [Source:ZFIN;Acc:ZDB-GENE-030131-6022]</t>
  </si>
  <si>
    <t>ENSDARG00000095549</t>
  </si>
  <si>
    <t>si:dkeyp-106c3.2</t>
  </si>
  <si>
    <t>si:dkeyp-106c3.2.1</t>
  </si>
  <si>
    <t>si:dkeyp-106c3.2 [Source:ZFIN;Acc:ZDB-GENE-070705-527]</t>
  </si>
  <si>
    <t>ENSDARG00000054754</t>
  </si>
  <si>
    <t>hs6st1a</t>
  </si>
  <si>
    <t>heparan sulfate 6-O-sulfotransferase 1a [Source:ZFIN;Acc:ZDB-GENE-050524-1]</t>
  </si>
  <si>
    <t>ENSDARG00000075405</t>
  </si>
  <si>
    <t>adck5</t>
  </si>
  <si>
    <t>aarF domain containing kinase 5 [Source:ZFIN;Acc:ZDB-GENE-081104-149]</t>
  </si>
  <si>
    <t>ENSDARG00000011876</t>
  </si>
  <si>
    <t>ednraa</t>
  </si>
  <si>
    <t>endothelin receptor type Aa [Source:ZFIN;Acc:ZDB-GENE-010906-2]</t>
  </si>
  <si>
    <t>ENSDARG00000071164</t>
  </si>
  <si>
    <t>alkbh1</t>
  </si>
  <si>
    <t>alkB homolog 1, histone H2A dioxygenase [Source:ZFIN;Acc:ZDB-GENE-050522-196]</t>
  </si>
  <si>
    <t>ENSDARG00000079274</t>
  </si>
  <si>
    <t>prss59.1</t>
  </si>
  <si>
    <t>protease, serine, 59, tandem duplicate 1 [Source:ZFIN;Acc:ZDB-GENE-030131-1173]</t>
  </si>
  <si>
    <t>ENSDARG00000077087</t>
  </si>
  <si>
    <t>si:ch211-196g2.4</t>
  </si>
  <si>
    <t>si:ch211-196g2.4 [Source:ZFIN;Acc:ZDB-GENE-081104-160]</t>
  </si>
  <si>
    <t>ENSDARG00000060320</t>
  </si>
  <si>
    <t>dcaf5</t>
  </si>
  <si>
    <t>ddb1 and cul4 associated factor 5 [Source:ZFIN;Acc:ZDB-GENE-060929-808]</t>
  </si>
  <si>
    <t>ENSDARG00000055349</t>
  </si>
  <si>
    <t>pknox2</t>
  </si>
  <si>
    <t>pbx/knotted 1 homeobox 2 [Source:ZFIN;Acc:ZDB-GENE-031118-112]</t>
  </si>
  <si>
    <t>ENSDARG00000028275</t>
  </si>
  <si>
    <t>sult1st1</t>
  </si>
  <si>
    <t>sulfotransferase family 1, cytosolic sulfotransferase 1 [Source:ZFIN;Acc:ZDB-GENE-030131-2144]</t>
  </si>
  <si>
    <t>ENSDARG00000013721</t>
  </si>
  <si>
    <t>g6pca.2</t>
  </si>
  <si>
    <t>glucose-6-phosphatase a, catalytic subunit, tandem duplicate 2 [Source:ZFIN;Acc:ZDB-GENE-050309-17]</t>
  </si>
  <si>
    <t>ENSDARG00000019307</t>
  </si>
  <si>
    <t>dusp5</t>
  </si>
  <si>
    <t>dual specificity phosphatase 5 [Source:ZFIN;Acc:ZDB-GENE-010625-1]</t>
  </si>
  <si>
    <t>ENSDARG00000017901</t>
  </si>
  <si>
    <t>tln2a</t>
  </si>
  <si>
    <t>talin 2a [Source:ZFIN;Acc:ZDB-GENE-040724-263]</t>
  </si>
  <si>
    <t>ENSDARG00000038991</t>
  </si>
  <si>
    <t>nsfb</t>
  </si>
  <si>
    <t>N-ethylmaleimide-sensitive factor b [Source:ZFIN;Acc:ZDB-GENE-050808-1]</t>
  </si>
  <si>
    <t>ENSDARG00000075542</t>
  </si>
  <si>
    <t>zfhx4</t>
  </si>
  <si>
    <t>zinc finger homeobox 4 [Source:ZFIN;Acc:ZDB-GENE-070530-3]</t>
  </si>
  <si>
    <t>ENSDARG00000046048</t>
  </si>
  <si>
    <t>vapal</t>
  </si>
  <si>
    <t>VAMP (vesicle-associated membrane protein)-associated protein A, like [Source:ZFIN;Acc:ZDB-GENE-040718-281]</t>
  </si>
  <si>
    <t>ENSDARG00000014340</t>
  </si>
  <si>
    <t>rab11al</t>
  </si>
  <si>
    <t>RAB11a, member RAS oncogene family, like [Source:ZFIN;Acc:ZDB-GENE-031118-188]</t>
  </si>
  <si>
    <t>ENSDARG00000071042</t>
  </si>
  <si>
    <t>cx28.8</t>
  </si>
  <si>
    <t>connexin 28.8 [Source:ZFIN;Acc:ZDB-GENE-050616-1]</t>
  </si>
  <si>
    <t>ENSDARG00000032155</t>
  </si>
  <si>
    <t>ppm1aa</t>
  </si>
  <si>
    <t>protein phosphatase, Mg2+/Mn2+ dependent, 1Aa [Source:ZFIN;Acc:ZDB-GENE-991102-15]</t>
  </si>
  <si>
    <t>ENSDARG00000017985</t>
  </si>
  <si>
    <t>zgc:77739</t>
  </si>
  <si>
    <t>zgc:77739 [Source:ZFIN;Acc:ZDB-GENE-040426-1862]</t>
  </si>
  <si>
    <t>ENSDARG00000015427</t>
  </si>
  <si>
    <t>hdac1</t>
  </si>
  <si>
    <t>histone deacetylase 1 [Source:ZFIN;Acc:ZDB-GENE-020419-32]</t>
  </si>
  <si>
    <t>ENSDARG00000097236</t>
  </si>
  <si>
    <t>SVIP</t>
  </si>
  <si>
    <t>si:ch73-147o17.1 [Source:ZFIN;Acc:ZDB-GENE-131127-226]</t>
  </si>
  <si>
    <t>ENSDARG00000093188</t>
  </si>
  <si>
    <t>si:dkey-75a21.2</t>
  </si>
  <si>
    <t>si:dkey-75a21.2 [Source:ZFIN;Acc:ZDB-GENE-030131-6823]</t>
  </si>
  <si>
    <t>ENSDARG00000069833</t>
  </si>
  <si>
    <t>rhbdl2</t>
  </si>
  <si>
    <t>rhomboid, veinlet-like 2 (Drosophila) [Source:ZFIN;Acc:ZDB-GENE-040426-732]</t>
  </si>
  <si>
    <t>ENSDARG00000071036</t>
  </si>
  <si>
    <t>si:dkey-286j15.3</t>
  </si>
  <si>
    <t>si:dkey-286j15.3 [Source:ZFIN;Acc:ZDB-GENE-060503-635]</t>
  </si>
  <si>
    <t>ENSDARG00000017126</t>
  </si>
  <si>
    <t>ilvbl</t>
  </si>
  <si>
    <t>ilvB (bacterial acetolactate synthase)-like [Source:ZFIN;Acc:ZDB-GENE-040426-1623]</t>
  </si>
  <si>
    <t>ENSDARG00000078073</t>
  </si>
  <si>
    <t>nudt5</t>
  </si>
  <si>
    <t>nudix (nucleoside diphosphate linked moiety X)-type motif 5 [Source:ZFIN;Acc:ZDB-GENE-040625-63]</t>
  </si>
  <si>
    <t>ENSDARG00000001890</t>
  </si>
  <si>
    <t>STT3B</t>
  </si>
  <si>
    <t>si:dkey-239i15.3 [Source:ZFIN;Acc:ZDB-GENE-070424-229]</t>
  </si>
  <si>
    <t>ENSDARG00000043467</t>
  </si>
  <si>
    <t>ndufb11</t>
  </si>
  <si>
    <t>NADH dehydrogenase (ubiquinone) 1 beta subcomplex, 11 [Source:ZFIN;Acc:ZDB-GENE-050309-25]</t>
  </si>
  <si>
    <t>ENSDARG00000058367</t>
  </si>
  <si>
    <t>abhd14a</t>
  </si>
  <si>
    <t>abhydrolase domain containing 14A [Source:ZFIN;Acc:ZDB-GENE-040426-2428]</t>
  </si>
  <si>
    <t>ENSDARG00000059781</t>
  </si>
  <si>
    <t>atcayb</t>
  </si>
  <si>
    <t>ataxia, cerebellar, Cayman type b [Source:ZFIN;Acc:ZDB-GENE-070912-220]</t>
  </si>
  <si>
    <t>ENSDARG00000094996</t>
  </si>
  <si>
    <t>sult1st9</t>
  </si>
  <si>
    <t>sulfotransferase family 1, cytosolic sulfotransferase 9 [Source:ZFIN;Acc:ZDB-GENE-081105-79]</t>
  </si>
  <si>
    <t>ENSDARG00000017910</t>
  </si>
  <si>
    <t>pdss1</t>
  </si>
  <si>
    <t>prenyl (decaprenyl) diphosphate synthase, subunit 1 [Source:ZFIN;Acc:ZDB-GENE-030131-4430]</t>
  </si>
  <si>
    <t>ENSDARG00000053884</t>
  </si>
  <si>
    <t>med13a</t>
  </si>
  <si>
    <t>mediator complex subunit 13a [Source:ZFIN;Acc:ZDB-GENE-070627-13]</t>
  </si>
  <si>
    <t>ENSDARG00000070073</t>
  </si>
  <si>
    <t>si:dkey-13m1.5</t>
  </si>
  <si>
    <t>si:dkey-13m1.5 [Source:ZFIN;Acc:ZDB-GENE-120411-27]</t>
  </si>
  <si>
    <t>ENSDARG00000037186</t>
  </si>
  <si>
    <t>tpbgb</t>
  </si>
  <si>
    <t>trophoblast glycoprotein b [Source:ZFIN;Acc:ZDB-GENE-091218-2]</t>
  </si>
  <si>
    <t>ENSDARG00000009242</t>
  </si>
  <si>
    <t>fev</t>
  </si>
  <si>
    <t>FEV (ETS oncogene family) [Source:ZFIN;Acc:ZDB-GENE-070112-1852]</t>
  </si>
  <si>
    <t>ENSDARG00000015946</t>
  </si>
  <si>
    <t>slc44a1a</t>
  </si>
  <si>
    <t>solute carrier family 44 (choline transporter), member 1a [Source:ZFIN;Acc:ZDB-GENE-050417-204]</t>
  </si>
  <si>
    <t>ENSDARG00000037894</t>
  </si>
  <si>
    <t>ezh1</t>
  </si>
  <si>
    <t>enhancer of zeste 1 polycomb repressive complex 2 subunit [Source:ZFIN;Acc:ZDB-GENE-050114-1]</t>
  </si>
  <si>
    <t>ENSDARG00000033706</t>
  </si>
  <si>
    <t>adora2aa</t>
  </si>
  <si>
    <t>adenosine A2a receptor a [Source:ZFIN;Acc:ZDB-GENE-080723-28]</t>
  </si>
  <si>
    <t>ENSDARG00000045420</t>
  </si>
  <si>
    <t>epdr1</t>
  </si>
  <si>
    <t>ependymin related 1 [Source:ZFIN;Acc:ZDB-GENE-040718-113]</t>
  </si>
  <si>
    <t>ENSDARG00000068934</t>
  </si>
  <si>
    <t>cyp1b1</t>
  </si>
  <si>
    <t>cytochrome P450, family 1, subfamily B, polypeptide 1 [Source:ZFIN;Acc:ZDB-GENE-030902-1]</t>
  </si>
  <si>
    <t>ENSDARG00000069282</t>
  </si>
  <si>
    <t>bbc3</t>
  </si>
  <si>
    <t>BCL2 binding component 3 [Source:ZFIN;Acc:ZDB-GENE-070119-4]</t>
  </si>
  <si>
    <t>ENSDARG00000031954</t>
  </si>
  <si>
    <t>rbck1</t>
  </si>
  <si>
    <t>RanBP-type and C3HC4-type zinc finger containing 1 [Source:ZFIN;Acc:ZDB-GENE-040704-3]</t>
  </si>
  <si>
    <t>ENSDARG00000045620</t>
  </si>
  <si>
    <t>nansa</t>
  </si>
  <si>
    <t>N-acetylneuraminic acid synthase a [Source:ZFIN;Acc:ZDB-GENE-030131-1500]</t>
  </si>
  <si>
    <t>ENSDARG00000040401</t>
  </si>
  <si>
    <t>slc25a20</t>
  </si>
  <si>
    <t>solute carrier family 25 (carnitine/acylcarnitine translocase), member 20 [Source:ZFIN;Acc:ZDB-GENE-040426-1869]</t>
  </si>
  <si>
    <t>ENSDARG00000031891</t>
  </si>
  <si>
    <t>tbx1</t>
  </si>
  <si>
    <t>tbx1.1</t>
  </si>
  <si>
    <t>T-box 1 [Source:ZFIN;Acc:ZDB-GENE-030805-5]</t>
  </si>
  <si>
    <t>ENSDARG00000040864</t>
  </si>
  <si>
    <t>si:dkey-286j15.1</t>
  </si>
  <si>
    <t>si:dkey-286j15.1 [Source:ZFIN;Acc:ZDB-GENE-060503-447]</t>
  </si>
  <si>
    <t>ENSDARG00000045304</t>
  </si>
  <si>
    <t>mtfr1</t>
  </si>
  <si>
    <t>mitochondrial fission regulator 1 [Source:ZFIN;Acc:ZDB-GENE-041212-86]</t>
  </si>
  <si>
    <t>ENSDARG00000079079</t>
  </si>
  <si>
    <t>sult1st7</t>
  </si>
  <si>
    <t>sulfotransferase family 1, cytosolic sulfotransferase 7 [Source:ZFIN;Acc:ZDB-GENE-081112-3]</t>
  </si>
  <si>
    <t>ENSDARG00000001879</t>
  </si>
  <si>
    <t>nav2b</t>
  </si>
  <si>
    <t>neuron navigator 2b [Source:ZFIN;Acc:ZDB-GENE-061207-13]</t>
  </si>
  <si>
    <t>ENSDARG00000094516</t>
  </si>
  <si>
    <t>es1</t>
  </si>
  <si>
    <t>es1 protein [Source:ZFIN;Acc:ZDB-GENE-980526-188]</t>
  </si>
  <si>
    <t>ENSDARG00000057248</t>
  </si>
  <si>
    <t>sclt1</t>
  </si>
  <si>
    <t>sodium channel and clathrin linker 1 [Source:ZFIN;Acc:ZDB-GENE-030131-3278]</t>
  </si>
  <si>
    <t>ENSDARG00000060002</t>
  </si>
  <si>
    <t>ogg1</t>
  </si>
  <si>
    <t>8-oxoguanine DNA glycosylase [Source:ZFIN;Acc:ZDB-GENE-070112-932]</t>
  </si>
  <si>
    <t>ENSDARG00000034007</t>
  </si>
  <si>
    <t>prom1b</t>
  </si>
  <si>
    <t>prominin 1 b [Source:ZFIN;Acc:ZDB-GENE-031003-1]</t>
  </si>
  <si>
    <t>ENSDARG00000009390</t>
  </si>
  <si>
    <t>npl</t>
  </si>
  <si>
    <t>N-acetylneuraminate pyruvate lyase (dihydrodipicolinate synthase) [Source:ZFIN;Acc:ZDB-GENE-030131-926]</t>
  </si>
  <si>
    <t>ENSDARG00000016963</t>
  </si>
  <si>
    <t>slc16a1a</t>
  </si>
  <si>
    <t>solute carrier family 16 (monocarboxylate transporter), member 1a [Source:ZFIN;Acc:ZDB-GENE-110408-16]</t>
  </si>
  <si>
    <t>ENSDARG00000038222</t>
  </si>
  <si>
    <t>tyw3</t>
  </si>
  <si>
    <t>tRNA-yW synthesizing protein 3 homolog (S. cerevisiae) [Source:ZFIN;Acc:ZDB-GENE-040718-355]</t>
  </si>
  <si>
    <t>ENSDARG00000086457</t>
  </si>
  <si>
    <t>tnfaip8l1</t>
  </si>
  <si>
    <t>tumor necrosis factor, alpha-induced protein 8-like 1 [Source:ZFIN;Acc:ZDB-GENE-040426-695]</t>
  </si>
  <si>
    <t>ENSDARG00000024681</t>
  </si>
  <si>
    <t>pane1</t>
  </si>
  <si>
    <t>proliferation associated nuclear element [Source:ZFIN;Acc:ZDB-GENE-040611-4]</t>
  </si>
  <si>
    <t>ENSDARG00000013203</t>
  </si>
  <si>
    <t>RAC1</t>
  </si>
  <si>
    <t>si:ch211-1f22.1 [Source:ZFIN;Acc:ZDB-GENE-121214-79]</t>
  </si>
  <si>
    <t>ENSDARG00000019142</t>
  </si>
  <si>
    <t>fam185a</t>
  </si>
  <si>
    <t>family with sequence similarity 185, member A [Source:ZFIN;Acc:ZDB-GENE-131121-241]</t>
  </si>
  <si>
    <t>ENSDARG00000018283</t>
  </si>
  <si>
    <t>cyba</t>
  </si>
  <si>
    <t>cytochrome b-245, alpha polypeptide [Source:ZFIN;Acc:ZDB-GENE-040426-1526]</t>
  </si>
  <si>
    <t>ENSDARG00000032929</t>
  </si>
  <si>
    <t>cryba1l1</t>
  </si>
  <si>
    <t>crystallin, beta A1, like 1 [Source:ZFIN;Acc:ZDB-GENE-050417-249]</t>
  </si>
  <si>
    <t>ENSDARG00000016074</t>
  </si>
  <si>
    <t>cryz</t>
  </si>
  <si>
    <t>crystallin, zeta (quinone reductase) [Source:ZFIN;Acc:ZDB-GENE-050306-24]</t>
  </si>
  <si>
    <t>ENSDARG00000099680</t>
  </si>
  <si>
    <t>si:dkey-15n5.6</t>
  </si>
  <si>
    <t>si:dkey-15n5.6 [Source:ZFIN;Acc:ZDB-GENE-141216-243]</t>
  </si>
  <si>
    <t>ENSDARG00000032157</t>
  </si>
  <si>
    <t>grk6</t>
  </si>
  <si>
    <t>G protein-coupled receptor kinase 6 [Source:ZFIN;Acc:ZDB-GENE-101006-5]</t>
  </si>
  <si>
    <t>ENSDARG00000011152</t>
  </si>
  <si>
    <t>rpp14</t>
  </si>
  <si>
    <t>ribonuclease P/MRP 14 subunit [Source:ZFIN;Acc:ZDB-GENE-050522-182]</t>
  </si>
  <si>
    <t>ENSDARG00000014914</t>
  </si>
  <si>
    <t>lamp2</t>
  </si>
  <si>
    <t>lysosomal-associated membrane protein 2 [Source:ZFIN;Acc:ZDB-GENE-030729-9]</t>
  </si>
  <si>
    <t>ENSDARG00000031325</t>
  </si>
  <si>
    <t>tmed1a</t>
  </si>
  <si>
    <t>transmembrane p24 trafficking protein 1a [Source:ZFIN;Acc:ZDB-GENE-040801-229]</t>
  </si>
  <si>
    <t>ENSDARG00000016038</t>
  </si>
  <si>
    <t>hacd3</t>
  </si>
  <si>
    <t>3-hydroxyacyl-CoA dehydratase 3 [Source:ZFIN;Acc:ZDB-GENE-040426-1200]</t>
  </si>
  <si>
    <t>ENSDARG00000076406</t>
  </si>
  <si>
    <t>ggcta</t>
  </si>
  <si>
    <t>gamma-glutamylcyclotransferase a [Source:ZFIN;Acc:ZDB-GENE-081104-129]</t>
  </si>
  <si>
    <t>ENSDARG00000036943</t>
  </si>
  <si>
    <t>golph3l</t>
  </si>
  <si>
    <t>golgi phosphoprotein 3-like [Source:ZFIN;Acc:ZDB-GENE-051113-168]</t>
  </si>
  <si>
    <t>ENSDARG00000096067</t>
  </si>
  <si>
    <t>RNH1.16</t>
  </si>
  <si>
    <t>si:dkeyp-100h4.7 [Source:ZFIN;Acc:ZDB-GENE-110914-163]</t>
  </si>
  <si>
    <t>ENSDARG00000033160</t>
  </si>
  <si>
    <t>nr1d1</t>
  </si>
  <si>
    <t>nuclear receptor subfamily 1, group d, member 1 [Source:ZFIN;Acc:ZDB-GENE-050105-1]</t>
  </si>
  <si>
    <t>ENSDARG00000033840</t>
  </si>
  <si>
    <t>fat3a</t>
  </si>
  <si>
    <t>FAT atypical cadherin 3a [Source:ZFIN;Acc:ZDB-GENE-060929-1254]</t>
  </si>
  <si>
    <t>ENSDARG00000099903</t>
  </si>
  <si>
    <t>si:ch211-193l2.10</t>
  </si>
  <si>
    <t>si:ch211-193l2.10 [Source:ZFIN;Acc:ZDB-GENE-160114-52]</t>
  </si>
  <si>
    <t>ENSDARG00000063330</t>
  </si>
  <si>
    <t>mgat4a</t>
  </si>
  <si>
    <t>mannosyl (alpha-1,3-)-glycoprotein beta-1,4-N-acetylglucosaminyltransferase, isozyme A [Source:ZFIN;Acc:ZDB-GENE-070912-27]</t>
  </si>
  <si>
    <t>ENSDARG00000098059</t>
  </si>
  <si>
    <t>fkbp3</t>
  </si>
  <si>
    <t>FK506 binding protein 3 [Source:ZFIN;Acc:ZDB-GENE-030616-419]</t>
  </si>
  <si>
    <t>ENSDARG00000091531</t>
  </si>
  <si>
    <t>carm1l</t>
  </si>
  <si>
    <t>coactivator-associated arginine methyltransferase 1, like [Source:ZFIN;Acc:ZDB-GENE-090312-219]</t>
  </si>
  <si>
    <t>ENSDARG00000074056</t>
  </si>
  <si>
    <t>kctd1</t>
  </si>
  <si>
    <t>potassium channel tetramerization domain containing 1 [Source:ZFIN;Acc:ZDB-GENE-040724-194]</t>
  </si>
  <si>
    <t>ENSDARG00000035330</t>
  </si>
  <si>
    <t>taf1</t>
  </si>
  <si>
    <t>TAF1 RNA polymerase II, TATA box binding protein (TBP)-associated factor [Source:ZFIN;Acc:ZDB-GENE-030131-5576]</t>
  </si>
  <si>
    <t>ENSDARG00000058543</t>
  </si>
  <si>
    <t>lama5</t>
  </si>
  <si>
    <t>laminin, alpha 5 [Source:ZFIN;Acc:ZDB-GENE-030131-9823]</t>
  </si>
  <si>
    <t>ENSDARG00000009689</t>
  </si>
  <si>
    <t>daam1b</t>
  </si>
  <si>
    <t>dishevelled associated activator of morphogenesis 1b [Source:ZFIN;Acc:ZDB-GENE-030131-4212]</t>
  </si>
  <si>
    <t>ENSDARG00000063412</t>
  </si>
  <si>
    <t>cers1</t>
  </si>
  <si>
    <t>ceramide synthase 1 [Source:ZFIN;Acc:ZDB-GENE-050208-406]</t>
  </si>
  <si>
    <t>ENSDARG00000100435</t>
  </si>
  <si>
    <t>sec22bb</t>
  </si>
  <si>
    <t>SEC22 homolog B, vesicle trafficking protein b [Source:ZFIN;Acc:ZDB-GENE-030131-5488]</t>
  </si>
  <si>
    <t>ENSDARG00000002894</t>
  </si>
  <si>
    <t>aven</t>
  </si>
  <si>
    <t>apoptosis, caspase activation inhibitor [Source:ZFIN;Acc:ZDB-GENE-041001-171]</t>
  </si>
  <si>
    <t>ENSDARG00000021225</t>
  </si>
  <si>
    <t>prkci</t>
  </si>
  <si>
    <t>protein kinase C, iota [Source:ZFIN;Acc:ZDB-GENE-011105-1]</t>
  </si>
  <si>
    <t>ENSDARG00000062634</t>
  </si>
  <si>
    <t>kat2b</t>
  </si>
  <si>
    <t>K(lysine) acetyltransferase 2B [Source:ZFIN;Acc:ZDB-GENE-060503-207]</t>
  </si>
  <si>
    <t>ENSDARG00000099771</t>
  </si>
  <si>
    <t>gne</t>
  </si>
  <si>
    <t>glucosamine (UDP-N-acetyl)-2-epimerase/N-acetylmannosamine kinase [Source:ZFIN;Acc:ZDB-GENE-040426-1848]</t>
  </si>
  <si>
    <t>ENSDARG00000103594</t>
  </si>
  <si>
    <t>npm3</t>
  </si>
  <si>
    <t>nucleophosmin/nucleoplasmin, 3 [Source:ZFIN;Acc:ZDB-GENE-050320-50]</t>
  </si>
  <si>
    <t>ENSDARG00000100452</t>
  </si>
  <si>
    <t>gltscr2</t>
  </si>
  <si>
    <t>glioma tumor suppressor candidate region gene 2 [Source:ZFIN;Acc:ZDB-GENE-051120-21]</t>
  </si>
  <si>
    <t>ENSDARG00000041429</t>
  </si>
  <si>
    <t>vwa9</t>
  </si>
  <si>
    <t>von Willebrand factor A domain containing 9 [Source:ZFIN;Acc:ZDB-GENE-030131-5804]</t>
  </si>
  <si>
    <t>ENSDARG00000074565</t>
  </si>
  <si>
    <t>pusl1</t>
  </si>
  <si>
    <t>pseudouridylate synthase-like 1 [Source:ZFIN;Acc:ZDB-GENE-101110-1]</t>
  </si>
  <si>
    <t>ENSDARG00000023814</t>
  </si>
  <si>
    <t>dyrk1ab</t>
  </si>
  <si>
    <t>dual-specificity tyrosine-(Y)-phosphorylation regulated kinase 1A, b [Source:ZFIN;Acc:ZDB-GENE-030131-5677]</t>
  </si>
  <si>
    <t>ENSDARG00000022315</t>
  </si>
  <si>
    <t>atp6v1g1</t>
  </si>
  <si>
    <t>ATPase, H+ transporting, lysosomal, V1 subunit G1 [Source:ZFIN;Acc:ZDB-GENE-030131-6965]</t>
  </si>
  <si>
    <t>ENSDARG00000089291</t>
  </si>
  <si>
    <t>stra13</t>
  </si>
  <si>
    <t>stimulated by retinoic acid 13 homolog (mouse) [Source:ZFIN;Acc:ZDB-GENE-110411-78]</t>
  </si>
  <si>
    <t>ENSDARG00000100960</t>
  </si>
  <si>
    <t>si:ch211-155m12.5</t>
  </si>
  <si>
    <t>si:ch211-155m12.5 [Source:ZFIN;Acc:ZDB-GENE-060526-52]</t>
  </si>
  <si>
    <t>ENSDARG00000071331</t>
  </si>
  <si>
    <t>ryr3</t>
  </si>
  <si>
    <t>ryanodine receptor 3 [Source:ZFIN;Acc:ZDB-GENE-041001-165]</t>
  </si>
  <si>
    <t>ENSDARG00000103922</t>
  </si>
  <si>
    <t>bod1</t>
  </si>
  <si>
    <t>biorientation of chromosomes in cell division 1 [Source:ZFIN;Acc:ZDB-GENE-060810-163]</t>
  </si>
  <si>
    <t>ENSDARG00000017882</t>
  </si>
  <si>
    <t>rdh1</t>
  </si>
  <si>
    <t>retinol dehydrogenase 1 [Source:ZFIN;Acc:ZDB-GENE-030912-15]</t>
  </si>
  <si>
    <t>ENSDARG00000104114</t>
  </si>
  <si>
    <t>setd8b</t>
  </si>
  <si>
    <t>SET domain containing (lysine methyltransferase) 8b [Source:ZFIN;Acc:ZDB-GENE-071004-17]</t>
  </si>
  <si>
    <t>ENSDARG00000021443</t>
  </si>
  <si>
    <t>zfp36l1b</t>
  </si>
  <si>
    <t>zinc finger protein 36, C3H type-like 1b [Source:ZFIN;Acc:ZDB-GENE-030131-2391]</t>
  </si>
  <si>
    <t>ENSDARG00000033889</t>
  </si>
  <si>
    <t>spty2d1</t>
  </si>
  <si>
    <t>SPT2 chromatin protein domain containing 1 [Source:ZFIN;Acc:ZDB-GENE-050522-212]</t>
  </si>
  <si>
    <t>ENSDARG00000013777</t>
  </si>
  <si>
    <t>ppp1r13l</t>
  </si>
  <si>
    <t>protein phosphatase 1, regulatory subunit 13 like [Source:ZFIN;Acc:ZDB-GENE-050327-33]</t>
  </si>
  <si>
    <t>ENSDARG00000079688</t>
  </si>
  <si>
    <t>tnrc6a</t>
  </si>
  <si>
    <t>trinucleotide repeat containing 6a [Source:ZFIN;Acc:ZDB-GENE-030131-2519]</t>
  </si>
  <si>
    <t>ENSDARG00000029473</t>
  </si>
  <si>
    <t>gstm.2</t>
  </si>
  <si>
    <t>glutathione S-transferase mu tandem duplicate 2 [Source:ZFIN;Acc:ZDB-GENE-080218-30]</t>
  </si>
  <si>
    <t>ENSDARG00000042120</t>
  </si>
  <si>
    <t>si:dkey-97o5.1</t>
  </si>
  <si>
    <t>si:dkey-97o5.1 [Source:ZFIN;Acc:ZDB-GENE-030131-3554]</t>
  </si>
  <si>
    <t>ENSDARG00000052073</t>
  </si>
  <si>
    <t>blcap</t>
  </si>
  <si>
    <t>bladder cancer associated protein [Source:ZFIN;Acc:ZDB-GENE-000330-7]</t>
  </si>
  <si>
    <t>ENSDARG00000089142</t>
  </si>
  <si>
    <t>zgc:113119</t>
  </si>
  <si>
    <t>zgc:113119 [Source:ZFIN;Acc:ZDB-GENE-050327-3]</t>
  </si>
  <si>
    <t>ENSDARG00000045687</t>
  </si>
  <si>
    <t>pdzrn4</t>
  </si>
  <si>
    <t>PDZ domain containing ring finger 4 [Source:ZFIN;Acc:ZDB-GENE-041210-237]</t>
  </si>
  <si>
    <t>ENSDARG00000074424</t>
  </si>
  <si>
    <t>ibtk</t>
  </si>
  <si>
    <t>inhibitor of Bruton agammaglobulinemia tyrosine kinase [Source:ZFIN;Acc:ZDB-GENE-030131-6246]</t>
  </si>
  <si>
    <t>ENSDARG00000045618</t>
  </si>
  <si>
    <t>clta</t>
  </si>
  <si>
    <t>clathrin, light chain A [Source:ZFIN;Acc:ZDB-GENE-040426-1986]</t>
  </si>
  <si>
    <t>ENSDARG00000100108</t>
  </si>
  <si>
    <t>cul3b</t>
  </si>
  <si>
    <t>cullin 3b [Source:ZFIN;Acc:ZDB-GENE-081007-1]</t>
  </si>
  <si>
    <t>ENSDARG00000020191</t>
  </si>
  <si>
    <t>ppef1</t>
  </si>
  <si>
    <t>protein phosphatase, EF-hand calcium binding domain 1 [Source:ZFIN;Acc:ZDB-GENE-080303-27]</t>
  </si>
  <si>
    <t>ENSDARG00000100209</t>
  </si>
  <si>
    <t>prpf39</t>
  </si>
  <si>
    <t>PRP39 pre-mRNA processing factor 39 homolog (yeast) [Source:ZFIN;Acc:ZDB-GENE-030616-420]</t>
  </si>
  <si>
    <t>ENSDARG00000100300</t>
  </si>
  <si>
    <t>marveld3</t>
  </si>
  <si>
    <t>MARVEL domain containing 3 [Source:ZFIN;Acc:ZDB-GENE-040426-1641]</t>
  </si>
  <si>
    <t>ENSDARG00000002682</t>
  </si>
  <si>
    <t>tbcela</t>
  </si>
  <si>
    <t>tubulin folding cofactor E-like a [Source:ZFIN;Acc:ZDB-GENE-040426-1719]</t>
  </si>
  <si>
    <t>ENSDARG00000086645</t>
  </si>
  <si>
    <t>hs3st3b1b</t>
  </si>
  <si>
    <t>heparan sulfate (glucosamine) 3-O-sulfotransferase 3B1b [Source:ZFIN;Acc:ZDB-GENE-070202-5]</t>
  </si>
  <si>
    <t>ENSDARG00000043046</t>
  </si>
  <si>
    <t>fbxl5</t>
  </si>
  <si>
    <t>F-box and leucine-rich repeat protein 5 [Source:ZFIN;Acc:ZDB-GENE-030131-900]</t>
  </si>
  <si>
    <t>ENSDARG00000074723</t>
  </si>
  <si>
    <t>myo10l1</t>
  </si>
  <si>
    <t>myosin X-like 1 [Source:ZFIN;Acc:ZDB-GENE-080425-1]</t>
  </si>
  <si>
    <t>ENSDARG00000045685</t>
  </si>
  <si>
    <t>cntn1b</t>
  </si>
  <si>
    <t>contactin 1b [Source:ZFIN;Acc:ZDB-GENE-041210-236]</t>
  </si>
  <si>
    <t>ENSDARG00000013997</t>
  </si>
  <si>
    <t>ern1</t>
  </si>
  <si>
    <t>endoplasmic reticulum to nucleus signaling 1 [Source:ZFIN;Acc:ZDB-GENE-050522-431]</t>
  </si>
  <si>
    <t>ENSDARG00000007179</t>
  </si>
  <si>
    <t>sash1a</t>
  </si>
  <si>
    <t>SAM and SH3 domain containing 1a [Source:ZFIN;Acc:ZDB-GENE-030131-9960]</t>
  </si>
  <si>
    <t>ENSDARG00000020077</t>
  </si>
  <si>
    <t>nol10</t>
  </si>
  <si>
    <t>nucleolar protein 10 [Source:ZFIN;Acc:ZDB-GENE-040426-764]</t>
  </si>
  <si>
    <t>ENSDARG00000042533</t>
  </si>
  <si>
    <t>gstm.1</t>
  </si>
  <si>
    <t>glutathione S-transferase mu, tandem duplicate 1 [Source:ZFIN;Acc:ZDB-GENE-030911-2]</t>
  </si>
  <si>
    <t>ENSDARG00000089790</t>
  </si>
  <si>
    <t>efna5a</t>
  </si>
  <si>
    <t>ephrin-A5a [Source:ZFIN;Acc:ZDB-GENE-001128-1]</t>
  </si>
  <si>
    <t>ENSDARG00000010160</t>
  </si>
  <si>
    <t>rps15a</t>
  </si>
  <si>
    <t>ribosomal protein S15a [Source:ZFIN;Acc:ZDB-GENE-030131-8708]</t>
  </si>
  <si>
    <t>ENSDARG00000026072</t>
  </si>
  <si>
    <t>pdcd5</t>
  </si>
  <si>
    <t>programmed cell death 5 [Source:ZFIN;Acc:ZDB-GENE-040426-980]</t>
  </si>
  <si>
    <t>ENSDARG00000033957</t>
  </si>
  <si>
    <t>trmt44</t>
  </si>
  <si>
    <t>tRNA methyltransferase 44 homolog (S. cerevisiae) [Source:ZFIN;Acc:ZDB-GENE-041010-189]</t>
  </si>
  <si>
    <t>ENSDARG00000038005</t>
  </si>
  <si>
    <t>med25</t>
  </si>
  <si>
    <t>mediator complex subunit 25 [Source:ZFIN;Acc:ZDB-GENE-040426-2850]</t>
  </si>
  <si>
    <t>ENSDARG00000063559</t>
  </si>
  <si>
    <t>pigx</t>
  </si>
  <si>
    <t>phosphatidylinositol glycan anchor biosynthesis, class X [Source:ZFIN;Acc:ZDB-GENE-070705-212]</t>
  </si>
  <si>
    <t>ENSDARG00000058259</t>
  </si>
  <si>
    <t>celsr1b</t>
  </si>
  <si>
    <t>cadherin EGF LAG seven-pass G-type receptor 1b [Source:ZFIN;Acc:ZDB-GENE-050823-4]</t>
  </si>
  <si>
    <t>ENSDARG00000099724</t>
  </si>
  <si>
    <t>relt</t>
  </si>
  <si>
    <t>RELT tumor necrosis factor receptor [Source:ZFIN;Acc:ZDB-GENE-040426-2361]</t>
  </si>
  <si>
    <t>ENSDARG00000016532</t>
  </si>
  <si>
    <t>suco</t>
  </si>
  <si>
    <t>SUN domain containing ossification factor [Source:ZFIN;Acc:ZDB-GENE-030131-2941]</t>
  </si>
  <si>
    <t>ENSDARG00000046133</t>
  </si>
  <si>
    <t>b3galnt2</t>
  </si>
  <si>
    <t>beta-1,3-N-acetylgalactosaminyltransferase 2 [Source:ZFIN;Acc:ZDB-GENE-050522-358]</t>
  </si>
  <si>
    <t>ENSDARG00000075492</t>
  </si>
  <si>
    <t>ccdc160</t>
  </si>
  <si>
    <t>coiled-coil domain containing 160 [Source:ZFIN;Acc:ZDB-GENE-130515-1]</t>
  </si>
  <si>
    <t>ENSDARG00000038618</t>
  </si>
  <si>
    <t>cpt2</t>
  </si>
  <si>
    <t>carnitine palmitoyltransferase 2 [Source:ZFIN;Acc:ZDB-GENE-030131-6719]</t>
  </si>
  <si>
    <t>ENSDARG00000055113</t>
  </si>
  <si>
    <t>pom121</t>
  </si>
  <si>
    <t>POM121 transmembrane nucleoporin [Source:ZFIN;Acc:ZDB-GENE-030131-6557]</t>
  </si>
  <si>
    <t>ENSDARG00000030913</t>
  </si>
  <si>
    <t>cluha</t>
  </si>
  <si>
    <t>clustered mitochondria (cluA/CLU1) homolog a [Source:ZFIN;Acc:ZDB-GENE-061103-457]</t>
  </si>
  <si>
    <t>ENSDARG00000078578</t>
  </si>
  <si>
    <t>fam222bb</t>
  </si>
  <si>
    <t>family with sequence similarity 222, member Bb [Source:ZFIN;Acc:ZDB-GENE-110419-4]</t>
  </si>
  <si>
    <t>ENSDARG00000101187</t>
  </si>
  <si>
    <t>si:dkey-53k12.48</t>
  </si>
  <si>
    <t>si:dkey-53k12.48 [Source:ZFIN;Acc:ZDB-GENE-141211-11]</t>
  </si>
  <si>
    <t>ENSDARG00000040608</t>
  </si>
  <si>
    <t>gcnt7</t>
  </si>
  <si>
    <t>glucosaminyl (N-acetyl) transferase family member 7 [Source:ZFIN;Acc:ZDB-GENE-120919-3]</t>
  </si>
  <si>
    <t>ENSDARG00000061890</t>
  </si>
  <si>
    <t>atp13a2</t>
  </si>
  <si>
    <t>ATPase type 13A2 [Source:ZFIN;Acc:ZDB-GENE-061215-126]</t>
  </si>
  <si>
    <t>ENSDARG00000033973</t>
  </si>
  <si>
    <t>mrps23</t>
  </si>
  <si>
    <t>mitochondrial ribosomal protein S23 [Source:ZFIN;Acc:ZDB-GENE-040801-134]</t>
  </si>
  <si>
    <t>ENSDARG00000093872</t>
  </si>
  <si>
    <t>si:ch211-102g22.3</t>
  </si>
  <si>
    <t>si:ch211-102g22.3 [Source:ZFIN;Acc:ZDB-GENE-070705-11]</t>
  </si>
  <si>
    <t>ENSDARG00000043973</t>
  </si>
  <si>
    <t>znf292b</t>
  </si>
  <si>
    <t>zinc finger protein 292b [Source:ZFIN;Acc:ZDB-GENE-030131-9559]</t>
  </si>
  <si>
    <t>ENSDARG00000078986</t>
  </si>
  <si>
    <t>mplkip</t>
  </si>
  <si>
    <t>M-phase specific PLK1 interacting protein [Source:ZFIN;Acc:ZDB-GENE-070912-182]</t>
  </si>
  <si>
    <t>ENSDARG00000099022</t>
  </si>
  <si>
    <t>faua</t>
  </si>
  <si>
    <t>Finkel-Biskis-Reilly murine sarcoma virus (FBR-MuSV) ubiquitously expressed a [Source:ZFIN;Acc:ZDB-GENE-040426-1700]</t>
  </si>
  <si>
    <t>ENSDARG00000071673</t>
  </si>
  <si>
    <t>ctdspla</t>
  </si>
  <si>
    <t>CTD (carboxy-terminal domain, RNA polymerase II, polypeptide A) small phosphatase-like a [Source:ZFIN;Acc:ZDB-GENE-060825-333]</t>
  </si>
  <si>
    <t>ENSDARG00000040607</t>
  </si>
  <si>
    <t>rtfdc1</t>
  </si>
  <si>
    <t>replication termination factor 2 domain containing 1 [Source:ZFIN;Acc:ZDB-GENE-030131-4825]</t>
  </si>
  <si>
    <t>ENSDARG00000058861</t>
  </si>
  <si>
    <t>ncl1</t>
  </si>
  <si>
    <t>nicalin [Source:ZFIN;Acc:ZDB-GENE-030131-8788]</t>
  </si>
  <si>
    <t>ENSDARG00000012005</t>
  </si>
  <si>
    <t>mob2b</t>
  </si>
  <si>
    <t>MOB kinase activator 2b [Source:ZFIN;Acc:ZDB-GENE-060616-319]</t>
  </si>
  <si>
    <t>ENSDARG00000040559</t>
  </si>
  <si>
    <t>rad1</t>
  </si>
  <si>
    <t>RAD1 homolog (S. pombe) [Source:ZFIN;Acc:ZDB-GENE-040426-1873]</t>
  </si>
  <si>
    <t>ENSDARG00000042056</t>
  </si>
  <si>
    <t>mau2</t>
  </si>
  <si>
    <t>MAU2 sister chromatid cohesion factor [Source:ZFIN;Acc:ZDB-GENE-050522-383]</t>
  </si>
  <si>
    <t>ENSDARG00000060559</t>
  </si>
  <si>
    <t>dis3</t>
  </si>
  <si>
    <t>DIS3 exosome endoribonuclease and 3'-5' exoribonuclease [Source:ZFIN;Acc:ZDB-GENE-080213-3]</t>
  </si>
  <si>
    <t>ENSDARG00000002967</t>
  </si>
  <si>
    <t>pdap1b</t>
  </si>
  <si>
    <t>pdgfa associated protein 1b [Source:ZFIN;Acc:ZDB-GENE-040426-942]</t>
  </si>
  <si>
    <t>ENSDARG00000007278</t>
  </si>
  <si>
    <t>ect2</t>
  </si>
  <si>
    <t>epithelial cell transforming 2 [Source:ZFIN;Acc:ZDB-GENE-040831-2]</t>
  </si>
  <si>
    <t>ENSDARG00000029439</t>
  </si>
  <si>
    <t>atp2a2a</t>
  </si>
  <si>
    <t>ATPase, Ca++ transporting, cardiac muscle, slow twitch 2a [Source:ZFIN;Acc:ZDB-GENE-040426-702]</t>
  </si>
  <si>
    <t>ENSDARG00000019260</t>
  </si>
  <si>
    <t>dhrs9</t>
  </si>
  <si>
    <t>dehydrogenase/reductase (SDR family) member 9 [Source:ZFIN;Acc:ZDB-GENE-030131-1249]</t>
  </si>
  <si>
    <t>ENSDARG00000004785</t>
  </si>
  <si>
    <t>cops2</t>
  </si>
  <si>
    <t>COP9 signalosome subunit 2 [Source:ZFIN;Acc:ZDB-GENE-040625-15]</t>
  </si>
  <si>
    <t>ENSDARG00000019004</t>
  </si>
  <si>
    <t>smarcd1</t>
  </si>
  <si>
    <t>SWI/SNF related, matrix associated, actin dependent regulator of chromatin, subfamily d, member 1 [Source:ZFIN;Acc:ZDB-GENE-030131-1835]</t>
  </si>
  <si>
    <t>ENSDARG00000101626</t>
  </si>
  <si>
    <t>arf6a</t>
  </si>
  <si>
    <t>ADP-ribosylation factor 6a [Source:ZFIN;Acc:ZDB-GENE-030131-8007]</t>
  </si>
  <si>
    <t>ENSDARG00000017084</t>
  </si>
  <si>
    <t>bud31</t>
  </si>
  <si>
    <t>BUD31 homolog (S. cerevisiae) [Source:ZFIN;Acc:ZDB-GENE-040720-3]</t>
  </si>
  <si>
    <t>ENSDARG00000056525</t>
  </si>
  <si>
    <t>bcar1</t>
  </si>
  <si>
    <t>breast cancer anti-estrogen resistance 1 [Source:ZFIN;Acc:ZDB-GENE-030131-2774]</t>
  </si>
  <si>
    <t>ENSDARG00000069494</t>
  </si>
  <si>
    <t>tmem223</t>
  </si>
  <si>
    <t>transmembrane protein 223 [Source:ZFIN;Acc:ZDB-GENE-040801-113]</t>
  </si>
  <si>
    <t>ENSDARG00000017445</t>
  </si>
  <si>
    <t>eif3i</t>
  </si>
  <si>
    <t>eukaryotic translation initiation factor 3, subunit I [Source:ZFIN;Acc:ZDB-GENE-040426-1922]</t>
  </si>
  <si>
    <t>ENSDARG00000040874</t>
  </si>
  <si>
    <t>add3a</t>
  </si>
  <si>
    <t>adducin 3 (gamma) a [Source:ZFIN;Acc:ZDB-GENE-030131-2721]</t>
  </si>
  <si>
    <t>ENSDARG00000097963</t>
  </si>
  <si>
    <t>si:dkey-15k16.1</t>
  </si>
  <si>
    <t>si:dkey-15k16.1 [Source:ZFIN;Acc:ZDB-GENE-131120-17]</t>
  </si>
  <si>
    <t>ENSDARG00000070734</t>
  </si>
  <si>
    <t>dyrk4</t>
  </si>
  <si>
    <t>dual-specificity tyrosine-(Y)-phosphorylation regulated kinase 4 [Source:ZFIN;Acc:ZDB-GENE-091015-3]</t>
  </si>
  <si>
    <t>ENSDARG00000078095</t>
  </si>
  <si>
    <t>cipcb</t>
  </si>
  <si>
    <t>CLOCK-interacting pacemaker b [Source:ZFIN;Acc:ZDB-GENE-091204-292]</t>
  </si>
  <si>
    <t>ENSDARG00000045006</t>
  </si>
  <si>
    <t>ptprga</t>
  </si>
  <si>
    <t>protein tyrosine phosphatase, receptor type, g a [Source:ZFIN;Acc:ZDB-GENE-101101-4]</t>
  </si>
  <si>
    <t>ENSDARG00000052897</t>
  </si>
  <si>
    <t>atxn2</t>
  </si>
  <si>
    <t>ataxin 2 [Source:ZFIN;Acc:ZDB-GENE-060526-217]</t>
  </si>
  <si>
    <t>ENSDARG00000040334</t>
  </si>
  <si>
    <t>mat2aa</t>
  </si>
  <si>
    <t>methionine adenosyltransferase II, alpha a [Source:ZFIN;Acc:ZDB-GENE-030131-2049]</t>
  </si>
  <si>
    <t>ENSDARG00000001234</t>
  </si>
  <si>
    <t>map4k2</t>
  </si>
  <si>
    <t>mitogen-activated protein kinase kinase kinase kinase 2 [Source:ZFIN;Acc:ZDB-GENE-030616-163]</t>
  </si>
  <si>
    <t>ENSDARG00000056605</t>
  </si>
  <si>
    <t>wbp2</t>
  </si>
  <si>
    <t>WW domain binding protein 2 [Source:ZFIN;Acc:ZDB-GENE-050522-137]</t>
  </si>
  <si>
    <t>ENSDARG00000017047</t>
  </si>
  <si>
    <t>slc27a4</t>
  </si>
  <si>
    <t>solute carrier family 27 (fatty acid transporter), member 4 [Source:ZFIN;Acc:ZDB-GENE-050417-248]</t>
  </si>
  <si>
    <t>ENSDARG00000060058</t>
  </si>
  <si>
    <t>cylda</t>
  </si>
  <si>
    <t>cylindromatosis (turban tumor syndrome), a [Source:ZFIN;Acc:ZDB-GENE-061108-2]</t>
  </si>
  <si>
    <t>ENSDARG00000078267</t>
  </si>
  <si>
    <t>si:dkey-181m9.8</t>
  </si>
  <si>
    <t>si:dkey-181m9.8 [Source:ZFIN;Acc:ZDB-GENE-070912-399]</t>
  </si>
  <si>
    <t>ENSDARG00000015315</t>
  </si>
  <si>
    <t>psmc5</t>
  </si>
  <si>
    <t>proteasome 26S subunit, ATPase 5 [Source:ZFIN;Acc:ZDB-GENE-030131-6547]</t>
  </si>
  <si>
    <t>ENSDARG00000045153</t>
  </si>
  <si>
    <t>slc16a8</t>
  </si>
  <si>
    <t>solute carrier family 16 (monocarboxylate transporter), member 8 [Source:ZFIN;Acc:ZDB-GENE-121128-1]</t>
  </si>
  <si>
    <t>ENSDARG00000020761</t>
  </si>
  <si>
    <t>arrdc2</t>
  </si>
  <si>
    <t>arrestin domain containing 2 [Source:ZFIN;Acc:ZDB-GENE-030131-7146]</t>
  </si>
  <si>
    <t>ENSDARG00000001015</t>
  </si>
  <si>
    <t>znf384l</t>
  </si>
  <si>
    <t>zinc finger protein 384 like [Source:ZFIN;Acc:ZDB-GENE-030616-498]</t>
  </si>
  <si>
    <t>ENSDARG00000016239</t>
  </si>
  <si>
    <t>psmd13</t>
  </si>
  <si>
    <t>proteasome 26S subunit, non-ATPase 13 [Source:ZFIN;Acc:ZDB-GENE-040426-1004]</t>
  </si>
  <si>
    <t>ENSDARG00000054087</t>
  </si>
  <si>
    <t>irs1</t>
  </si>
  <si>
    <t>insulin receptor substrate 1 [Source:ZFIN;Acc:ZDB-GENE-030131-872]</t>
  </si>
  <si>
    <t>ENSDARG00000075732</t>
  </si>
  <si>
    <t>taf4b</t>
  </si>
  <si>
    <t>TAF4B RNA polymerase II, TATA box binding protein (TBP)-associated factor [Source:ZFIN;Acc:ZDB-GENE-070424-105]</t>
  </si>
  <si>
    <t>ENSDARG00000102975</t>
  </si>
  <si>
    <t>hmp19</t>
  </si>
  <si>
    <t>HMP19 protein [Source:ZFIN;Acc:ZDB-GENE-030131-3694]</t>
  </si>
  <si>
    <t>ENSDARG00000074166</t>
  </si>
  <si>
    <t>birc6</t>
  </si>
  <si>
    <t>baculoviral IAP repeat containing 6 [Source:ZFIN;Acc:ZDB-GENE-091202-7]</t>
  </si>
  <si>
    <t>ENSDARG00000058461</t>
  </si>
  <si>
    <t>ice1</t>
  </si>
  <si>
    <t>KIAA0947-like (H. sapiens) [Source:ZFIN;Acc:ZDB-GENE-030131-5566]</t>
  </si>
  <si>
    <t>ENSDARG00000077098</t>
  </si>
  <si>
    <t>trim65</t>
  </si>
  <si>
    <t>tripartite motif containing 65 [Source:ZFIN;Acc:ZDB-GENE-130613-1]</t>
  </si>
  <si>
    <t>ENSDARG00000076928</t>
  </si>
  <si>
    <t>tet2</t>
  </si>
  <si>
    <t>tet methylcytosine dioxygenase 2 [Source:ZFIN;Acc:ZDB-GENE-090312-98]</t>
  </si>
  <si>
    <t>ENSDARG00000016584</t>
  </si>
  <si>
    <t>rgs7a</t>
  </si>
  <si>
    <t>regulator of G-protein signaling 7a [Source:ZFIN;Acc:ZDB-GENE-040718-276]</t>
  </si>
  <si>
    <t>ENSDARG00000041621</t>
  </si>
  <si>
    <t>bbs2</t>
  </si>
  <si>
    <t>Bardet-Biedl syndrome 2 [Source:ZFIN;Acc:ZDB-GENE-020801-1]</t>
  </si>
  <si>
    <t>ENSDARG00000042428</t>
  </si>
  <si>
    <t>gstt1a</t>
  </si>
  <si>
    <t>glutathione S-transferase theta 1a [Source:ZFIN;Acc:ZDB-GENE-031001-13]</t>
  </si>
  <si>
    <t>ENSDARG00000027046</t>
  </si>
  <si>
    <t>scyl3</t>
  </si>
  <si>
    <t>SCY1-like, kinase-like 3 [Source:ZFIN;Acc:ZDB-GENE-030131-2559]</t>
  </si>
  <si>
    <t>ENSDARG00000054442</t>
  </si>
  <si>
    <t>cbx1b</t>
  </si>
  <si>
    <t>chromobox homolog 1b (HP1 beta homolog Drosophila) [Source:ZFIN;Acc:ZDB-GENE-040625-68]</t>
  </si>
  <si>
    <t>ENSDARG00000038281</t>
  </si>
  <si>
    <t>natd1</t>
  </si>
  <si>
    <t>zgc:110779 [Source:ZFIN;Acc:ZDB-GENE-050306-19]</t>
  </si>
  <si>
    <t>ENSDARG00000021046</t>
  </si>
  <si>
    <t>rhbdd1</t>
  </si>
  <si>
    <t>rhomboid domain containing 1 [Source:ZFIN;Acc:ZDB-GENE-050417-85]</t>
  </si>
  <si>
    <t>ENSDARG00000012899</t>
  </si>
  <si>
    <t>ddx49</t>
  </si>
  <si>
    <t>DEAD (Asp-Glu-Ala-Asp) box polypeptide 49 [Source:ZFIN;Acc:ZDB-GENE-031030-3]</t>
  </si>
  <si>
    <t>ENSDARG00000054501</t>
  </si>
  <si>
    <t>stambpa</t>
  </si>
  <si>
    <t>STAM binding protein a [Source:ZFIN;Acc:ZDB-GENE-040426-1551]</t>
  </si>
  <si>
    <t>ENSDARG00000044203</t>
  </si>
  <si>
    <t>sumf1</t>
  </si>
  <si>
    <t>sulfatase modifying factor 1 [Source:ZFIN;Acc:ZDB-GENE-060421-3113]</t>
  </si>
  <si>
    <t>ENSDARG00000020964</t>
  </si>
  <si>
    <t>prkrirb</t>
  </si>
  <si>
    <t>protein-kinase, interferon-inducible double stranded RNA dependent inhibitor, repressor of (P58 repressor) b [Source:ZFIN;Acc:ZDB-GENE-040718-429]</t>
  </si>
  <si>
    <t>ENSDARG00000069829</t>
  </si>
  <si>
    <t>rragca</t>
  </si>
  <si>
    <t>Ras-related GTP binding Ca [Source:ZFIN;Acc:ZDB-GENE-050522-355]</t>
  </si>
  <si>
    <t>ENSDARG00000018022</t>
  </si>
  <si>
    <t>msh2</t>
  </si>
  <si>
    <t>mutS homolog 2 (E. coli) [Source:ZFIN;Acc:ZDB-GENE-040426-2932]</t>
  </si>
  <si>
    <t>ENSDARG00000021849</t>
  </si>
  <si>
    <t>si:dkey-256h2.1</t>
  </si>
  <si>
    <t>si:dkey-256h2.1 [Source:ZFIN;Acc:ZDB-GENE-030131-9466]</t>
  </si>
  <si>
    <t>ENSDARG00000024398</t>
  </si>
  <si>
    <t>get4</t>
  </si>
  <si>
    <t>golgi to ER traffic protein 4 homolog (S. cerevisiae) [Source:ZFIN;Acc:ZDB-GENE-030131-5399]</t>
  </si>
  <si>
    <t>ENSDARG00000020447</t>
  </si>
  <si>
    <t>tmtc4</t>
  </si>
  <si>
    <t>transmembrane and tetratricopeptide repeat containing 4 [Source:ZFIN;Acc:ZDB-GENE-070912-148]</t>
  </si>
  <si>
    <t>ENSDARG00000051814</t>
  </si>
  <si>
    <t>ptprz1a</t>
  </si>
  <si>
    <t>protein tyrosine phosphatase, receptor-type, Z polypeptide 1a [Source:ZFIN;Acc:ZDB-GENE-090406-1]</t>
  </si>
  <si>
    <t>ENSDARG00000039497</t>
  </si>
  <si>
    <t>ccdc85a</t>
  </si>
  <si>
    <t>coiled-coil domain containing 85A [Source:ZFIN;Acc:ZDB-GENE-080220-55]</t>
  </si>
  <si>
    <t>ENSDARG00000000666</t>
  </si>
  <si>
    <t>creg2</t>
  </si>
  <si>
    <t>cellular repressor of E1A-stimulated genes 2 [Source:ZFIN;Acc:ZDB-GENE-041114-173]</t>
  </si>
  <si>
    <t>ENSDARG00000078433</t>
  </si>
  <si>
    <t>spc25</t>
  </si>
  <si>
    <t>SPC25, NDC80 kinetochore complex component, homolog (S. cerevisiae) [Source:ZFIN;Acc:ZDB-GENE-060810-13]</t>
  </si>
  <si>
    <t>ENSDARG00000044776</t>
  </si>
  <si>
    <t>clic3</t>
  </si>
  <si>
    <t>chloride intracellular channel 3 [Source:ZFIN;Acc:ZDB-GENE-010507-2]</t>
  </si>
  <si>
    <t>ENSDARG00000075025</t>
  </si>
  <si>
    <t>cdc123</t>
  </si>
  <si>
    <t>cell division cycle 123 homolog (S. cerevisiae) [Source:ZFIN;Acc:ZDB-GENE-040426-1680]</t>
  </si>
  <si>
    <t>ENSDARG00000078789</t>
  </si>
  <si>
    <t>tmem184c</t>
  </si>
  <si>
    <t>transmembrane protein 184C [Source:ZFIN;Acc:ZDB-GENE-090312-89]</t>
  </si>
  <si>
    <t>ENSDARG00000063684</t>
  </si>
  <si>
    <t>ppm1h</t>
  </si>
  <si>
    <t>protein phosphatase, Mg2+/Mn2+ dependent, 1H [Source:ZFIN;Acc:ZDB-GENE-061027-190]</t>
  </si>
  <si>
    <t>ENSDARG00000023309</t>
  </si>
  <si>
    <t>spryd4</t>
  </si>
  <si>
    <t>SPRY domain containing 4 [Source:ZFIN;Acc:ZDB-GENE-040718-180]</t>
  </si>
  <si>
    <t>ENSDARG00000008034</t>
  </si>
  <si>
    <t>skib</t>
  </si>
  <si>
    <t>v-ski avian sarcoma viral oncogene homolog b [Source:ZFIN;Acc:ZDB-GENE-990715-10]</t>
  </si>
  <si>
    <t>ENSDARG00000105426</t>
  </si>
  <si>
    <t>si:ch1073-526c11.4</t>
  </si>
  <si>
    <t>si:ch1073-526c11.4 [Source:ZFIN;Acc:ZDB-GENE-160113-154]</t>
  </si>
  <si>
    <t>ENSDARG00000092546</t>
  </si>
  <si>
    <t>pdap1a</t>
  </si>
  <si>
    <t>pdgfa associated protein 1a [Source:ZFIN;Acc:ZDB-GENE-030131-1693]</t>
  </si>
  <si>
    <t>ENSDARG00000095177</t>
  </si>
  <si>
    <t>si:ch211-42d10.5</t>
  </si>
  <si>
    <t>si:ch211-42d10.5 [Source:ZFIN;Acc:ZDB-GENE-081104-232]</t>
  </si>
  <si>
    <t>ENSDARG00000039661</t>
  </si>
  <si>
    <t>slc36a4</t>
  </si>
  <si>
    <t>solute carrier family 36 (proton/amino acid symporter), member 4 [Source:ZFIN;Acc:ZDB-GENE-050309-239]</t>
  </si>
  <si>
    <t>ENSDARG00000069111</t>
  </si>
  <si>
    <t>IKZF2</t>
  </si>
  <si>
    <t>si:zfos-1425h8.1 [Source:ZFIN;Acc:ZDB-GENE-100922-169]</t>
  </si>
  <si>
    <t>ENSDARG00000057286</t>
  </si>
  <si>
    <t>swap70b</t>
  </si>
  <si>
    <t>SWAP switching B-cell complex 70b subunit 70b [Source:ZFIN;Acc:ZDB-GENE-030131-3587]</t>
  </si>
  <si>
    <t>ENSDARG00000074332</t>
  </si>
  <si>
    <t>SPEN</t>
  </si>
  <si>
    <t>si:ch1073-335m2.2 [Source:ZFIN;Acc:ZDB-GENE-081104-82]</t>
  </si>
  <si>
    <t>ENSDARG00000036755</t>
  </si>
  <si>
    <t>prmt9</t>
  </si>
  <si>
    <t>protein arginine methyltransferase 9 [Source:ZFIN;Acc:ZDB-GENE-080728-4]</t>
  </si>
  <si>
    <t>ENSDARG00000002840</t>
  </si>
  <si>
    <t>si:dkey-28b4.8</t>
  </si>
  <si>
    <t>si:dkey-28b4.8 [Source:ZFIN;Acc:ZDB-GENE-090501-2]</t>
  </si>
  <si>
    <t>ENSDARG00000008767</t>
  </si>
  <si>
    <t>si:dkey-42p8.3</t>
  </si>
  <si>
    <t>si:dkey-42p8.3 [Source:ZFIN;Acc:ZDB-GENE-050208-677]</t>
  </si>
  <si>
    <t>ENSDARG00000071555</t>
  </si>
  <si>
    <t>zgc:153675</t>
  </si>
  <si>
    <t>zgc:153675 [Source:ZFIN;Acc:ZDB-GENE-061013-567]</t>
  </si>
  <si>
    <t>ENSDARG00000030905</t>
  </si>
  <si>
    <t>cited2</t>
  </si>
  <si>
    <t>Cbp/p300-interacting transactivator, with Glu/Asp-rich carboxy-terminal domain, 2 [Source:ZFIN;Acc:ZDB-GENE-041010-141]</t>
  </si>
  <si>
    <t>ENSDARG00000102254</t>
  </si>
  <si>
    <t>pycr1a</t>
  </si>
  <si>
    <t>pyrroline-5-carboxylate reductase 1a [Source:ZFIN;Acc:ZDB-GENE-040426-1675]</t>
  </si>
  <si>
    <t>ENSDARG00000016725</t>
  </si>
  <si>
    <t>gadd45gb.1</t>
  </si>
  <si>
    <t>growth arrest and DNA-damage-inducible, gamma b, tandem duplicate 1 [Source:ZFIN;Acc:ZDB-GENE-040426-2321]</t>
  </si>
  <si>
    <t>ENSDARG00000045411</t>
  </si>
  <si>
    <t>acad11</t>
  </si>
  <si>
    <t>acyl-CoA dehydrogenase family, member 11 [Source:ZFIN;Acc:ZDB-GENE-040426-814]</t>
  </si>
  <si>
    <t>ENSDARG00000102977</t>
  </si>
  <si>
    <t>cant1b</t>
  </si>
  <si>
    <t>calcium activated nucleotidase 1b [Source:ZFIN;Acc:ZDB-GENE-040801-114]</t>
  </si>
  <si>
    <t>ENSDARG00000055607</t>
  </si>
  <si>
    <t>cgna</t>
  </si>
  <si>
    <t>cingulin a [Source:ZFIN;Acc:ZDB-GENE-100921-78]</t>
  </si>
  <si>
    <t>ENSDARG00000009253</t>
  </si>
  <si>
    <t>zgc:56576</t>
  </si>
  <si>
    <t>zgc:56576 [Source:ZFIN;Acc:ZDB-GENE-040426-1082]</t>
  </si>
  <si>
    <t>ENSDARG00000060987</t>
  </si>
  <si>
    <t>zgc:154077</t>
  </si>
  <si>
    <t>zgc:154077 [Source:ZFIN;Acc:ZDB-GENE-061110-34]</t>
  </si>
  <si>
    <t>ENSDARG00000014348</t>
  </si>
  <si>
    <t>stk17b</t>
  </si>
  <si>
    <t>serine/threonine kinase 17b (apoptosis-inducing) [Source:ZFIN;Acc:ZDB-GENE-040426-1499]</t>
  </si>
  <si>
    <t>ENSDARG00000001953</t>
  </si>
  <si>
    <t>pfkfb3</t>
  </si>
  <si>
    <t>6-phosphofructo-2-kinase/fructose-2,6-biphosphatase 3 [Source:ZFIN;Acc:ZDB-GENE-040426-2724]</t>
  </si>
  <si>
    <t>ENSDARG00000088959</t>
  </si>
  <si>
    <t>pdxka</t>
  </si>
  <si>
    <t>pyridoxal (pyridoxine, vitamin B6) kinase a [Source:ZFIN;Acc:ZDB-GENE-030131-8376]</t>
  </si>
  <si>
    <t>ENSDARG00000042799</t>
  </si>
  <si>
    <t>atpaf1</t>
  </si>
  <si>
    <t>ATP synthase mitochondrial F1 complex assembly factor 1 [Source:ZFIN;Acc:ZDB-GENE-030219-10]</t>
  </si>
  <si>
    <t>ENSDARG00000099902</t>
  </si>
  <si>
    <t>IL17RC</t>
  </si>
  <si>
    <t>si:ch211-210k13.2 [Source:ZFIN;Acc:ZDB-GENE-141222-8]</t>
  </si>
  <si>
    <t>ENSDARG00000061248</t>
  </si>
  <si>
    <t>xylt1</t>
  </si>
  <si>
    <t>xylosyltransferase I [Source:ZFIN;Acc:ZDB-GENE-111017-2]</t>
  </si>
  <si>
    <t>ENSDARG00000097737</t>
  </si>
  <si>
    <t>si:dkey-188h10.3</t>
  </si>
  <si>
    <t>si:dkey-188h10.3 [Source:ZFIN;Acc:ZDB-GENE-030131-376]</t>
  </si>
  <si>
    <t>ENSDARG00000040556</t>
  </si>
  <si>
    <t>ift20</t>
  </si>
  <si>
    <t>intraflagellar transport 20 homolog (Chlamydomonas) [Source:ZFIN;Acc:ZDB-GENE-040614-2]</t>
  </si>
  <si>
    <t>ENSDARG00000031388</t>
  </si>
  <si>
    <t>dctn2</t>
  </si>
  <si>
    <t>dynactin 2 (p50) [Source:ZFIN;Acc:ZDB-GENE-040426-1279]</t>
  </si>
  <si>
    <t>ENSDARG00000062960</t>
  </si>
  <si>
    <t>armc10</t>
  </si>
  <si>
    <t>armadillo repeat containing 10 [Source:ZFIN;Acc:ZDB-GENE-131121-630]</t>
  </si>
  <si>
    <t>ENSDARG00000040712</t>
  </si>
  <si>
    <t>adprh</t>
  </si>
  <si>
    <t>ADP-ribosylarginine hydrolase [Source:ZFIN;Acc:ZDB-GENE-040801-190]</t>
  </si>
  <si>
    <t>ENSDARG00000103266</t>
  </si>
  <si>
    <t>si:dkey-93h22.6</t>
  </si>
  <si>
    <t>si:dkey-93h22.6 [Source:ZFIN;Acc:ZDB-GENE-110914-153]</t>
  </si>
  <si>
    <t>ENSDARG00000071585</t>
  </si>
  <si>
    <t>si:dkeyp-110e4.11</t>
  </si>
  <si>
    <t>si:dkeyp-110e4.11 [Source:ZFIN;Acc:ZDB-GENE-070424-267]</t>
  </si>
  <si>
    <t>ENSDARG00000078326</t>
  </si>
  <si>
    <t>arhgap10</t>
  </si>
  <si>
    <t>Rho GTPase activating protein 10 [Source:ZFIN;Acc:ZDB-GENE-060512-221]</t>
  </si>
  <si>
    <t>ENSDARG00000097824</t>
  </si>
  <si>
    <t>smco4</t>
  </si>
  <si>
    <t>single-pass membrane protein with coiled-coil domains 4 [Source:ZFIN;Acc:ZDB-GENE-131121-542]</t>
  </si>
  <si>
    <t>ENSDARG00000028973</t>
  </si>
  <si>
    <t>tekt2</t>
  </si>
  <si>
    <t>tektin 2 (testicular) [Source:ZFIN;Acc:ZDB-GENE-040113-1]</t>
  </si>
  <si>
    <t>ENSDARG00000040553</t>
  </si>
  <si>
    <t>tmem97</t>
  </si>
  <si>
    <t>transmembrane protein 97 [Source:ZFIN;Acc:ZDB-GENE-110627-1]</t>
  </si>
  <si>
    <t>ENSDARG00000027129</t>
  </si>
  <si>
    <t>tmem218</t>
  </si>
  <si>
    <t>transmembrane protein 218 [Source:ZFIN;Acc:ZDB-GENE-040426-1232]</t>
  </si>
  <si>
    <t>ENSDARG00000069774</t>
  </si>
  <si>
    <t>flot2b</t>
  </si>
  <si>
    <t>flotillin 2b [Source:ZFIN;Acc:ZDB-GENE-040426-1368]</t>
  </si>
  <si>
    <t>ENSDARG00000015790</t>
  </si>
  <si>
    <t>atp1b3a</t>
  </si>
  <si>
    <t>ATPase, Na+/K+ transporting, beta 3a polypeptide [Source:ZFIN;Acc:ZDB-GENE-990415-167]</t>
  </si>
  <si>
    <t>ENSDARG00000074686</t>
  </si>
  <si>
    <t>mgea5</t>
  </si>
  <si>
    <t>meningioma expressed antigen 5 (hyaluronidase) [Source:ZFIN;Acc:ZDB-GENE-030131-3208]</t>
  </si>
  <si>
    <t>ENSDARG00000008218</t>
  </si>
  <si>
    <t>znf410</t>
  </si>
  <si>
    <t>zinc finger protein 410 [Source:ZFIN;Acc:ZDB-GENE-040426-1817]</t>
  </si>
  <si>
    <t>ENSDARG00000087292</t>
  </si>
  <si>
    <t>si:dkey-126h10.2</t>
  </si>
  <si>
    <t>si:dkey-126h10.2 [Source:ZFIN;Acc:ZDB-GENE-121214-343]</t>
  </si>
  <si>
    <t>ENSDARG00000020001</t>
  </si>
  <si>
    <t>rad23aa</t>
  </si>
  <si>
    <t>RAD23 homolog A, nucleotide excision repair protein a [Source:ZFIN;Acc:ZDB-GENE-040808-59]</t>
  </si>
  <si>
    <t>ENSDARG00000101975</t>
  </si>
  <si>
    <t>DKEY-225F5.4</t>
  </si>
  <si>
    <t>ENSDARG00000027143</t>
  </si>
  <si>
    <t>aptx</t>
  </si>
  <si>
    <t>aprataxin [Source:ZFIN;Acc:ZDB-GENE-040628-2]</t>
  </si>
  <si>
    <t>ENSDARG00000090935</t>
  </si>
  <si>
    <t>CCDC150</t>
  </si>
  <si>
    <t>si:dkey-75b17.1 [Source:ZFIN;Acc:ZDB-GENE-121214-243]</t>
  </si>
  <si>
    <t>ENSDARG00000039340</t>
  </si>
  <si>
    <t>tmem209</t>
  </si>
  <si>
    <t>transmembrane protein 209 [Source:ZFIN;Acc:ZDB-GENE-030131-2879]</t>
  </si>
  <si>
    <t>ENSDARG00000011521</t>
  </si>
  <si>
    <t>upb1</t>
  </si>
  <si>
    <t>ureidopropionase, beta [Source:ZFIN;Acc:ZDB-GENE-030131-1380]</t>
  </si>
  <si>
    <t>ENSDARG00000069113</t>
  </si>
  <si>
    <t>dbn1</t>
  </si>
  <si>
    <t>drebrin 1 [Source:ZFIN;Acc:ZDB-GENE-091204-284]</t>
  </si>
  <si>
    <t>ENSDARG00000099106</t>
  </si>
  <si>
    <t>afmid</t>
  </si>
  <si>
    <t>arylformamidase [Source:ZFIN;Acc:ZDB-GENE-050417-166]</t>
  </si>
  <si>
    <t>ENSDARG00000075682</t>
  </si>
  <si>
    <t>orc6</t>
  </si>
  <si>
    <t>origin recognition complex, subunit 6 [Source:ZFIN;Acc:ZDB-GENE-030131-2976]</t>
  </si>
  <si>
    <t>ENSDARG00000008829</t>
  </si>
  <si>
    <t>chga</t>
  </si>
  <si>
    <t>chromogranin A [Source:ZFIN;Acc:ZDB-GENE-041010-161]</t>
  </si>
  <si>
    <t>ENSDARG00000100969</t>
  </si>
  <si>
    <t>tmprss13a</t>
  </si>
  <si>
    <t>transmembrane protease, serine 13a [Source:ZFIN;Acc:ZDB-GENE-090309-3]</t>
  </si>
  <si>
    <t>ENSDARG00000061916</t>
  </si>
  <si>
    <t>tmem51b</t>
  </si>
  <si>
    <t>transmembrane protein 51b [Source:ZFIN;Acc:ZDB-GENE-030131-5373]</t>
  </si>
  <si>
    <t>ENSDARG00000077037</t>
  </si>
  <si>
    <t>txlna</t>
  </si>
  <si>
    <t>taxilin alpha [Source:ZFIN;Acc:ZDB-GENE-030131-2900]</t>
  </si>
  <si>
    <t>ENSDARG00000026180</t>
  </si>
  <si>
    <t>prpf8</t>
  </si>
  <si>
    <t>pre-mRNA processing factor 8 [Source:ZFIN;Acc:ZDB-GENE-030131-577]</t>
  </si>
  <si>
    <t>ENSDARG00000020788</t>
  </si>
  <si>
    <t>sla2</t>
  </si>
  <si>
    <t>Src-like-adaptor 2 [Source:ZFIN;Acc:ZDB-GENE-080204-98]</t>
  </si>
  <si>
    <t>ENSDARG00000016253</t>
  </si>
  <si>
    <t>ralab</t>
  </si>
  <si>
    <t>v-ral simian leukemia viral oncogene homolog Ab (ras related) [Source:ZFIN;Acc:ZDB-GENE-041114-195]</t>
  </si>
  <si>
    <t>ENSDARG00000094252</t>
  </si>
  <si>
    <t>si:dkey-169i5.2</t>
  </si>
  <si>
    <t>si:dkey-169i5.2 [Source:ZFIN;Acc:ZDB-GENE-060531-75]</t>
  </si>
  <si>
    <t>ENSDARG00000022652</t>
  </si>
  <si>
    <t>psmf1</t>
  </si>
  <si>
    <t>proteasome inhibitor subunit 1 [Source:ZFIN;Acc:ZDB-GENE-040718-282]</t>
  </si>
  <si>
    <t>ENSDARG00000040884</t>
  </si>
  <si>
    <t>mxi1</t>
  </si>
  <si>
    <t>max interactor 1, dimerization protein [Source:ZFIN;Acc:ZDB-GENE-990415-151]</t>
  </si>
  <si>
    <t>ENSDARG00000036494</t>
  </si>
  <si>
    <t>gstcd</t>
  </si>
  <si>
    <t>glutathione S-transferase, C-terminal domain containing [Source:ZFIN;Acc:ZDB-GENE-050320-41]</t>
  </si>
  <si>
    <t>ENSDARG00000008224</t>
  </si>
  <si>
    <t>vps35</t>
  </si>
  <si>
    <t>vacuolar protein sorting 35 homolog (S. cerevisiae) [Source:ZFIN;Acc:ZDB-GENE-030131-2042]</t>
  </si>
  <si>
    <t>ENSDARG00000060594</t>
  </si>
  <si>
    <t>hadhab</t>
  </si>
  <si>
    <t>hydroxyacyl-CoA dehydrogenase/3-ketoacyl-CoA thiolase/enoyl-CoA hydratase (trifunctional protein), alpha subunit b [Source:ZFIN;Acc:ZDB-GENE-041111-204]</t>
  </si>
  <si>
    <t>ENSDARG00000016484</t>
  </si>
  <si>
    <t>dkc1</t>
  </si>
  <si>
    <t>dyskeratosis congenita 1, dyskerin [Source:ZFIN;Acc:ZDB-GENE-031118-120]</t>
  </si>
  <si>
    <t>ENSDARG00000054649</t>
  </si>
  <si>
    <t>rac1l</t>
  </si>
  <si>
    <t>ras-related C3 botulinum toxin substrate 1 (rho family, small GTP binding protein Rac1) like [Source:ZFIN;Acc:ZDB-GENE-060315-6]</t>
  </si>
  <si>
    <t>ENSDARG00000005772</t>
  </si>
  <si>
    <t>tsr2</t>
  </si>
  <si>
    <t>TSR2, 20S rRNA accumulation, homolog (S. cerevisiae) [Source:ZFIN;Acc:ZDB-GENE-021231-2]</t>
  </si>
  <si>
    <t>ENSDARG00000096597</t>
  </si>
  <si>
    <t>ATP5SL</t>
  </si>
  <si>
    <t>si:ch1073-228b5.2 [Source:ZFIN;Acc:ZDB-GENE-121214-335]</t>
  </si>
  <si>
    <t>ENSDARG00000097501</t>
  </si>
  <si>
    <t>si:dkey-111k8.3</t>
  </si>
  <si>
    <t>si:dkey-111k8.3 [Source:ZFIN;Acc:ZDB-GENE-131119-82]</t>
  </si>
  <si>
    <t>ENSDARG00000068438</t>
  </si>
  <si>
    <t>gucd1</t>
  </si>
  <si>
    <t>guanylyl cyclase domain containing 1 [Source:ZFIN;Acc:ZDB-GENE-060929-872]</t>
  </si>
  <si>
    <t>ENSDARG00000025436</t>
  </si>
  <si>
    <t>msrb1a</t>
  </si>
  <si>
    <t>methionine sulfoxide reductase B1a [Source:ZFIN;Acc:ZDB-GENE-030411-3]</t>
  </si>
  <si>
    <t>ENSDARG00000043857</t>
  </si>
  <si>
    <t>ufm1</t>
  </si>
  <si>
    <t>ubiquitin-fold modifier 1 [Source:ZFIN;Acc:ZDB-GENE-040426-2930]</t>
  </si>
  <si>
    <t>ENSDARG00000101644</t>
  </si>
  <si>
    <t>ARHGEF17</t>
  </si>
  <si>
    <t>si:ch211-248g20.5 [Source:ZFIN;Acc:ZDB-GENE-091204-478]</t>
  </si>
  <si>
    <t>ENSDARG00000027182</t>
  </si>
  <si>
    <t>rnf25</t>
  </si>
  <si>
    <t>ring finger protein 25 [Source:ZFIN;Acc:ZDB-GENE-040426-1581]</t>
  </si>
  <si>
    <t>ENSDARG00000070866</t>
  </si>
  <si>
    <t>tmem11</t>
  </si>
  <si>
    <t>transmembrane protein 11 [Source:ZFIN;Acc:ZDB-GENE-050417-37]</t>
  </si>
  <si>
    <t>ENSDARG00000008765</t>
  </si>
  <si>
    <t>tmed5</t>
  </si>
  <si>
    <t>transmembrane p24 trafficking protein 5 [Source:ZFIN;Acc:ZDB-GENE-040426-1302]</t>
  </si>
  <si>
    <t>ENSDARG00000097842</t>
  </si>
  <si>
    <t>znf1134.1</t>
  </si>
  <si>
    <t>zinc finger protein 1134 [Source:ZFIN;Acc:ZDB-GENE-131125-12]</t>
  </si>
  <si>
    <t>ENSDARG00000019765</t>
  </si>
  <si>
    <t>LUC7L2</t>
  </si>
  <si>
    <t>zgc:158803 [Source:ZFIN;Acc:ZDB-GENE-070424-15]</t>
  </si>
  <si>
    <t>ENSDARG00000044514</t>
  </si>
  <si>
    <t>st6gal1</t>
  </si>
  <si>
    <t>ST6 beta-galactosamide alpha-2,6-sialyltranferase 1 [Source:ZFIN;Acc:ZDB-GENE-060322-3]</t>
  </si>
  <si>
    <t>ENSDARG00000071501</t>
  </si>
  <si>
    <t>hs6st1b</t>
  </si>
  <si>
    <t>heparan sulfate 6-O-sulfotransferase 1b [Source:ZFIN;Acc:ZDB-GENE-070103-2]</t>
  </si>
  <si>
    <t>ENSDARG00000099372</t>
  </si>
  <si>
    <t>si:dkeyp-3b12.12</t>
  </si>
  <si>
    <t>si:dkeyp-3b12.12 [Source:ZFIN;Acc:ZDB-GENE-141216-300]</t>
  </si>
  <si>
    <t>ENSDARG00000088331</t>
  </si>
  <si>
    <t>znf1028</t>
  </si>
  <si>
    <t>zinc finger protein 1028 [Source:ZFIN;Acc:ZDB-GENE-131125-19]</t>
  </si>
  <si>
    <t>ENSDARG00000062319</t>
  </si>
  <si>
    <t>si:dkey-103g5.3</t>
  </si>
  <si>
    <t>si:dkey-103g5.3 [Source:ZFIN;Acc:ZDB-GENE-131127-337]</t>
  </si>
  <si>
    <t>ENSDARG00000004046</t>
  </si>
  <si>
    <t>phf6</t>
  </si>
  <si>
    <t>PHD finger protein 6 [Source:ZFIN;Acc:ZDB-GENE-030131-5278]</t>
  </si>
  <si>
    <t>ENSDARG00000017294</t>
  </si>
  <si>
    <t>gnai2b</t>
  </si>
  <si>
    <t>guanine nucleotide binding protein (G protein), alpha inhibiting activity polypeptide 2b [Source:ZFIN;Acc:ZDB-GENE-030131-5861]</t>
  </si>
  <si>
    <t>ENSDARG00000052304</t>
  </si>
  <si>
    <t>uqcrc1</t>
  </si>
  <si>
    <t>ubiquinol-cytochrome c reductase core protein I [Source:ZFIN;Acc:ZDB-GENE-040426-1792]</t>
  </si>
  <si>
    <t>ENSDARG00000003205</t>
  </si>
  <si>
    <t>ngly1</t>
  </si>
  <si>
    <t>N-glycanase 1 [Source:ZFIN;Acc:ZDB-GENE-050522-535]</t>
  </si>
  <si>
    <t>ENSDARG00000006811</t>
  </si>
  <si>
    <t>sult1st6</t>
  </si>
  <si>
    <t>sulfotransferase family 1, cytosolic sulfotransferase 6 [Source:ZFIN;Acc:ZDB-GENE-040718-343]</t>
  </si>
  <si>
    <t>ENSDARG00000088116</t>
  </si>
  <si>
    <t>gstm.3</t>
  </si>
  <si>
    <t>glutathione S-transferase mu tandem duplicate 3 [Source:ZFIN;Acc:ZDB-GENE-050309-24]</t>
  </si>
  <si>
    <t>ENSDARG00000013800</t>
  </si>
  <si>
    <t>snrpd3</t>
  </si>
  <si>
    <t>small nuclear ribonucleoprotein D3 polypeptide [Source:ZFIN;Acc:ZDB-GENE-040625-55]</t>
  </si>
  <si>
    <t>ENSDARG00000078983</t>
  </si>
  <si>
    <t>fam118b</t>
  </si>
  <si>
    <t>family with sequence similarity 118, member B [Source:ZFIN;Acc:ZDB-GENE-060810-6]</t>
  </si>
  <si>
    <t>ENSDARG00000039304</t>
  </si>
  <si>
    <t>six1a</t>
  </si>
  <si>
    <t>SIX homeobox 1a [Source:ZFIN;Acc:ZDB-GENE-040718-155]</t>
  </si>
  <si>
    <t>ENSDARG00000014986</t>
  </si>
  <si>
    <t>acvr1l</t>
  </si>
  <si>
    <t>activin A receptor, type I like [Source:ZFIN;Acc:ZDB-GENE-990415-9]</t>
  </si>
  <si>
    <t>ENSDARG00000097433</t>
  </si>
  <si>
    <t>si:dkeyp-110b2.2</t>
  </si>
  <si>
    <t>si:dkeyp-110b2.2 [Source:ZFIN;Acc:ZDB-GENE-131127-126]</t>
  </si>
  <si>
    <t>ENSDARG00000010408</t>
  </si>
  <si>
    <t>igsf9b</t>
  </si>
  <si>
    <t>immunoglobulin superfamily, member 9b [Source:ZFIN;Acc:ZDB-GENE-060810-28]</t>
  </si>
  <si>
    <t>ENSDARG00000045421</t>
  </si>
  <si>
    <t>stard3nl</t>
  </si>
  <si>
    <t>STARD3 N-terminal like [Source:ZFIN;Acc:ZDB-GENE-040718-4]</t>
  </si>
  <si>
    <t>ENSDARG00000035152</t>
  </si>
  <si>
    <t>ap2b1</t>
  </si>
  <si>
    <t>adaptor-related protein complex 2, beta 1 subunit [Source:ZFIN;Acc:ZDB-GENE-030131-6564]</t>
  </si>
  <si>
    <t>ENSDARG00000013961</t>
  </si>
  <si>
    <t>slc31a1</t>
  </si>
  <si>
    <t>solute carrier family 31 (copper transporter), member 1 [Source:ZFIN;Acc:ZDB-GENE-040415-3]</t>
  </si>
  <si>
    <t>ENSDARG00000017834</t>
  </si>
  <si>
    <t>micall2b</t>
  </si>
  <si>
    <t>mical-like 2b [Source:ZFIN;Acc:ZDB-GENE-030131-5803]</t>
  </si>
  <si>
    <t>ENSDARG00000097351</t>
  </si>
  <si>
    <t>flnbl</t>
  </si>
  <si>
    <t>filamin B, like [Source:ZFIN;Acc:ZDB-GENE-031112-6]</t>
  </si>
  <si>
    <t>ENSDARG00000024478</t>
  </si>
  <si>
    <t>mpc2</t>
  </si>
  <si>
    <t>mitochondrial pyruvate carrier 2 [Source:ZFIN;Acc:ZDB-GENE-030131-330]</t>
  </si>
  <si>
    <t>ENSDARG00000069988</t>
  </si>
  <si>
    <t>arid5b</t>
  </si>
  <si>
    <t>AT rich interactive domain 5B (MRF1-like) [Source:ZFIN;Acc:ZDB-GENE-070112-1882]</t>
  </si>
  <si>
    <t>ENSDARG00000099593</t>
  </si>
  <si>
    <t>r3hcc1</t>
  </si>
  <si>
    <t>R3H domain and coiled-coil containing 1 [Source:ZFIN;Acc:ZDB-GENE-091204-146]</t>
  </si>
  <si>
    <t>ENSDARG00000010965</t>
  </si>
  <si>
    <t>psma8</t>
  </si>
  <si>
    <t>proteasome subunit alpha 8 [Source:ZFIN;Acc:ZDB-GENE-040426-2194]</t>
  </si>
  <si>
    <t>ENSDARG00000092585</t>
  </si>
  <si>
    <t>si:dkey-155f10.2</t>
  </si>
  <si>
    <t>si:dkey-155f10.2 [Source:ZFIN;Acc:ZDB-GENE-081105-31]</t>
  </si>
  <si>
    <t>ENSDARG00000025983</t>
  </si>
  <si>
    <t>l3mbtl3</t>
  </si>
  <si>
    <t>l(3)mbt-like 3 (Drosophila) [Source:ZFIN;Acc:ZDB-GENE-040724-127]</t>
  </si>
  <si>
    <t>ENSDARG00000013784</t>
  </si>
  <si>
    <t>zgc:77158</t>
  </si>
  <si>
    <t>zgc:77158 [Source:ZFIN;Acc:ZDB-GENE-040426-1799]</t>
  </si>
  <si>
    <t>ENSDARG00000016630</t>
  </si>
  <si>
    <t>tprb</t>
  </si>
  <si>
    <t>translocated promoter region b, nuclear basket protein [Source:ZFIN;Acc:ZDB-GENE-030131-6410]</t>
  </si>
  <si>
    <t>ENSDARG00000062472</t>
  </si>
  <si>
    <t>sin3b</t>
  </si>
  <si>
    <t>SIN3 transcription regulator family member B [Source:ZFIN;Acc:ZDB-GENE-030131-8264]</t>
  </si>
  <si>
    <t>ENSDARG00000009351</t>
  </si>
  <si>
    <t>fgf6a</t>
  </si>
  <si>
    <t>fibroblast growth factor 6a [Source:ZFIN;Acc:ZDB-GENE-980526-559]</t>
  </si>
  <si>
    <t>ENSDARG00000063161</t>
  </si>
  <si>
    <t>ppwd1</t>
  </si>
  <si>
    <t>peptidylprolyl isomerase domain and WD repeat containing 1 [Source:ZFIN;Acc:ZDB-GENE-070615-16]</t>
  </si>
  <si>
    <t>ENSDARG00000015917</t>
  </si>
  <si>
    <t>rnft1</t>
  </si>
  <si>
    <t>ring finger protein, transmembrane 1 [Source:ZFIN;Acc:ZDB-GENE-040426-2324]</t>
  </si>
  <si>
    <t>ENSDARG00000061294</t>
  </si>
  <si>
    <t>arhgap5</t>
  </si>
  <si>
    <t>Rho GTPase activating protein 5 [Source:ZFIN;Acc:ZDB-GENE-081014-1]</t>
  </si>
  <si>
    <t>ENSDARG00000043847</t>
  </si>
  <si>
    <t>tmem244</t>
  </si>
  <si>
    <t>transmembrane protein 244 [Source:ZFIN;Acc:ZDB-GENE-040724-54]</t>
  </si>
  <si>
    <t>ENSDARG00000002013</t>
  </si>
  <si>
    <t>grb10a</t>
  </si>
  <si>
    <t>growth factor receptor-bound protein 10a [Source:ZFIN;Acc:ZDB-GENE-040822-32]</t>
  </si>
  <si>
    <t>ENSDARG00000062933</t>
  </si>
  <si>
    <t>cmip</t>
  </si>
  <si>
    <t>c-Maf inducing protein [Source:ZFIN;Acc:ZDB-GENE-050419-50]</t>
  </si>
  <si>
    <t>ENSDARG00000003169</t>
  </si>
  <si>
    <t>magi1b</t>
  </si>
  <si>
    <t>membrane associated guanylate kinase, WW and PDZ domain containing 1b [Source:ZFIN;Acc:ZDB-GENE-030131-5110]</t>
  </si>
  <si>
    <t>ENSDARG00000021374</t>
  </si>
  <si>
    <t>cab39l1</t>
  </si>
  <si>
    <t>calcium binding protein 39, like 1 [Source:ZFIN;Acc:ZDB-GENE-040426-2897]</t>
  </si>
  <si>
    <t>ENSDARG00000010010</t>
  </si>
  <si>
    <t>trim13</t>
  </si>
  <si>
    <t>tripartite motif containing 13 [Source:ZFIN;Acc:ZDB-GENE-050522-516]</t>
  </si>
  <si>
    <t>ENSDARG00000043055</t>
  </si>
  <si>
    <t>hiat1b</t>
  </si>
  <si>
    <t>hippocampus abundant transcript 1b [Source:ZFIN;Acc:ZDB-GENE-040426-2935]</t>
  </si>
  <si>
    <t>ENSDARG00000097441</t>
  </si>
  <si>
    <t>si:ch211-261i19.3</t>
  </si>
  <si>
    <t>si:ch211-261i19.3 [Source:ZFIN;Acc:ZDB-GENE-131121-584]</t>
  </si>
  <si>
    <t>ENSDARG00000013732</t>
  </si>
  <si>
    <t>vta1</t>
  </si>
  <si>
    <t>vesicle (multivesicular body) trafficking 1 [Source:ZFIN;Acc:ZDB-GENE-040426-2154]</t>
  </si>
  <si>
    <t>ENSDARG00000069497</t>
  </si>
  <si>
    <t>sumf2</t>
  </si>
  <si>
    <t>sulfatase modifying factor 2 [Source:ZFIN;Acc:ZDB-GENE-041010-55]</t>
  </si>
  <si>
    <t>ENSDARG00000069485</t>
  </si>
  <si>
    <t>spryd7b</t>
  </si>
  <si>
    <t>SPRY domain containing 7b [Source:ZFIN;Acc:ZDB-GENE-040426-1634]</t>
  </si>
  <si>
    <t>ENSDARG00000099745</t>
  </si>
  <si>
    <t>baz1a</t>
  </si>
  <si>
    <t>bromodomain adjacent to zinc finger domain, 1A [Source:ZFIN;Acc:ZDB-GENE-030131-6105]</t>
  </si>
  <si>
    <t>ENSDARG00000093659</t>
  </si>
  <si>
    <t>entpd5b</t>
  </si>
  <si>
    <t>ectonucleoside triphosphate diphosphohydrolase 5b [Source:ZFIN;Acc:ZDB-GENE-091118-88]</t>
  </si>
  <si>
    <t>ENSDARG00000043130</t>
  </si>
  <si>
    <t>notch2</t>
  </si>
  <si>
    <t>notch 2 [Source:ZFIN;Acc:ZDB-GENE-000329-4]</t>
  </si>
  <si>
    <t>ENSDARG00000040557</t>
  </si>
  <si>
    <t>exosc5</t>
  </si>
  <si>
    <t>exosome component 5 [Source:ZFIN;Acc:ZDB-GENE-060503-675]</t>
  </si>
  <si>
    <t>ENSDARG00000003281</t>
  </si>
  <si>
    <t>pik3ip1</t>
  </si>
  <si>
    <t>phosphoinositide-3-kinase interacting protein 1 [Source:ZFIN;Acc:ZDB-GENE-031030-14]</t>
  </si>
  <si>
    <t>ENSDARG00000056985</t>
  </si>
  <si>
    <t>tpte</t>
  </si>
  <si>
    <t>transmembrane phosphatase with tensin homology [Source:ZFIN;Acc:ZDB-GENE-030131-5503]</t>
  </si>
  <si>
    <t>ENSDARG00000078313</t>
  </si>
  <si>
    <t>MYO9B</t>
  </si>
  <si>
    <t>si:zfos-588f8.1 [Source:ZFIN;Acc:ZDB-GENE-110411-111]</t>
  </si>
  <si>
    <t>ENSDARG00000060457</t>
  </si>
  <si>
    <t>pmp22b</t>
  </si>
  <si>
    <t>peripheral myelin protein 22b [Source:ZFIN;Acc:ZDB-GENE-060421-4337]</t>
  </si>
  <si>
    <t>ENSDARG00000103590</t>
  </si>
  <si>
    <t>cyp2aa6</t>
  </si>
  <si>
    <t>cytochrome P450, family 2, subfamily AA, polypeptide 6 [Source:ZFIN;Acc:ZDB-GENE-030131-2932]</t>
  </si>
  <si>
    <t>ENSDARG00000020024</t>
  </si>
  <si>
    <t>fam151b</t>
  </si>
  <si>
    <t>family with sequence similarity 151, member B [Source:ZFIN;Acc:ZDB-GENE-040801-38]</t>
  </si>
  <si>
    <t>ENSDARG00000098803</t>
  </si>
  <si>
    <t>cyp2aa8</t>
  </si>
  <si>
    <t>cytochrome P450, family 2, subfamily AA, polypeptide 8 [Source:ZFIN;Acc:ZDB-GENE-041010-183]</t>
  </si>
  <si>
    <t>ENSDARG00000078186</t>
  </si>
  <si>
    <t>tex2</t>
  </si>
  <si>
    <t>testis expressed 2 [Source:ZFIN;Acc:ZDB-GENE-070615-7]</t>
  </si>
  <si>
    <t>ENSDARG00000069940</t>
  </si>
  <si>
    <t>ppap2d</t>
  </si>
  <si>
    <t>phosphatidic acid phosphatase type 2D [Source:ZFIN;Acc:ZDB-GENE-061201-42]</t>
  </si>
  <si>
    <t>ENSDARG00000089507</t>
  </si>
  <si>
    <t>ugt1b5</t>
  </si>
  <si>
    <t>UDP glucuronosyltransferase 1 family, polypeptide B5 [Source:ZFIN;Acc:ZDB-GENE-080227-14]</t>
  </si>
  <si>
    <t>ENSDARG00000054137</t>
  </si>
  <si>
    <t>adgrg6</t>
  </si>
  <si>
    <t>adhesion G protein-coupled receptor G6 [Source:ZFIN;Acc:ZDB-GENE-041014-357]</t>
  </si>
  <si>
    <t>ENSDARG00000039499</t>
  </si>
  <si>
    <t>soul2</t>
  </si>
  <si>
    <t>heme-binding protein soul2 [Source:ZFIN;Acc:ZDB-GENE-030131-2524]</t>
  </si>
  <si>
    <t>ENSDARG00000069498</t>
  </si>
  <si>
    <t>phkg1b</t>
  </si>
  <si>
    <t>phosphorylase kinase, gamma 1b (muscle) [Source:ZFIN;Acc:ZDB-GENE-050522-52]</t>
  </si>
  <si>
    <t>ENSDARG00000063233</t>
  </si>
  <si>
    <t>BAZ1A</t>
  </si>
  <si>
    <t>im:6907928 [Source:ZFIN;Acc:ZDB-GENE-060810-18]</t>
  </si>
  <si>
    <t>ENSDARG00000039667</t>
  </si>
  <si>
    <t>mrpl38</t>
  </si>
  <si>
    <t>mitochondrial ribosomal protein L38 [Source:ZFIN;Acc:ZDB-GENE-040426-2373]</t>
  </si>
  <si>
    <t>ENSDARG00000087601</t>
  </si>
  <si>
    <t>gpr153</t>
  </si>
  <si>
    <t>G protein-coupled receptor 153 [Source:ZFIN;Acc:ZDB-GENE-050823-7]</t>
  </si>
  <si>
    <t>ENSDARG00000034443</t>
  </si>
  <si>
    <t>mpped2</t>
  </si>
  <si>
    <t>metallophosphoesterase domain containing 2b [Source:ZFIN;Acc:ZDB-GENE-030131-8903]</t>
  </si>
  <si>
    <t>ENSDARG00000061844</t>
  </si>
  <si>
    <t>ARHGEF15</t>
  </si>
  <si>
    <t>si:dkey-38p12.3 [Source:ZFIN;Acc:ZDB-GENE-060810-103]</t>
  </si>
  <si>
    <t>ENSDARG00000099767</t>
  </si>
  <si>
    <t>fhdc2</t>
  </si>
  <si>
    <t>FH2 domain containing 2 [Source:ZFIN;Acc:ZDB-GENE-091118-76]</t>
  </si>
  <si>
    <t>ENSDARG00000006963</t>
  </si>
  <si>
    <t>cse1l</t>
  </si>
  <si>
    <t>CSE1 chromosome segregation 1-like (yeast) [Source:ZFIN;Acc:ZDB-GENE-990603-1]</t>
  </si>
  <si>
    <t>ENSDARG00000014039</t>
  </si>
  <si>
    <t>TDRD15</t>
  </si>
  <si>
    <t>si:dkeyp-93d12.1 [Source:ZFIN;Acc:ZDB-GENE-041014-303]</t>
  </si>
  <si>
    <t>ENSDARG00000104540</t>
  </si>
  <si>
    <t>cyp2aa4</t>
  </si>
  <si>
    <t>cytochrome P450, family 2, subfamily AA, polypeptide 4 [Source:ZFIN;Acc:ZDB-GENE-040625-72]</t>
  </si>
  <si>
    <t>ENSDARG00000015732</t>
  </si>
  <si>
    <t>cax2</t>
  </si>
  <si>
    <t>cation/H+ exchanger protein 2 [Source:ZFIN;Acc:ZDB-GENE-100825-2]</t>
  </si>
  <si>
    <t>ENSDARG00000018653</t>
  </si>
  <si>
    <t>acot7</t>
  </si>
  <si>
    <t>acyl-CoA thioesterase 7 [Source:ZFIN;Acc:ZDB-GENE-040912-42]</t>
  </si>
  <si>
    <t>ENSDARG00000095025</t>
  </si>
  <si>
    <t>si:dkey-17e16.18</t>
  </si>
  <si>
    <t>ENSDARG00000059070</t>
  </si>
  <si>
    <t>gars</t>
  </si>
  <si>
    <t>glycyl-tRNA synthetase [Source:ZFIN;Acc:ZDB-GENE-030131-9174]</t>
  </si>
  <si>
    <t>ENSDARG00000056923</t>
  </si>
  <si>
    <t>dbr1</t>
  </si>
  <si>
    <t>debranching RNA lariats 1 [Source:ZFIN;Acc:ZDB-GENE-030131-2466]</t>
  </si>
  <si>
    <t>ENSDARG00000091669</t>
  </si>
  <si>
    <t>si:dkey-17e16.17</t>
  </si>
  <si>
    <t>si:dkey-17e16.17 [Source:ZFIN;Acc:ZDB-GENE-091204-161]</t>
  </si>
  <si>
    <t>ENSDARG00000089456</t>
  </si>
  <si>
    <t>men1</t>
  </si>
  <si>
    <t>multiple endocrine neoplasia I [Source:ZFIN;Acc:ZDB-GENE-991110-12]</t>
  </si>
  <si>
    <t>ENSDARG00000019236</t>
  </si>
  <si>
    <t>gsr</t>
  </si>
  <si>
    <t>glutathione reductase [Source:ZFIN;Acc:ZDB-GENE-050522-116]</t>
  </si>
  <si>
    <t>ENSDARG00000028976</t>
  </si>
  <si>
    <t>pus3</t>
  </si>
  <si>
    <t>pseudouridylate synthase 3 [Source:ZFIN;Acc:ZDB-GENE-030131-9433]</t>
  </si>
  <si>
    <t>ENSDARG00000025325</t>
  </si>
  <si>
    <t>ccsapa</t>
  </si>
  <si>
    <t>centriole, cilia and spindle-associated protein a [Source:ZFIN;Acc:ZDB-GENE-111116-1]</t>
  </si>
  <si>
    <t>ENSDARG00000079908</t>
  </si>
  <si>
    <t>tmem151a</t>
  </si>
  <si>
    <t>transmembrane protein 151A [Source:ZFIN;Acc:ZDB-GENE-091118-118]</t>
  </si>
  <si>
    <t>ENSDARG00000056133</t>
  </si>
  <si>
    <t>kitb</t>
  </si>
  <si>
    <t>v-kit Hardy-Zuckerman 4 feline sarcoma viral oncogene homolog b [Source:ZFIN;Acc:ZDB-GENE-050916-2]</t>
  </si>
  <si>
    <t>ENSDARG00000019541</t>
  </si>
  <si>
    <t>gpt2l</t>
  </si>
  <si>
    <t>glutamic pyruvate transaminase (alanine aminotransferase) 2, like [Source:ZFIN;Acc:ZDB-GENE-050302-11]</t>
  </si>
  <si>
    <t>ENSDARG00000069503</t>
  </si>
  <si>
    <t>cldnh</t>
  </si>
  <si>
    <t>claudin h [Source:ZFIN;Acc:ZDB-GENE-010328-8]</t>
  </si>
  <si>
    <t>ENSDARG00000006290</t>
  </si>
  <si>
    <t>ndufs5</t>
  </si>
  <si>
    <t>NADH dehydrogenase (ubiquinone) Fe-S protein 5 [Source:ZFIN;Acc:ZDB-GENE-050522-437]</t>
  </si>
  <si>
    <t>ENSDARG00000009031</t>
  </si>
  <si>
    <t>tnikb</t>
  </si>
  <si>
    <t>TRAF2 and NCK interacting kinase b [Source:ZFIN;Acc:ZDB-GENE-051113-320]</t>
  </si>
  <si>
    <t>ENSDARG00000068157</t>
  </si>
  <si>
    <t>ehmt1a</t>
  </si>
  <si>
    <t>euchromatic histone-lysine N-methyltransferase 1a [Source:ZFIN;Acc:ZDB-GENE-040724-44]</t>
  </si>
  <si>
    <t>ENSDARG00000044766</t>
  </si>
  <si>
    <t>mitd1</t>
  </si>
  <si>
    <t>MIT, microtubule interacting and transport, domain containing 1 [Source:ZFIN;Acc:ZDB-GENE-040426-923]</t>
  </si>
  <si>
    <t>ENSDARG00000097137</t>
  </si>
  <si>
    <t>si:dkeyp-116a7.2</t>
  </si>
  <si>
    <t>si:dkeyp-116a7.2 [Source:ZFIN;Acc:ZDB-GENE-131119-72]</t>
  </si>
  <si>
    <t>ENSDARG00000068168</t>
  </si>
  <si>
    <t>hes2.2</t>
  </si>
  <si>
    <t>hes family bHLH transcription factor 2, tandem duplicate 2 [Source:ZFIN;Acc:ZDB-GENE-060825-55]</t>
  </si>
  <si>
    <t>ENSDARG00000030326</t>
  </si>
  <si>
    <t>efna1a</t>
  </si>
  <si>
    <t>ephrin-A1a [Source:ZFIN;Acc:ZDB-GENE-040426-1135]</t>
  </si>
  <si>
    <t>ENSDARG00000004695</t>
  </si>
  <si>
    <t>six4a</t>
  </si>
  <si>
    <t>SIX homeobox 4a [Source:ZFIN;Acc:ZDB-GENE-010201-2]</t>
  </si>
  <si>
    <t>ENSDARG00000019503</t>
  </si>
  <si>
    <t>NUDT16</t>
  </si>
  <si>
    <t>zgc:103759 [Source:ZFIN;Acc:ZDB-GENE-041010-100]</t>
  </si>
  <si>
    <t>ENSDARG00000071414</t>
  </si>
  <si>
    <t>zgc:91940</t>
  </si>
  <si>
    <t>zgc:91940 [Source:ZFIN;Acc:ZDB-GENE-040718-418]</t>
  </si>
  <si>
    <t>ENSDARG00000040861</t>
  </si>
  <si>
    <t>tcf25</t>
  </si>
  <si>
    <t>transcription factor 25 (basic helix-loop-helix) [Source:ZFIN;Acc:ZDB-GENE-040905-2]</t>
  </si>
  <si>
    <t>ENSDARG00000098021</t>
  </si>
  <si>
    <t>si:dkey-111k8.2</t>
  </si>
  <si>
    <t>si:dkey-111k8.2 [Source:ZFIN;Acc:ZDB-GENE-131122-104]</t>
  </si>
  <si>
    <t>ENSDARG00000097770</t>
  </si>
  <si>
    <t>si:ch211-167j9.4</t>
  </si>
  <si>
    <t>si:ch211-167j9.4 [Source:ZFIN;Acc:ZDB-GENE-131121-196]</t>
  </si>
  <si>
    <t>ENSDARG00000045305</t>
  </si>
  <si>
    <t>pde7a</t>
  </si>
  <si>
    <t>phosphodiesterase 7A [Source:ZFIN;Acc:ZDB-GENE-031222-10]</t>
  </si>
  <si>
    <t>ENSDARG00000059244</t>
  </si>
  <si>
    <t>arfip2a</t>
  </si>
  <si>
    <t>ADP-ribosylation factor interacting protein 2a [Source:ZFIN;Acc:ZDB-GENE-041010-221]</t>
  </si>
  <si>
    <t>ENSDARG00000096851</t>
  </si>
  <si>
    <t>znf1143</t>
  </si>
  <si>
    <t>zinc finger protein 1143 [Source:ZFIN;Acc:ZDB-GENE-131125-17]</t>
  </si>
  <si>
    <t>ENSDARG00000043288</t>
  </si>
  <si>
    <t>impact</t>
  </si>
  <si>
    <t>impact RWD domain protein [Source:ZFIN;Acc:ZDB-GENE-040927-10]</t>
  </si>
  <si>
    <t>ENSDARG00000004059</t>
  </si>
  <si>
    <t>galk2</t>
  </si>
  <si>
    <t>galactokinase 2 [Source:ZFIN;Acc:ZDB-GENE-041114-143]</t>
  </si>
  <si>
    <t>ENSDARG00000097209</t>
  </si>
  <si>
    <t>cox8b</t>
  </si>
  <si>
    <t>cytochrome c oxidase subunit 8b [Source:ZFIN;Acc:ZDB-GENE-110620-4]</t>
  </si>
  <si>
    <t>ENSDARG00000070658</t>
  </si>
  <si>
    <t>zbtb12.2</t>
  </si>
  <si>
    <t>zinc finger and BTB domain containing 12, tandem duplicate 2 [Source:ZFIN;Acc:ZDB-GENE-060503-27]</t>
  </si>
  <si>
    <t>ENSDARG00000075726</t>
  </si>
  <si>
    <t>dhrs7b</t>
  </si>
  <si>
    <t>dehydrogenase/reductase (SDR family) member 7B [Source:ZFIN;Acc:ZDB-GENE-050417-277]</t>
  </si>
  <si>
    <t>ENSDARG00000009113</t>
  </si>
  <si>
    <t>pigc</t>
  </si>
  <si>
    <t>phosphatidylinositol glycan anchor biosynthesis, class C [Source:ZFIN;Acc:ZDB-GENE-030131-2714]</t>
  </si>
  <si>
    <t>ENSDARG00000099003</t>
  </si>
  <si>
    <t>cyp2aa1</t>
  </si>
  <si>
    <t>cytochrome P450, family 2, subfamily AA, polypeptide 1 [Source:ZFIN;Acc:ZDB-GENE-070424-33]</t>
  </si>
  <si>
    <t>ENSDARG00000060633</t>
  </si>
  <si>
    <t>usp16</t>
  </si>
  <si>
    <t>ubiquitin specific peptidase 16 [Source:ZFIN;Acc:ZDB-GENE-030131-4153]</t>
  </si>
  <si>
    <t>ENSDARG00000074897</t>
  </si>
  <si>
    <t>hes2.1</t>
  </si>
  <si>
    <t>hes family bHLH transcription factor 2, tandem duplicate 1 [Source:ZFIN;Acc:ZDB-GENE-081104-104]</t>
  </si>
  <si>
    <t>ENSDARG00000077862</t>
  </si>
  <si>
    <t>si:dkey-169i5.4</t>
  </si>
  <si>
    <t>si:dkey-169i5.4 [Source:ZFIN;Acc:ZDB-GENE-030131-8695]</t>
  </si>
  <si>
    <t>ENSDARG00000087956</t>
  </si>
  <si>
    <t>she</t>
  </si>
  <si>
    <t>Src homology 2 domain containing E [Source:ZFIN;Acc:ZDB-GENE-090915-6]</t>
  </si>
  <si>
    <t>ENSDARG00000008976</t>
  </si>
  <si>
    <t>mdn1</t>
  </si>
  <si>
    <t>midasin AAA ATPase 1 [Source:ZFIN;Acc:ZDB-GENE-041001-138]</t>
  </si>
  <si>
    <t>ENSDARG00000020217</t>
  </si>
  <si>
    <t>cpsf4</t>
  </si>
  <si>
    <t>cleavage and polyadenylation specific factor 4 [Source:ZFIN;Acc:ZDB-GENE-990415-180]</t>
  </si>
  <si>
    <t>ENSDARG00000094704</t>
  </si>
  <si>
    <t>bcl2a</t>
  </si>
  <si>
    <t>B-cell CLL/lymphoma 2a [Source:ZFIN;Acc:ZDB-GENE-051012-1]</t>
  </si>
  <si>
    <t>ENSDARG00000104290</t>
  </si>
  <si>
    <t>ripk2</t>
  </si>
  <si>
    <t>receptor-interacting serine-threonine kinase 2 [Source:ZFIN;Acc:ZDB-GENE-030902-3]</t>
  </si>
  <si>
    <t>ENSDARG00000038239</t>
  </si>
  <si>
    <t>tnpo2</t>
  </si>
  <si>
    <t>transportin 2 (importin 3, karyopherin beta 2b) [Source:ZFIN;Acc:ZDB-GENE-040822-16]</t>
  </si>
  <si>
    <t>ENSDARG00000026595</t>
  </si>
  <si>
    <t>pafah1b1b</t>
  </si>
  <si>
    <t>platelet-activating factor acetylhydrolase 1b, regulatory subunit 1b [Source:ZFIN;Acc:ZDB-GENE-040116-3]</t>
  </si>
  <si>
    <t>ENSDARG00000057184</t>
  </si>
  <si>
    <t>zgc:55781</t>
  </si>
  <si>
    <t>zgc:55781 [Source:ZFIN;Acc:ZDB-GENE-030131-4704]</t>
  </si>
  <si>
    <t>ENSDARG00000006601</t>
  </si>
  <si>
    <t>kaznb</t>
  </si>
  <si>
    <t>kazrin, periplakin interacting protein b [Source:ZFIN;Acc:ZDB-GENE-061215-31]</t>
  </si>
  <si>
    <t>ENSDARG00000021805</t>
  </si>
  <si>
    <t>aes</t>
  </si>
  <si>
    <t>amino-terminal enhancer of split [Source:ZFIN;Acc:ZDB-GENE-040426-1409]</t>
  </si>
  <si>
    <t>ENSDARG00000103766</t>
  </si>
  <si>
    <t>cyp2aa7</t>
  </si>
  <si>
    <t>cytochrome P450, family 2, subfamily AA, polypeptide 7 [Source:ZFIN;Acc:ZDB-GENE-071004-48]</t>
  </si>
  <si>
    <t>ENSDARG00000095439</t>
  </si>
  <si>
    <t>si:dkey-103k4.4</t>
  </si>
  <si>
    <t>si:dkey-103k4.4 [Source:ZFIN;Acc:ZDB-GENE-050208-681]</t>
  </si>
  <si>
    <t>ENSDARG00000104266</t>
  </si>
  <si>
    <t>si:dkey-29m1.2</t>
  </si>
  <si>
    <t>si:dkey-29m1.2 [Source:ZFIN;Acc:ZDB-GENE-141215-2]</t>
  </si>
  <si>
    <t>ENSDARG00000100392</t>
  </si>
  <si>
    <t>rps18</t>
  </si>
  <si>
    <t>ribosomal protein S18 [Source:ZFIN;Acc:ZDB-GENE-020419-20]</t>
  </si>
  <si>
    <t>ENSDARG00000045401</t>
  </si>
  <si>
    <t>mllt10</t>
  </si>
  <si>
    <t>myeloid/lymphoid or mixed-lineage leukemia; translocated to, 10 [Source:ZFIN;Acc:ZDB-GENE-041114-176]</t>
  </si>
  <si>
    <t>ENSDARG00000027978</t>
  </si>
  <si>
    <t>yy1b</t>
  </si>
  <si>
    <t>YY1 transcription factor b [Source:ZFIN;Acc:ZDB-GENE-040426-2127]</t>
  </si>
  <si>
    <t>ENSDARG00000022413</t>
  </si>
  <si>
    <t>ing5a</t>
  </si>
  <si>
    <t>inhibitor of growth family, member 5a [Source:ZFIN;Acc:ZDB-GENE-031016-1]</t>
  </si>
  <si>
    <t>ENSDARG00000052903</t>
  </si>
  <si>
    <t>rtkn2b</t>
  </si>
  <si>
    <t>rhotekin 2b [Source:ZFIN;Acc:ZDB-GENE-040912-64]</t>
  </si>
  <si>
    <t>ENSDARG00000006094</t>
  </si>
  <si>
    <t>igf2r</t>
  </si>
  <si>
    <t>insulin-like growth factor 2 receptor [Source:ZFIN;Acc:ZDB-GENE-041014-300]</t>
  </si>
  <si>
    <t>ENSDARG00000100555</t>
  </si>
  <si>
    <t>aqp11</t>
  </si>
  <si>
    <t>aquaporin 11 [Source:ZFIN;Acc:ZDB-GENE-080418-1]</t>
  </si>
  <si>
    <t>ENSDARG00000013056</t>
  </si>
  <si>
    <t>itpk1a</t>
  </si>
  <si>
    <t>inositol-tetrakisphosphate 1-kinase a [Source:ZFIN;Acc:ZDB-GENE-040426-1953]</t>
  </si>
  <si>
    <t>ENSDARG00000016598</t>
  </si>
  <si>
    <t>ckmt1</t>
  </si>
  <si>
    <t>creatine kinase, mitochondrial 1 [Source:ZFIN;Acc:ZDB-GENE-030131-611]</t>
  </si>
  <si>
    <t>ENSDARG00000099221</t>
  </si>
  <si>
    <t>ppp2r2bb</t>
  </si>
  <si>
    <t>protein phosphatase 2, regulatory subunit B, beta b [Source:ZFIN;Acc:ZDB-GENE-041010-39]</t>
  </si>
  <si>
    <t>ENSDARG00000074229</t>
  </si>
  <si>
    <t>prr12a</t>
  </si>
  <si>
    <t>proline rich 12a [Source:ZFIN;Acc:ZDB-GENE-041111-223]</t>
  </si>
  <si>
    <t>ENSDARG00000012066</t>
  </si>
  <si>
    <t>dcn</t>
  </si>
  <si>
    <t>decorin [Source:ZFIN;Acc:ZDB-GENE-010102-1]</t>
  </si>
  <si>
    <t>ENSDARG00000045885</t>
  </si>
  <si>
    <t>scaf11</t>
  </si>
  <si>
    <t>SR-related CTD-associated factor 11 [Source:ZFIN;Acc:ZDB-GENE-041210-22]</t>
  </si>
  <si>
    <t>ENSDARG00000076801</t>
  </si>
  <si>
    <t>arap3</t>
  </si>
  <si>
    <t>ArfGAP with RhoGAP domain, ankyrin repeat and PH domain 3 [Source:ZFIN;Acc:ZDB-GENE-091019-1]</t>
  </si>
  <si>
    <t>ENSDARG00000057138</t>
  </si>
  <si>
    <t>zgc:174164</t>
  </si>
  <si>
    <t>zgc:174164 [Source:ZFIN;Acc:ZDB-GENE-030131-4971]</t>
  </si>
  <si>
    <t>ENSDARG00000005926</t>
  </si>
  <si>
    <t>ak2</t>
  </si>
  <si>
    <t>adenylate kinase 2 [Source:ZFIN;Acc:ZDB-GENE-030131-512]</t>
  </si>
  <si>
    <t>ENSDARG00000097042</t>
  </si>
  <si>
    <t>si:dkey-199l17.5</t>
  </si>
  <si>
    <t>si:dkey-199l17.5 [Source:ZFIN;Acc:ZDB-GENE-131121-539]</t>
  </si>
  <si>
    <t>ENSDARG00000103456</t>
  </si>
  <si>
    <t>cyp2aa11</t>
  </si>
  <si>
    <t>cytochrome P450, family 2, subfamily AA, polypeptide 11 [Source:ZFIN;Acc:ZDB-GENE-110114-3]</t>
  </si>
  <si>
    <t>ENSDARG00000014731</t>
  </si>
  <si>
    <t>cacybp</t>
  </si>
  <si>
    <t>calcyclin binding protein [Source:ZFIN;Acc:ZDB-GENE-040426-2579]</t>
  </si>
  <si>
    <t>ENSDARG00000014499</t>
  </si>
  <si>
    <t>nutf2l</t>
  </si>
  <si>
    <t>nuclear transport factor 2, like [Source:ZFIN;Acc:ZDB-GENE-020416-1]</t>
  </si>
  <si>
    <t>ENSDARG00000037405</t>
  </si>
  <si>
    <t>zgc:112083</t>
  </si>
  <si>
    <t>zgc:112083 [Source:ZFIN;Acc:ZDB-GENE-050417-284]</t>
  </si>
  <si>
    <t>ENSDARG00000002656</t>
  </si>
  <si>
    <t>stxbp5a</t>
  </si>
  <si>
    <t>syntaxin binding protein 5a (tomosyn) [Source:ZFIN;Acc:ZDB-GENE-041001-161]</t>
  </si>
  <si>
    <t>ENSDARG00000069375</t>
  </si>
  <si>
    <t>zgc:162608</t>
  </si>
  <si>
    <t>zgc:162608 [Source:ZFIN;Acc:ZDB-GENE-070410-86]</t>
  </si>
  <si>
    <t>ENSDARG00000003027</t>
  </si>
  <si>
    <t>scnm1</t>
  </si>
  <si>
    <t>sodium channel modifier 1 [Source:ZFIN;Acc:ZDB-GENE-030131-415]</t>
  </si>
  <si>
    <t>ENSDARG00000068305</t>
  </si>
  <si>
    <t>mrps14</t>
  </si>
  <si>
    <t>mitochondrial ribosomal protein S14 [Source:ZFIN;Acc:ZDB-GENE-060825-75]</t>
  </si>
  <si>
    <t>ENSDARG00000005284</t>
  </si>
  <si>
    <t>fbxl15</t>
  </si>
  <si>
    <t>F-box and leucine-rich repeat protein 15 [Source:ZFIN;Acc:ZDB-GENE-040426-2440]</t>
  </si>
  <si>
    <t>ENSDARG00000000830</t>
  </si>
  <si>
    <t>telo2</t>
  </si>
  <si>
    <t>TEL2, telomere maintenance 2, homolog (S. cerevisiae) [Source:ZFIN;Acc:ZDB-GENE-061103-523]</t>
  </si>
  <si>
    <t>ENSDARG00000014676</t>
  </si>
  <si>
    <t>bckdhb</t>
  </si>
  <si>
    <t>branched chain keto acid dehydrogenase E1, beta polypeptide [Source:ZFIN;Acc:ZDB-GENE-030124-2]</t>
  </si>
  <si>
    <t>ENSDARG00000097202</t>
  </si>
  <si>
    <t>si:ch211-141i4.3</t>
  </si>
  <si>
    <t>si:ch211-141i4.3 [Source:ZFIN;Acc:ZDB-GENE-131122-65]</t>
  </si>
  <si>
    <t>ENSDARG00000076140</t>
  </si>
  <si>
    <t>clcf1</t>
  </si>
  <si>
    <t>cardiotrophin-like cytokine factor 1 [Source:ZFIN;Acc:ZDB-GENE-110411-244]</t>
  </si>
  <si>
    <t>ENSDARG00000074720</t>
  </si>
  <si>
    <t>si:ch211-51h9.7</t>
  </si>
  <si>
    <t>si:ch211-51h9.7 [Source:ZFIN;Acc:ZDB-GENE-081104-235]</t>
  </si>
  <si>
    <t>ENSDARG00000076414</t>
  </si>
  <si>
    <t>espn</t>
  </si>
  <si>
    <t>espin [Source:ZFIN;Acc:ZDB-GENE-081105-173]</t>
  </si>
  <si>
    <t>ENSDARG00000061099</t>
  </si>
  <si>
    <t>nfasca</t>
  </si>
  <si>
    <t>neurofascin homolog (chicken) a [Source:ZFIN;Acc:ZDB-GENE-080229-6]</t>
  </si>
  <si>
    <t>ENSDARG00000044551</t>
  </si>
  <si>
    <t>atg9a</t>
  </si>
  <si>
    <t>ATG9 autophagy related 9 homolog A (S. cerevisiae) [Source:ZFIN;Acc:ZDB-GENE-070209-65]</t>
  </si>
  <si>
    <t>ENSDARG00000037393</t>
  </si>
  <si>
    <t>slc43a1a</t>
  </si>
  <si>
    <t>solute carrier family 43 (amino acid system L transporter), member 1a [Source:ZFIN;Acc:ZDB-GENE-030131-6327]</t>
  </si>
  <si>
    <t>ENSDARG00000042341</t>
  </si>
  <si>
    <t>tmem251</t>
  </si>
  <si>
    <t>transmembrane protein 251 [Source:ZFIN;Acc:ZDB-GENE-041001-121]</t>
  </si>
  <si>
    <t>ENSDARG00000061690</t>
  </si>
  <si>
    <t>nxpe3</t>
  </si>
  <si>
    <t>neurexophilin and PC-esterase domain family, member 3 [Source:ZFIN;Acc:ZDB-GENE-061013-214]</t>
  </si>
  <si>
    <t>ENSDARG00000012215</t>
  </si>
  <si>
    <t>umps</t>
  </si>
  <si>
    <t>uridine monophosphate synthetase [Source:ZFIN;Acc:ZDB-GENE-040426-785]</t>
  </si>
  <si>
    <t>ENSDARG00000094043</t>
  </si>
  <si>
    <t>TTF1.2</t>
  </si>
  <si>
    <t>si:ch73-376l24.3 [Source:ZFIN;Acc:ZDB-GENE-100922-5]</t>
  </si>
  <si>
    <t>ENSDARG00000011488</t>
  </si>
  <si>
    <t>sirt2</t>
  </si>
  <si>
    <t>sirtuin 2 (silent mating type information regulation 2, homolog) 2 (S. cerevisiae) [Source:ZFIN;Acc:ZDB-GENE-030131-1028]</t>
  </si>
  <si>
    <t>ENSDARG00000105501</t>
  </si>
  <si>
    <t>si:cabz01044765.1</t>
  </si>
  <si>
    <t>si:cabz01044765.1 [Source:ZFIN;Acc:ZDB-GENE-160114-21]</t>
  </si>
  <si>
    <t>ENSDARG00000054307</t>
  </si>
  <si>
    <t>zgc:77151</t>
  </si>
  <si>
    <t>zgc:77151 [Source:ZFIN;Acc:ZDB-GENE-030131-9097]</t>
  </si>
  <si>
    <t>ENSDARG00000021996</t>
  </si>
  <si>
    <t>ppp2r2aa</t>
  </si>
  <si>
    <t>protein phosphatase 2, regulatory subunit B, alpha a [Source:ZFIN;Acc:ZDB-GENE-130530-565]</t>
  </si>
  <si>
    <t>ENSDARG00000096527</t>
  </si>
  <si>
    <t>si:dkey-18j14.5</t>
  </si>
  <si>
    <t>si:dkey-18j14.5 [Source:ZFIN;Acc:ZDB-GENE-121214-285]</t>
  </si>
  <si>
    <t>ENSDARG00000102081</t>
  </si>
  <si>
    <t>mprip</t>
  </si>
  <si>
    <t>myosin phosphatase Rho interacting protein [Source:ZFIN;Acc:ZDB-GENE-030131-4471]</t>
  </si>
  <si>
    <t>ENSDARG00000062251</t>
  </si>
  <si>
    <t>fbxl7</t>
  </si>
  <si>
    <t>F-box and leucine-rich repeat protein 7 [Source:ZFIN;Acc:ZDB-GENE-061215-122]</t>
  </si>
  <si>
    <t>ENSDARG00000075859</t>
  </si>
  <si>
    <t>mcf2la</t>
  </si>
  <si>
    <t>mcf.2 cell line derived transforming sequence-like a [Source:ZFIN;Acc:ZDB-GENE-090312-122]</t>
  </si>
  <si>
    <t>ENSDARG00000102885</t>
  </si>
  <si>
    <t>rsu1</t>
  </si>
  <si>
    <t>Ras suppressor protein 1 [Source:ZFIN;Acc:ZDB-GENE-030616-518]</t>
  </si>
  <si>
    <t>ENSDARG00000024184</t>
  </si>
  <si>
    <t>narf</t>
  </si>
  <si>
    <t>nuclear prelamin A recognition factor [Source:ZFIN;Acc:ZDB-GENE-040718-31]</t>
  </si>
  <si>
    <t>ENSDARG00000092252</t>
  </si>
  <si>
    <t>si:dkey-103k4.1</t>
  </si>
  <si>
    <t>si:dkey-103k4.1 [Source:ZFIN;Acc:ZDB-GENE-060125-3]</t>
  </si>
  <si>
    <t>ENSDARG00000076733</t>
  </si>
  <si>
    <t>bard1</t>
  </si>
  <si>
    <t>BRCA1 associated RING domain 1 [Source:ZFIN;Acc:ZDB-GENE-030131-5883]</t>
  </si>
  <si>
    <t>ENSDARG00000061378</t>
  </si>
  <si>
    <t>smg8</t>
  </si>
  <si>
    <t>SMG8 nonsense mediated mRNA decay factor [Source:ZFIN;Acc:ZDB-GENE-091204-279]</t>
  </si>
  <si>
    <t>ENSDARG00000071024</t>
  </si>
  <si>
    <t>zgc:171679</t>
  </si>
  <si>
    <t>zgc:171679 [Source:ZFIN;Acc:ZDB-GENE-071004-95]</t>
  </si>
  <si>
    <t>ENSDARG00000011890</t>
  </si>
  <si>
    <t>cry4</t>
  </si>
  <si>
    <t>cryptochrome circadian clock 4 [Source:ZFIN;Acc:ZDB-GENE-010426-7]</t>
  </si>
  <si>
    <t>ENSDARG00000076814</t>
  </si>
  <si>
    <t>si:ch211-165b19.9</t>
  </si>
  <si>
    <t>si:ch211-165b19.9 [Source:ZFIN;Acc:ZDB-GENE-070912-136]</t>
  </si>
  <si>
    <t>ENSDARG00000012368</t>
  </si>
  <si>
    <t>ttc21b</t>
  </si>
  <si>
    <t>tetratricopeptide repeat domain 21B [Source:ZFIN;Acc:ZDB-GENE-031010-34]</t>
  </si>
  <si>
    <t>ENSDARG00000037397</t>
  </si>
  <si>
    <t>ssrp1a</t>
  </si>
  <si>
    <t>structure specific recognition protein 1a [Source:ZFIN;Acc:ZDB-GENE-031118-9]</t>
  </si>
  <si>
    <t>ENSDARG00000098422</t>
  </si>
  <si>
    <t>si:ch73-78i9.4</t>
  </si>
  <si>
    <t>si:ch73-78i9.4 [Source:ZFIN;Acc:ZDB-GENE-141216-233]</t>
  </si>
  <si>
    <t>ENSDARG00000075570</t>
  </si>
  <si>
    <t>ide</t>
  </si>
  <si>
    <t>insulin-degrading enzyme [Source:ZFIN;Acc:ZDB-GENE-070410-85]</t>
  </si>
  <si>
    <t>ENSDARG00000093563</t>
  </si>
  <si>
    <t>si:ch211-225b11.4</t>
  </si>
  <si>
    <t>si:ch211-225b11.4 [Source:ZFIN;Acc:ZDB-GENE-060526-114]</t>
  </si>
  <si>
    <t>ENSDARG00000099720</t>
  </si>
  <si>
    <t>evlb</t>
  </si>
  <si>
    <t>Enah/Vasp-like b [Source:ZFIN;Acc:ZDB-GENE-040426-1804]</t>
  </si>
  <si>
    <t>ENSDARG00000027187</t>
  </si>
  <si>
    <t>kat8</t>
  </si>
  <si>
    <t>K(lysine) acetyltransferase 8 [Source:ZFIN;Acc:ZDB-GENE-030131-7510]</t>
  </si>
  <si>
    <t>ENSDARG00000075340</t>
  </si>
  <si>
    <t>med1</t>
  </si>
  <si>
    <t>mediator complex subunit 1 [Source:ZFIN;Acc:ZDB-GENE-081104-257]</t>
  </si>
  <si>
    <t>ENSDARG00000037675</t>
  </si>
  <si>
    <t>npm1b</t>
  </si>
  <si>
    <t>nucleophosmin 1b (nucleolar phosphoprotein B23, numatrin) [Source:ZFIN;Acc:ZDB-GENE-080723-7]</t>
  </si>
  <si>
    <t>ENSDARG00000070321</t>
  </si>
  <si>
    <t>clrn2</t>
  </si>
  <si>
    <t>clarin 2 [Source:ZFIN;Acc:ZDB-GENE-061207-64]</t>
  </si>
  <si>
    <t>ENSDARG00000002077</t>
  </si>
  <si>
    <t>mnat1</t>
  </si>
  <si>
    <t>MNAT CDK-activating kinase assembly factor 1 [Source:ZFIN;Acc:ZDB-GENE-041010-203]</t>
  </si>
  <si>
    <t>ENSDARG00000074414</t>
  </si>
  <si>
    <t>sema4ba</t>
  </si>
  <si>
    <t>sema domain, immunoglobulin domain (Ig), transmembrane domain (TM) and short cytoplasmic domain, (semaphorin) 4Ba [Source:ZFIN;Acc:ZDB-GENE-070705-31]</t>
  </si>
  <si>
    <t>ENSDARG00000028431</t>
  </si>
  <si>
    <t>adnp2b</t>
  </si>
  <si>
    <t>ADNP homeobox 2b [Source:ZFIN;Acc:ZDB-GENE-030131-5930]</t>
  </si>
  <si>
    <t>ENSDARG00000071670</t>
  </si>
  <si>
    <t>tma7</t>
  </si>
  <si>
    <t>translation machinery associated 7 homolog [Source:ZFIN;Acc:ZDB-GENE-061027-176]</t>
  </si>
  <si>
    <t>ENSDARG00000062425</t>
  </si>
  <si>
    <t>zgc:153521</t>
  </si>
  <si>
    <t>zgc:153521 [Source:ZFIN;Acc:ZDB-GENE-061103-379]</t>
  </si>
  <si>
    <t>ENSDARG00000061124</t>
  </si>
  <si>
    <t>srpr</t>
  </si>
  <si>
    <t>signal recognition particle receptor (docking protein) [Source:ZFIN;Acc:ZDB-GENE-030219-11]</t>
  </si>
  <si>
    <t>ENSDARG00000009779</t>
  </si>
  <si>
    <t>mcl1a</t>
  </si>
  <si>
    <t>myeloid cell leukemia 1a [Source:ZFIN;Acc:ZDB-GENE-000511-7]</t>
  </si>
  <si>
    <t>ENSDARG00000103027</t>
  </si>
  <si>
    <t>clns1a</t>
  </si>
  <si>
    <t>chloride channel, nucleotide-sensitive, 1A [Source:ZFIN;Acc:ZDB-GENE-990415-259]</t>
  </si>
  <si>
    <t>ENSDARG00000055589</t>
  </si>
  <si>
    <t>s100t</t>
  </si>
  <si>
    <t>S100 calcium binding protein T [Source:ZFIN;Acc:ZDB-GENE-050320-61]</t>
  </si>
  <si>
    <t>ENSDARG00000062423</t>
  </si>
  <si>
    <t>FTCDNL1</t>
  </si>
  <si>
    <t>zgc:153901 [Source:ZFIN;Acc:ZDB-GENE-060929-820]</t>
  </si>
  <si>
    <t>ENSDARG00000076169</t>
  </si>
  <si>
    <t>pold3</t>
  </si>
  <si>
    <t>polymerase (DNA-directed), delta 3, accessory subunit [Source:ZFIN;Acc:ZDB-GENE-060512-59]</t>
  </si>
  <si>
    <t>ENSDARG00000042345</t>
  </si>
  <si>
    <t>si:dkeyp-55f12.3</t>
  </si>
  <si>
    <t>si:dkeyp-55f12.3 [Source:ZFIN;Acc:ZDB-GENE-041001-118]</t>
  </si>
  <si>
    <t>ENSDARG00000015123</t>
  </si>
  <si>
    <t>zgc:101000</t>
  </si>
  <si>
    <t>zgc:101000 [Source:ZFIN;Acc:ZDB-GENE-040808-35]</t>
  </si>
  <si>
    <t>ENSDARG00000088981</t>
  </si>
  <si>
    <t>tmem220</t>
  </si>
  <si>
    <t>transmembrane protein 220 [Source:ZFIN;Acc:ZDB-GENE-131121-194]</t>
  </si>
  <si>
    <t>ENSDARG00000069278</t>
  </si>
  <si>
    <t>trmt5</t>
  </si>
  <si>
    <t>TRM5 tRNA methyltransferase 5 homolog (S. cerevisiae) [Source:ZFIN;Acc:ZDB-GENE-030131-5978]</t>
  </si>
  <si>
    <t>ENSDARG00000097091</t>
  </si>
  <si>
    <t>si:dkey-7j22.2</t>
  </si>
  <si>
    <t>si:dkey-7j22.2 [Source:ZFIN;Acc:ZDB-GENE-131122-92]</t>
  </si>
  <si>
    <t>ENSDARG00000038288</t>
  </si>
  <si>
    <t>cd151</t>
  </si>
  <si>
    <t>CD151 molecule [Source:ZFIN;Acc:ZDB-GENE-041010-137]</t>
  </si>
  <si>
    <t>ENSDARG00000045038</t>
  </si>
  <si>
    <t>tekt3</t>
  </si>
  <si>
    <t>tektin 3 [Source:ZFIN;Acc:ZDB-GENE-080130-2]</t>
  </si>
  <si>
    <t>ENSDARG00000088640</t>
  </si>
  <si>
    <t>znf1115</t>
  </si>
  <si>
    <t>zinc finger protein 1115 [Source:ZFIN;Acc:ZDB-GENE-131119-74]</t>
  </si>
  <si>
    <t>ENSDARG00000062532</t>
  </si>
  <si>
    <t>fam21c</t>
  </si>
  <si>
    <t>family with sequence similarity 21, member C [Source:ZFIN;Acc:ZDB-GENE-060825-87]</t>
  </si>
  <si>
    <t>ENSDARG00000059613</t>
  </si>
  <si>
    <t>nprl2</t>
  </si>
  <si>
    <t>NPR2-like, GATOR1 complex subunit [Source:ZFIN;Acc:ZDB-GENE-060825-93]</t>
  </si>
  <si>
    <t>ENSDARG00000070331</t>
  </si>
  <si>
    <t>muc5.1</t>
  </si>
  <si>
    <t>mucin 5.1, oligomeric mucus/gel-forming [Source:ZFIN;Acc:ZDB-GENE-120822-1]</t>
  </si>
  <si>
    <t>ENSDARG00000013222</t>
  </si>
  <si>
    <t>slc35a3a</t>
  </si>
  <si>
    <t>solute carrier family 35 (UDP-N-acetylglucosamine (UDP-GlcNAc) transporter), member A3a [Source:ZFIN;Acc:ZDB-GENE-081105-80]</t>
  </si>
  <si>
    <t>ENSDARG00000058563</t>
  </si>
  <si>
    <t>ubox5</t>
  </si>
  <si>
    <t>U-box domain containing 5 [Source:ZFIN;Acc:ZDB-GENE-110411-166]</t>
  </si>
  <si>
    <t>ENSDARG00000005699</t>
  </si>
  <si>
    <t>ddx19</t>
  </si>
  <si>
    <t>DEAD/H (Asp-Glu-Ala-Asp/His) box polypeptide 19 (DBP5 homolog, yeast) [Source:ZFIN;Acc:ZDB-GENE-020419-30]</t>
  </si>
  <si>
    <t>ENSDARG00000037867</t>
  </si>
  <si>
    <t>si:ch211-194i10.5</t>
  </si>
  <si>
    <t>si:ch211-194i10.5 [Source:ZFIN;Acc:ZDB-GENE-131120-154]</t>
  </si>
  <si>
    <t>ENSDARG00000095540</t>
  </si>
  <si>
    <t>sid1</t>
  </si>
  <si>
    <t>secreted immunoglobulin domain 1 [Source:ZFIN;Acc:ZDB-GENE-020620-1]</t>
  </si>
  <si>
    <t>ENSDARG00000076239</t>
  </si>
  <si>
    <t>si:ch211-74f19.2</t>
  </si>
  <si>
    <t>si:ch211-74f19.2 [Source:ZFIN;Acc:ZDB-GENE-160114-78]</t>
  </si>
  <si>
    <t>ENSDARG00000037860</t>
  </si>
  <si>
    <t>cox6b2</t>
  </si>
  <si>
    <t>cytochrome c oxidase subunit VIb polypeptide 2 [Source:ZFIN;Acc:ZDB-GENE-040426-1566]</t>
  </si>
  <si>
    <t>ENSDARG00000037033</t>
  </si>
  <si>
    <t>ptger2b</t>
  </si>
  <si>
    <t>prostaglandin E receptor 2b (subtype EP2) [Source:ZFIN;Acc:ZDB-GENE-040724-267]</t>
  </si>
  <si>
    <t>ENSDARG00000011553</t>
  </si>
  <si>
    <t>atp5f1</t>
  </si>
  <si>
    <t>ATP synthase, H+ transporting, mitochondrial Fo complex, subunit B1 [Source:ZFIN;Acc:ZDB-GENE-041010-33]</t>
  </si>
  <si>
    <t>ENSDARG00000097533</t>
  </si>
  <si>
    <t>si:dkey-29l4.4</t>
  </si>
  <si>
    <t>si:dkey-29l4.4 [Source:ZFIN;Acc:ZDB-GENE-131122-41]</t>
  </si>
  <si>
    <t>ENSDARG00000028541</t>
  </si>
  <si>
    <t>si:ch211-121a2.4</t>
  </si>
  <si>
    <t>si:ch211-121a2.4 [Source:ZFIN;Acc:ZDB-GENE-070705-23]</t>
  </si>
  <si>
    <t>ENSDARG00000070465</t>
  </si>
  <si>
    <t>si:dkey-13n23.3</t>
  </si>
  <si>
    <t>si:dkey-13n23.3 [Source:ZFIN;Acc:ZDB-GENE-120214-42]</t>
  </si>
  <si>
    <t>ENSDARG00000105325</t>
  </si>
  <si>
    <t>si:cabz01044764.2</t>
  </si>
  <si>
    <t>si:cabz01044764.2 [Source:ZFIN;Acc:ZDB-GENE-160114-4]</t>
  </si>
  <si>
    <t>ENSDARG00000041602</t>
  </si>
  <si>
    <t>MMADHC</t>
  </si>
  <si>
    <t>zgc:92335 [Source:ZFIN;Acc:ZDB-GENE-040718-152]</t>
  </si>
  <si>
    <t>ENSDARG00000075754</t>
  </si>
  <si>
    <t>mri1</t>
  </si>
  <si>
    <t>methylthioribose-1-phosphate isomerase 1 [Source:ZFIN;Acc:ZDB-GENE-080204-109]</t>
  </si>
  <si>
    <t>ENSDARG00000029818</t>
  </si>
  <si>
    <t>srsf5a</t>
  </si>
  <si>
    <t>serine/arginine-rich splicing factor 5a [Source:ZFIN;Acc:ZDB-GENE-030131-7336]</t>
  </si>
  <si>
    <t>ENSDARG00000096932</t>
  </si>
  <si>
    <t>si:ch211-37e10.2</t>
  </si>
  <si>
    <t>si:ch211-37e10.2 [Source:ZFIN;Acc:ZDB-GENE-131121-415]</t>
  </si>
  <si>
    <t>ENSDARG00000100717</t>
  </si>
  <si>
    <t>socs5a</t>
  </si>
  <si>
    <t>suppressor of cytokine signaling 5a [Source:ZFIN;Acc:ZDB-GENE-061013-408]</t>
  </si>
  <si>
    <t>ENSDARG00000059247</t>
  </si>
  <si>
    <t>tmem54a</t>
  </si>
  <si>
    <t>transmembrane protein 54a [Source:ZFIN;Acc:ZDB-GENE-040426-1304]</t>
  </si>
  <si>
    <t>ENSDARG00000004932</t>
  </si>
  <si>
    <t>anos1b</t>
  </si>
  <si>
    <t>anosmin 1b [Source:ZFIN;Acc:ZDB-GENE-000201-13]</t>
  </si>
  <si>
    <t>ENSDARG00000051749</t>
  </si>
  <si>
    <t>tigara</t>
  </si>
  <si>
    <t>tp53-induced glycolysis and apoptosis regulator a [Source:ZFIN;Acc:ZDB-GENE-060312-25]</t>
  </si>
  <si>
    <t>ENSDARG00000036190</t>
  </si>
  <si>
    <t>txnl4a</t>
  </si>
  <si>
    <t>thioredoxin-like 4A [Source:ZFIN;Acc:ZDB-GENE-041010-25]</t>
  </si>
  <si>
    <t>ENSDARG00000021082</t>
  </si>
  <si>
    <t>sec31a</t>
  </si>
  <si>
    <t>SEC31 homolog A, COPII coat complex component [Source:ZFIN;Acc:ZDB-GENE-020919-2]</t>
  </si>
  <si>
    <t>ENSDARG00000058219</t>
  </si>
  <si>
    <t>tubd1</t>
  </si>
  <si>
    <t>tubulin, delta 1 [Source:ZFIN;Acc:ZDB-GENE-040625-73]</t>
  </si>
  <si>
    <t>ENSDARG00000077114</t>
  </si>
  <si>
    <t>arhgef16</t>
  </si>
  <si>
    <t>Rho guanine nucleotide exchange factor (GEF) 16 [Source:ZFIN;Acc:ZDB-GENE-081104-446]</t>
  </si>
  <si>
    <t>ENSDARG00000096304</t>
  </si>
  <si>
    <t>btr31</t>
  </si>
  <si>
    <t>bloodthirsty-related gene family, member 31 [Source:ZFIN;Acc:ZDB-GENE-090512-3]</t>
  </si>
  <si>
    <t>ENSDARG00000013333</t>
  </si>
  <si>
    <t>ndufa10</t>
  </si>
  <si>
    <t>NADH dehydrogenase (ubiquinone) 1 alpha subcomplex, 10 [Source:ZFIN;Acc:ZDB-GENE-030131-670]</t>
  </si>
  <si>
    <t>ENSDARG00000035579</t>
  </si>
  <si>
    <t>si:dkey-174n20.1</t>
  </si>
  <si>
    <t>si:dkey-174n20.1 [Source:ZFIN;Acc:ZDB-GENE-030131-7890]</t>
  </si>
  <si>
    <t>ENSDARG00000058650</t>
  </si>
  <si>
    <t>dpm3</t>
  </si>
  <si>
    <t>dolichyl-phosphate mannosyltransferase polypeptide 3 [Source:ZFIN;Acc:ZDB-GENE-040426-1782]</t>
  </si>
  <si>
    <t>ENSDARG00000076914</t>
  </si>
  <si>
    <t>lacc1</t>
  </si>
  <si>
    <t>laccase (multicopper oxidoreductase) domain containing 1 [Source:ZFIN;Acc:ZDB-GENE-081104-155]</t>
  </si>
  <si>
    <t>ENSDARG00000056477</t>
  </si>
  <si>
    <t>ccdc125</t>
  </si>
  <si>
    <t>coiled-coil domain containing 125 [Source:ZFIN;Acc:ZDB-GENE-060526-104]</t>
  </si>
  <si>
    <t>ENSDARG00000099585</t>
  </si>
  <si>
    <t>si:dkeyp-4c4.2</t>
  </si>
  <si>
    <t>si:dkeyp-4c4.2 [Source:ZFIN;Acc:ZDB-GENE-130530-1]</t>
  </si>
  <si>
    <t>ENSDARG00000010002</t>
  </si>
  <si>
    <t>gna11a</t>
  </si>
  <si>
    <t>guanine nucleotide binding protein (G protein), alpha 11a (Gq class) [Source:ZFIN;Acc:ZDB-GENE-050208-597]</t>
  </si>
  <si>
    <t>ENSDARG00000086458</t>
  </si>
  <si>
    <t>hdac10</t>
  </si>
  <si>
    <t>histone deacetylase 10 [Source:ZFIN;Acc:ZDB-GENE-030131-5464]</t>
  </si>
  <si>
    <t>ENSDARG00000060395</t>
  </si>
  <si>
    <t>MUM1</t>
  </si>
  <si>
    <t>si:dkey-57k2.7 [Source:ZFIN;Acc:ZDB-GENE-070912-559]</t>
  </si>
  <si>
    <t>ENSDARG00000058502</t>
  </si>
  <si>
    <t>olah</t>
  </si>
  <si>
    <t>oleoyl-ACP hydrolase [Source:ZFIN;Acc:ZDB-GENE-060312-17]</t>
  </si>
  <si>
    <t>ENSDARG00000097845</t>
  </si>
  <si>
    <t>si:ch211-105j21.9</t>
  </si>
  <si>
    <t>si:ch211-105j21.9 [Source:ZFIN;Acc:ZDB-GENE-131127-499]</t>
  </si>
  <si>
    <t>ENSDARG00000004757</t>
  </si>
  <si>
    <t>ybx1</t>
  </si>
  <si>
    <t>Y box binding protein 1 [Source:ZFIN;Acc:ZDB-GENE-000629-3]</t>
  </si>
  <si>
    <t>ENSDARG00000014915</t>
  </si>
  <si>
    <t>ndufab1b</t>
  </si>
  <si>
    <t>NADH dehydrogenase (ubiquinone) 1, alpha/beta subcomplex, 1b [Source:ZFIN;Acc:ZDB-GENE-030131-4437]</t>
  </si>
  <si>
    <t>ENSDARG00000046074</t>
  </si>
  <si>
    <t>stk11</t>
  </si>
  <si>
    <t>serine/threonine kinase 11 [Source:ZFIN;Acc:ZDB-GENE-050417-383]</t>
  </si>
  <si>
    <t>ENSDARG00000076965</t>
  </si>
  <si>
    <t>cep70</t>
  </si>
  <si>
    <t>centrosomal protein 70 [Source:ZFIN;Acc:ZDB-GENE-070705-311]</t>
  </si>
  <si>
    <t>ENSDARG00000003153</t>
  </si>
  <si>
    <t>cpsf5</t>
  </si>
  <si>
    <t>cleavage and polyadenylation specific factor 5 [Source:ZFIN;Acc:ZDB-GENE-040426-1316]</t>
  </si>
  <si>
    <t>ENSDARG00000100149</t>
  </si>
  <si>
    <t>axin2</t>
  </si>
  <si>
    <t>axin 2 (conductin, axil) [Source:ZFIN;Acc:ZDB-GENE-000403-2]</t>
  </si>
  <si>
    <t>ENSDARG00000003904</t>
  </si>
  <si>
    <t>sycp1</t>
  </si>
  <si>
    <t>synaptonemal complex protein 1 [Source:ZFIN;Acc:ZDB-GENE-040910-6]</t>
  </si>
  <si>
    <t>ENSDARG00000055969</t>
  </si>
  <si>
    <t>rfc3</t>
  </si>
  <si>
    <t>replication factor C (activator 1) 3 [Source:ZFIN;Acc:ZDB-GENE-020809-3]</t>
  </si>
  <si>
    <t>ENSDARG00000015126</t>
  </si>
  <si>
    <t>gorasp2</t>
  </si>
  <si>
    <t>golgi reassembly stacking protein 2 [Source:ZFIN;Acc:ZDB-GENE-040426-1659]</t>
  </si>
  <si>
    <t>ENSDARG00000086425</t>
  </si>
  <si>
    <t>prpf3</t>
  </si>
  <si>
    <t>PRP3 pre-mRNA processing factor 3 homolog (yeast) [Source:ZFIN;Acc:ZDB-GENE-040823-3]</t>
  </si>
  <si>
    <t>ENSDARG00000061143</t>
  </si>
  <si>
    <t>tapt1b</t>
  </si>
  <si>
    <t>transmembrane anterior posterior transformation 1b [Source:ZFIN;Acc:ZDB-GENE-030131-4025]</t>
  </si>
  <si>
    <t>ENSDARG00000034178</t>
  </si>
  <si>
    <t>cpsf1</t>
  </si>
  <si>
    <t>cleavage and polyadenylation specific factor 1 [Source:ZFIN;Acc:ZDB-GENE-040709-2]</t>
  </si>
  <si>
    <t>ENSDARG00000042534</t>
  </si>
  <si>
    <t>rsrc2</t>
  </si>
  <si>
    <t>arginine/serine-rich coiled-coil 2 [Source:ZFIN;Acc:ZDB-GENE-040426-2457]</t>
  </si>
  <si>
    <t>ENSDARG00000015537</t>
  </si>
  <si>
    <t>gad2</t>
  </si>
  <si>
    <t>glutamate decarboxylase 2 [Source:ZFIN;Acc:ZDB-GENE-030909-9]</t>
  </si>
  <si>
    <t>ENSDARG00000063005</t>
  </si>
  <si>
    <t>anapc7</t>
  </si>
  <si>
    <t>anaphase promoting complex subunit 7 [Source:ZFIN;Acc:ZDB-GENE-081104-113]</t>
  </si>
  <si>
    <t>ENSDARG00000095689</t>
  </si>
  <si>
    <t>senp5</t>
  </si>
  <si>
    <t>ENSDARG00000036776</t>
  </si>
  <si>
    <t>aldh8a1</t>
  </si>
  <si>
    <t>aldehyde dehydrogenase 8 family, member A1 [Source:ZFIN;Acc:ZDB-GENE-040912-3]</t>
  </si>
  <si>
    <t>ENSDARG00000034117</t>
  </si>
  <si>
    <t>rarga</t>
  </si>
  <si>
    <t>retinoic acid receptor gamma a [Source:ZFIN;Acc:ZDB-GENE-980526-531]</t>
  </si>
  <si>
    <t>ENSDARG00000009685</t>
  </si>
  <si>
    <t>ppa2</t>
  </si>
  <si>
    <t>pyrophosphatase (inorganic) 2 [Source:ZFIN;Acc:ZDB-GENE-040426-1857]</t>
  </si>
  <si>
    <t>ENSDARG00000015290</t>
  </si>
  <si>
    <t>sacm1la</t>
  </si>
  <si>
    <t>SAC1 suppressor of actin mutations 1-like a (yeast) [Source:ZFIN;Acc:ZDB-GENE-060503-122]</t>
  </si>
  <si>
    <t>ENSDARG00000075677</t>
  </si>
  <si>
    <t>mrpl17</t>
  </si>
  <si>
    <t>mitochondrial ribosomal protein L17 [Source:ZFIN;Acc:ZDB-GENE-040912-133]</t>
  </si>
  <si>
    <t>ENSDARG00000061478</t>
  </si>
  <si>
    <t>igf2bp1</t>
  </si>
  <si>
    <t>insulin-like growth factor 2 mRNA binding protein 1 [Source:ZFIN;Acc:ZDB-GENE-060929-1258]</t>
  </si>
  <si>
    <t>ENSDARG00000045506</t>
  </si>
  <si>
    <t>gramd4b</t>
  </si>
  <si>
    <t>GRAM domain containing 4b [Source:ZFIN;Acc:ZDB-GENE-030131-4780]</t>
  </si>
  <si>
    <t>ENSDARG00000005536</t>
  </si>
  <si>
    <t>ubr7</t>
  </si>
  <si>
    <t>ubiquitin protein ligase E3 component n-recognin 7 [Source:ZFIN;Acc:ZDB-GENE-030131-1535]</t>
  </si>
  <si>
    <t>ENSDARG00000010442</t>
  </si>
  <si>
    <t>rnf11a</t>
  </si>
  <si>
    <t>ring finger protein 11a [Source:ZFIN;Acc:ZDB-GENE-040426-1277]</t>
  </si>
  <si>
    <t>ENSDARG00000060695</t>
  </si>
  <si>
    <t>znf346</t>
  </si>
  <si>
    <t>zinc finger protein 346 [Source:ZFIN;Acc:ZDB-GENE-070209-152]</t>
  </si>
  <si>
    <t>ENSDARG00000003167</t>
  </si>
  <si>
    <t>mlst8</t>
  </si>
  <si>
    <t>MTOR associated protein, LST8 homolog (S. cerevisiae) [Source:ZFIN;Acc:ZDB-GENE-030131-6176]</t>
  </si>
  <si>
    <t>ENSDARG00000063718</t>
  </si>
  <si>
    <t>vps72</t>
  </si>
  <si>
    <t>vacuolar protein sorting 72 homolog (S. cerevisiae) [Source:ZFIN;Acc:ZDB-GENE-060503-88]</t>
  </si>
  <si>
    <t>ENSDARG00000000068</t>
  </si>
  <si>
    <t>slc9a3r1</t>
  </si>
  <si>
    <t>solute carrier family 9, subfamily A (NHE3, cation proton antiporter 3), member 3 regulator 1 [Source:ZFIN;Acc:ZDB-GENE-031006-7]</t>
  </si>
  <si>
    <t>ENSDARG00000006760</t>
  </si>
  <si>
    <t>slc24a3</t>
  </si>
  <si>
    <t>solute carrier family 24 (sodium/potassium/calcium exchanger), member 3 [Source:ZFIN;Acc:ZDB-GENE-090312-67]</t>
  </si>
  <si>
    <t>ENSDARG00000039987</t>
  </si>
  <si>
    <t>hivep2a</t>
  </si>
  <si>
    <t>human immunodeficiency virus type I enhancer binding protein 2a [Source:ZFIN;Acc:ZDB-GENE-041014-354]</t>
  </si>
  <si>
    <t>ENSDARG00000091936</t>
  </si>
  <si>
    <t>GBGT1</t>
  </si>
  <si>
    <t>GBGT1.2</t>
  </si>
  <si>
    <t>si:ch211-135f11.5 [Source:ZFIN;Acc:ZDB-GENE-060531-16]</t>
  </si>
  <si>
    <t>ENSDARG00000055917</t>
  </si>
  <si>
    <t>nipa1</t>
  </si>
  <si>
    <t>non imprinted in Prader-Willi/Angelman syndrome 1 [Source:ZFIN;Acc:ZDB-GENE-041010-164]</t>
  </si>
  <si>
    <t>ENSDARG00000045036</t>
  </si>
  <si>
    <t>cdc42ep4b</t>
  </si>
  <si>
    <t>CDC42 effector protein (Rho GTPase binding) 4b [Source:ZFIN;Acc:ZDB-GENE-091008-2]</t>
  </si>
  <si>
    <t>ENSDARG00000018010</t>
  </si>
  <si>
    <t>crtap</t>
  </si>
  <si>
    <t>cartilage associated protein [Source:ZFIN;Acc:ZDB-GENE-040426-2619]</t>
  </si>
  <si>
    <t>ENSDARG00000030177</t>
  </si>
  <si>
    <t>uchl3</t>
  </si>
  <si>
    <t>ubiquitin carboxyl-terminal esterase L3 (ubiquitin thiolesterase) [Source:ZFIN;Acc:ZDB-GENE-050522-158]</t>
  </si>
  <si>
    <t>ENSDARG00000012388</t>
  </si>
  <si>
    <t>cox4i1l</t>
  </si>
  <si>
    <t>cytochrome c oxidase subunit IV isoform 1, like [Source:ZFIN;Acc:ZDB-GENE-130814-2]</t>
  </si>
  <si>
    <t>ENSDARG00000076451</t>
  </si>
  <si>
    <t>prdm2b</t>
  </si>
  <si>
    <t>PR domain containing 2, with ZNF domain b [Source:ZFIN;Acc:ZDB-GENE-080613-3]</t>
  </si>
  <si>
    <t>ENSDARG00000096774</t>
  </si>
  <si>
    <t>si:ch211-157l15.4</t>
  </si>
  <si>
    <t>si:ch211-157l15.4 [Source:ZFIN;Acc:ZDB-GENE-130603-104]</t>
  </si>
  <si>
    <t>ENSDARG00000098907</t>
  </si>
  <si>
    <t>fam175b</t>
  </si>
  <si>
    <t>family with sequence similarity 175, member B [Source:ZFIN;Acc:ZDB-GENE-040426-2491]</t>
  </si>
  <si>
    <t>ENSDARG00000076765</t>
  </si>
  <si>
    <t>ddhd2</t>
  </si>
  <si>
    <t>DDHD domain containing 2 [Source:ZFIN;Acc:ZDB-GENE-080519-4]</t>
  </si>
  <si>
    <t>ENSDARG00000060210</t>
  </si>
  <si>
    <t>d2hgdh</t>
  </si>
  <si>
    <t>D-2-hydroxyglutarate dehydrogenase [Source:ZFIN;Acc:ZDB-GENE-070112-482]</t>
  </si>
  <si>
    <t>ENSDARG00000007413</t>
  </si>
  <si>
    <t>arid2</t>
  </si>
  <si>
    <t>AT rich interactive domain 2 (ARID, RFX-like) [Source:ZFIN;Acc:ZDB-GENE-030131-6311]</t>
  </si>
  <si>
    <t>ENSDARG00000011602</t>
  </si>
  <si>
    <t>si:dkeyp-117h8.2</t>
  </si>
  <si>
    <t>si:dkeyp-117h8.2 [Source:ZFIN;Acc:ZDB-GENE-041210-321]</t>
  </si>
  <si>
    <t>ENSDARG00000026473</t>
  </si>
  <si>
    <t>six1b</t>
  </si>
  <si>
    <t>SIX homeobox 1b [Source:ZFIN;Acc:ZDB-GENE-040426-2308]</t>
  </si>
  <si>
    <t>ENSDARG00000010052</t>
  </si>
  <si>
    <t>ndrg3b</t>
  </si>
  <si>
    <t>ndrg family member 3b [Source:ZFIN;Acc:ZDB-GENE-030131-5606]</t>
  </si>
  <si>
    <t>ENSDARG00000096403</t>
  </si>
  <si>
    <t>si:dkey-153m14.1</t>
  </si>
  <si>
    <t>si:dkey-153m14.1 [Source:ZFIN;Acc:ZDB-GENE-120215-41]</t>
  </si>
  <si>
    <t>ENSDARG00000010756</t>
  </si>
  <si>
    <t>nod2</t>
  </si>
  <si>
    <t>nucleotide-binding oligomerization domain containing 2 [Source:ZFIN;Acc:ZDB-GENE-061108-4]</t>
  </si>
  <si>
    <t>ENSDARG00000031983</t>
  </si>
  <si>
    <t>six4b</t>
  </si>
  <si>
    <t>SIX homeobox 4b [Source:ZFIN;Acc:ZDB-GENE-010201-1]</t>
  </si>
  <si>
    <t>ENSDARG00000061864</t>
  </si>
  <si>
    <t>hdlbpb</t>
  </si>
  <si>
    <t>high density lipoprotein binding protein b [Source:ZFIN;Acc:ZDB-GENE-030131-6822]</t>
  </si>
  <si>
    <t>ENSDARG00000056247</t>
  </si>
  <si>
    <t>bricd5</t>
  </si>
  <si>
    <t>BRICHOS domain containing 5 [Source:ZFIN;Acc:ZDB-GENE-050208-85]</t>
  </si>
  <si>
    <t>ENSDARG00000043457</t>
  </si>
  <si>
    <t>gapdh</t>
  </si>
  <si>
    <t>glyceraldehyde-3-phosphate dehydrogenase [Source:ZFIN;Acc:ZDB-GENE-030115-1]</t>
  </si>
  <si>
    <t>ENSDARG00000079161</t>
  </si>
  <si>
    <t>bsnb</t>
  </si>
  <si>
    <t>bassoon (presynaptic cytomatrix protein) b [Source:ZFIN;Acc:ZDB-GENE-120628-1]</t>
  </si>
  <si>
    <t>ENSDARG00000103348</t>
  </si>
  <si>
    <t>si:dkey-176f19.7</t>
  </si>
  <si>
    <t>si:dkey-176f19.7 [Source:ZFIN;Acc:ZDB-GENE-110913-130]</t>
  </si>
  <si>
    <t>ENSDARG00000010385</t>
  </si>
  <si>
    <t>sept4a</t>
  </si>
  <si>
    <t>septin 4a [Source:ZFIN;Acc:ZDB-GENE-051120-87]</t>
  </si>
  <si>
    <t>ENSDARG00000103117</t>
  </si>
  <si>
    <t>tmprss4a</t>
  </si>
  <si>
    <t>transmembrane protease, serine 4a [Source:ZFIN;Acc:ZDB-GENE-061103-631]</t>
  </si>
  <si>
    <t>ENSDARG00000100961</t>
  </si>
  <si>
    <t>si:dkey-176f19.6</t>
  </si>
  <si>
    <t>si:dkey-176f19.6 [Source:ZFIN;Acc:ZDB-GENE-110913-42]</t>
  </si>
  <si>
    <t>ENSDARG00000040555</t>
  </si>
  <si>
    <t>bckdha</t>
  </si>
  <si>
    <t>branched chain keto acid dehydrogenase E1, alpha polypeptide [Source:ZFIN;Acc:ZDB-GENE-050522-376]</t>
  </si>
  <si>
    <t>ENSDARG00000040920</t>
  </si>
  <si>
    <t>si:dkey-49n23.1</t>
  </si>
  <si>
    <t>si:dkey-49n23.1 [Source:ZFIN;Acc:ZDB-GENE-050208-762]</t>
  </si>
  <si>
    <t>ENSDARG00000095678</t>
  </si>
  <si>
    <t>ftr36</t>
  </si>
  <si>
    <t>finTRIM family, member 36 [Source:ZFIN;Acc:ZDB-GENE-070912-483]</t>
  </si>
  <si>
    <t>ENSDARG00000077855</t>
  </si>
  <si>
    <t>znrf2a</t>
  </si>
  <si>
    <t>zinc and ring finger 2a [Source:ZFIN;Acc:ZDB-GENE-070820-15]</t>
  </si>
  <si>
    <t>ENSDARG00000014898</t>
  </si>
  <si>
    <t>ncbp2</t>
  </si>
  <si>
    <t>nuclear cap binding protein subunit 2 [Source:ZFIN;Acc:ZDB-GENE-020419-31]</t>
  </si>
  <si>
    <t>ENSDARG00000008575</t>
  </si>
  <si>
    <t>lyst</t>
  </si>
  <si>
    <t>lysosomal trafficking regulator [Source:ZFIN;Acc:ZDB-GENE-070702-1]</t>
  </si>
  <si>
    <t>ENSDARG00000039958</t>
  </si>
  <si>
    <t>utp11l</t>
  </si>
  <si>
    <t>UTP11-like, U3 small nucleolar ribonucleoprotein (yeast) [Source:ZFIN;Acc:ZDB-GENE-030131-8093]</t>
  </si>
  <si>
    <t>ENSDARG00000037559</t>
  </si>
  <si>
    <t>uba1</t>
  </si>
  <si>
    <t>ubiquitin-like modifier activating enzyme 1 [Source:ZFIN;Acc:ZDB-GENE-040426-2009]</t>
  </si>
  <si>
    <t>ENSDARG00000099798</t>
  </si>
  <si>
    <t>mon2</t>
  </si>
  <si>
    <t>MON2 homolog, regulator of endosome-to-Golgi trafficking [Source:ZFIN;Acc:ZDB-GENE-030131-2712]</t>
  </si>
  <si>
    <t>ENSDARG00000031495</t>
  </si>
  <si>
    <t>seta</t>
  </si>
  <si>
    <t>SET translocation (myeloid leukemia-associated) A [Source:ZFIN;Acc:ZDB-GENE-030131-2221]</t>
  </si>
  <si>
    <t>ENSDARG00000013252</t>
  </si>
  <si>
    <t>TMC5</t>
  </si>
  <si>
    <t>si:dkey-202l16.5 [Source:ZFIN;Acc:ZDB-GENE-120411-6]</t>
  </si>
  <si>
    <t>ENSDARG00000102957</t>
  </si>
  <si>
    <t>srsf3a</t>
  </si>
  <si>
    <t>ENSDARG00000062372</t>
  </si>
  <si>
    <t>nrd1b</t>
  </si>
  <si>
    <t>nardilysin b (N-arginine dibasic convertase) [Source:ZFIN;Acc:ZDB-GENE-050208-422]</t>
  </si>
  <si>
    <t>ENSDARG00000092141</t>
  </si>
  <si>
    <t>si:dkeyp-100a1.6</t>
  </si>
  <si>
    <t>si:dkeyp-100a1.6 [Source:ZFIN;Acc:ZDB-GENE-081104-448]</t>
  </si>
  <si>
    <t>ENSDARG00000104840</t>
  </si>
  <si>
    <t>si:dkey-28a3.2</t>
  </si>
  <si>
    <t>si:dkey-28a3.2 [Source:ZFIN;Acc:ZDB-GENE-141216-60]</t>
  </si>
  <si>
    <t>ENSDARG00000060192</t>
  </si>
  <si>
    <t>rpusd1</t>
  </si>
  <si>
    <t>RNA pseudouridylate synthase domain containing 1 [Source:ZFIN;Acc:ZDB-GENE-060929-444]</t>
  </si>
  <si>
    <t>ENSDARG00000041530</t>
  </si>
  <si>
    <t>ppih</t>
  </si>
  <si>
    <t>peptidylprolyl isomerase H (cyclophilin H) [Source:ZFIN;Acc:ZDB-GENE-040625-127]</t>
  </si>
  <si>
    <t>ENSDARG00000073988</t>
  </si>
  <si>
    <t>mntb</t>
  </si>
  <si>
    <t>MAX network transcriptional repressor b [Source:ZFIN;Acc:ZDB-GENE-070820-8]</t>
  </si>
  <si>
    <t>ENSDARG00000060868</t>
  </si>
  <si>
    <t>mbtd1</t>
  </si>
  <si>
    <t>mbt domain containing 1 [Source:ZFIN;Acc:ZDB-GENE-060810-138]</t>
  </si>
  <si>
    <t>ENSDARG00000079616</t>
  </si>
  <si>
    <t>cramp1</t>
  </si>
  <si>
    <t>cramped chromatin regulator homolog 1 [Source:ZFIN;Acc:ZDB-GENE-030131-8255]</t>
  </si>
  <si>
    <t>ENSDARG00000091938</t>
  </si>
  <si>
    <t>si:dkey-203o14.2</t>
  </si>
  <si>
    <t>si:dkey-203o14.2 [Source:ZFIN;Acc:ZDB-GENE-050420-24]</t>
  </si>
  <si>
    <t>ENSDARG00000056683</t>
  </si>
  <si>
    <t>cdk5</t>
  </si>
  <si>
    <t>cyclin-dependent kinase 5 [Source:ZFIN;Acc:ZDB-GENE-010131-2]</t>
  </si>
  <si>
    <t>ENSDARG00000097788</t>
  </si>
  <si>
    <t>si:dkey-103g5.5</t>
  </si>
  <si>
    <t>si:dkey-103g5.5 [Source:ZFIN;Acc:ZDB-GENE-131121-538]</t>
  </si>
  <si>
    <t>ENSDARG00000075282</t>
  </si>
  <si>
    <t>irs2b</t>
  </si>
  <si>
    <t>insulin receptor substrate 2b [Source:ZFIN;Acc:ZDB-GENE-081104-462]</t>
  </si>
  <si>
    <t>ENSDARG00000089200</t>
  </si>
  <si>
    <t>si:dkey-103g5.4</t>
  </si>
  <si>
    <t>si:dkey-103g5.4 [Source:ZFIN;Acc:ZDB-GENE-131127-503]</t>
  </si>
  <si>
    <t>ENSDARG00000099101</t>
  </si>
  <si>
    <t>gch2</t>
  </si>
  <si>
    <t>GTP cyclohydrolase 2 [Source:ZFIN;Acc:ZDB-GENE-001205-3]</t>
  </si>
  <si>
    <t>ENSDARG00000059911</t>
  </si>
  <si>
    <t>bbs7</t>
  </si>
  <si>
    <t>Bardet-Biedl syndrome 7 [Source:ZFIN;Acc:ZDB-GENE-030219-90]</t>
  </si>
  <si>
    <t>ENSDARG00000100815</t>
  </si>
  <si>
    <t>srsf3a.2</t>
  </si>
  <si>
    <t>serine/arginine-rich splicing factor 3a [Source:ZFIN;Acc:ZDB-GENE-030616-631]</t>
  </si>
  <si>
    <t>ENSDARG00000094809</t>
  </si>
  <si>
    <t>ms4a17a.14</t>
  </si>
  <si>
    <t>membrane-spanning 4-domains, subfamily A, member 17A.14 [Source:ZFIN;Acc:ZDB-GENE-070705-363]</t>
  </si>
  <si>
    <t>ENSDARG00000032865</t>
  </si>
  <si>
    <t>pacsin1a</t>
  </si>
  <si>
    <t>protein kinase C and casein kinase substrate in neurons 1a [Source:ZFIN;Acc:ZDB-GENE-050522-155]</t>
  </si>
  <si>
    <t>ENSDARG00000100366</t>
  </si>
  <si>
    <t>si:dkey-102m7.3</t>
  </si>
  <si>
    <t>si:dkey-102m7.3 [Source:ZFIN;Acc:ZDB-GENE-091204-389]</t>
  </si>
  <si>
    <t>ENSDARG00000089441</t>
  </si>
  <si>
    <t>si:ch211-105c13.3</t>
  </si>
  <si>
    <t>si:ch211-105c13.3 [Source:ZFIN;Acc:ZDB-GENE-030131-4483]</t>
  </si>
  <si>
    <t>ENSDARG00000102541</t>
  </si>
  <si>
    <t>ttc21a</t>
  </si>
  <si>
    <t>tetratricopeptide repeat domain 21A [Source:ZFIN;Acc:ZDB-GENE-141211-62]</t>
  </si>
  <si>
    <t>ENSDARG00000063195</t>
  </si>
  <si>
    <t>pxk</t>
  </si>
  <si>
    <t>PX domain containing serine/threonine kinase [Source:ZFIN;Acc:ZDB-GENE-050208-393]</t>
  </si>
  <si>
    <t>ENSDARG00000043299</t>
  </si>
  <si>
    <t>nmu</t>
  </si>
  <si>
    <t>neuromedin U [Source:ZFIN;Acc:ZDB-GENE-041001-111]</t>
  </si>
  <si>
    <t>ENSDARG00000054213</t>
  </si>
  <si>
    <t>hectd1</t>
  </si>
  <si>
    <t>HECT domain containing 1 [Source:ZFIN;Acc:ZDB-GENE-030616-153]</t>
  </si>
  <si>
    <t>ENSDARG00000038156</t>
  </si>
  <si>
    <t>dusp11</t>
  </si>
  <si>
    <t>dual specificity phosphatase 11 (RNA/RNP complex 1-interacting) [Source:ZFIN;Acc:ZDB-GENE-050417-226]</t>
  </si>
  <si>
    <t>ENSDARG00000053636</t>
  </si>
  <si>
    <t>cracr2b</t>
  </si>
  <si>
    <t>calcium release activated channel regulator 2B [Source:ZFIN;Acc:ZDB-GENE-061215-136]</t>
  </si>
  <si>
    <t>ENSDARG00000027196</t>
  </si>
  <si>
    <t>si:dkey-16l2.17</t>
  </si>
  <si>
    <t>si:dkey-16l2.17 [Source:ZFIN;Acc:ZDB-GENE-141212-262]</t>
  </si>
  <si>
    <t>ENSDARG00000041944</t>
  </si>
  <si>
    <t>adat2</t>
  </si>
  <si>
    <t>adenosine deaminase, tRNA-specific 2, TAD2 homolog (S. cerevisiae) [Source:ZFIN;Acc:ZDB-GENE-041014-360]</t>
  </si>
  <si>
    <t>ENSDARG00000002991</t>
  </si>
  <si>
    <t>cep135</t>
  </si>
  <si>
    <t>centrosomal protein 135 [Source:ZFIN;Acc:ZDB-GENE-041210-325]</t>
  </si>
  <si>
    <t>ENSDARG00000098022</t>
  </si>
  <si>
    <t>abi2a</t>
  </si>
  <si>
    <t>ENSDARG00000007385</t>
  </si>
  <si>
    <t>cct7</t>
  </si>
  <si>
    <t>chaperonin containing TCP1, subunit 7 (eta) [Source:ZFIN;Acc:ZDB-GENE-020419-7]</t>
  </si>
  <si>
    <t>ENSDARG00000041623</t>
  </si>
  <si>
    <t>mt2</t>
  </si>
  <si>
    <t>metallothionein 2 [Source:ZFIN;Acc:ZDB-GENE-030131-4174]</t>
  </si>
  <si>
    <t>ENSDARG00000017775</t>
  </si>
  <si>
    <t>atp5g3a</t>
  </si>
  <si>
    <t>ATP synthase, H+ transporting, mitochondrial Fo complex, subunit C3 (subunit 9), genome duplicate a [Source:ZFIN;Acc:ZDB-GENE-040426-857]</t>
  </si>
  <si>
    <t>ENSDARG00000076632</t>
  </si>
  <si>
    <t>zdhhc12a</t>
  </si>
  <si>
    <t>zinc finger, DHHC-type containing 12a [Source:ZFIN;Acc:ZDB-GENE-081104-40]</t>
  </si>
  <si>
    <t>ENSDARG00000074282</t>
  </si>
  <si>
    <t>si:ch73-12o23.1</t>
  </si>
  <si>
    <t>si:ch73-12o23.1 [Source:ZFIN;Acc:ZDB-GENE-130530-749]</t>
  </si>
  <si>
    <t>ENSDARG00000051748</t>
  </si>
  <si>
    <t>ccnd2a</t>
  </si>
  <si>
    <t>cyclin D2, a [Source:ZFIN;Acc:ZDB-GENE-070424-30]</t>
  </si>
  <si>
    <t>ENSDARG00000005595</t>
  </si>
  <si>
    <t>adgb</t>
  </si>
  <si>
    <t>androglobin [Source:ZFIN;Acc:ZDB-GENE-041001-205]</t>
  </si>
  <si>
    <t>ENSDARG00000091652</t>
  </si>
  <si>
    <t>xrn1</t>
  </si>
  <si>
    <t>5'-3' exoribonuclease 1 [Source:ZFIN;Acc:ZDB-GENE-040426-1203]</t>
  </si>
  <si>
    <t>ENSDARG00000023927</t>
  </si>
  <si>
    <t>dnajc24</t>
  </si>
  <si>
    <t>DnaJ (Hsp40) homolog, subfamily C, member 24 [Source:ZFIN;Acc:ZDB-GENE-040426-1153]</t>
  </si>
  <si>
    <t>ENSDARG00000053568</t>
  </si>
  <si>
    <t>pstpip1b</t>
  </si>
  <si>
    <t>proline-serine-threonine phosphatase interacting protein 1b [Source:ZFIN;Acc:ZDB-GENE-051127-25]</t>
  </si>
  <si>
    <t>ENSDARG00000019715</t>
  </si>
  <si>
    <t>metap1d</t>
  </si>
  <si>
    <t>methionyl aminopeptidase type 1D (mitochondrial) [Source:ZFIN;Acc:ZDB-GENE-050522-71]</t>
  </si>
  <si>
    <t>ENSDARG00000099962</t>
  </si>
  <si>
    <t>PHLPP2</t>
  </si>
  <si>
    <t>PH domain and leucine rich repeat protein phosphatase 2 [Source:HGNC Symbol;Acc:HGNC:29149]</t>
  </si>
  <si>
    <t>ENSDARG00000102394</t>
  </si>
  <si>
    <t>ap1g1</t>
  </si>
  <si>
    <t>adaptor-related protein complex 1, gamma 1 subunit [Source:ZFIN;Acc:ZDB-GENE-030131-3187]</t>
  </si>
  <si>
    <t>ENSDARG00000071558</t>
  </si>
  <si>
    <t>fblim1</t>
  </si>
  <si>
    <t>filamin binding LIM protein 1 [Source:ZFIN;Acc:ZDB-GENE-061013-662]</t>
  </si>
  <si>
    <t>ENSDARG00000099306</t>
  </si>
  <si>
    <t>FBXO2</t>
  </si>
  <si>
    <t>zgc:175088 [Source:ZFIN;Acc:ZDB-GENE-080204-124]</t>
  </si>
  <si>
    <t>ENSDARG00000101914</t>
  </si>
  <si>
    <t>metrnl</t>
  </si>
  <si>
    <t>meteorin, glial cell differentiation regulator-like [Source:ZFIN;Acc:ZDB-GENE-040426-1917]</t>
  </si>
  <si>
    <t>ENSDARG00000053087</t>
  </si>
  <si>
    <t>mthfr</t>
  </si>
  <si>
    <t>methylenetetrahydrofolate reductase (NAD(P)H) [Source:ZFIN;Acc:ZDB-GENE-041111-215]</t>
  </si>
  <si>
    <t>ENSDARG00000007671</t>
  </si>
  <si>
    <t>ghrb</t>
  </si>
  <si>
    <t>growth hormone receptor b [Source:ZFIN;Acc:ZDB-GENE-071119-4]</t>
  </si>
  <si>
    <t>ENSDARG00000062834</t>
  </si>
  <si>
    <t>ecsit</t>
  </si>
  <si>
    <t>ECSIT signalling integrator [Source:ZFIN;Acc:ZDB-GENE-030131-1332]</t>
  </si>
  <si>
    <t>ENSDARG00000005828</t>
  </si>
  <si>
    <t>faima</t>
  </si>
  <si>
    <t>Fas apoptotic inhibitory molecule a [Source:ZFIN;Acc:ZDB-GENE-040718-323]</t>
  </si>
  <si>
    <t>ENSDARG00000102696</t>
  </si>
  <si>
    <t>dnajc11b</t>
  </si>
  <si>
    <t>DnaJ (Hsp40) homolog, subfamily C, member 11b [Source:ZFIN;Acc:ZDB-GENE-160114-27]</t>
  </si>
  <si>
    <t>ENSDARG00000052673</t>
  </si>
  <si>
    <t>sept7b</t>
  </si>
  <si>
    <t>septin 7b [Source:ZFIN;Acc:ZDB-GENE-030131-37]</t>
  </si>
  <si>
    <t>ENSDARG00000096777</t>
  </si>
  <si>
    <t>CCDC189</t>
  </si>
  <si>
    <t>si:ch73-81k8.2 [Source:ZFIN;Acc:ZDB-GENE-130531-20]</t>
  </si>
  <si>
    <t>ENSDARG00000077396</t>
  </si>
  <si>
    <t>tlcd2</t>
  </si>
  <si>
    <t>TLC domain containing 2 [Source:ZFIN;Acc:ZDB-GENE-080204-81]</t>
  </si>
  <si>
    <t>ENSDARG00000018721</t>
  </si>
  <si>
    <t>npnt</t>
  </si>
  <si>
    <t>nephronectin [Source:ZFIN;Acc:ZDB-GENE-090312-201]</t>
  </si>
  <si>
    <t>ENSDARG00000043593</t>
  </si>
  <si>
    <t>rapgef1a</t>
  </si>
  <si>
    <t>Rap guanine nucleotide exchange factor (GEF) 1a [Source:ZFIN;Acc:ZDB-GENE-081105-26]</t>
  </si>
  <si>
    <t>ENSDARG00000088342</t>
  </si>
  <si>
    <t>tmem145</t>
  </si>
  <si>
    <t>transmembrane protein 145 [Source:ZFIN;Acc:ZDB-GENE-110411-84]</t>
  </si>
  <si>
    <t>ENSDARG00000062258</t>
  </si>
  <si>
    <t>armc8</t>
  </si>
  <si>
    <t>armadillo repeat containing 8 [Source:ZFIN;Acc:ZDB-GENE-061027-88]</t>
  </si>
  <si>
    <t>ENSDARG00000097546</t>
  </si>
  <si>
    <t>THAP5</t>
  </si>
  <si>
    <t>si:ch211-253b1.6 [Source:ZFIN;Acc:ZDB-GENE-050309-209]</t>
  </si>
  <si>
    <t>ENSDARG00000034643</t>
  </si>
  <si>
    <t>fhl3a</t>
  </si>
  <si>
    <t>four and a half LIM domains 3a [Source:ZFIN;Acc:ZDB-GENE-030131-4741]</t>
  </si>
  <si>
    <t>ENSDARG00000005128</t>
  </si>
  <si>
    <t>rnaseh2b</t>
  </si>
  <si>
    <t>ribonuclease H2, subunit B [Source:ZFIN;Acc:ZDB-GENE-040426-1090]</t>
  </si>
  <si>
    <t>ENSDARG00000054208</t>
  </si>
  <si>
    <t>phkg2</t>
  </si>
  <si>
    <t>phosphorylase kinase, gamma 2 (testis) [Source:ZFIN;Acc:ZDB-GENE-040426-825]</t>
  </si>
  <si>
    <t>ENSDARG00000075169</t>
  </si>
  <si>
    <t>bbs1</t>
  </si>
  <si>
    <t>Bardet-Biedl syndrome 1 [Source:ZFIN;Acc:ZDB-GENE-060126-1]</t>
  </si>
  <si>
    <t>ENSDARG00000044034</t>
  </si>
  <si>
    <t>tmem86a</t>
  </si>
  <si>
    <t>transmembrane protein 86A [Source:ZFIN;Acc:ZDB-GENE-050320-81]</t>
  </si>
  <si>
    <t>ENSDARG00000021252</t>
  </si>
  <si>
    <t>cct6a</t>
  </si>
  <si>
    <t>chaperonin containing TCP1, subunit 6A (zeta 1) [Source:ZFIN;Acc:ZDB-GENE-011018-2]</t>
  </si>
  <si>
    <t>ENSDARG00000004634</t>
  </si>
  <si>
    <t>osbp</t>
  </si>
  <si>
    <t>oxysterol binding protein [Source:ZFIN;Acc:ZDB-GENE-090312-18]</t>
  </si>
  <si>
    <t>ENSDARG00000052721</t>
  </si>
  <si>
    <t>prim2</t>
  </si>
  <si>
    <t>primase, DNA, polypeptide 2 [Source:ZFIN;Acc:ZDB-GENE-050522-471]</t>
  </si>
  <si>
    <t>ENSDARG00000090337</t>
  </si>
  <si>
    <t>pprc1</t>
  </si>
  <si>
    <t>peroxisome proliferator-activated receptor gamma, coactivator-related 1 [Source:ZFIN;Acc:ZDB-GENE-030131-9858]</t>
  </si>
  <si>
    <t>ENSDARG00000041511</t>
  </si>
  <si>
    <t>pex10</t>
  </si>
  <si>
    <t>peroxisomal biogenesis factor 10 [Source:ZFIN;Acc:ZDB-GENE-041010-71]</t>
  </si>
  <si>
    <t>ENSDARG00000035555</t>
  </si>
  <si>
    <t>gbgt1l3</t>
  </si>
  <si>
    <t>globoside alpha-1,3-N-acetylgalactosaminyltransferase 1, like 3 [Source:ZFIN;Acc:ZDB-GENE-040912-46]</t>
  </si>
  <si>
    <t>ENSDARG00000039456</t>
  </si>
  <si>
    <t>acbd6</t>
  </si>
  <si>
    <t>acyl-CoA binding domain containing 6 [Source:ZFIN;Acc:ZDB-GENE-030131-2810]</t>
  </si>
  <si>
    <t>ENSDARG00000091897</t>
  </si>
  <si>
    <t>si:dkey-187a12.4</t>
  </si>
  <si>
    <t>si:dkey-187a12.4 [Source:ZFIN;Acc:ZDB-GENE-090313-205]</t>
  </si>
  <si>
    <t>ENSDARG00000067979</t>
  </si>
  <si>
    <t>gtf3c5</t>
  </si>
  <si>
    <t>general transcription factor IIIC, polypeptide 5 [Source:ZFIN;Acc:ZDB-GENE-060810-66]</t>
  </si>
  <si>
    <t>ENSDARG00000056740</t>
  </si>
  <si>
    <t>tmeff1b</t>
  </si>
  <si>
    <t>transmembrane protein with EGF-like and two follistatin-like domains 1b [Source:ZFIN;Acc:ZDB-GENE-050706-143]</t>
  </si>
  <si>
    <t>ENSDARG00000104698</t>
  </si>
  <si>
    <t>si:ch211-69i3.3</t>
  </si>
  <si>
    <t>si:ch211-69i3.3 [Source:ZFIN;Acc:ZDB-GENE-070424-191]</t>
  </si>
  <si>
    <t>ENSDARG00000060917</t>
  </si>
  <si>
    <t>anln</t>
  </si>
  <si>
    <t>anillin, actin binding protein [Source:ZFIN;Acc:ZDB-GENE-030131-4486]</t>
  </si>
  <si>
    <t>ENSDARG00000044980</t>
  </si>
  <si>
    <t>kpna6</t>
  </si>
  <si>
    <t>karyopherin alpha 6 (importin alpha 7) [Source:ZFIN;Acc:ZDB-GENE-130530-626]</t>
  </si>
  <si>
    <t>ENSDARG00000092847</t>
  </si>
  <si>
    <t>si:dkey-30j19.3</t>
  </si>
  <si>
    <t>si:dkey-30j19.3 [Source:ZFIN;Acc:ZDB-GENE-091204-116]</t>
  </si>
  <si>
    <t>ENSDARG00000101623</t>
  </si>
  <si>
    <t>znf992</t>
  </si>
  <si>
    <t>zinc finger protein 992 [Source:ZFIN;Acc:ZDB-GENE-110913-92]</t>
  </si>
  <si>
    <t>ENSDARG00000031346</t>
  </si>
  <si>
    <t>rbm17</t>
  </si>
  <si>
    <t>RNA binding motif protein 17 [Source:ZFIN;Acc:ZDB-GENE-040426-817]</t>
  </si>
  <si>
    <t>ENSDARG00000059960</t>
  </si>
  <si>
    <t>plch2a</t>
  </si>
  <si>
    <t>phospholipase C, eta 2a [Source:ZFIN;Acc:ZDB-GENE-030131-6367]</t>
  </si>
  <si>
    <t>ENSDARG00000031680</t>
  </si>
  <si>
    <t>ercc1</t>
  </si>
  <si>
    <t>excision repair cross-complementation group 1 [Source:ZFIN;Acc:ZDB-GENE-040426-2606]</t>
  </si>
  <si>
    <t>ENSDARG00000012135</t>
  </si>
  <si>
    <t>fbxl2</t>
  </si>
  <si>
    <t>F-box and leucine-rich repeat protein 2 [Source:ZFIN;Acc:ZDB-GENE-030925-12]</t>
  </si>
  <si>
    <t>ENSDARG00000062897</t>
  </si>
  <si>
    <t>TNKS</t>
  </si>
  <si>
    <t>si:ch211-155m12.3 [Source:ZFIN;Acc:ZDB-GENE-030131-4865]</t>
  </si>
  <si>
    <t>ENSDARG00000068208</t>
  </si>
  <si>
    <t>def8</t>
  </si>
  <si>
    <t>differentially expressed in FDCP 8 homolog (mouse) [Source:ZFIN;Acc:ZDB-GENE-041114-96]</t>
  </si>
  <si>
    <t>ENSDARG00000089556</t>
  </si>
  <si>
    <t>si:dkey-63j12.4</t>
  </si>
  <si>
    <t>si:dkey-63j12.4 [Source:ZFIN;Acc:ZDB-GENE-040724-17]</t>
  </si>
  <si>
    <t>ENSDARG00000034427</t>
  </si>
  <si>
    <t>hn1l</t>
  </si>
  <si>
    <t>hematological and neurological expressed 1-like [Source:ZFIN;Acc:ZDB-GENE-030131-599]</t>
  </si>
  <si>
    <t>ENSDARG00000103690</t>
  </si>
  <si>
    <t>vipas39</t>
  </si>
  <si>
    <t>VPS33B interacting protein, apical-basolateral polarity regulator, spe-39 homolog [Source:ZFIN;Acc:ZDB-GENE-040520-1]</t>
  </si>
  <si>
    <t>ENSDARG00000103115</t>
  </si>
  <si>
    <t>znf1116</t>
  </si>
  <si>
    <t>zinc finger protein 1116 [Source:ZFIN;Acc:ZDB-GENE-110914-47]</t>
  </si>
  <si>
    <t>ENSDARG00000058147</t>
  </si>
  <si>
    <t>dnajc5b</t>
  </si>
  <si>
    <t>DnaJ (Hsp40) homolog, subfamily C, member 5 beta [Source:ZFIN;Acc:ZDB-GENE-050413-1]</t>
  </si>
  <si>
    <t>ENSDARG00000093974</t>
  </si>
  <si>
    <t>si:dkey-287i17.5</t>
  </si>
  <si>
    <t>si:dkey-287i17.5 [Source:ZFIN;Acc:ZDB-GENE-070912-504]</t>
  </si>
  <si>
    <t>ENSDARG00000079983</t>
  </si>
  <si>
    <t>agbl2</t>
  </si>
  <si>
    <t>ATP/GTP binding protein-like 2 [Source:ZFIN;Acc:ZDB-GENE-070719-6]</t>
  </si>
  <si>
    <t>ENSDARG00000091958</t>
  </si>
  <si>
    <t>si:ch211-141e20.6</t>
  </si>
  <si>
    <t>si:ch211-141e20.6 [Source:ZFIN;Acc:ZDB-GENE-070912-77]</t>
  </si>
  <si>
    <t>ENSDARG00000061411</t>
  </si>
  <si>
    <t>nelfa</t>
  </si>
  <si>
    <t>negative elongation factor complex member A [Source:ZFIN;Acc:ZDB-GENE-030131-6400]</t>
  </si>
  <si>
    <t>ENSDARG00000092425</t>
  </si>
  <si>
    <t>si:ch211-141e20.5</t>
  </si>
  <si>
    <t>si:ch211-141e20.5 [Source:ZFIN;Acc:ZDB-GENE-070912-76]</t>
  </si>
  <si>
    <t>ENSDARG00000101293</t>
  </si>
  <si>
    <t>PKN2</t>
  </si>
  <si>
    <t>zgc:153916 [Source:ZFIN;Acc:ZDB-GENE-061013-393]</t>
  </si>
  <si>
    <t>ENSDARG00000043905</t>
  </si>
  <si>
    <t>rnf14</t>
  </si>
  <si>
    <t>ring finger protein 14 [Source:ZFIN;Acc:ZDB-GENE-040625-65]</t>
  </si>
  <si>
    <t>ENSDARG00000011945</t>
  </si>
  <si>
    <t>slc35e1</t>
  </si>
  <si>
    <t>solute carrier family 35, member E1 [Source:ZFIN;Acc:ZDB-GENE-040426-2033]</t>
  </si>
  <si>
    <t>ENSDARG00000007275</t>
  </si>
  <si>
    <t>si:ch211-251b21.1</t>
  </si>
  <si>
    <t>si:ch211-251b21.1 [Source:ZFIN;Acc:ZDB-GENE-060809-5]</t>
  </si>
  <si>
    <t>ENSDARG00000101216</t>
  </si>
  <si>
    <t>meaf6</t>
  </si>
  <si>
    <t>MYST/Esa1-associated factor 6 [Source:ZFIN;Acc:ZDB-GENE-040808-12]</t>
  </si>
  <si>
    <t>ENSDARG00000093349</t>
  </si>
  <si>
    <t>si:ch211-141e20.2</t>
  </si>
  <si>
    <t>si:ch211-141e20.2 [Source:ZFIN;Acc:ZDB-GENE-070912-75]</t>
  </si>
  <si>
    <t>ENSDARG00000086668</t>
  </si>
  <si>
    <t>si:dkey-7j22.4</t>
  </si>
  <si>
    <t>si:dkey-7j22.4 [Source:ZFIN;Acc:ZDB-GENE-131125-95]</t>
  </si>
  <si>
    <t>ENSDARG00000098355</t>
  </si>
  <si>
    <t>atp5h</t>
  </si>
  <si>
    <t>ATP synthase, H+ transporting, mitochondrial Fo complex, subunit d [Source:ZFIN;Acc:ZDB-GENE-040426-1658]</t>
  </si>
  <si>
    <t>ENSDARG00000075806</t>
  </si>
  <si>
    <t>kirrel3a</t>
  </si>
  <si>
    <t>kin of IRRE like 3 a [Source:ZFIN;Acc:ZDB-GENE-091117-44]</t>
  </si>
  <si>
    <t>ENSDARG00000020946</t>
  </si>
  <si>
    <t>auts2b</t>
  </si>
  <si>
    <t>autism susceptibility candidate 2b [Source:ZFIN;Acc:ZDB-GENE-131127-20]</t>
  </si>
  <si>
    <t>ENSDARG00000086296</t>
  </si>
  <si>
    <t>si:ch211-209p16.1</t>
  </si>
  <si>
    <t>si:ch211-209p16.1 [Source:ZFIN;Acc:ZDB-GENE-110913-52]</t>
  </si>
  <si>
    <t>ENSDARG00000032072</t>
  </si>
  <si>
    <t>cdk16</t>
  </si>
  <si>
    <t>cyclin-dependent kinase 16 [Source:ZFIN;Acc:ZDB-GENE-030131-2939]</t>
  </si>
  <si>
    <t>ENSDARG00000069074</t>
  </si>
  <si>
    <t>cry1ba</t>
  </si>
  <si>
    <t>cryptochrome circadian clock 1ba [Source:ZFIN;Acc:ZDB-GENE-010426-4]</t>
  </si>
  <si>
    <t>ENSDARG00000011065</t>
  </si>
  <si>
    <t>camk2b1</t>
  </si>
  <si>
    <t>calcium/calmodulin-dependent protein kinase (CaM kinase) II beta 1 [Source:ZFIN;Acc:ZDB-GENE-030131-9588]</t>
  </si>
  <si>
    <t>ENSDARG00000003573</t>
  </si>
  <si>
    <t>dctn5</t>
  </si>
  <si>
    <t>dynactin 5 [Source:ZFIN;Acc:ZDB-GENE-040718-201]</t>
  </si>
  <si>
    <t>ENSDARG00000092651</t>
  </si>
  <si>
    <t>si:dkey-57a22.11</t>
  </si>
  <si>
    <t>si:dkey-57a22.11 [Source:ZFIN;Acc:ZDB-GENE-081104-423]</t>
  </si>
  <si>
    <t>ENSDARG00000056127</t>
  </si>
  <si>
    <t>polr2gl</t>
  </si>
  <si>
    <t>polymerase (RNA) II (DNA directed) polypeptide G-like [Source:ZFIN;Acc:ZDB-GENE-030131-2808]</t>
  </si>
  <si>
    <t>ENSDARG00000040938</t>
  </si>
  <si>
    <t>ssuh2.1</t>
  </si>
  <si>
    <t>ssu-2 homolog, tandem duplicate 1 [Source:ZFIN;Acc:ZDB-GENE-050208-558]</t>
  </si>
  <si>
    <t>ENSDARG00000099494</t>
  </si>
  <si>
    <t>si:dkeyp-77c4.5</t>
  </si>
  <si>
    <t>si:dkeyp-77c4.5 [Source:ZFIN;Acc:ZDB-GENE-131119-35]</t>
  </si>
  <si>
    <t>ENSDARG00000052606</t>
  </si>
  <si>
    <t>dpp9</t>
  </si>
  <si>
    <t>dipeptidyl-peptidase 9 [Source:ZFIN;Acc:ZDB-GENE-061013-777]</t>
  </si>
  <si>
    <t>ENSDARG00000063433</t>
  </si>
  <si>
    <t>atp2b2</t>
  </si>
  <si>
    <t>ATPase, Ca++ transporting, plasma membrane 2 [Source:ZFIN;Acc:ZDB-GENE-061016-1]</t>
  </si>
  <si>
    <t>ENSDARG00000102589</t>
  </si>
  <si>
    <t>rsf1a</t>
  </si>
  <si>
    <t>remodeling and spacing factor 1a [Source:ZFIN;Acc:ZDB-GENE-120215-90]</t>
  </si>
  <si>
    <t>ENSDARG00000025468</t>
  </si>
  <si>
    <t>bnip3la</t>
  </si>
  <si>
    <t>BCL2/adenovirus E1B interacting protein 3-like a [Source:ZFIN;Acc:ZDB-GENE-030131-2283]</t>
  </si>
  <si>
    <t>ENSDARG00000007377</t>
  </si>
  <si>
    <t>odc1</t>
  </si>
  <si>
    <t>ornithine decarboxylase 1 [Source:ZFIN;Acc:ZDB-GENE-010816-1]</t>
  </si>
  <si>
    <t>ENSDARG00000002795</t>
  </si>
  <si>
    <t>meis3</t>
  </si>
  <si>
    <t>myeloid ecotropic viral integration site 3 [Source:ZFIN;Acc:ZDB-GENE-010406-2]</t>
  </si>
  <si>
    <t>ENSDARG00000097650</t>
  </si>
  <si>
    <t>atg2b</t>
  </si>
  <si>
    <t>autophagy related 2B [Source:ZFIN;Acc:ZDB-GENE-131121-626]</t>
  </si>
  <si>
    <t>ENSDARG00000036778</t>
  </si>
  <si>
    <t>hbs1l</t>
  </si>
  <si>
    <t>HBS1-like translational GTPase [Source:ZFIN;Acc:ZDB-GENE-030131-2987]</t>
  </si>
  <si>
    <t>ENSDARG00000016753</t>
  </si>
  <si>
    <t>ipo9</t>
  </si>
  <si>
    <t>importin 9 [Source:ZFIN;Acc:ZDB-GENE-040426-2953]</t>
  </si>
  <si>
    <t>ENSDARG00000032614</t>
  </si>
  <si>
    <t>msi2b</t>
  </si>
  <si>
    <t>musashi RNA-binding protein 2b [Source:ZFIN;Acc:ZDB-GENE-040426-1268]</t>
  </si>
  <si>
    <t>ENSDARG00000087393</t>
  </si>
  <si>
    <t>prr11</t>
  </si>
  <si>
    <t>proline rich 11 [Source:ZFIN;Acc:ZDB-GENE-091118-97]</t>
  </si>
  <si>
    <t>ENSDARG00000054418</t>
  </si>
  <si>
    <t>ssuh2.2</t>
  </si>
  <si>
    <t>ssu-2 homolog, tandem duplicate 2 [Source:ZFIN;Acc:ZDB-GENE-060421-4694]</t>
  </si>
  <si>
    <t>ENSDARG00000053876</t>
  </si>
  <si>
    <t>klhl26</t>
  </si>
  <si>
    <t>kelch-like family member 26 [Source:ZFIN;Acc:ZDB-GENE-030131-5975]</t>
  </si>
  <si>
    <t>ENSDARG00000071107</t>
  </si>
  <si>
    <t>wnt7bb</t>
  </si>
  <si>
    <t>wingless-type MMTV integration site family, member 7Bb [Source:ZFIN;Acc:ZDB-GENE-081006-1]</t>
  </si>
  <si>
    <t>ENSDARG00000027041</t>
  </si>
  <si>
    <t>pcdh17</t>
  </si>
  <si>
    <t>protocadherin 17 [Source:ZFIN;Acc:ZDB-GENE-090608-3]</t>
  </si>
  <si>
    <t>ENSDARG00000099258</t>
  </si>
  <si>
    <t>vps52</t>
  </si>
  <si>
    <t>vacuolar protein sorting 52 homolog (S. cerevisiae) [Source:ZFIN;Acc:ZDB-GENE-010430-2]</t>
  </si>
  <si>
    <t>ENSDARG00000012467</t>
  </si>
  <si>
    <t>spint1b</t>
  </si>
  <si>
    <t>serine peptidase inhibitor, Kunitz type 1 b [Source:ZFIN;Acc:ZDB-GENE-071218-1]</t>
  </si>
  <si>
    <t>ENSDARG00000056191</t>
  </si>
  <si>
    <t>si:ch211-168k14.2</t>
  </si>
  <si>
    <t>si:ch211-168k14.2 [Source:ZFIN;Acc:ZDB-GENE-070912-149]</t>
  </si>
  <si>
    <t>ENSDARG00000097337</t>
  </si>
  <si>
    <t>si:ch211-256e16.5</t>
  </si>
  <si>
    <t>si:ch211-256e16.5 [Source:ZFIN;Acc:ZDB-GENE-131126-25]</t>
  </si>
  <si>
    <t>ENSDARG00000002663</t>
  </si>
  <si>
    <t>optn</t>
  </si>
  <si>
    <t>optineurin [Source:ZFIN;Acc:ZDB-GENE-030131-8103]</t>
  </si>
  <si>
    <t>ENSDARG00000055124</t>
  </si>
  <si>
    <t>ccnl1a</t>
  </si>
  <si>
    <t>cyclin L1a [Source:ZFIN;Acc:ZDB-GENE-050419-206]</t>
  </si>
  <si>
    <t>ENSDARG00000062949</t>
  </si>
  <si>
    <t>nt5dc3</t>
  </si>
  <si>
    <t>5'-nucleotidase domain containing 3 [Source:ZFIN;Acc:ZDB-GENE-080523-3]</t>
  </si>
  <si>
    <t>ENSDARG00000093374</t>
  </si>
  <si>
    <t>EPB41L2</t>
  </si>
  <si>
    <t>si:ch73-18b11.1 [Source:ZFIN;Acc:ZDB-GENE-070912-332]</t>
  </si>
  <si>
    <t>ENSDARG00000059855</t>
  </si>
  <si>
    <t>wdr66</t>
  </si>
  <si>
    <t>WD repeat domain 66 [Source:ZFIN;Acc:ZDB-GENE-060526-328]</t>
  </si>
  <si>
    <t>ENSDARG00000101823</t>
  </si>
  <si>
    <t>si:ch211-243p7.3</t>
  </si>
  <si>
    <t>si:ch211-243p7.3 [Source:ZFIN;Acc:ZDB-GENE-141216-202]</t>
  </si>
  <si>
    <t>ENSDARG00000063612</t>
  </si>
  <si>
    <t>antxr1c</t>
  </si>
  <si>
    <t>anthrax toxin receptor 1c [Source:ZFIN;Acc:ZDB-GENE-090514-5]</t>
  </si>
  <si>
    <t>ENSDARG00000024818</t>
  </si>
  <si>
    <t>rilpl2</t>
  </si>
  <si>
    <t>Rab interacting lysosomal protein-like 2 [Source:ZFIN;Acc:ZDB-GENE-030131-6682]</t>
  </si>
  <si>
    <t>ENSDARG00000096876</t>
  </si>
  <si>
    <t>si:dkey-61o18.2</t>
  </si>
  <si>
    <t>si:dkey-61o18.2 [Source:ZFIN;Acc:ZDB-GENE-131127-321]</t>
  </si>
  <si>
    <t>ENSDARG00000058346</t>
  </si>
  <si>
    <t>sass6</t>
  </si>
  <si>
    <t>SAS-6 centriolar assembly protein [Source:ZFIN;Acc:ZDB-GENE-040426-2784]</t>
  </si>
  <si>
    <t>ENSDARG00000016994</t>
  </si>
  <si>
    <t>ssrp1b</t>
  </si>
  <si>
    <t>structure specific recognition protein 1b [Source:ZFIN;Acc:ZDB-GENE-041008-209]</t>
  </si>
  <si>
    <t>ENSDARG00000089828</t>
  </si>
  <si>
    <t>si:rp71-19m20.1</t>
  </si>
  <si>
    <t>si:rp71-19m20.1 [Source:ZFIN;Acc:ZDB-GENE-030131-3509]</t>
  </si>
  <si>
    <t>ENSDARG00000086332</t>
  </si>
  <si>
    <t>bri3</t>
  </si>
  <si>
    <t>brain protein I3 [Source:ZFIN;Acc:ZDB-GENE-030131-3038]</t>
  </si>
  <si>
    <t>ENSDARG00000056318</t>
  </si>
  <si>
    <t>kansl2</t>
  </si>
  <si>
    <t>KAT8 regulatory NSL complex subunit 2 [Source:ZFIN;Acc:ZDB-GENE-041010-67]</t>
  </si>
  <si>
    <t>ENSDARG00000028401</t>
  </si>
  <si>
    <t>rhogc</t>
  </si>
  <si>
    <t>ras homolog gene family, member Gc [Source:ZFIN;Acc:ZDB-GENE-030131-3402]</t>
  </si>
  <si>
    <t>ENSDARG00000058570</t>
  </si>
  <si>
    <t>ccl27a</t>
  </si>
  <si>
    <t>chemokine (C-C motif) ligand 27a [Source:ZFIN;Acc:ZDB-GENE-000208-28]</t>
  </si>
  <si>
    <t>ENSDARG00000015966</t>
  </si>
  <si>
    <t>yaf2</t>
  </si>
  <si>
    <t>YY1 associated factor 2 [Source:ZFIN;Acc:ZDB-GENE-041210-115]</t>
  </si>
  <si>
    <t>ENSDARG00000057672</t>
  </si>
  <si>
    <t>plpp5</t>
  </si>
  <si>
    <t>phospholipid phosphatase 5 [Source:ZFIN;Acc:ZDB-GENE-040704-54]</t>
  </si>
  <si>
    <t>ENSDARG00000053890</t>
  </si>
  <si>
    <t>tmem62</t>
  </si>
  <si>
    <t>transmembrane protein 62 [Source:ZFIN;Acc:ZDB-GENE-040426-1837]</t>
  </si>
  <si>
    <t>ENSDARG00000061579</t>
  </si>
  <si>
    <t>myo1cb</t>
  </si>
  <si>
    <t>myosin Ic, paralog b [Source:ZFIN;Acc:ZDB-GENE-090429-3]</t>
  </si>
  <si>
    <t>ENSDARG00000002305</t>
  </si>
  <si>
    <t>me3</t>
  </si>
  <si>
    <t>malic enzyme 3, NADP(+)-dependent, mitochondrial [Source:ZFIN;Acc:ZDB-GENE-041111-294]</t>
  </si>
  <si>
    <t>ENSDARG00000073952</t>
  </si>
  <si>
    <t>slc4a7</t>
  </si>
  <si>
    <t>solute carrier family 4, sodium bicarbonate cotransporter, member 7 [Source:ZFIN;Acc:ZDB-GENE-140106-104]</t>
  </si>
  <si>
    <t>ENSDARG00000036337</t>
  </si>
  <si>
    <t>cers3b</t>
  </si>
  <si>
    <t>ceramide synthase 3b [Source:ZFIN;Acc:ZDB-GENE-080220-32]</t>
  </si>
  <si>
    <t>ENSDARG00000046030</t>
  </si>
  <si>
    <t>zgc:110339</t>
  </si>
  <si>
    <t>zgc:110339 [Source:ZFIN;Acc:ZDB-GENE-050417-323]</t>
  </si>
  <si>
    <t>ENSDARG00000086494</t>
  </si>
  <si>
    <t>znf970</t>
  </si>
  <si>
    <t>zinc finger protein 970 [Source:ZFIN;Acc:ZDB-GENE-131121-32]</t>
  </si>
  <si>
    <t>ENSDARG00000075830</t>
  </si>
  <si>
    <t>syt3</t>
  </si>
  <si>
    <t>synaptotagmin III [Source:ZFIN;Acc:ZDB-GENE-090601-1]</t>
  </si>
  <si>
    <t>ENSDARG00000056896</t>
  </si>
  <si>
    <t>ttc12</t>
  </si>
  <si>
    <t>tetratricopeptide repeat domain 12 [Source:ZFIN;Acc:ZDB-GENE-071016-4]</t>
  </si>
  <si>
    <t>ENSDARG00000091061</t>
  </si>
  <si>
    <t>slc38a3b</t>
  </si>
  <si>
    <t>solute carrier family 38, member 3b [Source:ZFIN;Acc:ZDB-GENE-121120-3]</t>
  </si>
  <si>
    <t>ENSDARG00000028321</t>
  </si>
  <si>
    <t>synj2bp</t>
  </si>
  <si>
    <t>synaptojanin 2 binding protein [Source:ZFIN;Acc:ZDB-GENE-030131-6531]</t>
  </si>
  <si>
    <t>ENSDARG00000041113</t>
  </si>
  <si>
    <t>wdr18</t>
  </si>
  <si>
    <t>WD repeat domain 18 [Source:ZFIN;Acc:ZDB-GENE-040905-4]</t>
  </si>
  <si>
    <t>ENSDARG00000022550</t>
  </si>
  <si>
    <t>gxylt1b</t>
  </si>
  <si>
    <t>glucoside xylosyltransferase 1b [Source:ZFIN;Acc:ZDB-GENE-041210-116]</t>
  </si>
  <si>
    <t>ENSDARG00000056334</t>
  </si>
  <si>
    <t>mlh3</t>
  </si>
  <si>
    <t>mutL homolog 3 (E. coli) [Source:ZFIN;Acc:ZDB-GENE-060810-45]</t>
  </si>
  <si>
    <t>ENSDARG00000025953</t>
  </si>
  <si>
    <t>rhoq</t>
  </si>
  <si>
    <t>ras homolog family member Q [Source:ZFIN;Acc:ZDB-GENE-030131-5721]</t>
  </si>
  <si>
    <t>ENSDARG00000036684</t>
  </si>
  <si>
    <t>ndufa7</t>
  </si>
  <si>
    <t>NADH dehydrogenase (ubiquinone) 1 alpha subcomplex, 7 [Source:ZFIN;Acc:ZDB-GENE-040801-169]</t>
  </si>
  <si>
    <t>ENSDARG00000079632</t>
  </si>
  <si>
    <t>POLD4</t>
  </si>
  <si>
    <t>si:dkey-28b4.7 [Source:ZFIN;Acc:ZDB-GENE-050506-118]</t>
  </si>
  <si>
    <t>ENSDARG00000062195</t>
  </si>
  <si>
    <t>fbxo31</t>
  </si>
  <si>
    <t>F-box protein 31 [Source:ZFIN;Acc:ZDB-GENE-070628-4]</t>
  </si>
  <si>
    <t>ENSDARG00000094067</t>
  </si>
  <si>
    <t>si:dkey-121n8.7</t>
  </si>
  <si>
    <t>si:dkey-121n8.7 [Source:ZFIN;Acc:ZDB-GENE-070912-366]</t>
  </si>
  <si>
    <t>ENSDARG00000032780</t>
  </si>
  <si>
    <t>pigf</t>
  </si>
  <si>
    <t>phosphatidylinositol glycan anchor biosynthesis, class F [Source:ZFIN;Acc:ZDB-GENE-040426-1801]</t>
  </si>
  <si>
    <t>ENSDARG00000041361</t>
  </si>
  <si>
    <t>ttk</t>
  </si>
  <si>
    <t>ttk protein kinase [Source:ZFIN;Acc:ZDB-GENE-030123-1]</t>
  </si>
  <si>
    <t>ENSDARG00000076566</t>
  </si>
  <si>
    <t>kank3</t>
  </si>
  <si>
    <t>KN motif and ankyrin repeat domains 3 [Source:ZFIN;Acc:ZDB-GENE-081105-185]</t>
  </si>
  <si>
    <t>ENSDARG00000091967</t>
  </si>
  <si>
    <t>ttf1</t>
  </si>
  <si>
    <t>transcription termination factor, RNA polymerase I [Source:ZFIN;Acc:ZDB-GENE-030131-6913]</t>
  </si>
  <si>
    <t>ENSDARG00000040452</t>
  </si>
  <si>
    <t>fam214a</t>
  </si>
  <si>
    <t>family with sequence similarity 214, member A [Source:ZFIN;Acc:ZDB-GENE-050419-204]</t>
  </si>
  <si>
    <t>ENSDARG00000045760</t>
  </si>
  <si>
    <t>prmt8b</t>
  </si>
  <si>
    <t>protein arginine methyltransferase 8b [Source:ZFIN;Acc:ZDB-GENE-030131-7791]</t>
  </si>
  <si>
    <t>ENSDARG00000045692</t>
  </si>
  <si>
    <t>pphln1</t>
  </si>
  <si>
    <t>periphilin 1 [Source:ZFIN;Acc:ZDB-GENE-030131-1873]</t>
  </si>
  <si>
    <t>ENSDARG00000000563</t>
  </si>
  <si>
    <t>ttnb</t>
  </si>
  <si>
    <t>titin b [Source:ZFIN;Acc:ZDB-GENE-030616-413]</t>
  </si>
  <si>
    <t>ENSDARG00000104995</t>
  </si>
  <si>
    <t>ugt5b2</t>
  </si>
  <si>
    <t>UDP glucuronosyltransferase 5 family, polypeptide B2 [Source:ZFIN;Acc:ZDB-GENE-100406-4]</t>
  </si>
  <si>
    <t>ENSDARG00000005085</t>
  </si>
  <si>
    <t>ggctb</t>
  </si>
  <si>
    <t>gamma-glutamylcyclotransferase b [Source:ZFIN;Acc:ZDB-GENE-040426-1939]</t>
  </si>
  <si>
    <t>ENSDARG00000023152</t>
  </si>
  <si>
    <t>wdr73</t>
  </si>
  <si>
    <t>WD repeat domain 73 [Source:ZFIN;Acc:ZDB-GENE-050417-126]</t>
  </si>
  <si>
    <t>ENSDARG00000034896</t>
  </si>
  <si>
    <t>ldb2b</t>
  </si>
  <si>
    <t>LIM domain binding 2b [Source:ZFIN;Acc:ZDB-GENE-990415-137]</t>
  </si>
  <si>
    <t>ENSDARG00000074697</t>
  </si>
  <si>
    <t>npdc1a</t>
  </si>
  <si>
    <t>neural proliferation, differentiation and control, 1a [Source:ZFIN;Acc:ZDB-GENE-031204-31]</t>
  </si>
  <si>
    <t>ENSDARG00000044669</t>
  </si>
  <si>
    <t>hp1bp3</t>
  </si>
  <si>
    <t>heterochromatin protein 1, binding protein 3 [Source:ZFIN;Acc:ZDB-GENE-060810-79]</t>
  </si>
  <si>
    <t>ENSDARG00000091916</t>
  </si>
  <si>
    <t>ugt5b4</t>
  </si>
  <si>
    <t>UDP glucuronosyltransferase 5 family, polypeptide B4 [Source:ZFIN;Acc:ZDB-GENE-070112-2332]</t>
  </si>
  <si>
    <t>ENSDARG00000063079</t>
  </si>
  <si>
    <t>ago3b</t>
  </si>
  <si>
    <t>argonaute RISC catalytic component 3b [Source:ZFIN;Acc:ZDB-GENE-060503-452]</t>
  </si>
  <si>
    <t>ENSDARG00000095315</t>
  </si>
  <si>
    <t>si:ch211-212c13.9</t>
  </si>
  <si>
    <t>si:ch211-212c13.9 [Source:ZFIN;Acc:ZDB-GENE-131118-22]</t>
  </si>
  <si>
    <t>ENSDARG00000061895</t>
  </si>
  <si>
    <t>usp32</t>
  </si>
  <si>
    <t>ubiquitin specific peptidase 32 [Source:ZFIN;Acc:ZDB-GENE-100210-5]</t>
  </si>
  <si>
    <t>ENSDARG00000096382</t>
  </si>
  <si>
    <t>neu3.1</t>
  </si>
  <si>
    <t>sialidase 3 (membrane sialidase), tandem duplicate 1 [Source:ZFIN;Acc:ZDB-GENE-061201-39]</t>
  </si>
  <si>
    <t>ENSDARG00000099509</t>
  </si>
  <si>
    <t>btr23</t>
  </si>
  <si>
    <t>bloodthirsty-related gene family, member 23 [Source:ZFIN;Acc:ZDB-GENE-070705-375]</t>
  </si>
  <si>
    <t>ENSDARG00000073841</t>
  </si>
  <si>
    <t>herc2</t>
  </si>
  <si>
    <t>HECT and RLD domain containing E3 ubiquitin protein ligase 2 [Source:ZFIN;Acc:ZDB-GENE-070718-6]</t>
  </si>
  <si>
    <t>ENSDARG00000088560</t>
  </si>
  <si>
    <t>tmem104</t>
  </si>
  <si>
    <t>transmembrane protein 104 [Source:ZFIN;Acc:ZDB-GENE-070822-4]</t>
  </si>
  <si>
    <t>ENSDARG00000073801</t>
  </si>
  <si>
    <t>si:dkeyp-104h9.5</t>
  </si>
  <si>
    <t>si:dkeyp-104h9.5 [Source:ZFIN;Acc:ZDB-GENE-081104-449]</t>
  </si>
  <si>
    <t>ENSDARG00000090543</t>
  </si>
  <si>
    <t>tmem138</t>
  </si>
  <si>
    <t>transmembrane protein 138 [Source:ZFIN;Acc:ZDB-GENE-120912-1]</t>
  </si>
  <si>
    <t>ENSDARG00000089578</t>
  </si>
  <si>
    <t>xrra1</t>
  </si>
  <si>
    <t>X-ray radiation resistance associated 1 [Source:ZFIN;Acc:ZDB-GENE-101216-2]</t>
  </si>
  <si>
    <t>ENSDARG00000062650</t>
  </si>
  <si>
    <t>rif1</t>
  </si>
  <si>
    <t>replication timing regulatory factor 1 [Source:ZFIN;Acc:ZDB-GENE-030131-3406]</t>
  </si>
  <si>
    <t>ENSDARG00000094140</t>
  </si>
  <si>
    <t>si:ch211-181p13.2</t>
  </si>
  <si>
    <t>si:ch211-181p13.2 [Source:ZFIN;Acc:ZDB-GENE-030131-9054]</t>
  </si>
  <si>
    <t>ENSDARG00000091943</t>
  </si>
  <si>
    <t>si:ch211-119c24.2</t>
  </si>
  <si>
    <t>si:ch211-119c24.2 [Source:ZFIN;Acc:ZDB-GENE-091120-6]</t>
  </si>
  <si>
    <t>ENSDARG00000077532</t>
  </si>
  <si>
    <t>pign</t>
  </si>
  <si>
    <t>phosphatidylinositol glycan anchor biosynthesis, class N [Source:ZFIN;Acc:ZDB-GENE-080204-114]</t>
  </si>
  <si>
    <t>ENSDARG00000102455</t>
  </si>
  <si>
    <t>znf1133</t>
  </si>
  <si>
    <t>zinc finger protein 1133 [Source:ZFIN;Acc:ZDB-GENE-110913-178]</t>
  </si>
  <si>
    <t>ENSDARG00000038099</t>
  </si>
  <si>
    <t>gskip</t>
  </si>
  <si>
    <t>gsk3b interacting protein [Source:ZFIN;Acc:ZDB-GENE-040426-2777]</t>
  </si>
  <si>
    <t>ENSDARG00000055585</t>
  </si>
  <si>
    <t>c1galt1a</t>
  </si>
  <si>
    <t>core 1 synthase, glycoprotein-N-acetylgalactosamine 3-beta-galactosyltransferase, 1a [Source:ZFIN;Acc:ZDB-GENE-061013-303]</t>
  </si>
  <si>
    <t>ENSDARG00000104893</t>
  </si>
  <si>
    <t>si:ch211-207e19.2</t>
  </si>
  <si>
    <t>si:ch211-207e19.2 [Source:ZFIN;Acc:ZDB-GENE-041210-227]</t>
  </si>
  <si>
    <t>ENSDARG00000104203</t>
  </si>
  <si>
    <t>ugt5b5p</t>
  </si>
  <si>
    <t>UDP glucuronosyltransferase 5 family, pseudogene B5 [Source:ZFIN;Acc:ZDB-GENEP-100406-1]</t>
  </si>
  <si>
    <t>ENSDARG00000045691</t>
  </si>
  <si>
    <t>zcrb1</t>
  </si>
  <si>
    <t>zinc finger CCHC-type and RNA binding motif 1 [Source:ZFIN;Acc:ZDB-GENE-041210-114]</t>
  </si>
  <si>
    <t>ENSDARG00000014215</t>
  </si>
  <si>
    <t>cdh13</t>
  </si>
  <si>
    <t>cadherin 13, H-cadherin (heart) [Source:ZFIN;Acc:ZDB-GENE-060503-286]</t>
  </si>
  <si>
    <t>ENSDARG00000069196</t>
  </si>
  <si>
    <t>ebf1b</t>
  </si>
  <si>
    <t>early B-cell factor 1b [Source:ZFIN;Acc:ZDB-GENE-090814-2]</t>
  </si>
  <si>
    <t>ENSDARG00000101495</t>
  </si>
  <si>
    <t>ugt5b2.1</t>
  </si>
  <si>
    <t>ENSDARG00000101891</t>
  </si>
  <si>
    <t>arid1ab</t>
  </si>
  <si>
    <t>AT rich interactive domain 1Ab (SWI-like) [Source:ZFIN;Acc:ZDB-GENE-030131-5725]</t>
  </si>
  <si>
    <t>ENSDARG00000009681</t>
  </si>
  <si>
    <t>med27</t>
  </si>
  <si>
    <t>mediator complex subunit 27 [Source:ZFIN;Acc:ZDB-GENE-040426-1601]</t>
  </si>
  <si>
    <t>ENSDARG00000068148</t>
  </si>
  <si>
    <t>arrdc1a</t>
  </si>
  <si>
    <t>arrestin domain containing 1a [Source:ZFIN;Acc:ZDB-GENE-030925-15]</t>
  </si>
  <si>
    <t>ENSDARG00000062972</t>
  </si>
  <si>
    <t>hip1</t>
  </si>
  <si>
    <t>huntingtin interacting protein 1 [Source:ZFIN;Acc:ZDB-GENE-010328-15]</t>
  </si>
  <si>
    <t>ENSDARG00000058179</t>
  </si>
  <si>
    <t>ackr3b</t>
  </si>
  <si>
    <t>atypical chemokine receptor 3b [Source:ZFIN;Acc:ZDB-GENE-031116-61]</t>
  </si>
  <si>
    <t>ENSDARG00000099276</t>
  </si>
  <si>
    <t>ugt5b3</t>
  </si>
  <si>
    <t>UDP glucuronosyltransferase 5 family, polypeptide B3 [Source:ZFIN;Acc:ZDB-GENE-100406-5]</t>
  </si>
  <si>
    <t>ENSDARG00000058327</t>
  </si>
  <si>
    <t>neu3.3</t>
  </si>
  <si>
    <t>sialidase 3 (membrane sialidase), tandem duplicate 3 [Source:ZFIN;Acc:ZDB-GENE-061103-511]</t>
  </si>
  <si>
    <t>ENSDARG00000100512</t>
  </si>
  <si>
    <t>znf986</t>
  </si>
  <si>
    <t>zinc finger protein 986 [Source:ZFIN;Acc:ZDB-GENE-110913-135]</t>
  </si>
  <si>
    <t>ENSDARG00000093189</t>
  </si>
  <si>
    <t>si:ch211-165b19.11</t>
  </si>
  <si>
    <t>si:ch211-165b19.11 [Source:ZFIN;Acc:ZDB-GENE-070912-131]</t>
  </si>
  <si>
    <t>ENSDARG00000037968</t>
  </si>
  <si>
    <t>fus</t>
  </si>
  <si>
    <t>FUS RNA binding protein [Source:ZFIN;Acc:ZDB-GENE-040426-1010]</t>
  </si>
  <si>
    <t>ENSDARG00000104349</t>
  </si>
  <si>
    <t>znf972</t>
  </si>
  <si>
    <t>zinc finger protein 972 [Source:ZFIN;Acc:ZDB-GENE-110914-39]</t>
  </si>
  <si>
    <t>ENSDARG00000104745</t>
  </si>
  <si>
    <t>si:ch211-207e19.15</t>
  </si>
  <si>
    <t>si:ch211-207e19.15 [Source:ZFIN;Acc:ZDB-GENE-110914-27]</t>
  </si>
  <si>
    <t>ENSDARG00000062221</t>
  </si>
  <si>
    <t>ARAP1</t>
  </si>
  <si>
    <t>si:ch211-135f11.1 [Source:ZFIN;Acc:ZDB-GENE-030131-6226]</t>
  </si>
  <si>
    <t>ENSDARG00000002748</t>
  </si>
  <si>
    <t>sema6d</t>
  </si>
  <si>
    <t>sema domain, transmembrane domain (TM), and cytoplasmic domain, (semaphorin) 6D [Source:ZFIN;Acc:ZDB-GENE-040426-1933]</t>
  </si>
  <si>
    <t>ENSDARG00000053561</t>
  </si>
  <si>
    <t>ms4a17a.11</t>
  </si>
  <si>
    <t>membrane-spanning 4-domains, subfamily A, member 17A.11 [Source:ZFIN;Acc:ZDB-GENE-050417-157]</t>
  </si>
  <si>
    <t>ENSDARG00000059746</t>
  </si>
  <si>
    <t>plod1a</t>
  </si>
  <si>
    <t>procollagen-lysine, 2-oxoglutarate 5-dioxygenase 1a [Source:ZFIN;Acc:ZDB-GENE-030131-3165]</t>
  </si>
  <si>
    <t>ENSDARG00000003931</t>
  </si>
  <si>
    <t>cndp2</t>
  </si>
  <si>
    <t>CNDP dipeptidase 2 (metallopeptidase M20 family) [Source:ZFIN;Acc:ZDB-GENE-030131-5499]</t>
  </si>
  <si>
    <t>ENSDARG00000027249</t>
  </si>
  <si>
    <t>btg1</t>
  </si>
  <si>
    <t>B-cell translocation gene 1, anti-proliferative [Source:ZFIN;Acc:ZDB-GENE-010726-1]</t>
  </si>
  <si>
    <t>ENSDARG00000012625</t>
  </si>
  <si>
    <t>prkag2a</t>
  </si>
  <si>
    <t>protein kinase, AMP-activated, gamma 2 non-catalytic subunit a [Source:ZFIN;Acc:ZDB-GENE-060929-160]</t>
  </si>
  <si>
    <t>ENSDARG00000036695</t>
  </si>
  <si>
    <t>calcoco1a</t>
  </si>
  <si>
    <t>calcium binding and coiled-coil domain 1a [Source:ZFIN;Acc:ZDB-GENE-030131-6911]</t>
  </si>
  <si>
    <t>ENSDARG00000067795</t>
  </si>
  <si>
    <t>crfb6</t>
  </si>
  <si>
    <t>cytokine receptor family member b6 [Source:ZFIN;Acc:ZDB-GENE-030131-5999]</t>
  </si>
  <si>
    <t>ENSDARG00000053474</t>
  </si>
  <si>
    <t>tdrkh</t>
  </si>
  <si>
    <t>tudor and KH domain containing [Source:ZFIN;Acc:ZDB-GENE-050327-81]</t>
  </si>
  <si>
    <t>ENSDARG00000043250</t>
  </si>
  <si>
    <t>ppm1ab</t>
  </si>
  <si>
    <t>protein phosphatase, Mg2+/Mn2+ dependent, 1Ab [Source:ZFIN;Acc:ZDB-GENE-991102-14]</t>
  </si>
  <si>
    <t>ENSDARG00000077900</t>
  </si>
  <si>
    <t>si:ch211-141o9.10</t>
  </si>
  <si>
    <t>si:ch211-141o9.10 [Source:ZFIN;Acc:ZDB-GENE-130603-5]</t>
  </si>
  <si>
    <t>ENSDARG00000095462</t>
  </si>
  <si>
    <t>CELA1</t>
  </si>
  <si>
    <t>si:dkey-57c15.4 [Source:ZFIN;Acc:ZDB-GENE-050208-732]</t>
  </si>
  <si>
    <t>ENSDARG00000009806</t>
  </si>
  <si>
    <t>smfn</t>
  </si>
  <si>
    <t>small fragment nuclease [Source:ZFIN;Acc:ZDB-GENE-040426-1709]</t>
  </si>
  <si>
    <t>ENSDARG00000013973</t>
  </si>
  <si>
    <t>pex3</t>
  </si>
  <si>
    <t>peroxisomal biogenesis factor 3 [Source:ZFIN;Acc:ZDB-GENE-040426-979]</t>
  </si>
  <si>
    <t>ENSDARG00000037392</t>
  </si>
  <si>
    <t>med19a</t>
  </si>
  <si>
    <t>mediator complex subunit 19a [Source:ZFIN;Acc:ZDB-GENE-060929-232]</t>
  </si>
  <si>
    <t>ENSDARG00000002271</t>
  </si>
  <si>
    <t>zfand5b</t>
  </si>
  <si>
    <t>zinc finger, AN1-type domain 5b [Source:ZFIN;Acc:ZDB-GENE-040426-875]</t>
  </si>
  <si>
    <t>ENSDARG00000020053</t>
  </si>
  <si>
    <t>nkd1</t>
  </si>
  <si>
    <t>naked cuticle homolog 1 (Drosophila) [Source:ZFIN;Acc:ZDB-GENE-061108-3]</t>
  </si>
  <si>
    <t>ENSDARG00000025012</t>
  </si>
  <si>
    <t>tpi1a</t>
  </si>
  <si>
    <t>triosephosphate isomerase 1a [Source:ZFIN;Acc:ZDB-GENE-020416-3]</t>
  </si>
  <si>
    <t>ENSDARG00000007045</t>
  </si>
  <si>
    <t>cnot4a</t>
  </si>
  <si>
    <t>CCR4-NOT transcription complex, subunit 4a [Source:ZFIN;Acc:ZDB-GENE-090313-262]</t>
  </si>
  <si>
    <t>ENSDARG00000074161</t>
  </si>
  <si>
    <t>tnrc6b</t>
  </si>
  <si>
    <t>trinucleotide repeat containing 6b [Source:ZFIN;Acc:ZDB-GENE-030131-13]</t>
  </si>
  <si>
    <t>ENSDARG00000033647</t>
  </si>
  <si>
    <t>smarcb1a</t>
  </si>
  <si>
    <t>SWI/SNF related, matrix associated, actin dependent regulator of chromatin, subfamily b, member 1a [Source:ZFIN;Acc:ZDB-GENE-041114-5]</t>
  </si>
  <si>
    <t>ENSDARG00000038608</t>
  </si>
  <si>
    <t>sdhc</t>
  </si>
  <si>
    <t>succinate dehydrogenase complex, subunit C, integral membrane protein [Source:ZFIN;Acc:ZDB-GENE-040801-26]</t>
  </si>
  <si>
    <t>ENSDARG00000026406</t>
  </si>
  <si>
    <t>anxa5a</t>
  </si>
  <si>
    <t>annexin A5a [Source:ZFIN;Acc:ZDB-GENE-080220-29]</t>
  </si>
  <si>
    <t>ENSDARG00000075774</t>
  </si>
  <si>
    <t>foxj3</t>
  </si>
  <si>
    <t>forkhead box J3 [Source:ZFIN;Acc:ZDB-GENE-101005-1]</t>
  </si>
  <si>
    <t>ENSDARG00000089952</t>
  </si>
  <si>
    <t>DYNLRB2</t>
  </si>
  <si>
    <t>si:ch211-147k9.8 [Source:ZFIN;Acc:ZDB-GENE-120709-101]</t>
  </si>
  <si>
    <t>ENSDARG00000029036</t>
  </si>
  <si>
    <t>rab32a</t>
  </si>
  <si>
    <t>RAB32a, member RAS oncogene family [Source:ZFIN;Acc:ZDB-GENE-031006-10]</t>
  </si>
  <si>
    <t>ENSDARG00000010572</t>
  </si>
  <si>
    <t>slc25a25a</t>
  </si>
  <si>
    <t>solute carrier family 25 (mitochondrial carrier; phosphate carrier), member 25a [Source:ZFIN;Acc:ZDB-GENE-040426-2396]</t>
  </si>
  <si>
    <t>ENSDARG00000074589</t>
  </si>
  <si>
    <t>rin2</t>
  </si>
  <si>
    <t>Ras and Rab interactor 2 [Source:ZFIN;Acc:ZDB-GENE-090312-194]</t>
  </si>
  <si>
    <t>ENSDARG00000061741</t>
  </si>
  <si>
    <t>itpr3</t>
  </si>
  <si>
    <t>inositol 1,4,5-trisphosphate receptor, type 3 [Source:ZFIN;Acc:ZDB-GENE-070605-1]</t>
  </si>
  <si>
    <t>ENSDARG00000059432</t>
  </si>
  <si>
    <t>fsd1l</t>
  </si>
  <si>
    <t>fibronectin type III and SPRY domain containing 1-like [Source:ZFIN;Acc:ZDB-GENE-070501-9]</t>
  </si>
  <si>
    <t>ENSDARG00000094738</t>
  </si>
  <si>
    <t>loxhd1a</t>
  </si>
  <si>
    <t>lipoxygenase homology domains 1a [Source:ZFIN;Acc:ZDB-GENE-091112-20]</t>
  </si>
  <si>
    <t>ENSDARG00000003069</t>
  </si>
  <si>
    <t>btbd7</t>
  </si>
  <si>
    <t>BTB (POZ) domain containing 7 [Source:ZFIN;Acc:ZDB-GENE-030131-4477]</t>
  </si>
  <si>
    <t>ENSDARG00000075211</t>
  </si>
  <si>
    <t>chd7</t>
  </si>
  <si>
    <t>chromodomain helicase DNA binding protein 7 [Source:ZFIN;Acc:ZDB-GENE-070912-179]</t>
  </si>
  <si>
    <t>ENSDARG00000004692</t>
  </si>
  <si>
    <t>nabp1a</t>
  </si>
  <si>
    <t>nucleic acid binding protein 1a [Source:ZFIN;Acc:ZDB-GENE-041212-71]</t>
  </si>
  <si>
    <t>ENSDARG00000061208</t>
  </si>
  <si>
    <t>rab40c</t>
  </si>
  <si>
    <t>RAB40c, member RAS oncogene family [Source:ZFIN;Acc:ZDB-GENE-030515-1]</t>
  </si>
  <si>
    <t>ENSDARG00000032552</t>
  </si>
  <si>
    <t>march5</t>
  </si>
  <si>
    <t>membrane-associated ring finger (C3HC4) 5 [Source:ZFIN;Acc:ZDB-GENE-070424-47]</t>
  </si>
  <si>
    <t>ENSDARG00000053619</t>
  </si>
  <si>
    <t>sra1</t>
  </si>
  <si>
    <t>steroid receptor RNA activator 1 [Source:ZFIN;Acc:ZDB-GENE-040625-6]</t>
  </si>
  <si>
    <t>ENSDARG00000035322</t>
  </si>
  <si>
    <t>myh7bb</t>
  </si>
  <si>
    <t>myosin, heavy chain 7B, cardiac muscle, beta b [Source:ZFIN;Acc:ZDB-GENE-090311-5]</t>
  </si>
  <si>
    <t>ENSDARG00000092770</t>
  </si>
  <si>
    <t>si:ch211-253p18.2</t>
  </si>
  <si>
    <t>ENSDARG00000058865</t>
  </si>
  <si>
    <t>endog</t>
  </si>
  <si>
    <t>endonuclease G [Source:ZFIN;Acc:ZDB-GENE-050522-402]</t>
  </si>
  <si>
    <t>ENSDARG00000062987</t>
  </si>
  <si>
    <t>tyw1</t>
  </si>
  <si>
    <t>tRNA-yW synthesizing protein 1 homolog (S. cerevisiae) [Source:ZFIN;Acc:ZDB-GENE-060929-688]</t>
  </si>
  <si>
    <t>ENSDARG00000057321</t>
  </si>
  <si>
    <t>tut1</t>
  </si>
  <si>
    <t>terminal uridylyl transferase 1, U6 snRNA-specific [Source:ZFIN;Acc:ZDB-GENE-050706-68]</t>
  </si>
  <si>
    <t>ENSDARG00000094403</t>
  </si>
  <si>
    <t>HTRA2.10</t>
  </si>
  <si>
    <t>si:dkey-33c12.10 [Source:ZFIN;Acc:ZDB-GENE-081028-27]</t>
  </si>
  <si>
    <t>ENSDARG00000101617</t>
  </si>
  <si>
    <t>si:dkeyp-92f10.1</t>
  </si>
  <si>
    <t>si:dkeyp-92f10.1 [Source:ZFIN;Acc:ZDB-GENE-141222-18]</t>
  </si>
  <si>
    <t>ENSDARG00000079504</t>
  </si>
  <si>
    <t>mfn2</t>
  </si>
  <si>
    <t>mitofusin 2 [Source:ZFIN;Acc:ZDB-GENE-081105-44]</t>
  </si>
  <si>
    <t>ENSDARG00000021346</t>
  </si>
  <si>
    <t>pdhb</t>
  </si>
  <si>
    <t>pyruvate dehydrogenase (lipoamide) beta [Source:ZFIN;Acc:ZDB-GENE-040426-2173]</t>
  </si>
  <si>
    <t>ENSDARG00000035676</t>
  </si>
  <si>
    <t>ptp4a2b</t>
  </si>
  <si>
    <t>protein tyrosine phosphatase type IVA, member 2b [Source:ZFIN;Acc:ZDB-GENE-041114-111]</t>
  </si>
  <si>
    <t>ENSDARG00000042409</t>
  </si>
  <si>
    <t>RALGDS</t>
  </si>
  <si>
    <t>si:ch211-251j10.3 [Source:ZFIN;Acc:ZDB-GENE-081105-110]</t>
  </si>
  <si>
    <t>ENSDARG00000032532</t>
  </si>
  <si>
    <t>arpp19a</t>
  </si>
  <si>
    <t>cAMP-regulated phosphoprotein 19a [Source:ZFIN;Acc:ZDB-GENE-040426-1281]</t>
  </si>
  <si>
    <t>ENSDARG00000099840</t>
  </si>
  <si>
    <t>lpar1</t>
  </si>
  <si>
    <t>lysophosphatidic acid receptor 1 [Source:ZFIN;Acc:ZDB-GENE-030616-499]</t>
  </si>
  <si>
    <t>ENSDARG00000055190</t>
  </si>
  <si>
    <t>slc17a5</t>
  </si>
  <si>
    <t>solute carrier family 17 (acidic sugar transporter), member 5 [Source:ZFIN;Acc:ZDB-GENE-060929-1158]</t>
  </si>
  <si>
    <t>ENSDARG00000075245</t>
  </si>
  <si>
    <t>wdr11</t>
  </si>
  <si>
    <t>WD repeat domain 11 [Source:ZFIN;Acc:ZDB-GENE-081107-28]</t>
  </si>
  <si>
    <t>ENSDARG00000009459</t>
  </si>
  <si>
    <t>slc35e4</t>
  </si>
  <si>
    <t>solute carrier family 35, member E4 [Source:ZFIN;Acc:ZDB-GENE-050417-407]</t>
  </si>
  <si>
    <t>ENSDARG00000017034</t>
  </si>
  <si>
    <t>sqrdl</t>
  </si>
  <si>
    <t>sulfide quinone reductase-like (yeast) [Source:ZFIN;Acc:ZDB-GENE-050417-436]</t>
  </si>
  <si>
    <t>ENSDARG00000077850</t>
  </si>
  <si>
    <t>lgals3</t>
  </si>
  <si>
    <t>lectin, galactoside-binding, soluble, 3 [Source:ZFIN;Acc:ZDB-GENE-030131-7667]</t>
  </si>
  <si>
    <t>ENSDARG00000090912</t>
  </si>
  <si>
    <t>npc2</t>
  </si>
  <si>
    <t>Niemann-Pick disease, type C2 [Source:ZFIN;Acc:ZDB-GENE-021206-13]</t>
  </si>
  <si>
    <t>ENSDARG00000042900</t>
  </si>
  <si>
    <t>gtpbp1l</t>
  </si>
  <si>
    <t>GTP binding protein 1, like [Source:ZFIN;Acc:ZDB-GENE-041007-2]</t>
  </si>
  <si>
    <t>ENSDARG00000045797</t>
  </si>
  <si>
    <t>si:ch211-68a17.7</t>
  </si>
  <si>
    <t>si:ch211-68a17.7 [Source:ZFIN;Acc:ZDB-GENE-100427-3]</t>
  </si>
  <si>
    <t>ENSDARG00000040310</t>
  </si>
  <si>
    <t>prpf4bb</t>
  </si>
  <si>
    <t>pre-mRNA processing factor 4Bb [Source:ZFIN;Acc:ZDB-GENE-040426-2799]</t>
  </si>
  <si>
    <t>ENSDARG00000069105</t>
  </si>
  <si>
    <t>fgfr4</t>
  </si>
  <si>
    <t>fibroblast growth factor receptor 4 [Source:ZFIN;Acc:ZDB-GENE-980526-488]</t>
  </si>
  <si>
    <t>ENSDARG00000025559</t>
  </si>
  <si>
    <t>pex11g</t>
  </si>
  <si>
    <t>peroxisomal biogenesis factor 11 gamma [Source:ZFIN;Acc:ZDB-GENE-050913-79]</t>
  </si>
  <si>
    <t>ENSDARG00000078434</t>
  </si>
  <si>
    <t>znf692</t>
  </si>
  <si>
    <t>zinc finger protein 692 [Source:ZFIN;Acc:ZDB-GENE-081104-484]</t>
  </si>
  <si>
    <t>ENSDARG00000017261</t>
  </si>
  <si>
    <t>gdpd1</t>
  </si>
  <si>
    <t>glycerophosphodiester phosphodiesterase domain containing 1 [Source:ZFIN;Acc:ZDB-GENE-040822-22]</t>
  </si>
  <si>
    <t>ENSDARG00000062199</t>
  </si>
  <si>
    <t>si:dkey-217l24.1</t>
  </si>
  <si>
    <t>si:dkey-217l24.1 [Source:ZFIN;Acc:ZDB-GENE-131121-4]</t>
  </si>
  <si>
    <t>ENSDARG00000058230</t>
  </si>
  <si>
    <t>rps6kb1b</t>
  </si>
  <si>
    <t>ribosomal protein S6 kinase b, polypeptide 1b [Source:ZFIN;Acc:ZDB-GENE-040426-2038]</t>
  </si>
  <si>
    <t>ENSDARG00000061634</t>
  </si>
  <si>
    <t>aifm4</t>
  </si>
  <si>
    <t>apoptosis-inducing factor, mitochondrion-associated, 4 [Source:ZFIN;Acc:ZDB-GENE-070112-2282]</t>
  </si>
  <si>
    <t>ENSDARG00000016676</t>
  </si>
  <si>
    <t>gnao1a</t>
  </si>
  <si>
    <t>guanine nucleotide binding protein (G protein), alpha activating activity polypeptide O, a [Source:ZFIN;Acc:ZDB-GENE-040426-1757]</t>
  </si>
  <si>
    <t>ENSDARG00000076856</t>
  </si>
  <si>
    <t>frem2a</t>
  </si>
  <si>
    <t>Fras1 related extracellular matrix protein 2a [Source:ZFIN;Acc:ZDB-GENE-081119-3]</t>
  </si>
  <si>
    <t>ENSDARG00000033871</t>
  </si>
  <si>
    <t>derl3</t>
  </si>
  <si>
    <t>derlin 3 [Source:ZFIN;Acc:ZDB-GENE-040426-1324]</t>
  </si>
  <si>
    <t>ENSDARG00000013031</t>
  </si>
  <si>
    <t>mta2</t>
  </si>
  <si>
    <t>metastasis associated 1 family, member 2 [Source:ZFIN;Acc:ZDB-GENE-030131-4803]</t>
  </si>
  <si>
    <t>ENSDARG00000095191</t>
  </si>
  <si>
    <t>si:dkey-57k2.7</t>
  </si>
  <si>
    <t>ENSDARG00000097794</t>
  </si>
  <si>
    <t>si:dkey-103m22.1</t>
  </si>
  <si>
    <t>si:dkey-103m22.1 [Source:ZFIN;Acc:ZDB-GENE-131126-4]</t>
  </si>
  <si>
    <t>ENSDARG00000010727</t>
  </si>
  <si>
    <t>ttyh2l</t>
  </si>
  <si>
    <t>tweety homolog 2, like [Source:ZFIN;Acc:ZDB-GENE-040426-2394]</t>
  </si>
  <si>
    <t>ENSDARG00000055966</t>
  </si>
  <si>
    <t>cflara</t>
  </si>
  <si>
    <t>CASP8 and FADD-like apoptosis regulator a [Source:ZFIN;Acc:ZDB-GENE-030826-3]</t>
  </si>
  <si>
    <t>ENSDARG00000043011</t>
  </si>
  <si>
    <t>chst14</t>
  </si>
  <si>
    <t>carbohydrate (N-acetylgalactosamine 4-0) sulfotransferase 14 [Source:ZFIN;Acc:ZDB-GENE-040401-3]</t>
  </si>
  <si>
    <t>ENSDARG00000062864</t>
  </si>
  <si>
    <t>gk5</t>
  </si>
  <si>
    <t>glycerol kinase 5 (putative) [Source:ZFIN;Acc:ZDB-GENE-061110-49]</t>
  </si>
  <si>
    <t>ENSDARG00000014907</t>
  </si>
  <si>
    <t>htra1b</t>
  </si>
  <si>
    <t>HtrA serine peptidase 1b [Source:ZFIN;Acc:ZDB-GENE-080219-7]</t>
  </si>
  <si>
    <t>ENSDARG00000044574</t>
  </si>
  <si>
    <t>rbms3</t>
  </si>
  <si>
    <t>RNA binding motif, single stranded interacting protein [Source:ZFIN;Acc:ZDB-GENE-060929-244]</t>
  </si>
  <si>
    <t>ENSDARG00000104225</t>
  </si>
  <si>
    <t>ndel1b</t>
  </si>
  <si>
    <t>nudE neurodevelopment protein 1-like 1b [Source:ZFIN;Acc:ZDB-GENE-030131-5889]</t>
  </si>
  <si>
    <t>ENSDARG00000009677</t>
  </si>
  <si>
    <t>dlg1</t>
  </si>
  <si>
    <t>discs, large homolog 1 (Drosophila) [Source:ZFIN;Acc:ZDB-GENE-010724-8]</t>
  </si>
  <si>
    <t>ENSDARG00000042332</t>
  </si>
  <si>
    <t>plin2</t>
  </si>
  <si>
    <t>perilipin 2 [Source:ZFIN;Acc:ZDB-GENE-050913-12]</t>
  </si>
  <si>
    <t>ENSDARG00000052638</t>
  </si>
  <si>
    <t>fam210b</t>
  </si>
  <si>
    <t>family with sequence similarity 210, member B [Source:ZFIN;Acc:ZDB-GENE-050913-122]</t>
  </si>
  <si>
    <t>ENSDARG00000102143</t>
  </si>
  <si>
    <t>btr24</t>
  </si>
  <si>
    <t>bloodthirsty-related gene family, member 24 [Source:ZFIN;Acc:ZDB-GENE-070705-376]</t>
  </si>
  <si>
    <t>ENSDARG00000079068</t>
  </si>
  <si>
    <t>adam12</t>
  </si>
  <si>
    <t>ADAM metallopeptidase domain 12 [Source:ZFIN;Acc:ZDB-GENE-070809-1]</t>
  </si>
  <si>
    <t>ENSDARG00000014692</t>
  </si>
  <si>
    <t>znf622</t>
  </si>
  <si>
    <t>zinc finger protein 622 [Source:ZFIN;Acc:ZDB-GENE-050927-1]</t>
  </si>
  <si>
    <t>ENSDARG00000044642</t>
  </si>
  <si>
    <t>sc5d</t>
  </si>
  <si>
    <t>sterol-C5-desaturase [Source:ZFIN;Acc:ZDB-GENE-040912-56]</t>
  </si>
  <si>
    <t>ENSDARG00000067601</t>
  </si>
  <si>
    <t>arfgap2</t>
  </si>
  <si>
    <t>ADP-ribosylation factor GTPase activating protein 2 [Source:ZFIN;Acc:ZDB-GENE-051120-177]</t>
  </si>
  <si>
    <t>ENSDARG00000016364</t>
  </si>
  <si>
    <t>gna15.1</t>
  </si>
  <si>
    <t>guanine nucleotide binding protein (G protein), alpha 15 (Gq class), tandem duplicate 1 [Source:ZFIN;Acc:ZDB-GENE-040801-146]</t>
  </si>
  <si>
    <t>ENSDARG00000054818</t>
  </si>
  <si>
    <t>rpl32</t>
  </si>
  <si>
    <t>ribosomal protein L32 [Source:ZFIN;Acc:ZDB-GENE-060331-105]</t>
  </si>
  <si>
    <t>ENSDARG00000010791</t>
  </si>
  <si>
    <t>dla</t>
  </si>
  <si>
    <t>deltaA [Source:ZFIN;Acc:ZDB-GENE-980526-29]</t>
  </si>
  <si>
    <t>ENSDARG00000035505</t>
  </si>
  <si>
    <t>nelfb</t>
  </si>
  <si>
    <t>negative elongation factor complex member B [Source:ZFIN;Acc:ZDB-GENE-040426-765]</t>
  </si>
  <si>
    <t>ENSDARG00000070475</t>
  </si>
  <si>
    <t>khdrbs1b</t>
  </si>
  <si>
    <t>KH domain containing, RNA binding, signal transduction associated 1b [Source:ZFIN;Acc:ZDB-GENE-040426-2344]</t>
  </si>
  <si>
    <t>ENSDARG00000006307</t>
  </si>
  <si>
    <t>shisa4</t>
  </si>
  <si>
    <t>shisa family member 4 [Source:ZFIN;Acc:ZDB-GENE-050417-419]</t>
  </si>
  <si>
    <t>ENSDARG00000092351</t>
  </si>
  <si>
    <t>si:dkey-149f22.2</t>
  </si>
  <si>
    <t>si:dkey-149f22.2 [Source:ZFIN;Acc:ZDB-GENE-081104-314]</t>
  </si>
  <si>
    <t>ENSDARG00000051800</t>
  </si>
  <si>
    <t>fnbp4</t>
  </si>
  <si>
    <t>formin binding protein 4 [Source:ZFIN;Acc:ZDB-GENE-130530-633]</t>
  </si>
  <si>
    <t>ENSDARG00000034396</t>
  </si>
  <si>
    <t>mars</t>
  </si>
  <si>
    <t>methionyl-tRNA synthetase [Source:ZFIN;Acc:ZDB-GENE-030219-83]</t>
  </si>
  <si>
    <t>ENSDARG00000087873</t>
  </si>
  <si>
    <t>eevs</t>
  </si>
  <si>
    <t>2-epi-5-epi-valiolone synthase [Source:ZFIN;Acc:ZDB-GENE-131121-365]</t>
  </si>
  <si>
    <t>ENSDARG00000020702</t>
  </si>
  <si>
    <t>odf2b</t>
  </si>
  <si>
    <t>outer dense fiber of sperm tails 2b [Source:ZFIN;Acc:ZDB-GENE-041008-119]</t>
  </si>
  <si>
    <t>ENSDARG00000017744</t>
  </si>
  <si>
    <t>smc2</t>
  </si>
  <si>
    <t>structural maintenance of chromosomes 2 [Source:ZFIN;Acc:ZDB-GENE-030131-105]</t>
  </si>
  <si>
    <t>ENSDARG00000105241</t>
  </si>
  <si>
    <t>btr26</t>
  </si>
  <si>
    <t>bloodthirsty-related gene family, member 26 [Source:ZFIN;Acc:ZDB-GENE-070705-378]</t>
  </si>
  <si>
    <t>ENSDARG00000057273</t>
  </si>
  <si>
    <t>alox5a</t>
  </si>
  <si>
    <t>arachidonate 5-lipoxygenase a [Source:ZFIN;Acc:ZDB-GENE-090311-47]</t>
  </si>
  <si>
    <t>ENSDARG00000032578</t>
  </si>
  <si>
    <t>pax2b</t>
  </si>
  <si>
    <t>paired box 2b [Source:ZFIN;Acc:ZDB-GENE-001030-4]</t>
  </si>
  <si>
    <t>ENSDARG00000100715</t>
  </si>
  <si>
    <t>tlk1b</t>
  </si>
  <si>
    <t>tousled-like kinase 1b [Source:ZFIN;Acc:ZDB-GENE-030131-4933]</t>
  </si>
  <si>
    <t>ENSDARG00000020618</t>
  </si>
  <si>
    <t>zgc:112056</t>
  </si>
  <si>
    <t>zgc:112056 [Source:ZFIN;Acc:ZDB-GENE-050417-147]</t>
  </si>
  <si>
    <t>ENSDARG00000101624</t>
  </si>
  <si>
    <t>lmnb2</t>
  </si>
  <si>
    <t>lamin B2 [Source:ZFIN;Acc:ZDB-GENE-990630-13]</t>
  </si>
  <si>
    <t>ENSDARG00000103957</t>
  </si>
  <si>
    <t>aamdc</t>
  </si>
  <si>
    <t>adipogenesis associated, Mth938 domain containing [Source:ZFIN;Acc:ZDB-GENE-050522-64]</t>
  </si>
  <si>
    <t>ENSDARG00000033012</t>
  </si>
  <si>
    <t>pcnt</t>
  </si>
  <si>
    <t>pericentrin [Source:ZFIN;Acc:ZDB-GENE-030829-26]</t>
  </si>
  <si>
    <t>ENSDARG00000074447</t>
  </si>
  <si>
    <t>dapk3</t>
  </si>
  <si>
    <t>death-associated protein kinase 3 [Source:ZFIN;Acc:ZDB-GENE-030131-3026]</t>
  </si>
  <si>
    <t>ENSDARG00000078785</t>
  </si>
  <si>
    <t>tmem258</t>
  </si>
  <si>
    <t>transmembrane protein 258 [Source:ZFIN;Acc:ZDB-GENE-040426-1739]</t>
  </si>
  <si>
    <t>ENSDARG00000097108</t>
  </si>
  <si>
    <t>si:dkey-265j8.3</t>
  </si>
  <si>
    <t>si:dkey-265j8.3 [Source:ZFIN;Acc:ZDB-GENE-131127-55]</t>
  </si>
  <si>
    <t>ENSDARG00000055373</t>
  </si>
  <si>
    <t>sema3fb</t>
  </si>
  <si>
    <t>sema domain, immunoglobulin domain (Ig), short basic domain, secreted, (semaphorin) 3Fb [Source:ZFIN;Acc:ZDB-GENE-050513-2]</t>
  </si>
  <si>
    <t>ENSDARG00000098667</t>
  </si>
  <si>
    <t>grin3bb</t>
  </si>
  <si>
    <t>glutamate receptor, ionotropic, N-methyl-D-aspartate 3Bb [Source:ZFIN;Acc:ZDB-GENE-131122-77]</t>
  </si>
  <si>
    <t>ENSDARG00000102953</t>
  </si>
  <si>
    <t>ints4</t>
  </si>
  <si>
    <t>integrator complex subunit 4 [Source:ZFIN;Acc:ZDB-GENE-120215-81]</t>
  </si>
  <si>
    <t>ENSDARG00000054451</t>
  </si>
  <si>
    <t>loxl1</t>
  </si>
  <si>
    <t>lysyl oxidase-like 1 [Source:ZFIN;Acc:ZDB-GENE-060503-693]</t>
  </si>
  <si>
    <t>ENSDARG00000069909</t>
  </si>
  <si>
    <t>HTRA2.13</t>
  </si>
  <si>
    <t>si:dkey-112g5.12 [Source:ZFIN;Acc:ZDB-GENE-081028-32]</t>
  </si>
  <si>
    <t>ENSDARG00000097653</t>
  </si>
  <si>
    <t>RNH1.17</t>
  </si>
  <si>
    <t>si:dkey-23k10.3 [Source:ZFIN;Acc:ZDB-GENE-131126-11]</t>
  </si>
  <si>
    <t>ENSDARG00000026338</t>
  </si>
  <si>
    <t>styxl1</t>
  </si>
  <si>
    <t>serine/threonine/tyrosine interacting-like 1 [Source:ZFIN;Acc:ZDB-GENE-040912-45]</t>
  </si>
  <si>
    <t>ENSDARG00000105009</t>
  </si>
  <si>
    <t>ddah2</t>
  </si>
  <si>
    <t>dimethylarginine dimethylaminohydrolase 2 [Source:ZFIN;Acc:ZDB-GENE-030131-913]</t>
  </si>
  <si>
    <t>ENSDARG00000027611</t>
  </si>
  <si>
    <t>sdpra</t>
  </si>
  <si>
    <t>serum deprivation response a [Source:ZFIN;Acc:ZDB-GENE-090313-215]</t>
  </si>
  <si>
    <t>ENSDARG00000011581</t>
  </si>
  <si>
    <t>si:dkey-23k10.5</t>
  </si>
  <si>
    <t>si:dkey-23k10.5 [Source:ZFIN;Acc:ZDB-GENE-030131-4787]</t>
  </si>
  <si>
    <t>ENSDARG00000038754</t>
  </si>
  <si>
    <t>plk3</t>
  </si>
  <si>
    <t>polo-like kinase 3 (Drosophila) [Source:ZFIN;Acc:ZDB-GENE-030131-6134]</t>
  </si>
  <si>
    <t>ENSDARG00000070479</t>
  </si>
  <si>
    <t>tspan13b</t>
  </si>
  <si>
    <t>tetraspanin 13b [Source:ZFIN;Acc:ZDB-GENE-041010-45]</t>
  </si>
  <si>
    <t>ENSDARG00000059856</t>
  </si>
  <si>
    <t>alkbh2</t>
  </si>
  <si>
    <t>alkB homolog 2, alpha-ketoglutarate-dependent dioxygenase [Source:ZFIN;Acc:ZDB-GENE-060526-327]</t>
  </si>
  <si>
    <t>ENSDARG00000075870</t>
  </si>
  <si>
    <t>triobpa</t>
  </si>
  <si>
    <t>TRIO and F-actin binding protein a [Source:ZFIN;Acc:ZDB-GENE-110411-40]</t>
  </si>
  <si>
    <t>ENSDARG00000075793</t>
  </si>
  <si>
    <t>prex1</t>
  </si>
  <si>
    <t>phosphatidylinositol-3,4,5-trisphosphate-dependent Rac exchange factor 1 [Source:ZFIN;Acc:ZDB-GENE-030131-1428]</t>
  </si>
  <si>
    <t>ENSDARG00000052030</t>
  </si>
  <si>
    <t>akr1a1b</t>
  </si>
  <si>
    <t>aldo-keto reductase family 1, member A1b (aldehyde reductase) [Source:ZFIN;Acc:ZDB-GENE-050417-118]</t>
  </si>
  <si>
    <t>ENSDARG00000013351</t>
  </si>
  <si>
    <t>cirbpb</t>
  </si>
  <si>
    <t>cold inducible RNA binding protein b [Source:ZFIN;Acc:ZDB-GENE-030131-5841]</t>
  </si>
  <si>
    <t>ENSDARG00000037378</t>
  </si>
  <si>
    <t>qdprb1</t>
  </si>
  <si>
    <t>quinoid dihydropteridine reductase b1 [Source:ZFIN;Acc:ZDB-GENE-050522-320]</t>
  </si>
  <si>
    <t>ENSDARG00000046002</t>
  </si>
  <si>
    <t>necap2</t>
  </si>
  <si>
    <t>NECAP endocytosis associated 2 [Source:ZFIN;Acc:ZDB-GENE-050522-67]</t>
  </si>
  <si>
    <t>ENSDARG00000077002</t>
  </si>
  <si>
    <t>igsf3</t>
  </si>
  <si>
    <t>immunoglobulin superfamily, member 3 [Source:ZFIN;Acc:ZDB-GENE-070912-243]</t>
  </si>
  <si>
    <t>ENSDARG00000068415</t>
  </si>
  <si>
    <t>ptgesl</t>
  </si>
  <si>
    <t>prostaglandin E synthase 2-like [Source:ZFIN;Acc:ZDB-GENE-040426-1063]</t>
  </si>
  <si>
    <t>ENSDARG00000010524</t>
  </si>
  <si>
    <t>si:ch211-282j22.3</t>
  </si>
  <si>
    <t>si:ch211-282j22.3 [Source:ZFIN;Acc:ZDB-GENE-091113-49]</t>
  </si>
  <si>
    <t>ENSDARG00000052907</t>
  </si>
  <si>
    <t>bcl7a</t>
  </si>
  <si>
    <t>B-cell CLL/lymphoma 7A [Source:ZFIN;Acc:ZDB-GENE-000607-16]</t>
  </si>
  <si>
    <t>ENSDARG00000093484</t>
  </si>
  <si>
    <t>si:dkey-95p16.2</t>
  </si>
  <si>
    <t>si:dkey-95p16.2 [Source:ZFIN;Acc:ZDB-GENE-081105-65]</t>
  </si>
  <si>
    <t>ENSDARG00000074613</t>
  </si>
  <si>
    <t>si:ch211-240l19.6</t>
  </si>
  <si>
    <t>si:ch211-240l19.6 [Source:ZFIN;Acc:ZDB-GENE-041210-328]</t>
  </si>
  <si>
    <t>ENSDARG00000092452</t>
  </si>
  <si>
    <t>si:dkey-95p16.1</t>
  </si>
  <si>
    <t>si:dkey-95p16.1 [Source:ZFIN;Acc:ZDB-GENE-081104-443]</t>
  </si>
  <si>
    <t>ENSDARG00000011703</t>
  </si>
  <si>
    <t>clocka</t>
  </si>
  <si>
    <t>clock circadian regulator a [Source:ZFIN;Acc:ZDB-GENE-990630-14]</t>
  </si>
  <si>
    <t>ENSDARG00000054907</t>
  </si>
  <si>
    <t>cox7a3</t>
  </si>
  <si>
    <t>cytochrome c oxidase subunit VIIa polypeptide 3 [Source:ZFIN;Acc:ZDB-GENE-030131-7691]</t>
  </si>
  <si>
    <t>ENSDARG00000070480</t>
  </si>
  <si>
    <t>agr2</t>
  </si>
  <si>
    <t>anterior gradient 2 [Source:ZFIN;Acc:ZDB-GENE-050417-214]</t>
  </si>
  <si>
    <t>ENSDARG00000093594</t>
  </si>
  <si>
    <t>si:dkey-57a22.12</t>
  </si>
  <si>
    <t>si:dkey-57a22.12 [Source:ZFIN;Acc:ZDB-GENE-081104-424]</t>
  </si>
  <si>
    <t>ENSDARG00000037921</t>
  </si>
  <si>
    <t>gng13b</t>
  </si>
  <si>
    <t>guanine nucleotide binding protein (G protein), gamma 13b [Source:ZFIN;Acc:ZDB-GENE-040718-97]</t>
  </si>
  <si>
    <t>ENSDARG00000077217</t>
  </si>
  <si>
    <t>zgc:162184</t>
  </si>
  <si>
    <t>zgc:162184 [Source:ZFIN;Acc:ZDB-GENE-070424-83]</t>
  </si>
  <si>
    <t>ENSDARG00000094236</t>
  </si>
  <si>
    <t>HTRA2.14</t>
  </si>
  <si>
    <t>si:dkey-112g5.15 [Source:ZFIN;Acc:ZDB-GENE-081028-43]</t>
  </si>
  <si>
    <t>ENSDARG00000074749</t>
  </si>
  <si>
    <t>abca12</t>
  </si>
  <si>
    <t>ATP-binding cassette, sub-family A (ABC1), member 12 [Source:ZFIN;Acc:ZDB-GENE-030131-9790]</t>
  </si>
  <si>
    <t>ENSDARG00000006848</t>
  </si>
  <si>
    <t>PARP9</t>
  </si>
  <si>
    <t>si:ch211-219a4.6 [Source:ZFIN;Acc:ZDB-GENE-081104-179]</t>
  </si>
  <si>
    <t>ENSDARG00000043843</t>
  </si>
  <si>
    <t>akap7</t>
  </si>
  <si>
    <t>A kinase (PRKA) anchor protein 7 [Source:ZFIN;Acc:ZDB-GENE-040724-128]</t>
  </si>
  <si>
    <t>ENSDARG00000035573</t>
  </si>
  <si>
    <t>AK6</t>
  </si>
  <si>
    <t>zgc:86811 [Source:ZFIN;Acc:ZDB-GENE-040625-113]</t>
  </si>
  <si>
    <t>ENSDARG00000078435</t>
  </si>
  <si>
    <t>anapc13</t>
  </si>
  <si>
    <t>anaphase promoting complex subunit 13 [Source:ZFIN;Acc:ZDB-GENE-091204-298]</t>
  </si>
  <si>
    <t>ENSDARG00000077536</t>
  </si>
  <si>
    <t>snrnp200</t>
  </si>
  <si>
    <t>small nuclear ribonucleoprotein 200 (U5) [Source:ZFIN;Acc:ZDB-GENE-081105-64]</t>
  </si>
  <si>
    <t>ENSDARG00000089837</t>
  </si>
  <si>
    <t>slc35d2</t>
  </si>
  <si>
    <t>solute carrier family 35 (UDP-GlcNAc/UDP-glucose transporter), member D2 [Source:ZFIN;Acc:ZDB-GENE-080125-1]</t>
  </si>
  <si>
    <t>ENSDARG00000097573</t>
  </si>
  <si>
    <t>si:ch211-107e6.5</t>
  </si>
  <si>
    <t>si:ch211-107e6.5 [Source:ZFIN;Acc:ZDB-GENE-131121-206]</t>
  </si>
  <si>
    <t>ENSDARG00000018918</t>
  </si>
  <si>
    <t>rad17</t>
  </si>
  <si>
    <t>RAD17 checkpoint clamp loader component [Source:ZFIN;Acc:ZDB-GENE-040718-409]</t>
  </si>
  <si>
    <t>ENSDARG00000014324</t>
  </si>
  <si>
    <t>sh2d5</t>
  </si>
  <si>
    <t>SH2 domain containing 5 [Source:ZFIN;Acc:ZDB-GENE-050327-67]</t>
  </si>
  <si>
    <t>ENSDARG00000008380</t>
  </si>
  <si>
    <t>brd7</t>
  </si>
  <si>
    <t>bromodomain containing 7 [Source:ZFIN;Acc:ZDB-GENE-040426-2687]</t>
  </si>
  <si>
    <t>ENSDARG00000060103</t>
  </si>
  <si>
    <t>cpeb3</t>
  </si>
  <si>
    <t>cytoplasmic polyadenylation element binding protein 3 [Source:ZFIN;Acc:ZDB-GENE-090312-68]</t>
  </si>
  <si>
    <t>ENSDARG00000016256</t>
  </si>
  <si>
    <t>nudt3a</t>
  </si>
  <si>
    <t>nudix (nucleoside diphosphate linked moiety X)-type motif 3a [Source:ZFIN;Acc:ZDB-GENE-040426-792]</t>
  </si>
  <si>
    <t>ENSDARG00000057997</t>
  </si>
  <si>
    <t>tmf1</t>
  </si>
  <si>
    <t>TATA element modulatory factor 1 [Source:ZFIN;Acc:ZDB-GENE-040801-25]</t>
  </si>
  <si>
    <t>ENSDARG00000046150</t>
  </si>
  <si>
    <t>b4galnt4a</t>
  </si>
  <si>
    <t>beta-1,4-N-acetyl-galactosaminyl transferase 4a [Source:ZFIN;Acc:ZDB-GENE-100422-4]</t>
  </si>
  <si>
    <t>ENSDARG00000010276</t>
  </si>
  <si>
    <t>ptgs2b</t>
  </si>
  <si>
    <t>prostaglandin-endoperoxide synthase 2b [Source:ZFIN;Acc:ZDB-GENE-041014-323]</t>
  </si>
  <si>
    <t>ENSDARG00000104103</t>
  </si>
  <si>
    <t>rps6kc1</t>
  </si>
  <si>
    <t>ribosomal protein S6 kinase polypeptide 1 [Source:ZFIN;Acc:ZDB-GENE-081031-83]</t>
  </si>
  <si>
    <t>ENSDARG00000015356</t>
  </si>
  <si>
    <t>fcho1</t>
  </si>
  <si>
    <t>FCH domain only 1 [Source:ZFIN;Acc:ZDB-GENE-120613-1]</t>
  </si>
  <si>
    <t>ENSDARG00000090634</t>
  </si>
  <si>
    <t>si:dkey-226k3.4</t>
  </si>
  <si>
    <t>si:dkey-226k3.4 [Source:ZFIN;Acc:ZDB-GENE-031118-211]</t>
  </si>
  <si>
    <t>ENSDARG00000032577</t>
  </si>
  <si>
    <t>clcn6</t>
  </si>
  <si>
    <t>chloride channel 6 [Source:ZFIN;Acc:ZDB-GENE-030131-2056]</t>
  </si>
  <si>
    <t>ENSDARG00000014292</t>
  </si>
  <si>
    <t>med15</t>
  </si>
  <si>
    <t>mediator complex subunit 15 [Source:ZFIN;Acc:ZDB-GENE-040426-2032]</t>
  </si>
  <si>
    <t>ENSDARG00000059963</t>
  </si>
  <si>
    <t>polk</t>
  </si>
  <si>
    <t>polymerase (DNA directed) kappa [Source:ZFIN;Acc:ZDB-GENE-060526-137]</t>
  </si>
  <si>
    <t>ENSDARG00000077822</t>
  </si>
  <si>
    <t>PMF1</t>
  </si>
  <si>
    <t>si:dkey-6i22.5 [Source:ZFIN;Acc:ZDB-GENE-050506-32]</t>
  </si>
  <si>
    <t>ENSDARG00000005172</t>
  </si>
  <si>
    <t>dynll2b</t>
  </si>
  <si>
    <t>dynein, light chain, LC8-type 2b [Source:ZFIN;Acc:ZDB-GENE-050320-132]</t>
  </si>
  <si>
    <t>ENSDARG00000039963</t>
  </si>
  <si>
    <t>fgfbp1b</t>
  </si>
  <si>
    <t>fibroblast growth factor binding protein 1b [Source:ZFIN;Acc:ZDB-GENE-081106-1]</t>
  </si>
  <si>
    <t>ENSDARG00000001558</t>
  </si>
  <si>
    <t>kifc1</t>
  </si>
  <si>
    <t>kinesin family member C1 [Source:ZFIN;Acc:ZDB-GENE-000208-21]</t>
  </si>
  <si>
    <t>ENSDARG00000100732</t>
  </si>
  <si>
    <t>si:dkeyp-93h6.1</t>
  </si>
  <si>
    <t>si:dkeyp-93h6.1 [Source:ZFIN;Acc:ZDB-GENE-040724-224]</t>
  </si>
  <si>
    <t>ENSDARG00000100302</t>
  </si>
  <si>
    <t>si:dkey-237g15.2</t>
  </si>
  <si>
    <t>si:dkey-237g15.2 [Source:ZFIN;Acc:ZDB-GENE-060503-157]</t>
  </si>
  <si>
    <t>ENSDARG00000012627</t>
  </si>
  <si>
    <t>cdc34b</t>
  </si>
  <si>
    <t>cell division cycle 34 homolog (S. cerevisiae) b [Source:ZFIN;Acc:ZDB-GENE-040718-439]</t>
  </si>
  <si>
    <t>ENSDARG00000039949</t>
  </si>
  <si>
    <t>fibina</t>
  </si>
  <si>
    <t>fin bud initiation factor a [Source:ZFIN;Acc:ZDB-GENE-111031-2]</t>
  </si>
  <si>
    <t>ENSDARG00000062531</t>
  </si>
  <si>
    <t>mapk8ip3</t>
  </si>
  <si>
    <t>mitogen-activated protein kinase 8 interacting protein 3 [Source:ZFIN;Acc:ZDB-GENE-090303-6]</t>
  </si>
  <si>
    <t>ENSDARG00000059836</t>
  </si>
  <si>
    <t>ddit3</t>
  </si>
  <si>
    <t>DNA-damage-inducible transcript 3 [Source:ZFIN;Acc:ZDB-GENE-070410-90]</t>
  </si>
  <si>
    <t>ENSDARG00000005004</t>
  </si>
  <si>
    <t>slc5a12</t>
  </si>
  <si>
    <t>solute carrier family 5 (sodium/monocarboxylate cotransporter), member 12 [Source:ZFIN;Acc:ZDB-GENE-040426-1343]</t>
  </si>
  <si>
    <t>ENSDARG00000097341</t>
  </si>
  <si>
    <t>si:ch211-203h15.7</t>
  </si>
  <si>
    <t>si:ch211-203h15.7 [Source:ZFIN;Acc:ZDB-GENE-131127-230]</t>
  </si>
  <si>
    <t>ENSDARG00000011537</t>
  </si>
  <si>
    <t>ugt2a5</t>
  </si>
  <si>
    <t>UDP glucuronosyltransferase 2 family, polypeptide A5 [Source:ZFIN;Acc:ZDB-GENE-060929-796]</t>
  </si>
  <si>
    <t>ENSDARG00000069484</t>
  </si>
  <si>
    <t>dab2ipa</t>
  </si>
  <si>
    <t>DAB2 interacting protein a [Source:ZFIN;Acc:ZDB-GENE-081104-516]</t>
  </si>
  <si>
    <t>ENSDARG00000069708</t>
  </si>
  <si>
    <t>cdc34a</t>
  </si>
  <si>
    <t>cell division cycle 34 homolog (S. cerevisiae) a [Source:ZFIN;Acc:ZDB-GENE-040426-713]</t>
  </si>
  <si>
    <t>ENSDARG00000086450</t>
  </si>
  <si>
    <t>tdg.2</t>
  </si>
  <si>
    <t>thymine DNA glycosylase, tandem duplicate 2 [Source:ZFIN;Acc:ZDB-GENE-131121-30]</t>
  </si>
  <si>
    <t>ENSDARG00000038097</t>
  </si>
  <si>
    <t>pigq</t>
  </si>
  <si>
    <t>phosphatidylinositol glycan anchor biosynthesis, class Q [Source:ZFIN;Acc:ZDB-GENE-030131-9793]</t>
  </si>
  <si>
    <t>ENSDARG00000092137</t>
  </si>
  <si>
    <t>si:dkey-4i23.5</t>
  </si>
  <si>
    <t>si:dkey-4i23.5 [Source:ZFIN;Acc:ZDB-GENE-070912-543]</t>
  </si>
  <si>
    <t>ENSDARG00000103848</t>
  </si>
  <si>
    <t>apba1a</t>
  </si>
  <si>
    <t>amyloid beta (A4) precursor protein-binding, family A, member 1a [Source:ZFIN;Acc:ZDB-GENE-060526-175]</t>
  </si>
  <si>
    <t>ENSDARG00000038159</t>
  </si>
  <si>
    <t>tcf7l1a</t>
  </si>
  <si>
    <t>transcription factor 7-like 1a (T-cell specific, HMG-box) [Source:ZFIN;Acc:ZDB-GENE-980605-30]</t>
  </si>
  <si>
    <t>ENSDARG00000105213</t>
  </si>
  <si>
    <t>si:dkey-119o24.7</t>
  </si>
  <si>
    <t>si:dkey-119o24.7 [Source:ZFIN;Acc:ZDB-GENE-131127-156]</t>
  </si>
  <si>
    <t>ENSDARG00000060510</t>
  </si>
  <si>
    <t>cul4b</t>
  </si>
  <si>
    <t>cullin 4B [Source:ZFIN;Acc:ZDB-GENE-041008-208]</t>
  </si>
  <si>
    <t>ENSDARG00000039964</t>
  </si>
  <si>
    <t>fgfbp2a</t>
  </si>
  <si>
    <t>fibroblast growth factor binding protein 2a [Source:ZFIN;Acc:ZDB-GENE-030131-8319]</t>
  </si>
  <si>
    <t>ENSDARG00000020730</t>
  </si>
  <si>
    <t>smpd4</t>
  </si>
  <si>
    <t>sphingomyelin phosphodiesterase 4 [Source:ZFIN;Acc:ZDB-GENE-040426-2672]</t>
  </si>
  <si>
    <t>ENSDARG00000053487</t>
  </si>
  <si>
    <t>osbp2</t>
  </si>
  <si>
    <t>oxysterol binding protein 2 [Source:ZFIN;Acc:ZDB-GENE-091113-18]</t>
  </si>
  <si>
    <t>ENSDARG00000045364</t>
  </si>
  <si>
    <t>trappc3</t>
  </si>
  <si>
    <t>trafficking protein particle complex 3 [Source:ZFIN;Acc:ZDB-GENE-040801-120]</t>
  </si>
  <si>
    <t>ENSDARG00000101059</t>
  </si>
  <si>
    <t>dhx36</t>
  </si>
  <si>
    <t>DEAH (Asp-Glu-Ala-His) box polypeptide 36 [Source:ZFIN;Acc:ZDB-GENE-050419-20]</t>
  </si>
  <si>
    <t>ENSDARG00000039501</t>
  </si>
  <si>
    <t>ugt2a6</t>
  </si>
  <si>
    <t>UDP glucuronosyltransferase 2 family, polypeptide A6 [Source:ZFIN;Acc:ZDB-GENE-081104-3]</t>
  </si>
  <si>
    <t>ENSDARG00000013628</t>
  </si>
  <si>
    <t>cd164</t>
  </si>
  <si>
    <t>CD164 molecule, sialomucin [Source:ZFIN;Acc:ZDB-GENE-030131-1598]</t>
  </si>
  <si>
    <t>ENSDARG00000054786</t>
  </si>
  <si>
    <t>faah2b</t>
  </si>
  <si>
    <t>fatty acid amide hydrolase 2b [Source:ZFIN;Acc:ZDB-GENE-061027-358]</t>
  </si>
  <si>
    <t>ENSDARG00000089852</t>
  </si>
  <si>
    <t>si:dkey-51d8.1</t>
  </si>
  <si>
    <t>si:dkey-51d8.1 [Source:ZFIN;Acc:ZDB-GENE-081103-14]</t>
  </si>
  <si>
    <t>ENSDARG00000063375</t>
  </si>
  <si>
    <t>pter</t>
  </si>
  <si>
    <t>phosphotriesterase related [Source:ZFIN;Acc:ZDB-GENE-060825-190]</t>
  </si>
  <si>
    <t>ENSDARG00000021143</t>
  </si>
  <si>
    <t>rtn1b</t>
  </si>
  <si>
    <t>reticulon 1b [Source:ZFIN;Acc:ZDB-GENE-030710-3]</t>
  </si>
  <si>
    <t>ENSDARG00000102424</t>
  </si>
  <si>
    <t>ARHGAP44</t>
  </si>
  <si>
    <t>si:ch211-114m9.1 [Source:ZFIN;Acc:ZDB-GENE-120215-49]</t>
  </si>
  <si>
    <t>ENSDARG00000044241</t>
  </si>
  <si>
    <t>dram2b</t>
  </si>
  <si>
    <t>DNA-damage regulated autophagy modulator 2b [Source:ZFIN;Acc:ZDB-GENE-040625-141]</t>
  </si>
  <si>
    <t>ENSDARG00000056490</t>
  </si>
  <si>
    <t>SSBP4</t>
  </si>
  <si>
    <t>zgc:110158 [Source:ZFIN;Acc:ZDB-GENE-050522-195]</t>
  </si>
  <si>
    <t>ENSDARG00000100326</t>
  </si>
  <si>
    <t>si:dkey-158n23.3</t>
  </si>
  <si>
    <t>si:dkey-158n23.3 [Source:ZFIN;Acc:ZDB-GENE-141222-31]</t>
  </si>
  <si>
    <t>ENSDARG00000097871</t>
  </si>
  <si>
    <t>si:ch1073-145m9.1</t>
  </si>
  <si>
    <t>si:ch1073-145m9.1 [Source:ZFIN;Acc:ZDB-GENE-131127-570]</t>
  </si>
  <si>
    <t>ENSDARG00000043019</t>
  </si>
  <si>
    <t>exoc1</t>
  </si>
  <si>
    <t>exocyst complex component 1 [Source:ZFIN;Acc:ZDB-GENE-030131-1057]</t>
  </si>
  <si>
    <t>ENSDARG00000007823</t>
  </si>
  <si>
    <t>atf3</t>
  </si>
  <si>
    <t>activating transcription factor 3 [Source:ZFIN;Acc:ZDB-GENE-040426-728]</t>
  </si>
  <si>
    <t>ENSDARG00000018971</t>
  </si>
  <si>
    <t>b3gnt5a</t>
  </si>
  <si>
    <t>UDP-GlcNAc:betaGal beta-1,3-N-acetylglucosaminyltransferase 5a [Source:ZFIN;Acc:ZDB-GENE-030131-8470]</t>
  </si>
  <si>
    <t>ENSDARG00000101145</t>
  </si>
  <si>
    <t>lipeb</t>
  </si>
  <si>
    <t>lipase, hormone-sensitive b [Source:ZFIN;Acc:ZDB-GENE-100921-71]</t>
  </si>
  <si>
    <t>ENSDARG00000059672</t>
  </si>
  <si>
    <t>arhgap6</t>
  </si>
  <si>
    <t>Rho GTPase activating protein 6 [Source:ZFIN;Acc:ZDB-GENE-060616-298]</t>
  </si>
  <si>
    <t>ENSDARG00000100816</t>
  </si>
  <si>
    <t>si:ch211-89e4.3</t>
  </si>
  <si>
    <t>si:ch211-89e4.3 [Source:ZFIN;Acc:ZDB-GENE-141216-361]</t>
  </si>
  <si>
    <t>ENSDARG00000002479</t>
  </si>
  <si>
    <t>ercc6l</t>
  </si>
  <si>
    <t>excision repair cross-complementation group 6-like [Source:ZFIN;Acc:ZDB-GENE-060531-56]</t>
  </si>
  <si>
    <t>ENSDARG00000079742</t>
  </si>
  <si>
    <t>mcf2l2</t>
  </si>
  <si>
    <t>MCF.2 cell line derived transforming sequence-like 2 [Source:ZFIN;Acc:ZDB-GENE-100812-1]</t>
  </si>
  <si>
    <t>ENSDARG00000003087</t>
  </si>
  <si>
    <t>ubxn6</t>
  </si>
  <si>
    <t>UBX domain protein 6 [Source:ZFIN;Acc:ZDB-GENE-030131-5680]</t>
  </si>
  <si>
    <t>ENSDARG00000093671</t>
  </si>
  <si>
    <t>crp4</t>
  </si>
  <si>
    <t>C-reactive protein 4 [Source:ZFIN;Acc:ZDB-GENE-060421-6275]</t>
  </si>
  <si>
    <t>ENSDARG00000057125</t>
  </si>
  <si>
    <t>pld1b</t>
  </si>
  <si>
    <t>phospholipase D1b [Source:ZFIN;Acc:ZDB-GENE-070510-3]</t>
  </si>
  <si>
    <t>ENSDARG00000062204</t>
  </si>
  <si>
    <t>sigirr</t>
  </si>
  <si>
    <t>single immunoglobulin and toll-interleukin 1 receptor (TIR) domain [Source:ZFIN;Acc:ZDB-GENE-080303-3]</t>
  </si>
  <si>
    <t>ENSDARG00000094417</t>
  </si>
  <si>
    <t>si:dkey-13n15.2</t>
  </si>
  <si>
    <t>si:dkey-13n15.2 [Source:ZFIN;Acc:ZDB-GENE-060526-209]</t>
  </si>
  <si>
    <t>ENSDARG00000056964</t>
  </si>
  <si>
    <t>ilk</t>
  </si>
  <si>
    <t>integrin-linked kinase [Source:ZFIN;Acc:ZDB-GENE-040426-1435]</t>
  </si>
  <si>
    <t>ENSDARG00000056119</t>
  </si>
  <si>
    <t>eef1g</t>
  </si>
  <si>
    <t>eukaryotic translation elongation factor 1 gamma [Source:ZFIN;Acc:ZDB-GENE-020423-3]</t>
  </si>
  <si>
    <t>ENSDARG00000056498</t>
  </si>
  <si>
    <t>crp</t>
  </si>
  <si>
    <t>c-reactive protein, pentraxin-related [Source:ZFIN;Acc:ZDB-GENE-060901-6]</t>
  </si>
  <si>
    <t>ENSDARG00000093973</t>
  </si>
  <si>
    <t>si:dkey-284g18.1</t>
  </si>
  <si>
    <t>si:dkey-284g18.1 [Source:ZFIN;Acc:ZDB-GENE-050420-171]</t>
  </si>
  <si>
    <t>ENSDARG00000054789</t>
  </si>
  <si>
    <t>lysmd1</t>
  </si>
  <si>
    <t>LysM, putative peptidoglycan-binding, domain containing 1 [Source:ZFIN;Acc:ZDB-GENE-060929-1094]</t>
  </si>
  <si>
    <t>ENSDARG00000031886</t>
  </si>
  <si>
    <t>ift140</t>
  </si>
  <si>
    <t>intraflagellar transport 140 homolog (Chlamydomonas) [Source:ZFIN;Acc:ZDB-GENE-040724-165]</t>
  </si>
  <si>
    <t>ENSDARG00000036308</t>
  </si>
  <si>
    <t>nod1</t>
  </si>
  <si>
    <t>nucleotide-binding oligomerization domain containing 1 [Source:ZFIN;Acc:ZDB-GENE-071116-9]</t>
  </si>
  <si>
    <t>ENSDARG00000105370</t>
  </si>
  <si>
    <t>znf628</t>
  </si>
  <si>
    <t>zinc finger protein 628 [Source:ZFIN;Acc:ZDB-GENE-041111-291]</t>
  </si>
  <si>
    <t>ENSDARG00000007136</t>
  </si>
  <si>
    <t>sh3bp5lb</t>
  </si>
  <si>
    <t>SH3-binding domain protein 5-like, b [Source:ZFIN;Acc:ZDB-GENE-060503-310]</t>
  </si>
  <si>
    <t>ENSDARG00000046107</t>
  </si>
  <si>
    <t>CASKIN1</t>
  </si>
  <si>
    <t>CASKIN1.1</t>
  </si>
  <si>
    <t>si:dkey-34b22.2 [Source:ZFIN;Acc:ZDB-GENE-120214-25]</t>
  </si>
  <si>
    <t>ENSDARG00000061461</t>
  </si>
  <si>
    <t>dsela</t>
  </si>
  <si>
    <t>dermatan sulfate epimerase-like a [Source:ZFIN;Acc:ZDB-GENE-030131-7517]</t>
  </si>
  <si>
    <t>ENSDARG00000001781</t>
  </si>
  <si>
    <t>tspan11</t>
  </si>
  <si>
    <t>tetraspanin 11 [Source:ZFIN;Acc:ZDB-GENE-041210-93]</t>
  </si>
  <si>
    <t>ENSDARG00000036482</t>
  </si>
  <si>
    <t>hexim1</t>
  </si>
  <si>
    <t>hexamethylene bis-acetamide inducible 1 [Source:ZFIN;Acc:ZDB-GENE-030131-4637]</t>
  </si>
  <si>
    <t>ENSDARG00000099149</t>
  </si>
  <si>
    <t>hs3st3b1a</t>
  </si>
  <si>
    <t>heparan sulfate (glucosamine) 3-O-sulfotransferase 3B1a [Source:ZFIN;Acc:ZDB-GENE-070202-4]</t>
  </si>
  <si>
    <t>ENSDARG00000010098</t>
  </si>
  <si>
    <t>pank1b</t>
  </si>
  <si>
    <t>pantothenate kinase 1b [Source:ZFIN;Acc:ZDB-GENE-070209-259]</t>
  </si>
  <si>
    <t>ENSDARG00000070057</t>
  </si>
  <si>
    <t>si:dkey-69o16.5</t>
  </si>
  <si>
    <t>si:dkey-69o16.5 [Source:ZFIN;Acc:ZDB-GENE-081104-432]</t>
  </si>
  <si>
    <t>ENSDARG00000030367</t>
  </si>
  <si>
    <t>metrn</t>
  </si>
  <si>
    <t>meteorin, glial cell differentiation regulator [Source:ZFIN;Acc:ZDB-GENE-050102-1]</t>
  </si>
  <si>
    <t>ENSDARG00000060645</t>
  </si>
  <si>
    <t>sirt7</t>
  </si>
  <si>
    <t>sirtuin 7 [Source:ZFIN;Acc:ZDB-GENE-050208-612]</t>
  </si>
  <si>
    <t>ENSDARG00000022718</t>
  </si>
  <si>
    <t>casp8ap2</t>
  </si>
  <si>
    <t>caspase 8 associated protein 2 [Source:ZFIN;Acc:ZDB-GENE-030826-8]</t>
  </si>
  <si>
    <t>ENSDARG00000046148</t>
  </si>
  <si>
    <t>tnfaip8l2b</t>
  </si>
  <si>
    <t>tumor necrosis factor, alpha-induced protein 8-like 2b [Source:ZFIN;Acc:ZDB-GENE-040426-1359]</t>
  </si>
  <si>
    <t>ENSDARG00000098024</t>
  </si>
  <si>
    <t>si:dkey-262k9.2</t>
  </si>
  <si>
    <t>si:dkey-262k9.2 [Source:ZFIN;Acc:ZDB-GENE-131121-282]</t>
  </si>
  <si>
    <t>ENSDARG00000058328</t>
  </si>
  <si>
    <t>lsm7</t>
  </si>
  <si>
    <t>LSM7 homolog, U6 small nuclear RNA and mRNA degradation associated [Source:ZFIN;Acc:ZDB-GENE-030131-8284]</t>
  </si>
  <si>
    <t>ENSDARG00000002968</t>
  </si>
  <si>
    <t>a1cf</t>
  </si>
  <si>
    <t>apobec1 complementation factor [Source:ZFIN;Acc:ZDB-GENE-060824-3]</t>
  </si>
  <si>
    <t>ENSDARG00000042577</t>
  </si>
  <si>
    <t>batf3</t>
  </si>
  <si>
    <t>basic leucine zipper transcription factor, ATF-like 3 [Source:ZFIN;Acc:ZDB-GENE-041014-356]</t>
  </si>
  <si>
    <t>ENSDARG00000025081</t>
  </si>
  <si>
    <t>grnb</t>
  </si>
  <si>
    <t>granulin b [Source:ZFIN;Acc:ZDB-GENE-030131-7393]</t>
  </si>
  <si>
    <t>ENSDARG00000060207</t>
  </si>
  <si>
    <t>traf7</t>
  </si>
  <si>
    <t>TNF receptor-associated factor 7 [Source:ZFIN;Acc:ZDB-GENE-070112-2212]</t>
  </si>
  <si>
    <t>ENSDARG00000074506</t>
  </si>
  <si>
    <t>tmem94</t>
  </si>
  <si>
    <t>transmembrane protein 94 [Source:ZFIN;Acc:ZDB-GENE-121130-1]</t>
  </si>
  <si>
    <t>ENSDARG00000030095</t>
  </si>
  <si>
    <t>ccdc78</t>
  </si>
  <si>
    <t>coiled-coil domain containing 78 [Source:ZFIN;Acc:ZDB-GENE-060301-1]</t>
  </si>
  <si>
    <t>ENSDARG00000038737</t>
  </si>
  <si>
    <t>phf20b</t>
  </si>
  <si>
    <t>PHD finger protein 20, b [Source:ZFIN;Acc:ZDB-GENE-040822-33]</t>
  </si>
  <si>
    <t>ENSDARG00000013667</t>
  </si>
  <si>
    <t>tbck</t>
  </si>
  <si>
    <t>TBC1 domain containing kinase [Source:ZFIN;Acc:ZDB-GENE-070112-1062]</t>
  </si>
  <si>
    <t>ENSDARG00000009740</t>
  </si>
  <si>
    <t>ppp1r7</t>
  </si>
  <si>
    <t>protein phosphatase 1, regulatory (inhibitor) subunit 7 [Source:ZFIN;Acc:ZDB-GENE-051113-288]</t>
  </si>
  <si>
    <t>ENSDARG00000052928</t>
  </si>
  <si>
    <t>arf6b</t>
  </si>
  <si>
    <t>ADP-ribosylation factor 6b [Source:ZFIN;Acc:ZDB-GENE-030131-9056]</t>
  </si>
  <si>
    <t>ENSDARG00000087145</t>
  </si>
  <si>
    <t>si:ch1073-296d18.1</t>
  </si>
  <si>
    <t>si:ch1073-296d18.1 [Source:ZFIN;Acc:ZDB-GENE-120215-181]</t>
  </si>
  <si>
    <t>ENSDARG00000027131</t>
  </si>
  <si>
    <t>tmem169a</t>
  </si>
  <si>
    <t>transmembrane protein 169a [Source:ZFIN;Acc:ZDB-GENE-090107-1]</t>
  </si>
  <si>
    <t>ENSDARG00000024471</t>
  </si>
  <si>
    <t>nsl1</t>
  </si>
  <si>
    <t>NSL1, MIS12 kinetochore complex component [Source:ZFIN;Acc:ZDB-GENE-041014-362]</t>
  </si>
  <si>
    <t>ENSDARG00000099946</t>
  </si>
  <si>
    <t>fam189a2</t>
  </si>
  <si>
    <t>family with sequence similarity 189, member A2 [Source:ZFIN;Acc:ZDB-GENE-050309-90]</t>
  </si>
  <si>
    <t>ENSDARG00000058162</t>
  </si>
  <si>
    <t>pcyt1ba</t>
  </si>
  <si>
    <t>phosphate cytidylyltransferase 1, choline, beta a [Source:ZFIN;Acc:ZDB-GENE-061220-4]</t>
  </si>
  <si>
    <t>ENSDARG00000040713</t>
  </si>
  <si>
    <t>rbbp9</t>
  </si>
  <si>
    <t>retinoblastoma binding protein 9 [Source:ZFIN;Acc:ZDB-GENE-050208-692]</t>
  </si>
  <si>
    <t>ENSDARG00000093999</t>
  </si>
  <si>
    <t>TTF1.4</t>
  </si>
  <si>
    <t>si:ch73-376l24.6 [Source:ZFIN;Acc:ZDB-GENE-100921-87]</t>
  </si>
  <si>
    <t>ENSDARG00000104172</t>
  </si>
  <si>
    <t>diabloa</t>
  </si>
  <si>
    <t>diablo, IAP-binding mitochondrial protein a [Source:ZFIN;Acc:ZDB-GENE-040426-1303]</t>
  </si>
  <si>
    <t>ENSDARG00000029215</t>
  </si>
  <si>
    <t>ube2z</t>
  </si>
  <si>
    <t>ubiquitin-conjugating enzyme E2Z [Source:ZFIN;Acc:ZDB-GENE-040718-15]</t>
  </si>
  <si>
    <t>ENSDARG00000007663</t>
  </si>
  <si>
    <t>amph</t>
  </si>
  <si>
    <t>amphiphysin [Source:ZFIN;Acc:ZDB-GENE-040426-1711]</t>
  </si>
  <si>
    <t>ENSDARG00000043095</t>
  </si>
  <si>
    <t>kctd6a</t>
  </si>
  <si>
    <t>potassium channel tetramerization domain containing 6a [Source:ZFIN;Acc:ZDB-GENE-050208-474]</t>
  </si>
  <si>
    <t>ENSDARG00000018073</t>
  </si>
  <si>
    <t>mrps22</t>
  </si>
  <si>
    <t>mitochondrial ribosomal protein S22 [Source:ZFIN;Acc:ZDB-GENE-070615-31]</t>
  </si>
  <si>
    <t>ENSDARG00000013575</t>
  </si>
  <si>
    <t>rfx2</t>
  </si>
  <si>
    <t>regulatory factor X, 2 (influences HLA class II expression) [Source:ZFIN;Acc:ZDB-GENE-050227-4]</t>
  </si>
  <si>
    <t>ENSDARG00000057287</t>
  </si>
  <si>
    <t>slc25a16</t>
  </si>
  <si>
    <t>solute carrier family 25 (mitochondrial carrier; Graves disease autoantigen), member 16 [Source:ZFIN;Acc:ZDB-GENE-030131-3299]</t>
  </si>
  <si>
    <t>ENSDARG00000005560</t>
  </si>
  <si>
    <t>ywhah</t>
  </si>
  <si>
    <t>tyrosine 3-monooxygenase/tryptophan 5-monooxygenase activation protein, eta polypeptide [Source:ZFIN;Acc:ZDB-GENE-040426-2191]</t>
  </si>
  <si>
    <t>ENSDARG00000032651</t>
  </si>
  <si>
    <t>ppp1r10</t>
  </si>
  <si>
    <t>protein phosphatase 1, regulatory subunit 10 [Source:ZFIN;Acc:ZDB-GENE-020419-15]</t>
  </si>
  <si>
    <t>ENSDARG00000092609</t>
  </si>
  <si>
    <t>aup1</t>
  </si>
  <si>
    <t>ancient ubiquitous protein 1 [Source:ZFIN;Acc:ZDB-GENE-030131-3375]</t>
  </si>
  <si>
    <t>ENSDARG00000036848</t>
  </si>
  <si>
    <t>slc43a2a</t>
  </si>
  <si>
    <t>solute carrier family 43 (amino acid system L transporter), member 2a [Source:ZFIN;Acc:ZDB-GENE-040426-964]</t>
  </si>
  <si>
    <t>ENSDARG00000024789</t>
  </si>
  <si>
    <t>mxc</t>
  </si>
  <si>
    <t>myxovirus (influenza virus) resistance C [Source:ZFIN;Acc:ZDB-GENE-030721-7]</t>
  </si>
  <si>
    <t>ENSDARG00000099518</t>
  </si>
  <si>
    <t>si:ch211-119e14.1</t>
  </si>
  <si>
    <t>si:ch211-119e14.1 [Source:ZFIN;Acc:ZDB-GENE-141216-162]</t>
  </si>
  <si>
    <t>ENSDARG00000092345</t>
  </si>
  <si>
    <t>si:dkey-57a22.13</t>
  </si>
  <si>
    <t>si:dkey-57a22.13 [Source:ZFIN;Acc:ZDB-GENE-081104-425]</t>
  </si>
  <si>
    <t>ENSDARG00000018110</t>
  </si>
  <si>
    <t>pak4</t>
  </si>
  <si>
    <t>p21 protein (Cdc42/Rac)-activated kinase 4 [Source:ZFIN;Acc:ZDB-GENE-040704-69]</t>
  </si>
  <si>
    <t>ENSDARG00000053483</t>
  </si>
  <si>
    <t>zgc:113054</t>
  </si>
  <si>
    <t>zgc:113054 [Source:ZFIN;Acc:ZDB-GENE-050320-9]</t>
  </si>
  <si>
    <t>ENSDARG00000010186</t>
  </si>
  <si>
    <t>myo3a</t>
  </si>
  <si>
    <t>myosin IIIA [Source:ZFIN;Acc:ZDB-GENE-041026-4]</t>
  </si>
  <si>
    <t>ENSDARG00000090962</t>
  </si>
  <si>
    <t>nat14</t>
  </si>
  <si>
    <t>N-acetyltransferase 14 (GCN5-related, putative) [Source:ZFIN;Acc:ZDB-GENE-060825-15]</t>
  </si>
  <si>
    <t>ENSDARG00000054807</t>
  </si>
  <si>
    <t>sec13</t>
  </si>
  <si>
    <t>SEC13 homolog, nuclear pore and COPII coat complex component [Source:ZFIN;Acc:ZDB-GENE-040426-2649]</t>
  </si>
  <si>
    <t>ENSDARG00000040445</t>
  </si>
  <si>
    <t>PARP14</t>
  </si>
  <si>
    <t>si:ch211-219a4.3 [Source:ZFIN;Acc:ZDB-GENE-070424-157]</t>
  </si>
  <si>
    <t>ENSDARG00000015610</t>
  </si>
  <si>
    <t>tubg1</t>
  </si>
  <si>
    <t>tubulin, gamma 1 [Source:ZFIN;Acc:ZDB-GENE-040426-836]</t>
  </si>
  <si>
    <t>ENSDARG00000037038</t>
  </si>
  <si>
    <t>psmc6</t>
  </si>
  <si>
    <t>proteasome 26S subunit, ATPase 6 [Source:ZFIN;Acc:ZDB-GENE-030131-304]</t>
  </si>
  <si>
    <t>ENSDARG00000060036</t>
  </si>
  <si>
    <t>aimp1</t>
  </si>
  <si>
    <t>aminoacyl tRNA synthetase complex-interacting multifunctional protein 1 [Source:ZFIN;Acc:ZDB-GENE-060825-144]</t>
  </si>
  <si>
    <t>ENSDARG00000012915</t>
  </si>
  <si>
    <t>ech1</t>
  </si>
  <si>
    <t>enoyl CoA hydratase 1, peroxisomal [Source:ZFIN;Acc:ZDB-GENE-041010-170]</t>
  </si>
  <si>
    <t>ENSDARG00000033134</t>
  </si>
  <si>
    <t>ndufaf7</t>
  </si>
  <si>
    <t>NADH dehydrogenase (ubiquinone) complex I, assembly factor 7 [Source:ZFIN;Acc:ZDB-GENE-060929-628]</t>
  </si>
  <si>
    <t>ENSDARG00000003487</t>
  </si>
  <si>
    <t>nup93</t>
  </si>
  <si>
    <t>nucleoporin 93 [Source:ZFIN;Acc:ZDB-GENE-990415-46]</t>
  </si>
  <si>
    <t>ENSDARG00000103947</t>
  </si>
  <si>
    <t>znf1028.1</t>
  </si>
  <si>
    <t>ENSDARG00000060312</t>
  </si>
  <si>
    <t>wdr62</t>
  </si>
  <si>
    <t>WD repeat domain 62 [Source:ZFIN;Acc:ZDB-GENE-060503-291]</t>
  </si>
  <si>
    <t>ENSDARG00000055338</t>
  </si>
  <si>
    <t>CAPN1.1</t>
  </si>
  <si>
    <t>si:dkeyp-50d11.2 [Source:ZFIN;Acc:ZDB-GENE-091113-22]</t>
  </si>
  <si>
    <t>ENSDARG00000042925</t>
  </si>
  <si>
    <t>mfng</t>
  </si>
  <si>
    <t>MFNG O-fucosylpeptide 3-beta-N-acetylglucosaminyltransferase [Source:ZFIN;Acc:ZDB-GENE-041130-1]</t>
  </si>
  <si>
    <t>ENSDARG00000068149</t>
  </si>
  <si>
    <t>tprg1l</t>
  </si>
  <si>
    <t>tumor protein p63 regulated 1-like [Source:ZFIN;Acc:ZDB-GENE-070531-2]</t>
  </si>
  <si>
    <t>ENSDARG00000028816</t>
  </si>
  <si>
    <t>tmed3</t>
  </si>
  <si>
    <t>transmembrane p24 trafficking protein 3 [Source:ZFIN;Acc:ZDB-GENE-030131-8335]</t>
  </si>
  <si>
    <t>ENSDARG00000056831</t>
  </si>
  <si>
    <t>gng2</t>
  </si>
  <si>
    <t>guanine nucleotide binding protein (G protein), gamma 2 [Source:ZFIN;Acc:ZDB-GENE-050417-59]</t>
  </si>
  <si>
    <t>ENSDARG00000031119</t>
  </si>
  <si>
    <t>baiap2l1b</t>
  </si>
  <si>
    <t>BAI1-associated protein 2-like 1b [Source:ZFIN;Acc:ZDB-GENE-050417-371]</t>
  </si>
  <si>
    <t>ENSDARG00000039458</t>
  </si>
  <si>
    <t>lhx4</t>
  </si>
  <si>
    <t>LIM homeobox 4 [Source:ZFIN;Acc:ZDB-GENE-060728-1]</t>
  </si>
  <si>
    <t>ENSDARG00000039502</t>
  </si>
  <si>
    <t>eef1a1a</t>
  </si>
  <si>
    <t>eukaryotic translation elongation factor 1 alpha 1a [Source:ZFIN;Acc:ZDB-GENE-030131-8278]</t>
  </si>
  <si>
    <t>ENSDARG00000040910</t>
  </si>
  <si>
    <t>ildr1b</t>
  </si>
  <si>
    <t>immunoglobulin-like domain containing receptor 1b [Source:ZFIN;Acc:ZDB-GENE-040912-72]</t>
  </si>
  <si>
    <t>ENSDARG00000077717</t>
  </si>
  <si>
    <t>RPL29</t>
  </si>
  <si>
    <t>zgc:92868 [Source:ZFIN;Acc:ZDB-GENE-040801-167]</t>
  </si>
  <si>
    <t>ENSDARG00000068246</t>
  </si>
  <si>
    <t>plcb3</t>
  </si>
  <si>
    <t>phospholipase C, beta 3 (phosphatidylinositol-specific) [Source:ZFIN;Acc:ZDB-GENE-030616-594]</t>
  </si>
  <si>
    <t>ENSDARG00000002826</t>
  </si>
  <si>
    <t>cep57l1</t>
  </si>
  <si>
    <t>centrosomal protein 57, like 1 [Source:ZFIN;Acc:ZDB-GENE-040808-27]</t>
  </si>
  <si>
    <t>ENSDARG00000070174</t>
  </si>
  <si>
    <t>PLEKHH3</t>
  </si>
  <si>
    <t>si:ch211-18i17.2 [Source:ZFIN;Acc:ZDB-GENE-030131-5404]</t>
  </si>
  <si>
    <t>ENSDARG00000040527</t>
  </si>
  <si>
    <t>siae</t>
  </si>
  <si>
    <t>sialic acid acetylesterase [Source:ZFIN;Acc:ZDB-GENE-040426-1032]</t>
  </si>
  <si>
    <t>ENSDARG00000009557</t>
  </si>
  <si>
    <t>wrap73</t>
  </si>
  <si>
    <t>WD repeat containing, antisense to TP73 [Source:ZFIN;Acc:ZDB-GENE-030131-6313]</t>
  </si>
  <si>
    <t>ENSDARG00000052131</t>
  </si>
  <si>
    <t>gli3</t>
  </si>
  <si>
    <t>GLI family zinc finger 3 [Source:ZFIN;Acc:ZDB-GENE-041111-162]</t>
  </si>
  <si>
    <t>ENSDARG00000002344</t>
  </si>
  <si>
    <t>tubb4b</t>
  </si>
  <si>
    <t>tubulin, beta 4B class IVb [Source:ZFIN;Acc:ZDB-GENE-030131-8625]</t>
  </si>
  <si>
    <t>ENSDARG00000093486</t>
  </si>
  <si>
    <t>si:dkey-3d4.1</t>
  </si>
  <si>
    <t>si:dkey-3d4.1 [Source:ZFIN;Acc:ZDB-GENE-070912-526]</t>
  </si>
  <si>
    <t>ENSDARG00000054312</t>
  </si>
  <si>
    <t>slc38a6</t>
  </si>
  <si>
    <t>solute carrier family 38, member 6 [Source:ZFIN;Acc:ZDB-GENE-050522-51]</t>
  </si>
  <si>
    <t>ENSDARG00000091433</t>
  </si>
  <si>
    <t>abhd17aa</t>
  </si>
  <si>
    <t>abhydrolase domain containing 17Aa [Source:ZFIN;Acc:ZDB-GENE-030131-840]</t>
  </si>
  <si>
    <t>ENSDARG00000019973</t>
  </si>
  <si>
    <t>stk38a</t>
  </si>
  <si>
    <t>serine/threonine kinase 38a [Source:ZFIN;Acc:ZDB-GENE-040426-2811]</t>
  </si>
  <si>
    <t>ENSDARG00000077052</t>
  </si>
  <si>
    <t>tnrc18</t>
  </si>
  <si>
    <t>trinucleotide repeat containing 18 [Source:ZFIN;Acc:ZDB-GENE-100326-1]</t>
  </si>
  <si>
    <t>ENSDARG00000014527</t>
  </si>
  <si>
    <t>pdk3a</t>
  </si>
  <si>
    <t>pyruvate dehydrogenase kinase, isozyme 3a [Source:ZFIN;Acc:ZDB-GENE-061220-3]</t>
  </si>
  <si>
    <t>ENSDARG00000094089</t>
  </si>
  <si>
    <t>sult3st3</t>
  </si>
  <si>
    <t>sulfotransferase family 3, cytosolic sulfotransferase 3 [Source:ZFIN;Acc:ZDB-GENE-060503-628]</t>
  </si>
  <si>
    <t>ENSDARG00000093005</t>
  </si>
  <si>
    <t>HTRA2.21</t>
  </si>
  <si>
    <t>si:dkey-33c12.11 [Source:ZFIN;Acc:ZDB-GENE-081028-29]</t>
  </si>
  <si>
    <t>ENSDARG00000054201</t>
  </si>
  <si>
    <t>rnf40</t>
  </si>
  <si>
    <t>ring finger protein 40 [Source:ZFIN;Acc:ZDB-GENE-030131-6607]</t>
  </si>
  <si>
    <t>ENSDARG00000090804</t>
  </si>
  <si>
    <t>gpr155a</t>
  </si>
  <si>
    <t>G protein-coupled receptor 155a [Source:ZFIN;Acc:ZDB-GENE-100922-89]</t>
  </si>
  <si>
    <t>ENSDARG00000027070</t>
  </si>
  <si>
    <t>acbd4</t>
  </si>
  <si>
    <t>acyl-CoA binding domain containing 4 [Source:ZFIN;Acc:ZDB-GENE-040426-2074]</t>
  </si>
  <si>
    <t>ENSDARG00000070318</t>
  </si>
  <si>
    <t>arl8bb</t>
  </si>
  <si>
    <t>ADP-ribosylation factor-like 8Bb [Source:ZFIN;Acc:ZDB-GENE-080516-10]</t>
  </si>
  <si>
    <t>ENSDARG00000005026</t>
  </si>
  <si>
    <t>tshz1</t>
  </si>
  <si>
    <t>teashirt zinc finger homeobox 1 [Source:ZFIN;Acc:ZDB-GENE-030820-3]</t>
  </si>
  <si>
    <t>ENSDARG00000038095</t>
  </si>
  <si>
    <t>socs1a</t>
  </si>
  <si>
    <t>suppressor of cytokine signaling 1a [Source:ZFIN;Acc:ZDB-GENE-040801-205]</t>
  </si>
  <si>
    <t>ENSDARG00000029695</t>
  </si>
  <si>
    <t>pgp</t>
  </si>
  <si>
    <t>phosphoglycolate phosphatase [Source:ZFIN;Acc:ZDB-GENE-030131-6240]</t>
  </si>
  <si>
    <t>ENSDARG00000069815</t>
  </si>
  <si>
    <t>dnali1</t>
  </si>
  <si>
    <t>dynein, axonemal, light intermediate chain 1 [Source:ZFIN;Acc:ZDB-GENE-080204-7]</t>
  </si>
  <si>
    <t>ENSDARG00000094942</t>
  </si>
  <si>
    <t>si:ch211-281g2.4</t>
  </si>
  <si>
    <t>si:ch211-281g2.4 [Source:ZFIN;Acc:ZDB-GENE-091118-2]</t>
  </si>
  <si>
    <t>ENSDARG00000045880</t>
  </si>
  <si>
    <t>gas2l3</t>
  </si>
  <si>
    <t>growth arrest-specific 2 like 3 [Source:ZFIN;Acc:ZDB-GENE-030131-2560]</t>
  </si>
  <si>
    <t>ENSDARG00000038154</t>
  </si>
  <si>
    <t>isca2</t>
  </si>
  <si>
    <t>iron-sulfur cluster assembly 2 [Source:ZFIN;Acc:ZDB-GENE-131121-486]</t>
  </si>
  <si>
    <t>ENSDARG00000096417</t>
  </si>
  <si>
    <t>si:dkey-11f14.2</t>
  </si>
  <si>
    <t>si:dkey-11f14.2 [Source:ZFIN;Acc:ZDB-GENE-120215-138]</t>
  </si>
  <si>
    <t>ENSDARG00000036071</t>
  </si>
  <si>
    <t>gtf2h4</t>
  </si>
  <si>
    <t>general transcription factor IIH, polypeptide 4 [Source:ZFIN;Acc:ZDB-GENE-030131-6779]</t>
  </si>
  <si>
    <t>ENSDARG00000032373</t>
  </si>
  <si>
    <t>rnf145b</t>
  </si>
  <si>
    <t>ring finger protein 145b [Source:ZFIN;Acc:ZDB-GENE-030131-5264]</t>
  </si>
  <si>
    <t>ENSDARG00000100558</t>
  </si>
  <si>
    <t>slbp</t>
  </si>
  <si>
    <t>stem-loop binding protein [Source:ZFIN;Acc:ZDB-GENE-030131-9686]</t>
  </si>
  <si>
    <t>ENSDARG00000040778</t>
  </si>
  <si>
    <t>ralba</t>
  </si>
  <si>
    <t>v-ral simian leukemia viral oncogene homolog Ba (ras related) [Source:ZFIN;Acc:ZDB-GENE-040801-267]</t>
  </si>
  <si>
    <t>ENSDARG00000040538</t>
  </si>
  <si>
    <t>spsb4b</t>
  </si>
  <si>
    <t>splA/ryanodine receptor domain and SOCS box containing 4b [Source:ZFIN;Acc:ZDB-GENE-040801-213]</t>
  </si>
  <si>
    <t>ENSDARG00000044513</t>
  </si>
  <si>
    <t>tpst1l</t>
  </si>
  <si>
    <t>tyrosylprotein sulfotransferase 1, like [Source:ZFIN;Acc:ZDB-GENE-040316-1]</t>
  </si>
  <si>
    <t>ENSDARG00000099969</t>
  </si>
  <si>
    <t>zgc:152863</t>
  </si>
  <si>
    <t>zgc:152863 [Source:ZFIN;Acc:ZDB-GENE-061103-463]</t>
  </si>
  <si>
    <t>ENSDARG00000007918</t>
  </si>
  <si>
    <t>ttc27</t>
  </si>
  <si>
    <t>tetratricopeptide repeat domain 27 [Source:ZFIN;Acc:ZDB-GENE-030102-1]</t>
  </si>
  <si>
    <t>ENSDARG00000098080</t>
  </si>
  <si>
    <t>gnl2</t>
  </si>
  <si>
    <t>guanine nucleotide binding protein-like 2 (nucleolar) [Source:ZFIN;Acc:ZDB-GENE-040426-2317]</t>
  </si>
  <si>
    <t>ENSDARG00000102641</t>
  </si>
  <si>
    <t>si:ch211-69i3.1</t>
  </si>
  <si>
    <t>si:ch211-69i3.1 [Source:ZFIN;Acc:ZDB-GENE-141211-22]</t>
  </si>
  <si>
    <t>ENSDARG00000089885</t>
  </si>
  <si>
    <t>slc16a12b</t>
  </si>
  <si>
    <t>solute carrier family 16, member 12b [Source:ZFIN;Acc:ZDB-GENE-050522-80]</t>
  </si>
  <si>
    <t>ENSDARG00000062355</t>
  </si>
  <si>
    <t>axdnd1</t>
  </si>
  <si>
    <t>axonemal dynein light chain domain containing 1 [Source:ZFIN;Acc:ZDB-GENE-050208-341]</t>
  </si>
  <si>
    <t>ENSDARG00000089245</t>
  </si>
  <si>
    <t>dusp23b</t>
  </si>
  <si>
    <t>dual specificity phosphatase 23b [Source:ZFIN;Acc:ZDB-GENE-040718-163]</t>
  </si>
  <si>
    <t>ENSDARG00000067918</t>
  </si>
  <si>
    <t>elp5</t>
  </si>
  <si>
    <t>elongator acetyltransferase complex subunit 5 [Source:ZFIN;Acc:ZDB-GENE-061215-33]</t>
  </si>
  <si>
    <t>ENSDARG00000077339</t>
  </si>
  <si>
    <t>ptrh2</t>
  </si>
  <si>
    <t>peptidyl-tRNA hydrolase 2 [Source:ZFIN;Acc:ZDB-GENE-050522-163]</t>
  </si>
  <si>
    <t>ENSDARG00000071694</t>
  </si>
  <si>
    <t>ndc80</t>
  </si>
  <si>
    <t>NDC80 kinetochore complex component [Source:ZFIN;Acc:ZDB-GENE-030131-904]</t>
  </si>
  <si>
    <t>ENSDARG00000054076</t>
  </si>
  <si>
    <t>tatdn3</t>
  </si>
  <si>
    <t>TatD DNase domain containing 3 [Source:ZFIN;Acc:ZDB-GENE-050522-192]</t>
  </si>
  <si>
    <t>ENSDARG00000090145</t>
  </si>
  <si>
    <t>tmem240b</t>
  </si>
  <si>
    <t>transmembrane protein 240b [Source:ZFIN;Acc:ZDB-GENE-131127-474]</t>
  </si>
  <si>
    <t>ENSDARG00000078050</t>
  </si>
  <si>
    <t>phf19</t>
  </si>
  <si>
    <t>PHD finger protein 19 [Source:ZFIN;Acc:ZDB-GENE-081105-128]</t>
  </si>
  <si>
    <t>ENSDARG00000079148</t>
  </si>
  <si>
    <t>NCKAP5L</t>
  </si>
  <si>
    <t>wu:fb77e12 [Source:ZFIN;Acc:ZDB-GENE-030131-1668]</t>
  </si>
  <si>
    <t>ENSDARG00000011797</t>
  </si>
  <si>
    <t>fam46bb</t>
  </si>
  <si>
    <t>family with sequence similarity 46, member Bb [Source:ZFIN;Acc:ZDB-GENE-060503-431]</t>
  </si>
  <si>
    <t>ENSDARG00000059046</t>
  </si>
  <si>
    <t>psmd5</t>
  </si>
  <si>
    <t>proteasome 26S subunit, non-ATPase 5 [Source:ZFIN;Acc:ZDB-GENE-050417-28]</t>
  </si>
  <si>
    <t>ENSDARG00000101748</t>
  </si>
  <si>
    <t>si:ch211-24o8.4</t>
  </si>
  <si>
    <t>si:ch211-24o8.4 [Source:ZFIN;Acc:ZDB-GENE-141212-253]</t>
  </si>
  <si>
    <t>ENSDARG00000051824</t>
  </si>
  <si>
    <t>tmeff2a</t>
  </si>
  <si>
    <t>transmembrane protein with EGF-like and two follistatin-like domains 2a [Source:ZFIN;Acc:ZDB-GENE-070912-622]</t>
  </si>
  <si>
    <t>ENSDARG00000076196</t>
  </si>
  <si>
    <t>si:ch211-226h7.6</t>
  </si>
  <si>
    <t>si:ch211-226h7.6 [Source:ZFIN;Acc:ZDB-GENE-130531-12]</t>
  </si>
  <si>
    <t>ENSDARG00000016233</t>
  </si>
  <si>
    <t>sdr16c5a</t>
  </si>
  <si>
    <t>short chain dehydrogenase/reductase family 16C, member 5a [Source:ZFIN;Acc:ZDB-GENE-040426-2049]</t>
  </si>
  <si>
    <t>ENSDARG00000003706</t>
  </si>
  <si>
    <t>ryr2b</t>
  </si>
  <si>
    <t>ryanodine receptor 2b (cardiac) [Source:ZFIN;Acc:ZDB-GENE-061226-3]</t>
  </si>
  <si>
    <t>ENSDARG00000062152</t>
  </si>
  <si>
    <t>chaf1a</t>
  </si>
  <si>
    <t>chromatin assembly factor 1, subunit A (p150) [Source:ZFIN;Acc:ZDB-GENE-030131-5366]</t>
  </si>
  <si>
    <t>ENSDARG00000036658</t>
  </si>
  <si>
    <t>cab39l</t>
  </si>
  <si>
    <t>calcium binding protein 39-like [Source:ZFIN;Acc:ZDB-GENE-041114-204]</t>
  </si>
  <si>
    <t>ENSDARG00000096637</t>
  </si>
  <si>
    <t>si:dkey-11c5.11</t>
  </si>
  <si>
    <t>si:dkey-11c5.11 [Source:ZFIN;Acc:ZDB-GENE-121214-253]</t>
  </si>
  <si>
    <t>ENSDARG00000090177</t>
  </si>
  <si>
    <t>si:dkey-10b15.12</t>
  </si>
  <si>
    <t>si:dkey-10b15.12 [Source:ZFIN;Acc:ZDB-GENE-141212-248]</t>
  </si>
  <si>
    <t>ENSDARG00000102082</t>
  </si>
  <si>
    <t>nr3c2</t>
  </si>
  <si>
    <t>nuclear receptor subfamily 3, group C, member 2 [Source:ZFIN;Acc:ZDB-GENE-060531-23]</t>
  </si>
  <si>
    <t>ENSDARG00000073744</t>
  </si>
  <si>
    <t>ip6k1</t>
  </si>
  <si>
    <t>inositol hexakisphosphate kinase 1 [Source:ZFIN;Acc:ZDB-GENE-110317-2]</t>
  </si>
  <si>
    <t>ENSDARG00000056678</t>
  </si>
  <si>
    <t>trim47</t>
  </si>
  <si>
    <t>tripartite motif containing 47 [Source:ZFIN;Acc:ZDB-GENE-040426-1000]</t>
  </si>
  <si>
    <t>ENSDARG00000102362</t>
  </si>
  <si>
    <t>slc25a12</t>
  </si>
  <si>
    <t>solute carrier family 25 (aspartate/glutamate carrier), member 12 [Source:ZFIN;Acc:ZDB-GENE-031006-11]</t>
  </si>
  <si>
    <t>ENSDARG00000030775</t>
  </si>
  <si>
    <t>sybl1</t>
  </si>
  <si>
    <t>synaptobrevin-like 1 [Source:ZFIN;Acc:ZDB-GENE-040426-1055]</t>
  </si>
  <si>
    <t>ENSDARG00000045219</t>
  </si>
  <si>
    <t>dkk1b</t>
  </si>
  <si>
    <t>dickkopf WNT signaling pathway inhibitor 1b [Source:ZFIN;Acc:ZDB-GENE-990708-5]</t>
  </si>
  <si>
    <t>ENSDARG00000029064</t>
  </si>
  <si>
    <t>uqcrq</t>
  </si>
  <si>
    <t>ubiquinol-cytochrome c reductase, complex III subunit VII [Source:ZFIN;Acc:ZDB-GENE-040718-199]</t>
  </si>
  <si>
    <t>ENSDARG00000045075</t>
  </si>
  <si>
    <t>tmem106a</t>
  </si>
  <si>
    <t>transmembrane protein 106A [Source:ZFIN;Acc:ZDB-GENE-030131-5129]</t>
  </si>
  <si>
    <t>ENSDARG00000008170</t>
  </si>
  <si>
    <t>dbnla</t>
  </si>
  <si>
    <t>drebrin-like a [Source:ZFIN;Acc:ZDB-GENE-040704-42]</t>
  </si>
  <si>
    <t>ENSDARG00000098782</t>
  </si>
  <si>
    <t>cratb</t>
  </si>
  <si>
    <t>carnitine O-acetyltransferase b [Source:ZFIN;Acc:ZDB-GENE-040912-162]</t>
  </si>
  <si>
    <t>ENSDARG00000009901</t>
  </si>
  <si>
    <t>slc38a5a</t>
  </si>
  <si>
    <t>solute carrier family 38, member 5a [Source:ZFIN;Acc:ZDB-GENE-081105-92]</t>
  </si>
  <si>
    <t>ENSDARG00000100492</t>
  </si>
  <si>
    <t>si:dkey-256e21.1</t>
  </si>
  <si>
    <t>si:dkey-256e21.1 [Source:ZFIN;Acc:ZDB-GENE-070705-424]</t>
  </si>
  <si>
    <t>ENSDARG00000012672</t>
  </si>
  <si>
    <t>gtf2e2</t>
  </si>
  <si>
    <t>general transcription factor IIE, polypeptide 2, beta [Source:ZFIN;Acc:ZDB-GENE-030131-6794]</t>
  </si>
  <si>
    <t>ENSDARG00000029157</t>
  </si>
  <si>
    <t>med23</t>
  </si>
  <si>
    <t>mediator complex subunit 23 [Source:ZFIN;Acc:ZDB-GENE-040724-82]</t>
  </si>
  <si>
    <t>ENSDARG00000098280</t>
  </si>
  <si>
    <t>rbm5</t>
  </si>
  <si>
    <t>RNA binding motif protein 5 [Source:ZFIN;Acc:ZDB-GENE-030131-3022]</t>
  </si>
  <si>
    <t>ENSDARG00000077853</t>
  </si>
  <si>
    <t>ttll2</t>
  </si>
  <si>
    <t>tubulin tyrosine ligase-like family, member 2 [Source:ZFIN;Acc:ZDB-GENE-041014-297]</t>
  </si>
  <si>
    <t>ENSDARG00000079931</t>
  </si>
  <si>
    <t>snx19b</t>
  </si>
  <si>
    <t>sorting nexin 19b [Source:ZFIN;Acc:ZDB-GENE-030131-6331]</t>
  </si>
  <si>
    <t>ENSDARG00000032256</t>
  </si>
  <si>
    <t>txndc16</t>
  </si>
  <si>
    <t>thioredoxin domain containing 16 [Source:ZFIN;Acc:ZDB-GENE-100712-1]</t>
  </si>
  <si>
    <t>ENSDARG00000097255</t>
  </si>
  <si>
    <t>si:dkey-77f5.13</t>
  </si>
  <si>
    <t>si:dkey-77f5.13 [Source:ZFIN;Acc:ZDB-GENE-131119-99]</t>
  </si>
  <si>
    <t>ENSDARG00000012199</t>
  </si>
  <si>
    <t>gpt2</t>
  </si>
  <si>
    <t>glutamic pyruvate transaminase (alanine aminotransferase) 2 [Source:ZFIN;Acc:ZDB-GENE-030729-8]</t>
  </si>
  <si>
    <t>ENSDARG00000095708</t>
  </si>
  <si>
    <t>znf1012</t>
  </si>
  <si>
    <t>zinc finger protein 1012 [Source:ZFIN;Acc:ZDB-GENE-131120-41]</t>
  </si>
  <si>
    <t>ENSDARG00000036650</t>
  </si>
  <si>
    <t>cdadc1</t>
  </si>
  <si>
    <t>cytidine and dCMP deaminase domain containing 1 [Source:ZFIN;Acc:ZDB-GENE-041114-163]</t>
  </si>
  <si>
    <t>ENSDARG00000097481</t>
  </si>
  <si>
    <t>si:dkey-77f5.11</t>
  </si>
  <si>
    <t>si:dkey-77f5.11 [Source:ZFIN;Acc:ZDB-GENE-131118-31]</t>
  </si>
  <si>
    <t>ENSDARG00000011824</t>
  </si>
  <si>
    <t>pbxip1b</t>
  </si>
  <si>
    <t>pre-B-cell leukemia homeobox interacting protein 1b [Source:ZFIN;Acc:ZDB-GENE-070112-2032]</t>
  </si>
  <si>
    <t>ENSDARG00000012747</t>
  </si>
  <si>
    <t>rer1</t>
  </si>
  <si>
    <t>retention in endoplasmic reticulum sorting receptor 1 [Source:ZFIN;Acc:ZDB-GENE-040426-1494]</t>
  </si>
  <si>
    <t>ENSDARG00000094486</t>
  </si>
  <si>
    <t>CEBPZ</t>
  </si>
  <si>
    <t>si:ch1073-412h12.3 [Source:ZFIN;Acc:ZDB-GENE-081104-86]</t>
  </si>
  <si>
    <t>ENSDARG00000097760</t>
  </si>
  <si>
    <t>si:dkey-7i4.8</t>
  </si>
  <si>
    <t>si:dkey-7i4.8 [Source:ZFIN;Acc:ZDB-GENE-131120-136]</t>
  </si>
  <si>
    <t>ENSDARG00000028396</t>
  </si>
  <si>
    <t>fkbp5</t>
  </si>
  <si>
    <t>FK506 binding protein 5 [Source:ZFIN;Acc:ZDB-GENE-030616-630]</t>
  </si>
  <si>
    <t>ENSDARG00000093064</t>
  </si>
  <si>
    <t>SMIM18</t>
  </si>
  <si>
    <t>si:dkey-92j12.6 [Source:ZFIN;Acc:ZDB-GENE-100922-33]</t>
  </si>
  <si>
    <t>ENSDARG00000045857</t>
  </si>
  <si>
    <t>cebpz</t>
  </si>
  <si>
    <t>CCAAT/enhancer binding protein (C/EBP), zeta [Source:ZFIN;Acc:ZDB-GENE-050417-261]</t>
  </si>
  <si>
    <t>ENSDARG00000093365</t>
  </si>
  <si>
    <t>si:ch211-226h7.3</t>
  </si>
  <si>
    <t>si:ch211-226h7.3 [Source:ZFIN;Acc:ZDB-GENE-130531-9]</t>
  </si>
  <si>
    <t>ENSDARG00000070809</t>
  </si>
  <si>
    <t>znf516</t>
  </si>
  <si>
    <t>zinc finger protein 516 [Source:ZFIN;Acc:ZDB-GENE-060503-194]</t>
  </si>
  <si>
    <t>ENSDARG00000096856</t>
  </si>
  <si>
    <t>si:dkey-7i4.9</t>
  </si>
  <si>
    <t>si:dkey-7i4.9 [Source:ZFIN;Acc:ZDB-GENE-131120-99]</t>
  </si>
  <si>
    <t>ENSDARG00000043982</t>
  </si>
  <si>
    <t>tube1</t>
  </si>
  <si>
    <t>tube1.1</t>
  </si>
  <si>
    <t>tubulin, epsilon 1 [Source:ZFIN;Acc:ZDB-GENE-040426-1174]</t>
  </si>
  <si>
    <t>ENSDARG00000040917</t>
  </si>
  <si>
    <t>cbfb</t>
  </si>
  <si>
    <t>core-binding factor, beta subunit [Source:ZFIN;Acc:ZDB-GENE-980526-440]</t>
  </si>
  <si>
    <t>ENSDARG00000096901</t>
  </si>
  <si>
    <t>si:dkey-7i4.11</t>
  </si>
  <si>
    <t>si:dkey-7i4.11 [Source:ZFIN;Acc:ZDB-GENE-131120-102]</t>
  </si>
  <si>
    <t>ENSDARG00000102234</t>
  </si>
  <si>
    <t>si:ch211-71n6.4</t>
  </si>
  <si>
    <t>si:ch211-71n6.4 [Source:ZFIN;Acc:ZDB-GENE-091204-213]</t>
  </si>
  <si>
    <t>ENSDARG00000079010</t>
  </si>
  <si>
    <t>si:dkey-7i4.5</t>
  </si>
  <si>
    <t>si:dkey-7i4.5 [Source:ZFIN;Acc:ZDB-GENE-131120-155]</t>
  </si>
  <si>
    <t>ENSDARG00000089838</t>
  </si>
  <si>
    <t>si:dkey-262k9.4</t>
  </si>
  <si>
    <t>si:dkey-262k9.4 [Source:ZFIN;Acc:ZDB-GENE-131121-545]</t>
  </si>
  <si>
    <t>ENSDARG00000071570</t>
  </si>
  <si>
    <t>CCDC71</t>
  </si>
  <si>
    <t>si:dkeyp-87e7.4 [Source:ZFIN;Acc:ZDB-GENE-030131-6208]</t>
  </si>
  <si>
    <t>ENSDARG00000097134</t>
  </si>
  <si>
    <t>si:dkey-7i4.7</t>
  </si>
  <si>
    <t>si:dkey-7i4.7 [Source:ZFIN;Acc:ZDB-GENE-131119-71]</t>
  </si>
  <si>
    <t>ENSDARG00000104372</t>
  </si>
  <si>
    <t>gnb1b</t>
  </si>
  <si>
    <t>guanine nucleotide binding protein (G protein), beta polypeptide 1b [Source:ZFIN;Acc:ZDB-GENE-040426-2855]</t>
  </si>
  <si>
    <t>ENSDARG00000045294</t>
  </si>
  <si>
    <t>sh3glb1a</t>
  </si>
  <si>
    <t>SH3-domain GRB2-like endophilin B1a [Source:ZFIN;Acc:ZDB-GENE-050417-89]</t>
  </si>
  <si>
    <t>ENSDARG00000061802</t>
  </si>
  <si>
    <t>cnot2</t>
  </si>
  <si>
    <t>CCR4-NOT transcription complex, subunit 2 [Source:ZFIN;Acc:ZDB-GENE-070410-70]</t>
  </si>
  <si>
    <t>ENSDARG00000090977</t>
  </si>
  <si>
    <t>ifit12</t>
  </si>
  <si>
    <t>interferon-induced protein with tetratricopeptide repeats 12 [Source:ZFIN;Acc:ZDB-GENE-120406-2]</t>
  </si>
  <si>
    <t>ENSDARG00000104775</t>
  </si>
  <si>
    <t>si:ch211-134a4.1</t>
  </si>
  <si>
    <t>si:ch211-134a4.1 [Source:ZFIN;Acc:ZDB-GENE-131121-523]</t>
  </si>
  <si>
    <t>ENSDARG00000103937</t>
  </si>
  <si>
    <t>ndrg4</t>
  </si>
  <si>
    <t>NDRG family member 4 [Source:ZFIN;Acc:ZDB-GENE-060512-226]</t>
  </si>
  <si>
    <t>ENSDARG00000032285</t>
  </si>
  <si>
    <t>zgc:113294</t>
  </si>
  <si>
    <t>zgc:113294 [Source:ZFIN;Acc:ZDB-GENE-050320-124]</t>
  </si>
  <si>
    <t>ENSDARG00000053800</t>
  </si>
  <si>
    <t>si:ch211-276c2.4</t>
  </si>
  <si>
    <t>si:ch211-276c2.4 [Source:ZFIN;Acc:ZDB-GENE-030131-423]</t>
  </si>
  <si>
    <t>ENSDARG00000093232</t>
  </si>
  <si>
    <t>si:dkey-202p8.1</t>
  </si>
  <si>
    <t>si:dkey-202p8.1 [Source:ZFIN;Acc:ZDB-GENE-100922-176]</t>
  </si>
  <si>
    <t>ENSDARG00000045067</t>
  </si>
  <si>
    <t>kcnk1a</t>
  </si>
  <si>
    <t>potassium channel, subfamily K, member 1a [Source:ZFIN;Acc:ZDB-GENE-070620-26]</t>
  </si>
  <si>
    <t>ENSDARG00000011855</t>
  </si>
  <si>
    <t>aak1a</t>
  </si>
  <si>
    <t>AP2 associated kinase 1a [Source:ZFIN;Acc:ZDB-GENE-081105-101]</t>
  </si>
  <si>
    <t>ENSDARG00000098032</t>
  </si>
  <si>
    <t>si:dkey-7i4.13</t>
  </si>
  <si>
    <t>si:dkey-7i4.13 [Source:ZFIN;Acc:ZDB-GENE-131127-112]</t>
  </si>
  <si>
    <t>ENSDARG00000031216</t>
  </si>
  <si>
    <t>ssu72</t>
  </si>
  <si>
    <t>SSU72 homolog, RNA polymerase II CTD phosphatase [Source:ZFIN;Acc:ZDB-GENE-040426-1689]</t>
  </si>
  <si>
    <t>ENSDARG00000043796</t>
  </si>
  <si>
    <t>ms4a17a.7</t>
  </si>
  <si>
    <t>membrane-spanning 4-domains, subfamily A, member 17A.7 [Source:ZFIN;Acc:ZDB-GENE-080829-2]</t>
  </si>
  <si>
    <t>ENSDARG00000079035</t>
  </si>
  <si>
    <t>zgc:174573</t>
  </si>
  <si>
    <t>zgc:174573 [Source:ZFIN;Acc:ZDB-GENE-030131-2123]</t>
  </si>
  <si>
    <t>ENSDARG00000075923</t>
  </si>
  <si>
    <t>TXNRD2</t>
  </si>
  <si>
    <t>si:ch1073-179p4.3 [Source:ZFIN;Acc:ZDB-GENE-040914-66]</t>
  </si>
  <si>
    <t>ENSDARG00000039392</t>
  </si>
  <si>
    <t>wnk1b</t>
  </si>
  <si>
    <t>WNK lysine deficient protein kinase 1b [Source:ZFIN;Acc:ZDB-GENE-030131-2656]</t>
  </si>
  <si>
    <t>ENSDARG00000055474</t>
  </si>
  <si>
    <t>dexi</t>
  </si>
  <si>
    <t>Dexi homolog (mouse) [Source:ZFIN;Acc:ZDB-GENE-040808-20]</t>
  </si>
  <si>
    <t>ENSDARG00000062765</t>
  </si>
  <si>
    <t>whsc1l1</t>
  </si>
  <si>
    <t>Wolf-Hirschhorn syndrome candidate 1-like 1 [Source:ZFIN;Acc:ZDB-GENE-050324-2]</t>
  </si>
  <si>
    <t>ENSDARG00000008491</t>
  </si>
  <si>
    <t>RDH13</t>
  </si>
  <si>
    <t>RDH13.2</t>
  </si>
  <si>
    <t>si:ch211-107o10.3 [Source:ZFIN;Acc:ZDB-GENE-030131-4716]</t>
  </si>
  <si>
    <t>ENSDARG00000043798</t>
  </si>
  <si>
    <t>ms4a17a.1</t>
  </si>
  <si>
    <t>membrane-spanning 4-domains, subfamily A, member 17A.1 [Source:ZFIN;Acc:ZDB-GENE-050417-307]</t>
  </si>
  <si>
    <t>ENSDARG00000038094</t>
  </si>
  <si>
    <t>clec16a</t>
  </si>
  <si>
    <t>C-type lectin domain family 16, member A [Source:ZFIN;Acc:ZDB-GENE-040426-951]</t>
  </si>
  <si>
    <t>ENSDARG00000030448</t>
  </si>
  <si>
    <t>sppl2</t>
  </si>
  <si>
    <t>signal peptide peptidase-like 2 [Source:ZFIN;Acc:ZDB-GENE-030131-4265]</t>
  </si>
  <si>
    <t>ENSDARG00000070019</t>
  </si>
  <si>
    <t>taf15</t>
  </si>
  <si>
    <t>TAF15 RNA polymerase II, TATA box binding protein (TBP)-associated factor [Source:ZFIN;Acc:ZDB-GENE-061215-102]</t>
  </si>
  <si>
    <t>ENSDARG00000058297</t>
  </si>
  <si>
    <t>timm13</t>
  </si>
  <si>
    <t>translocase of inner mitochondrial membrane 13 homolog (yeast) [Source:ZFIN;Acc:ZDB-GENE-040718-167]</t>
  </si>
  <si>
    <t>ENSDARG00000091988</t>
  </si>
  <si>
    <t>si:dkey-164n2.1</t>
  </si>
  <si>
    <t>si:dkey-164n2.1 [Source:ZFIN;Acc:ZDB-GENE-060503-430]</t>
  </si>
  <si>
    <t>ENSDARG00000017423</t>
  </si>
  <si>
    <t>patl1</t>
  </si>
  <si>
    <t>protein associated with topoisomerase II homolog 1 (yeast) [Source:ZFIN;Acc:ZDB-GENE-070209-83]</t>
  </si>
  <si>
    <t>ENSDARG00000038894</t>
  </si>
  <si>
    <t>tmx3</t>
  </si>
  <si>
    <t>thioredoxin-related transmembrane protein 3 [Source:ZFIN;Acc:ZDB-GENE-050522-396]</t>
  </si>
  <si>
    <t>ENSDARG00000025854</t>
  </si>
  <si>
    <t>ddx51</t>
  </si>
  <si>
    <t>DEAD (Asp-Glu-Ala-Asp) box polypeptide 51 [Source:ZFIN;Acc:ZDB-GENE-040927-28]</t>
  </si>
  <si>
    <t>ENSDARG00000099642</t>
  </si>
  <si>
    <t>dcun1d1</t>
  </si>
  <si>
    <t>DCN1, defective in cullin neddylation 1, domain containing 1 (S. cerevisiae) [Source:ZFIN;Acc:ZDB-GENE-030131-5443]</t>
  </si>
  <si>
    <t>ENSDARG00000005645</t>
  </si>
  <si>
    <t>robo3</t>
  </si>
  <si>
    <t>roundabout, axon guidance receptor, homolog 3 (Drosophila) [Source:ZFIN;Acc:ZDB-GENE-000209-4]</t>
  </si>
  <si>
    <t>ENSDARG00000094854</t>
  </si>
  <si>
    <t>ms4a17a.8</t>
  </si>
  <si>
    <t>membrane-spanning 4-domains, subfamily A, member 17A.8 [Source:ZFIN;Acc:ZDB-GENE-070705-365]</t>
  </si>
  <si>
    <t>ENSDARG00000017813</t>
  </si>
  <si>
    <t>pigs</t>
  </si>
  <si>
    <t>phosphatidylinositol glycan anchor biosynthesis, class S [Source:ZFIN;Acc:ZDB-GENE-060929-436]</t>
  </si>
  <si>
    <t>ENSDARG00000052942</t>
  </si>
  <si>
    <t>aspg</t>
  </si>
  <si>
    <t>asparaginase homolog (S. cerevisiae) [Source:ZFIN;Acc:ZDB-GENE-070820-14]</t>
  </si>
  <si>
    <t>ENSDARG00000029841</t>
  </si>
  <si>
    <t>tmprss9</t>
  </si>
  <si>
    <t>transmembrane protease, serine 9 [Source:ZFIN;Acc:ZDB-GENE-050208-573]</t>
  </si>
  <si>
    <t>ENSDARG00000004094</t>
  </si>
  <si>
    <t>acsbg2</t>
  </si>
  <si>
    <t>acyl-CoA synthetase bubblegum family member 2 [Source:ZFIN;Acc:ZDB-GENE-030131-7099]</t>
  </si>
  <si>
    <t>ENSDARG00000043304</t>
  </si>
  <si>
    <t>nop2</t>
  </si>
  <si>
    <t>NOP2 nucleolar protein homolog (yeast) [Source:ZFIN;Acc:ZDB-GENE-050309-7]</t>
  </si>
  <si>
    <t>ENSDARG00000096748</t>
  </si>
  <si>
    <t>asb2a.1</t>
  </si>
  <si>
    <t>ankyrin repeat and SOCS box containing 2a, tandem duplicate 1 [Source:ZFIN;Acc:ZDB-GENE-030131-5355]</t>
  </si>
  <si>
    <t>ENSDARG00000097373</t>
  </si>
  <si>
    <t>ftr90</t>
  </si>
  <si>
    <t>finTRIM family, member 90 [Source:ZFIN;Acc:ZDB-GENE-131122-80]</t>
  </si>
  <si>
    <t>ENSDARG00000099528</t>
  </si>
  <si>
    <t>dus3l</t>
  </si>
  <si>
    <t>dihydrouridine synthase 3-like (S. cerevisiae) [Source:ZFIN;Acc:ZDB-GENE-040426-1260]</t>
  </si>
  <si>
    <t>ENSDARG00000061764</t>
  </si>
  <si>
    <t>ahnak</t>
  </si>
  <si>
    <t>AHNAK nucleoprotein [Source:ZFIN;Acc:ZDB-GENE-030131-8719]</t>
  </si>
  <si>
    <t>ENSDARG00000011445</t>
  </si>
  <si>
    <t>elmsan1a</t>
  </si>
  <si>
    <t>ELM2 and Myb/SANT-like domain containing 1a [Source:ZFIN;Acc:ZDB-GENE-041001-151]</t>
  </si>
  <si>
    <t>ENSDARG00000075545</t>
  </si>
  <si>
    <t>ZNF646</t>
  </si>
  <si>
    <t>si:dkey-89b17.4 [Source:ZFIN;Acc:ZDB-GENE-030131-8215]</t>
  </si>
  <si>
    <t>ENSDARG00000035578</t>
  </si>
  <si>
    <t>hs3st1l2</t>
  </si>
  <si>
    <t>heparan sulfate (glucosamine) 3-O-sulfotransferase 1-like 2 [Source:ZFIN;Acc:ZDB-GENE-070202-3]</t>
  </si>
  <si>
    <t>ENSDARG00000043802</t>
  </si>
  <si>
    <t>ms4a17a.9</t>
  </si>
  <si>
    <t>membrane-spanning 4-domains, subfamily A, member 17A.9 [Source:ZFIN;Acc:ZDB-GENE-050320-79]</t>
  </si>
  <si>
    <t>ENSDARG00000032653</t>
  </si>
  <si>
    <t>fam60a</t>
  </si>
  <si>
    <t>family with sequence similarity 60, member A [Source:ZFIN;Acc:ZDB-GENE-041210-166]</t>
  </si>
  <si>
    <t>ENSDARG00000088354</t>
  </si>
  <si>
    <t>PARP10</t>
  </si>
  <si>
    <t>si:ch73-49k18.1 [Source:ZFIN;Acc:ZDB-GENE-141222-80]</t>
  </si>
  <si>
    <t>ENSDARG00000003977</t>
  </si>
  <si>
    <t>zgc:153896</t>
  </si>
  <si>
    <t>zgc:153896 [Source:ZFIN;Acc:ZDB-GENE-060825-119]</t>
  </si>
  <si>
    <t>ENSDARG00000018165</t>
  </si>
  <si>
    <t>depdc1a</t>
  </si>
  <si>
    <t>DEP domain containing 1a [Source:ZFIN;Acc:ZDB-GENE-030131-9827]</t>
  </si>
  <si>
    <t>ENSDARG00000059235</t>
  </si>
  <si>
    <t>zgc:113274</t>
  </si>
  <si>
    <t>zgc:113274 [Source:ZFIN;Acc:ZDB-GENE-050508-2]</t>
  </si>
  <si>
    <t>ENSDARG00000062000</t>
  </si>
  <si>
    <t>abtb2b</t>
  </si>
  <si>
    <t>ankyrin repeat and BTB (POZ) domain containing 2b [Source:ZFIN;Acc:ZDB-GENE-100422-14]</t>
  </si>
  <si>
    <t>ENSDARG00000096502</t>
  </si>
  <si>
    <t>si:ch211-278f21.5</t>
  </si>
  <si>
    <t>si:ch211-278f21.5 [Source:ZFIN;Acc:ZDB-GENE-121214-280]</t>
  </si>
  <si>
    <t>ENSDARG00000010407</t>
  </si>
  <si>
    <t>ppp4r4</t>
  </si>
  <si>
    <t>protein phosphatase 4, regulatory subunit 4 [Source:ZFIN;Acc:ZDB-GENE-041001-164]</t>
  </si>
  <si>
    <t>ENSDARG00000056008</t>
  </si>
  <si>
    <t>atp5g1</t>
  </si>
  <si>
    <t>ATP synthase, H+ transporting, mitochondrial Fo complex, subunit C1 (subunit 9) [Source:ZFIN;Acc:ZDB-GENE-040426-1966]</t>
  </si>
  <si>
    <t>ENSDARG00000040606</t>
  </si>
  <si>
    <t>tfap2c</t>
  </si>
  <si>
    <t>transcription factor AP-2 gamma (activating enhancer binding protein 2 gamma) [Source:ZFIN;Acc:ZDB-GENE-041212-61]</t>
  </si>
  <si>
    <t>ENSDARG00000079281</t>
  </si>
  <si>
    <t>TESK1</t>
  </si>
  <si>
    <t>TESK1.1</t>
  </si>
  <si>
    <t>si:dkeyp-75h12.2 [Source:ZFIN;Acc:ZDB-GENE-030131-7512]</t>
  </si>
  <si>
    <t>ENSDARG00000055976</t>
  </si>
  <si>
    <t>pecr</t>
  </si>
  <si>
    <t>peroxisomal trans-2-enoyl-CoA reductase [Source:ZFIN;Acc:ZDB-GENE-050417-232]</t>
  </si>
  <si>
    <t>ENSDARG00000054749</t>
  </si>
  <si>
    <t>lmo4b</t>
  </si>
  <si>
    <t>LIM domain only 4b [Source:ZFIN;Acc:ZDB-GENE-030131-3570]</t>
  </si>
  <si>
    <t>ENSDARG00000009653</t>
  </si>
  <si>
    <t>lhfpl2a</t>
  </si>
  <si>
    <t>lipoma HMGIC fusion partner-like 2a [Source:ZFIN;Acc:ZDB-GENE-040426-1839]</t>
  </si>
  <si>
    <t>ENSDARG00000010531</t>
  </si>
  <si>
    <t>scamp4</t>
  </si>
  <si>
    <t>secretory carrier membrane protein 4 [Source:ZFIN;Acc:ZDB-GENE-050913-40]</t>
  </si>
  <si>
    <t>ENSDARG00000079623</t>
  </si>
  <si>
    <t>ubtd1b</t>
  </si>
  <si>
    <t>ubiquitin domain containing 1b [Source:ZFIN;Acc:ZDB-GENE-050913-62]</t>
  </si>
  <si>
    <t>ENSDARG00000092204</t>
  </si>
  <si>
    <t>ms4a17a.5</t>
  </si>
  <si>
    <t>membrane-spanning 4-domains, subfamily A, member 17A.5 [Source:ZFIN;Acc:ZDB-GENE-040912-55]</t>
  </si>
  <si>
    <t>ENSDARG00000097595</t>
  </si>
  <si>
    <t>si:dkey-105i19.5</t>
  </si>
  <si>
    <t>si:dkey-105i19.5 [Source:ZFIN;Acc:ZDB-GENE-131121-440]</t>
  </si>
  <si>
    <t>ENSDARG00000004074</t>
  </si>
  <si>
    <t>bach2b</t>
  </si>
  <si>
    <t>BTB and CNC homology 1, basic leucine zipper transcription factor 2b [Source:ZFIN;Acc:ZDB-GENE-041001-139]</t>
  </si>
  <si>
    <t>ENSDARG00000017843</t>
  </si>
  <si>
    <t>srsf1b</t>
  </si>
  <si>
    <t>serine/arginine-rich splicing factor 1b [Source:ZFIN;Acc:ZDB-GENE-040426-1467]</t>
  </si>
  <si>
    <t>ENSDARG00000025858</t>
  </si>
  <si>
    <t>GOLM1</t>
  </si>
  <si>
    <t>zgc:56525 [Source:ZFIN;Acc:ZDB-GENE-040426-1060]</t>
  </si>
  <si>
    <t>ENSDARG00000012446</t>
  </si>
  <si>
    <t>HELZ2</t>
  </si>
  <si>
    <t>si:ch211-183d5.1 [Source:ZFIN;Acc:ZDB-GENE-070424-144]</t>
  </si>
  <si>
    <t>ENSDARG00000039677</t>
  </si>
  <si>
    <t>dsc2l</t>
  </si>
  <si>
    <t>desmocollin 2 like [Source:ZFIN;Acc:ZDB-GENE-031116-55]</t>
  </si>
  <si>
    <t>ENSDARG00000007566</t>
  </si>
  <si>
    <t>appbp2</t>
  </si>
  <si>
    <t>amyloid beta precursor protein (cytoplasmic tail) binding protein 2 [Source:ZFIN;Acc:ZDB-GENE-030131-1715]</t>
  </si>
  <si>
    <t>ENSDARG00000093546</t>
  </si>
  <si>
    <t>ms4a17a.2</t>
  </si>
  <si>
    <t>membrane-spanning 4-domains, subfamily A, member 17a.2 [Source:ZFIN;Acc:ZDB-GENE-070705-367]</t>
  </si>
  <si>
    <t>ENSDARG00000006754</t>
  </si>
  <si>
    <t>mllt3</t>
  </si>
  <si>
    <t>myeloid/lymphoid or mixed-lineage leukemia (trithorax homolog, Drosophila); translocated to, 3 [Source:ZFIN;Acc:ZDB-GENE-050417-356]</t>
  </si>
  <si>
    <t>ENSDARG00000005924</t>
  </si>
  <si>
    <t>serpina10a</t>
  </si>
  <si>
    <t>serpin peptidase inhibitor, clade A (alpha-1 antiproteinase, antitrypsin), member 10a [Source:ZFIN;Acc:ZDB-GENE-041014-246]</t>
  </si>
  <si>
    <t>ENSDARG00000100577</t>
  </si>
  <si>
    <t>si:ch1073-328c12.2</t>
  </si>
  <si>
    <t>si:ch1073-328c12.2 [Source:ZFIN;Acc:ZDB-GENE-131127-597]</t>
  </si>
  <si>
    <t>ENSDARG00000095943</t>
  </si>
  <si>
    <t>si:dkey-11f7.4</t>
  </si>
  <si>
    <t>si:dkey-11f7.4 [Source:ZFIN;Acc:ZDB-GENE-110411-233]</t>
  </si>
  <si>
    <t>ENSDARG00000070340</t>
  </si>
  <si>
    <t>hoxc5a</t>
  </si>
  <si>
    <t>homeobox C5a [Source:ZFIN;Acc:ZDB-GENE-980526-533]</t>
  </si>
  <si>
    <t>ENSDARG00000096616</t>
  </si>
  <si>
    <t>si:ch211-255p10.3</t>
  </si>
  <si>
    <t>si:ch211-255p10.3 [Source:ZFIN;Acc:ZDB-GENE-121214-339]</t>
  </si>
  <si>
    <t>ENSDARG00000074184</t>
  </si>
  <si>
    <t>arhgap32b</t>
  </si>
  <si>
    <t>Rho GTPase activating protein 32b [Source:ZFIN;Acc:ZDB-GENE-091204-147]</t>
  </si>
  <si>
    <t>ENSDARG00000029003</t>
  </si>
  <si>
    <t>eif1axa</t>
  </si>
  <si>
    <t>eukaryotic translation initiation factor 1A, X-linked, a [Source:ZFIN;Acc:ZDB-GENE-041010-185]</t>
  </si>
  <si>
    <t>ENSDARG00000092809</t>
  </si>
  <si>
    <t>hoxc9a</t>
  </si>
  <si>
    <t>homeobox C9a [Source:ZFIN;Acc:ZDB-GENE-000328-5]</t>
  </si>
  <si>
    <t>ENSDARG00000036102</t>
  </si>
  <si>
    <t>ctdsp2</t>
  </si>
  <si>
    <t>CTD (carboxy-terminal domain, RNA polymerase II, polypeptide A) small phosphatase 2 [Source:ZFIN;Acc:ZDB-GENE-030131-184]</t>
  </si>
  <si>
    <t>ENSDARG00000090675</t>
  </si>
  <si>
    <t>APBA3</t>
  </si>
  <si>
    <t>si:ch73-40i7.5 [Source:ZFIN;Acc:ZDB-GENE-041008-110]</t>
  </si>
  <si>
    <t>ENSDARG00000070348</t>
  </si>
  <si>
    <t>hoxc10a</t>
  </si>
  <si>
    <t>hoxc10a.1</t>
  </si>
  <si>
    <t>homeobox C10a [Source:ZFIN;Acc:ZDB-GENE-990415-110]</t>
  </si>
  <si>
    <t>ENSDARG00000095457</t>
  </si>
  <si>
    <t>si:ch211-147d7.5</t>
  </si>
  <si>
    <t>si:ch211-147d7.5 [Source:ZFIN;Acc:ZDB-GENE-041014-353]</t>
  </si>
  <si>
    <t>ENSDARG00000076248</t>
  </si>
  <si>
    <t>ppp1r3db</t>
  </si>
  <si>
    <t>protein phosphatase 1, regulatory subunit 3Db [Source:ZFIN;Acc:ZDB-GENE-110201-1]</t>
  </si>
  <si>
    <t>ENSDARG00000015337</t>
  </si>
  <si>
    <t>comta</t>
  </si>
  <si>
    <t>catechol-O-methyltransferase a [Source:ZFIN;Acc:ZDB-GENE-050913-117]</t>
  </si>
  <si>
    <t>ENSDARG00000086699</t>
  </si>
  <si>
    <t>smim15</t>
  </si>
  <si>
    <t>small integral membrane protein 15 [Source:ZFIN;Acc:ZDB-GENE-070410-48]</t>
  </si>
  <si>
    <t>ENSDARG00000057624</t>
  </si>
  <si>
    <t>cops5</t>
  </si>
  <si>
    <t>COP9 signalosome subunit 5 [Source:ZFIN;Acc:ZDB-GENE-040426-1686]</t>
  </si>
  <si>
    <t>ENSDARG00000009657</t>
  </si>
  <si>
    <t>fgfr1op2</t>
  </si>
  <si>
    <t>FGFR1 oncogene partner 2 [Source:ZFIN;Acc:ZDB-GENE-030131-7451]</t>
  </si>
  <si>
    <t>ENSDARG00000069515</t>
  </si>
  <si>
    <t>bbs10</t>
  </si>
  <si>
    <t>Bardet-Biedl syndrome 10 [Source:ZFIN;Acc:ZDB-GENE-060503-355]</t>
  </si>
  <si>
    <t>ENSDARG00000093797</t>
  </si>
  <si>
    <t>si:dkey-81p22.11</t>
  </si>
  <si>
    <t>si:dkey-81p22.11 [Source:ZFIN;Acc:ZDB-GENE-061207-78]</t>
  </si>
  <si>
    <t>ENSDARG00000075230</t>
  </si>
  <si>
    <t>tet1</t>
  </si>
  <si>
    <t>tet methylcytosine dioxygenase 1 [Source:ZFIN;Acc:ZDB-GENE-090312-88]</t>
  </si>
  <si>
    <t>ENSDARG00000035781</t>
  </si>
  <si>
    <t>ctdnep1b</t>
  </si>
  <si>
    <t>CTD nuclear envelope phosphatase 1b [Source:ZFIN;Acc:ZDB-GENE-041114-152]</t>
  </si>
  <si>
    <t>ENSDARG00000000189</t>
  </si>
  <si>
    <t>sema6e</t>
  </si>
  <si>
    <t>sema domain, transmembrane domain (TM), and cytoplasmic domain, (semaphorin) 6E [Source:ZFIN;Acc:ZDB-GENE-040724-119]</t>
  </si>
  <si>
    <t>ENSDARG00000060442</t>
  </si>
  <si>
    <t>tmem259</t>
  </si>
  <si>
    <t>transmembrane protein 259 [Source:ZFIN;Acc:ZDB-GENE-080225-14]</t>
  </si>
  <si>
    <t>ENSDARG00000044549</t>
  </si>
  <si>
    <t>zgc:112416</t>
  </si>
  <si>
    <t>zgc:112416 [Source:ZFIN;Acc:ZDB-GENE-050417-347]</t>
  </si>
  <si>
    <t>ENSDARG00000076092</t>
  </si>
  <si>
    <t>slc31a2</t>
  </si>
  <si>
    <t>solute carrier family 31 (copper transporter), member 2 [Source:ZFIN;Acc:ZDB-GENE-030925-25]</t>
  </si>
  <si>
    <t>ENSDARG00000034600</t>
  </si>
  <si>
    <t>tmem165</t>
  </si>
  <si>
    <t>transmembrane protein 165 [Source:ZFIN;Acc:ZDB-GENE-030131-3222]</t>
  </si>
  <si>
    <t>ENSDARG00000031587</t>
  </si>
  <si>
    <t>flvcr1</t>
  </si>
  <si>
    <t>feline leukemia virus subgroup C cellular receptor 1 [Source:ZFIN;Acc:ZDB-GENE-041014-359]</t>
  </si>
  <si>
    <t>ENSDARG00000042920</t>
  </si>
  <si>
    <t>sult3st3.1</t>
  </si>
  <si>
    <t>ENSDARG00000090560</t>
  </si>
  <si>
    <t>mfap5</t>
  </si>
  <si>
    <t>microfibrillar associated protein 5 [Source:ZFIN;Acc:ZDB-GENE-100922-279]</t>
  </si>
  <si>
    <t>ENSDARG00000006301</t>
  </si>
  <si>
    <t>raph1a</t>
  </si>
  <si>
    <t>Ras association (RalGDS/AF-6) and pleckstrin homology domains 1a [Source:ZFIN;Acc:ZDB-GENE-070912-156]</t>
  </si>
  <si>
    <t>ENSDARG00000036076</t>
  </si>
  <si>
    <t>heatr3</t>
  </si>
  <si>
    <t>HEAT repeat containing 3 [Source:ZFIN;Acc:ZDB-GENE-040426-1876]</t>
  </si>
  <si>
    <t>ENSDARG00000070346</t>
  </si>
  <si>
    <t>hoxc8a</t>
  </si>
  <si>
    <t>homeobox C8a [Source:ZFIN;Acc:ZDB-GENE-990415-114]</t>
  </si>
  <si>
    <t>ENSDARG00000040286</t>
  </si>
  <si>
    <t>ubl7b</t>
  </si>
  <si>
    <t>ubiquitin-like 7b (bone marrow stromal cell-derived) [Source:ZFIN;Acc:ZDB-GENE-040426-1334]</t>
  </si>
  <si>
    <t>ENSDARG00000038306</t>
  </si>
  <si>
    <t>tsc22d1</t>
  </si>
  <si>
    <t>TSC22 domain family, member 1 [Source:ZFIN;Acc:ZDB-GENE-030131-7785]</t>
  </si>
  <si>
    <t>ENSDARG00000062045</t>
  </si>
  <si>
    <t>il1rapl1a</t>
  </si>
  <si>
    <t>interleukin 1 receptor accessory protein-like 1a [Source:ZFIN;Acc:ZDB-GENE-061013-249]</t>
  </si>
  <si>
    <t>ENSDARG00000069373</t>
  </si>
  <si>
    <t>crcp</t>
  </si>
  <si>
    <t>calcitonin gene-related peptide-receptor component protein [Source:ZFIN;Acc:ZDB-GENE-060825-150]</t>
  </si>
  <si>
    <t>ENSDARG00000009436</t>
  </si>
  <si>
    <t>ubxn7</t>
  </si>
  <si>
    <t>UBX domain protein 7 [Source:ZFIN;Acc:ZDB-GENE-040704-8]</t>
  </si>
  <si>
    <t>ENSDARG00000004060</t>
  </si>
  <si>
    <t>bhlhe40</t>
  </si>
  <si>
    <t>basic helix-loop-helix family, member e40 [Source:ZFIN;Acc:ZDB-GENE-030131-3133]</t>
  </si>
  <si>
    <t>ENSDARG00000033413</t>
  </si>
  <si>
    <t>si:dkey-183c16.7</t>
  </si>
  <si>
    <t>si:dkey-183c16.7 [Source:ZFIN;Acc:ZDB-GENE-041210-254]</t>
  </si>
  <si>
    <t>ENSDARG00000098242</t>
  </si>
  <si>
    <t>brcc3</t>
  </si>
  <si>
    <t>BRCA1/BRCA2-containing complex, subunit 3 [Source:ZFIN;Acc:ZDB-GENE-100215-1]</t>
  </si>
  <si>
    <t>ENSDARG00000018524</t>
  </si>
  <si>
    <t>midn</t>
  </si>
  <si>
    <t>midnolin [Source:ZFIN;Acc:ZDB-GENE-030131-2433]</t>
  </si>
  <si>
    <t>ENSDARG00000070343</t>
  </si>
  <si>
    <t>hoxc6a</t>
  </si>
  <si>
    <t>homeobox C6a [Source:ZFIN;Acc:ZDB-GENE-990415-113]</t>
  </si>
  <si>
    <t>ENSDARG00000002659</t>
  </si>
  <si>
    <t>mapre1b</t>
  </si>
  <si>
    <t>microtubule-associated protein, RP/EB family, member 1b [Source:ZFIN;Acc:ZDB-GENE-040426-2256]</t>
  </si>
  <si>
    <t>ENSDARG00000041108</t>
  </si>
  <si>
    <t>ctsh</t>
  </si>
  <si>
    <t>cathepsin H [Source:ZFIN;Acc:ZDB-GENE-030131-3539]</t>
  </si>
  <si>
    <t>ENSDARG00000058114</t>
  </si>
  <si>
    <t>impad1</t>
  </si>
  <si>
    <t>inositol monophosphatase domain containing 1 [Source:ZFIN;Acc:ZDB-GENE-051127-23]</t>
  </si>
  <si>
    <t>ENSDARG00000004174</t>
  </si>
  <si>
    <t>cnot1</t>
  </si>
  <si>
    <t>CCR4-NOT transcription complex, subunit 1 [Source:ZFIN;Acc:ZDB-GENE-040915-1]</t>
  </si>
  <si>
    <t>ENSDARG00000025972</t>
  </si>
  <si>
    <t>mcts1</t>
  </si>
  <si>
    <t>malignant T cell amplified sequence 1 [Source:ZFIN;Acc:ZDB-GENE-040426-957]</t>
  </si>
  <si>
    <t>ENSDARG00000045402</t>
  </si>
  <si>
    <t>commd3</t>
  </si>
  <si>
    <t>COMM domain containing 3 [Source:ZFIN;Acc:ZDB-GENE-041219-3]</t>
  </si>
  <si>
    <t>ENSDARG00000069290</t>
  </si>
  <si>
    <t>bida</t>
  </si>
  <si>
    <t>BH3 interacting domain death agonist [Source:ZFIN;Acc:ZDB-GENE-050419-35]</t>
  </si>
  <si>
    <t>ENSDARG00000023104</t>
  </si>
  <si>
    <t>scaper</t>
  </si>
  <si>
    <t>S-phase cyclin A-associated protein in the ER [Source:ZFIN;Acc:ZDB-GENE-060303-5]</t>
  </si>
  <si>
    <t>ENSDARG00000070339</t>
  </si>
  <si>
    <t>hoxc3a</t>
  </si>
  <si>
    <t>homeo box C3a [Source:ZFIN;Acc:ZDB-GENE-980526-532]</t>
  </si>
  <si>
    <t>ENSDARG00000035122</t>
  </si>
  <si>
    <t>camsap1b</t>
  </si>
  <si>
    <t>calmodulin regulated spectrin-associated protein 1b [Source:ZFIN;Acc:ZDB-GENE-070705-301]</t>
  </si>
  <si>
    <t>ENSDARG00000074653</t>
  </si>
  <si>
    <t>si:ch211-233m11.1</t>
  </si>
  <si>
    <t>si:ch211-233m11.1 [Source:ZFIN;Acc:ZDB-GENE-081028-16]</t>
  </si>
  <si>
    <t>ENSDARG00000075616</t>
  </si>
  <si>
    <t>polr2k</t>
  </si>
  <si>
    <t>polymerase (RNA) II (DNA directed) polypeptide K [Source:ZFIN;Acc:ZDB-GENE-070820-18]</t>
  </si>
  <si>
    <t>ENSDARG00000100990</t>
  </si>
  <si>
    <t>nme3</t>
  </si>
  <si>
    <t>NME/NM23 nucleoside diphosphate kinase 3 [Source:ZFIN;Acc:ZDB-GENE-000210-34]</t>
  </si>
  <si>
    <t>ENSDARG00000020345</t>
  </si>
  <si>
    <t>clasp2</t>
  </si>
  <si>
    <t>cytoplasmic linker associated protein 2 [Source:ZFIN;Acc:ZDB-GENE-040426-2343]</t>
  </si>
  <si>
    <t>ENSDARG00000022660</t>
  </si>
  <si>
    <t>armc2</t>
  </si>
  <si>
    <t>armadillo repeat containing 2 [Source:ZFIN;Acc:ZDB-GENE-041014-7]</t>
  </si>
  <si>
    <t>ENSDARG00000093619</t>
  </si>
  <si>
    <t>sult3st2</t>
  </si>
  <si>
    <t>sulfotransferase family 3, cytosolic sulfotransferase 2 [Source:ZFIN;Acc:ZDB-GENE-030131-1135]</t>
  </si>
  <si>
    <t>ENSDARG00000003061</t>
  </si>
  <si>
    <t>cd276</t>
  </si>
  <si>
    <t>CD276 molecule [Source:ZFIN;Acc:ZDB-GENE-070112-452]</t>
  </si>
  <si>
    <t>ENSDARG00000002933</t>
  </si>
  <si>
    <t>gbx2</t>
  </si>
  <si>
    <t>gastrulation brain homeobox 2 [Source:ZFIN;Acc:ZDB-GENE-020509-2]</t>
  </si>
  <si>
    <t>ENSDARG00000045159</t>
  </si>
  <si>
    <t>zdhhc4</t>
  </si>
  <si>
    <t>zinc finger, DHHC-type containing 4 [Source:ZFIN;Acc:ZDB-GENE-030131-9031]</t>
  </si>
  <si>
    <t>ENSDARG00000045306</t>
  </si>
  <si>
    <t>slc51a</t>
  </si>
  <si>
    <t>solute carrier family 51, alpha subunit [Source:ZFIN;Acc:ZDB-GENE-040912-10]</t>
  </si>
  <si>
    <t>ENSDARG00000004727</t>
  </si>
  <si>
    <t>cmss1</t>
  </si>
  <si>
    <t>cms1 ribosomal small subunit homolog (yeast) [Source:ZFIN;Acc:ZDB-GENE-041010-146]</t>
  </si>
  <si>
    <t>ENSDARG00000089159</t>
  </si>
  <si>
    <t>si:dkeyp-89c11.2</t>
  </si>
  <si>
    <t>si:dkeyp-89c11.2 [Source:ZFIN;Acc:ZDB-GENE-041210-202]</t>
  </si>
  <si>
    <t>ENSDARG00000043301</t>
  </si>
  <si>
    <t>gtf3c6</t>
  </si>
  <si>
    <t>general transcription factor IIIC, polypeptide 6, alpha [Source:ZFIN;Acc:ZDB-GENE-040426-1009]</t>
  </si>
  <si>
    <t>ENSDARG00000022684</t>
  </si>
  <si>
    <t>fkbp1aa</t>
  </si>
  <si>
    <t>FK506 binding protein 1Aa [Source:ZFIN;Acc:ZDB-GENE-030131-7275]</t>
  </si>
  <si>
    <t>ENSDARG00000055837</t>
  </si>
  <si>
    <t>arhgef1b</t>
  </si>
  <si>
    <t>Rho guanine nucleotide exchange factor (GEF) 1b [Source:ZFIN;Acc:ZDB-GENE-060616-136]</t>
  </si>
  <si>
    <t>ENSDARG00000079473</t>
  </si>
  <si>
    <t>si:ch211-120p12.3</t>
  </si>
  <si>
    <t>si:ch211-120p12.3 [Source:ZFIN;Acc:ZDB-GENE-090312-24]</t>
  </si>
  <si>
    <t>ENSDARG00000016117</t>
  </si>
  <si>
    <t>exd2</t>
  </si>
  <si>
    <t>exonuclease 3'-5' domain containing 2 [Source:ZFIN;Acc:ZDB-GENE-030131-6387]</t>
  </si>
  <si>
    <t>ENSDARG00000040781</t>
  </si>
  <si>
    <t>sult3st4</t>
  </si>
  <si>
    <t>sulfotransferase family 3, cytosolic sulfotransferase 4 [Source:ZFIN;Acc:ZDB-GENE-050913-17]</t>
  </si>
  <si>
    <t>ENSDARG00000020693</t>
  </si>
  <si>
    <t>sesn1</t>
  </si>
  <si>
    <t>sestrin 1 [Source:ZFIN;Acc:ZDB-GENE-040718-408]</t>
  </si>
  <si>
    <t>ENSDARG00000078145</t>
  </si>
  <si>
    <t>si:ch211-218g4.2</t>
  </si>
  <si>
    <t>si:ch211-218g4.2 [Source:ZFIN;Acc:ZDB-GENE-090312-60]</t>
  </si>
  <si>
    <t>ENSDARG00000041921</t>
  </si>
  <si>
    <t>hsbp1b</t>
  </si>
  <si>
    <t>heat shock factor binding protein 1b [Source:ZFIN;Acc:ZDB-GENE-040426-1721]</t>
  </si>
  <si>
    <t>ENSDARG00000061587</t>
  </si>
  <si>
    <t>ctdspl2a</t>
  </si>
  <si>
    <t>CTD (carboxy-terminal domain, RNA polymerase II, polypeptide A) small phosphatase like 2a [Source:ZFIN;Acc:ZDB-GENE-061013-647]</t>
  </si>
  <si>
    <t>ENSDARG00000070673</t>
  </si>
  <si>
    <t>ptgr2</t>
  </si>
  <si>
    <t>prostaglandin reductase 2 [Source:ZFIN;Acc:ZDB-GENE-050506-71]</t>
  </si>
  <si>
    <t>ENSDARG00000041363</t>
  </si>
  <si>
    <t>dctn3</t>
  </si>
  <si>
    <t>dynactin 3 (p22) [Source:ZFIN;Acc:ZDB-GENE-040704-65]</t>
  </si>
  <si>
    <t>ENSDARG00000011870</t>
  </si>
  <si>
    <t>sp8a</t>
  </si>
  <si>
    <t>sp8 transcription factor a [Source:ZFIN;Acc:ZDB-GENE-030131-9849]</t>
  </si>
  <si>
    <t>ENSDARG00000102245</t>
  </si>
  <si>
    <t>tk1</t>
  </si>
  <si>
    <t>thymidine kinase 1, soluble [Source:ZFIN;Acc:ZDB-GENE-030131-5801]</t>
  </si>
  <si>
    <t>ENSDARG00000095070</t>
  </si>
  <si>
    <t>CTLA4</t>
  </si>
  <si>
    <t>si:ch211-67e16.2 [Source:ZFIN;Acc:ZDB-GENE-070912-309]</t>
  </si>
  <si>
    <t>ENSDARG00000051953</t>
  </si>
  <si>
    <t>ythdc1</t>
  </si>
  <si>
    <t>YTH domain containing 1 [Source:ZFIN;Acc:ZDB-GENE-041114-114]</t>
  </si>
  <si>
    <t>ENSDARG00000061651</t>
  </si>
  <si>
    <t>marveld2b</t>
  </si>
  <si>
    <t>MARVEL domain containing 2b [Source:ZFIN;Acc:ZDB-GENE-050208-54]</t>
  </si>
  <si>
    <t>ENSDARG00000090895</t>
  </si>
  <si>
    <t>kansl1a</t>
  </si>
  <si>
    <t>KAT8 regulatory NSL complex subunit 1a [Source:ZFIN;Acc:ZDB-GENE-121219-5]</t>
  </si>
  <si>
    <t>ENSDARG00000075909</t>
  </si>
  <si>
    <t>slc35f3a</t>
  </si>
  <si>
    <t>solute carrier family 35, member F3a [Source:ZFIN;Acc:ZDB-GENE-080204-20]</t>
  </si>
  <si>
    <t>ENSDARG00000030914</t>
  </si>
  <si>
    <t>tmem120a</t>
  </si>
  <si>
    <t>transmembrane protein 120A [Source:ZFIN;Acc:ZDB-GENE-070424-21]</t>
  </si>
  <si>
    <t>ENSDARG00000059982</t>
  </si>
  <si>
    <t>poc5</t>
  </si>
  <si>
    <t>POC5 centriolar protein homolog (Chlamydomonas) [Source:ZFIN;Acc:ZDB-GENE-060526-135]</t>
  </si>
  <si>
    <t>ENSDARG00000014427</t>
  </si>
  <si>
    <t>mxe</t>
  </si>
  <si>
    <t>myxovirus (influenza virus) resistance E [Source:ZFIN;Acc:ZDB-GENE-030131-9609]</t>
  </si>
  <si>
    <t>ENSDARG00000005883</t>
  </si>
  <si>
    <t>rfx1a</t>
  </si>
  <si>
    <t>regulatory factor X, 1a (influences HLA class II expression) [Source:ZFIN;Acc:ZDB-GENE-070424-94]</t>
  </si>
  <si>
    <t>ENSDARG00000075375</t>
  </si>
  <si>
    <t>zgc:171501</t>
  </si>
  <si>
    <t>zgc:171501 [Source:ZFIN;Acc:ZDB-GENE-080204-10]</t>
  </si>
  <si>
    <t>ENSDARG00000059474</t>
  </si>
  <si>
    <t>mlxip</t>
  </si>
  <si>
    <t>MLX interacting protein [Source:ZFIN;Acc:ZDB-GENE-060526-8]</t>
  </si>
  <si>
    <t>ENSDARG00000007774</t>
  </si>
  <si>
    <t>vash2</t>
  </si>
  <si>
    <t>vasohibin 2 [Source:ZFIN;Acc:ZDB-GENE-041014-355]</t>
  </si>
  <si>
    <t>ENSDARG00000099845</t>
  </si>
  <si>
    <t>zgc:174275</t>
  </si>
  <si>
    <t>zgc:174275 [Source:ZFIN;Acc:ZDB-GENE-080305-5]</t>
  </si>
  <si>
    <t>ENSDARG00000053554</t>
  </si>
  <si>
    <t>wdr76</t>
  </si>
  <si>
    <t>WD repeat domain 76 [Source:ZFIN;Acc:ZDB-GENE-030131-4513]</t>
  </si>
  <si>
    <t>ENSDARG00000043986</t>
  </si>
  <si>
    <t>setd6</t>
  </si>
  <si>
    <t>SET domain containing 6 [Source:ZFIN;Acc:ZDB-GENE-030131-1067]</t>
  </si>
  <si>
    <t>ENSDARG00000069286</t>
  </si>
  <si>
    <t>ndufaf2</t>
  </si>
  <si>
    <t>NADH dehydrogenase (ubiquinone) complex I, assembly factor 2 [Source:ZFIN;Acc:ZDB-GENE-040808-28]</t>
  </si>
  <si>
    <t>ENSDARG00000039203</t>
  </si>
  <si>
    <t>MFF</t>
  </si>
  <si>
    <t>zgc:110130 [Source:ZFIN;Acc:ZDB-GENE-050522-208]</t>
  </si>
  <si>
    <t>ENSDARG00000045066</t>
  </si>
  <si>
    <t>entpd1</t>
  </si>
  <si>
    <t>ectonucleoside triphosphate diphosphohydrolase 1 [Source:ZFIN;Acc:ZDB-GENE-040801-58]</t>
  </si>
  <si>
    <t>ENSDARG00000039490</t>
  </si>
  <si>
    <t>pitpnaa</t>
  </si>
  <si>
    <t>phosphatidylinositol transfer protein, alpha a [Source:ZFIN;Acc:ZDB-GENE-040426-744]</t>
  </si>
  <si>
    <t>ENSDARG00000044073</t>
  </si>
  <si>
    <t>fuca2</t>
  </si>
  <si>
    <t>fucosidase, alpha-L- 2, plasma [Source:ZFIN;Acc:ZDB-GENE-040822-39]</t>
  </si>
  <si>
    <t>ENSDARG00000040779</t>
  </si>
  <si>
    <t>med16</t>
  </si>
  <si>
    <t>mediator complex subunit 16 [Source:ZFIN;Acc:ZDB-GENE-090306-4]</t>
  </si>
  <si>
    <t>ENSDARG00000061742</t>
  </si>
  <si>
    <t>clasrp</t>
  </si>
  <si>
    <t>CLK4-associating serine/arginine rich protein [Source:ZFIN;Acc:ZDB-GENE-060503-837]</t>
  </si>
  <si>
    <t>ENSDARG00000062023</t>
  </si>
  <si>
    <t>fndc3bb</t>
  </si>
  <si>
    <t>fibronectin type III domain containing 3Bb [Source:ZFIN;Acc:ZDB-GENE-070510-2]</t>
  </si>
  <si>
    <t>ENSDARG00000001835</t>
  </si>
  <si>
    <t>nalcn</t>
  </si>
  <si>
    <t>sodium leak channel, non-selective [Source:ZFIN;Acc:ZDB-GENE-050410-12]</t>
  </si>
  <si>
    <t>ENSDARG00000103905</t>
  </si>
  <si>
    <t>itfg1</t>
  </si>
  <si>
    <t>integrin alpha FG-GAP repeat containing 1 [Source:ZFIN;Acc:ZDB-GENE-121003-3]</t>
  </si>
  <si>
    <t>ENSDARG00000058178</t>
  </si>
  <si>
    <t>zdhhc20b</t>
  </si>
  <si>
    <t>zinc finger, DHHC-type containing 20b [Source:ZFIN;Acc:ZDB-GENE-091117-30]</t>
  </si>
  <si>
    <t>ENSDARG00000102221</t>
  </si>
  <si>
    <t>HACD4</t>
  </si>
  <si>
    <t>si:ch73-41h24.1 [Source:ZFIN;Acc:ZDB-GENE-030131-3627]</t>
  </si>
  <si>
    <t>ENSDARG00000073996</t>
  </si>
  <si>
    <t>prickle3</t>
  </si>
  <si>
    <t>prickle homolog 3 [Source:ZFIN;Acc:ZDB-GENE-081105-86]</t>
  </si>
  <si>
    <t>ENSDARG00000058202</t>
  </si>
  <si>
    <t>pex16</t>
  </si>
  <si>
    <t>peroxisomal biogenesis factor 16 [Source:ZFIN;Acc:ZDB-GENE-050626-49]</t>
  </si>
  <si>
    <t>ENSDARG00000011326</t>
  </si>
  <si>
    <t>ankrd45</t>
  </si>
  <si>
    <t>ankyrin repeat domain 45 [Source:ZFIN;Acc:ZDB-GENE-050522-311]</t>
  </si>
  <si>
    <t>ENSDARG00000007065</t>
  </si>
  <si>
    <t>mrps18b</t>
  </si>
  <si>
    <t>mitochondrial ribosomal protein S18B [Source:ZFIN;Acc:ZDB-GENE-050417-278]</t>
  </si>
  <si>
    <t>ENSDARG00000104574</t>
  </si>
  <si>
    <t>pcsk6</t>
  </si>
  <si>
    <t>proprotein convertase subtilisin/kexin type 6 [Source:ZFIN;Acc:ZDB-GENE-100908-1]</t>
  </si>
  <si>
    <t>ENSDARG00000056914</t>
  </si>
  <si>
    <t>emg1</t>
  </si>
  <si>
    <t>EMG1 N1-specific pseudouridine methyltransferase [Source:ZFIN;Acc:ZDB-GENE-060421-2909]</t>
  </si>
  <si>
    <t>ENSDARG00000078284</t>
  </si>
  <si>
    <t>phkb</t>
  </si>
  <si>
    <t>phosphorylase kinase, beta [Source:ZFIN;Acc:ZDB-GENE-110411-149]</t>
  </si>
  <si>
    <t>ENSDARG00000044002</t>
  </si>
  <si>
    <t>cyp2x7</t>
  </si>
  <si>
    <t>cytochrome P450, family 2, subfamily X, polypeptide 7 [Source:ZFIN;Acc:ZDB-GENE-110114-2]</t>
  </si>
  <si>
    <t>ENSDARG00000071492</t>
  </si>
  <si>
    <t>fbxo45</t>
  </si>
  <si>
    <t>F-box protein 45 [Source:ZFIN;Acc:ZDB-GENE-040426-1450]</t>
  </si>
  <si>
    <t>ENSDARG00000036257</t>
  </si>
  <si>
    <t>rasal2</t>
  </si>
  <si>
    <t>RAS protein activator like 2 [Source:ZFIN;Acc:ZDB-GENE-070912-180]</t>
  </si>
  <si>
    <t>ENSDARG00000015915</t>
  </si>
  <si>
    <t>slc25a36b</t>
  </si>
  <si>
    <t>solute carrier family 25 (pyrimidine nucleotide carrier ), member 36b [Source:ZFIN;Acc:ZDB-GENE-080219-28]</t>
  </si>
  <si>
    <t>ENSDARG00000051861</t>
  </si>
  <si>
    <t>pkp3a</t>
  </si>
  <si>
    <t>plakophilin 3a [Source:ZFIN;Acc:ZDB-GENE-060512-114]</t>
  </si>
  <si>
    <t>ENSDARG00000009494</t>
  </si>
  <si>
    <t>xrcc1</t>
  </si>
  <si>
    <t>X-ray repair complementing defective repair in Chinese hamster cells 1 [Source:ZFIN;Acc:ZDB-GENE-040822-30]</t>
  </si>
  <si>
    <t>ENSDARG00000078468</t>
  </si>
  <si>
    <t>fap</t>
  </si>
  <si>
    <t>fibroblast activation protein, alpha [Source:ZFIN;Acc:ZDB-GENE-081104-439]</t>
  </si>
  <si>
    <t>ENSDARG00000018559</t>
  </si>
  <si>
    <t>kdm7ab</t>
  </si>
  <si>
    <t>lysine (K)-specific demethylase 7Ab [Source:ZFIN;Acc:ZDB-GENE-050309-32]</t>
  </si>
  <si>
    <t>ENSDARG00000035577</t>
  </si>
  <si>
    <t>cds2</t>
  </si>
  <si>
    <t>CDP-diacylglycerol synthase (phosphatidate cytidylyltransferase) 2 [Source:ZFIN;Acc:ZDB-GENE-030717-4]</t>
  </si>
  <si>
    <t>ENSDARG00000104470</t>
  </si>
  <si>
    <t>syngr2b</t>
  </si>
  <si>
    <t>synaptogyrin 2b [Source:ZFIN;Acc:ZDB-GENE-070424-19]</t>
  </si>
  <si>
    <t>ENSDARG00000098187</t>
  </si>
  <si>
    <t>kctd14</t>
  </si>
  <si>
    <t>potassium channel tetramerization domain containing 14 [Source:ZFIN;Acc:ZDB-GENE-120215-239]</t>
  </si>
  <si>
    <t>ENSDARG00000074852</t>
  </si>
  <si>
    <t>myo15b</t>
  </si>
  <si>
    <t>myosin XVB [Source:ZFIN;Acc:ZDB-GENE-030131-4797]</t>
  </si>
  <si>
    <t>ENSDARG00000019062</t>
  </si>
  <si>
    <t>arpc5b</t>
  </si>
  <si>
    <t>actin related protein 2/3 complex, subunit 5B [Source:ZFIN;Acc:ZDB-GENE-040120-7]</t>
  </si>
  <si>
    <t>ENSDARG00000068127</t>
  </si>
  <si>
    <t>si:ch211-194e1.9</t>
  </si>
  <si>
    <t>si:ch211-194e1.9 [Source:ZFIN;Acc:ZDB-GENE-081105-109]</t>
  </si>
  <si>
    <t>ENSDARG00000019235</t>
  </si>
  <si>
    <t>sema3aa</t>
  </si>
  <si>
    <t>sema domain, immunoglobulin domain (Ig), short basic domain, secreted, (semaphorin) 3Aa [Source:ZFIN;Acc:ZDB-GENE-991209-3]</t>
  </si>
  <si>
    <t>ENSDARG00000069934</t>
  </si>
  <si>
    <t>parp4</t>
  </si>
  <si>
    <t>poly (ADP-ribose) polymerase family, member 4 [Source:ZFIN;Acc:ZDB-GENE-070912-387]</t>
  </si>
  <si>
    <t>ENSDARG00000028335</t>
  </si>
  <si>
    <t>hmga1a</t>
  </si>
  <si>
    <t>high mobility group AT-hook 1a [Source:ZFIN;Acc:ZDB-GENE-010502-1]</t>
  </si>
  <si>
    <t>ENSDARG00000079278</t>
  </si>
  <si>
    <t>zgc:174877</t>
  </si>
  <si>
    <t>zgc:174877 [Source:ZFIN;Acc:ZDB-GENE-041008-66]</t>
  </si>
  <si>
    <t>ENSDARG00000031756</t>
  </si>
  <si>
    <t>mef2aa</t>
  </si>
  <si>
    <t>myocyte enhancer factor 2aa [Source:ZFIN;Acc:ZDB-GENE-990415-163]</t>
  </si>
  <si>
    <t>ENSDARG00000019304</t>
  </si>
  <si>
    <t>phactr3b</t>
  </si>
  <si>
    <t>phosphatase and actin regulator 3b [Source:ZFIN;Acc:ZDB-GENE-050522-156]</t>
  </si>
  <si>
    <t>ENSDARG00000101563</t>
  </si>
  <si>
    <t>yars2</t>
  </si>
  <si>
    <t>ENSDARG00000016477</t>
  </si>
  <si>
    <t>eif4a2</t>
  </si>
  <si>
    <t>eukaryotic translation initiation factor 4A, isoform 2 [Source:ZFIN;Acc:ZDB-GENE-040426-2802]</t>
  </si>
  <si>
    <t>ENSDARG00000077299</t>
  </si>
  <si>
    <t>yars2.1</t>
  </si>
  <si>
    <t>tyrosyl-tRNA synthetase 2, mitochondrial [Source:ZFIN;Acc:ZDB-GENE-030131-6268]</t>
  </si>
  <si>
    <t>ENSDARG00000018553</t>
  </si>
  <si>
    <t>ifih1</t>
  </si>
  <si>
    <t>interferon induced with helicase C domain 1 [Source:ZFIN;Acc:ZDB-GENE-081104-438]</t>
  </si>
  <si>
    <t>ENSDARG00000044282</t>
  </si>
  <si>
    <t>smc5</t>
  </si>
  <si>
    <t>structural maintenance of chromosomes 5 [Source:ZFIN;Acc:ZDB-GENE-061013-288]</t>
  </si>
  <si>
    <t>ENSDARG00000071652</t>
  </si>
  <si>
    <t>RRP8</t>
  </si>
  <si>
    <t>si:ch211-149e23.3 [Source:ZFIN;Acc:ZDB-GENE-030131-8898]</t>
  </si>
  <si>
    <t>ENSDARG00000092873</t>
  </si>
  <si>
    <t>zgc:193541</t>
  </si>
  <si>
    <t>zgc:193541 [Source:ZFIN;Acc:ZDB-GENE-081022-15]</t>
  </si>
  <si>
    <t>ENSDARG00000029075</t>
  </si>
  <si>
    <t>pfkfb4b</t>
  </si>
  <si>
    <t>6-phosphofructo-2-kinase/fructose-2,6-biphosphatase 4b [Source:ZFIN;Acc:ZDB-GENE-031031-4]</t>
  </si>
  <si>
    <t>ENSDARG00000019383</t>
  </si>
  <si>
    <t>cdc42bpb</t>
  </si>
  <si>
    <t>CDC42 binding protein kinase beta (DMPK-like) [Source:ZFIN;Acc:ZDB-GENE-030131-3647]</t>
  </si>
  <si>
    <t>ENSDARG00000096539</t>
  </si>
  <si>
    <t>si:ch211-278f21.4</t>
  </si>
  <si>
    <t>si:ch211-278f21.4 [Source:ZFIN;Acc:ZDB-GENE-121214-147]</t>
  </si>
  <si>
    <t>ENSDARG00000075584</t>
  </si>
  <si>
    <t>itfg1.1</t>
  </si>
  <si>
    <t>ENSDARG00000040644</t>
  </si>
  <si>
    <t>pxylp1</t>
  </si>
  <si>
    <t>2-phosphoxylose phosphatase 1 [Source:ZFIN;Acc:ZDB-GENE-040718-127]</t>
  </si>
  <si>
    <t>ENSDARG00000040907</t>
  </si>
  <si>
    <t>gcgb</t>
  </si>
  <si>
    <t>glucagon b [Source:ZFIN;Acc:ZDB-GENE-040712-2]</t>
  </si>
  <si>
    <t>ENSDARG00000043307</t>
  </si>
  <si>
    <t>srd5a3</t>
  </si>
  <si>
    <t>steroid 5 alpha-reductase 3 [Source:ZFIN;Acc:ZDB-GENE-030131-7915]</t>
  </si>
  <si>
    <t>ENSDARG00000006422</t>
  </si>
  <si>
    <t>esyt3</t>
  </si>
  <si>
    <t>extended synaptotagmin-like protein 3 [Source:ZFIN;Acc:ZDB-GENE-050809-35]</t>
  </si>
  <si>
    <t>ENSDARG00000073837</t>
  </si>
  <si>
    <t>senp2</t>
  </si>
  <si>
    <t>SUMO1/sentrin/SMT3 specific peptidase 2 [Source:ZFIN;Acc:ZDB-GENE-060810-183]</t>
  </si>
  <si>
    <t>ENSDARG00000054271</t>
  </si>
  <si>
    <t>cdkn1bb</t>
  </si>
  <si>
    <t>cyclin-dependent kinase inhibitor 1Bb [Source:ZFIN;Acc:ZDB-GENE-030521-13]</t>
  </si>
  <si>
    <t>ENSDARG00000055238</t>
  </si>
  <si>
    <t>kif17</t>
  </si>
  <si>
    <t>kinesin family member 17 [Source:ZFIN;Acc:ZDB-GENE-080724-12]</t>
  </si>
  <si>
    <t>ENSDARG00000100826</t>
  </si>
  <si>
    <t>hif1al</t>
  </si>
  <si>
    <t>hypoxia-inducible factor 1, alpha subunit, like [Source:ZFIN;Acc:ZDB-GENE-040426-1315]</t>
  </si>
  <si>
    <t>ENSDARG00000016611</t>
  </si>
  <si>
    <t>scrn3</t>
  </si>
  <si>
    <t>secernin 3 [Source:ZFIN;Acc:ZDB-GENE-030131-4783]</t>
  </si>
  <si>
    <t>ENSDARG00000076667</t>
  </si>
  <si>
    <t>ccng1</t>
  </si>
  <si>
    <t>cyclin G1 [Source:ZFIN;Acc:ZDB-GENE-020322-1]</t>
  </si>
  <si>
    <t>ENSDARG00000020261</t>
  </si>
  <si>
    <t>rab2a</t>
  </si>
  <si>
    <t>RAB2A, member RAS oncogene family [Source:ZFIN;Acc:ZDB-GENE-011212-2]</t>
  </si>
  <si>
    <t>ENSDARG00000033804</t>
  </si>
  <si>
    <t>snx27a</t>
  </si>
  <si>
    <t>sorting nexin family member 27a [Source:ZFIN;Acc:ZDB-GENE-060503-371]</t>
  </si>
  <si>
    <t>ENSDARG00000067796</t>
  </si>
  <si>
    <t>clpxb</t>
  </si>
  <si>
    <t>caseinolytic mitochondrial matrix peptidase chaperone subunit b [Source:ZFIN;Acc:ZDB-GENE-130404-1]</t>
  </si>
  <si>
    <t>ENSDARG00000005186</t>
  </si>
  <si>
    <t>sp4</t>
  </si>
  <si>
    <t>sp4 transcription factor [Source:ZFIN;Acc:ZDB-GENE-031202-3]</t>
  </si>
  <si>
    <t>ENSDARG00000040777</t>
  </si>
  <si>
    <t>inhbb</t>
  </si>
  <si>
    <t>inhibin, beta B [Source:ZFIN;Acc:ZDB-GENE-990415-2]</t>
  </si>
  <si>
    <t>ENSDARG00000042791</t>
  </si>
  <si>
    <t>git2b</t>
  </si>
  <si>
    <t>G protein-coupled receptor kinase interacting ArfGAP 2b [Source:ZFIN;Acc:ZDB-GENE-070112-2192]</t>
  </si>
  <si>
    <t>ENSDARG00000042545</t>
  </si>
  <si>
    <t>sema3ga</t>
  </si>
  <si>
    <t>sema domain, immunoglobulin domain (Ig), short basic domain, secreted, (semaphorin) 3Ga [Source:ZFIN;Acc:ZDB-GENE-050513-3]</t>
  </si>
  <si>
    <t>ENSDARG00000037593</t>
  </si>
  <si>
    <t>prickle2b</t>
  </si>
  <si>
    <t>prickle homolog 2b [Source:ZFIN;Acc:ZDB-GENE-030724-6]</t>
  </si>
  <si>
    <t>ENSDARG00000017490</t>
  </si>
  <si>
    <t>cel.1</t>
  </si>
  <si>
    <t>carboxyl ester lipase, tandem duplicate 1 [Source:ZFIN;Acc:ZDB-GENE-030131-1201]</t>
  </si>
  <si>
    <t>ENSDARG00000104476</t>
  </si>
  <si>
    <t>si:dkey-41c6.3</t>
  </si>
  <si>
    <t>si:dkey-41c6.3 [Source:ZFIN;Acc:ZDB-GENE-070705-469]</t>
  </si>
  <si>
    <t>ENSDARG00000063133</t>
  </si>
  <si>
    <t>slc4a10a</t>
  </si>
  <si>
    <t>solute carrier family 4, sodium bicarbonate transporter, member 10a [Source:ZFIN;Acc:ZDB-GENE-100215-3]</t>
  </si>
  <si>
    <t>ENSDARG00000098374</t>
  </si>
  <si>
    <t>FLNB</t>
  </si>
  <si>
    <t>filamin B [Source:HGNC Symbol;Acc:HGNC:3755]</t>
  </si>
  <si>
    <t>ENSDARG00000036070</t>
  </si>
  <si>
    <t>znrd1</t>
  </si>
  <si>
    <t>zinc ribbon domain containing 1 [Source:ZFIN;Acc:ZDB-GENE-050320-131]</t>
  </si>
  <si>
    <t>ENSDARG00000060089</t>
  </si>
  <si>
    <t>btaf1</t>
  </si>
  <si>
    <t>BTAF1 RNA polymerase II, B-TFIID transcription factor-associated [Source:ZFIN;Acc:ZDB-GENE-021025-1]</t>
  </si>
  <si>
    <t>ENSDARG00000025641</t>
  </si>
  <si>
    <t>gli2a</t>
  </si>
  <si>
    <t>GLI family zinc finger 2a [Source:ZFIN;Acc:ZDB-GENE-990706-8]</t>
  </si>
  <si>
    <t>ENSDARG00000079377</t>
  </si>
  <si>
    <t>arhgef38</t>
  </si>
  <si>
    <t>Rho guanine nucleotide exchange factor (GEF) 38 [Source:ZFIN;Acc:ZDB-GENE-090313-83]</t>
  </si>
  <si>
    <t>ENSDARG00000062970</t>
  </si>
  <si>
    <t>fam129ba</t>
  </si>
  <si>
    <t>family with sequence similarity 129, member Ba [Source:ZFIN;Acc:ZDB-GENE-070112-1222]</t>
  </si>
  <si>
    <t>ENSDARG00000058660</t>
  </si>
  <si>
    <t>ilf3a</t>
  </si>
  <si>
    <t>interleukin enhancer binding factor 3a [Source:ZFIN;Acc:ZDB-GENE-030131-3151]</t>
  </si>
  <si>
    <t>ENSDARG00000022614</t>
  </si>
  <si>
    <t>ddx43</t>
  </si>
  <si>
    <t>DEAD (Asp-Glu-Ala-Asp) box polypeptide 43 [Source:ZFIN;Acc:ZDB-GENE-080204-77]</t>
  </si>
  <si>
    <t>ENSDARG00000090537</t>
  </si>
  <si>
    <t>ifit11</t>
  </si>
  <si>
    <t>interferon-induced protein with tetratricopeptide repeats 11 [Source:ZFIN;Acc:ZDB-GENE-121214-302]</t>
  </si>
  <si>
    <t>ENSDARG00000095665</t>
  </si>
  <si>
    <t>si:ch211-191a16.2</t>
  </si>
  <si>
    <t>si:ch211-191a16.2 [Source:ZFIN;Acc:ZDB-GENE-081028-45]</t>
  </si>
  <si>
    <t>ENSDARG00000062123</t>
  </si>
  <si>
    <t>agap1</t>
  </si>
  <si>
    <t>ArfGAP with GTPase domain, ankyrin repeat and PH domain 1 [Source:ZFIN;Acc:ZDB-GENE-130405-1]</t>
  </si>
  <si>
    <t>ENSDARG00000016393</t>
  </si>
  <si>
    <t>arf2b</t>
  </si>
  <si>
    <t>ADP-ribosylation factor 2b [Source:ZFIN;Acc:ZDB-GENE-030131-5234]</t>
  </si>
  <si>
    <t>ENSDARG00000007467</t>
  </si>
  <si>
    <t>ifit10</t>
  </si>
  <si>
    <t>interferon-induced protein with tetratricopeptide repeats 10 [Source:ZFIN;Acc:ZDB-GENE-121214-248]</t>
  </si>
  <si>
    <t>ENSDARG00000062964</t>
  </si>
  <si>
    <t>si:dkey-246g23.2</t>
  </si>
  <si>
    <t>si:dkey-246g23.2 [Source:ZFIN;Acc:ZDB-GENE-050419-100]</t>
  </si>
  <si>
    <t>ENSDARG00000105255</t>
  </si>
  <si>
    <t>zbtb4</t>
  </si>
  <si>
    <t>zinc finger and BTB domain containing 4 [Source:ZFIN;Acc:ZDB-GENE-100318-5]</t>
  </si>
  <si>
    <t>ENSDARG00000099332</t>
  </si>
  <si>
    <t>si:ch211-134a4.4</t>
  </si>
  <si>
    <t>si:ch211-134a4.4 [Source:ZFIN;Acc:ZDB-GENE-131127-265]</t>
  </si>
  <si>
    <t>ENSDARG00000078954</t>
  </si>
  <si>
    <t>rxrba</t>
  </si>
  <si>
    <t>retinoid x receptor, beta a [Source:ZFIN;Acc:ZDB-GENE-980526-436]</t>
  </si>
  <si>
    <t>ENSDARG00000097367</t>
  </si>
  <si>
    <t>cdc14b</t>
  </si>
  <si>
    <t>ENSDARG00000010767</t>
  </si>
  <si>
    <t>epha4l</t>
  </si>
  <si>
    <t>eph receptor A4, like [Source:ZFIN;Acc:ZDB-GENE-990415-61]</t>
  </si>
  <si>
    <t>ENSDARG00000068125</t>
  </si>
  <si>
    <t>nfu1</t>
  </si>
  <si>
    <t>NFU1 iron-sulfur cluster scaffold homolog (S. cerevisiae) [Source:ZFIN;Acc:ZDB-GENE-050417-365]</t>
  </si>
  <si>
    <t>ENSDARG00000070229</t>
  </si>
  <si>
    <t>zgc:158258</t>
  </si>
  <si>
    <t>zgc:158258 [Source:ZFIN;Acc:ZDB-GENE-070112-2272]</t>
  </si>
  <si>
    <t>ENSDARG00000074246</t>
  </si>
  <si>
    <t>rab14</t>
  </si>
  <si>
    <t>RAB14, member RAS oncogene family [Source:ZFIN;Acc:ZDB-GENE-030826-20]</t>
  </si>
  <si>
    <t>ENSDARG00000021483</t>
  </si>
  <si>
    <t>cdc14b.1</t>
  </si>
  <si>
    <t>cell division cycle 14B [Source:ZFIN;Acc:ZDB-GENE-040426-820]</t>
  </si>
  <si>
    <t>ENSDARG00000069283</t>
  </si>
  <si>
    <t>ercc8</t>
  </si>
  <si>
    <t>excision repair cross-complementation group 8 [Source:ZFIN;Acc:ZDB-GENE-041010-60]</t>
  </si>
  <si>
    <t>ENSDARG00000018382</t>
  </si>
  <si>
    <t>prkcha</t>
  </si>
  <si>
    <t>protein kinase C, eta, a [Source:ZFIN;Acc:ZDB-GENE-080402-5]</t>
  </si>
  <si>
    <t>ENSDARG00000026839</t>
  </si>
  <si>
    <t>med21</t>
  </si>
  <si>
    <t>mediator complex subunit 21 [Source:ZFIN;Acc:ZDB-GENE-040426-2763]</t>
  </si>
  <si>
    <t>ENSDARG00000036069</t>
  </si>
  <si>
    <t>ddx39b</t>
  </si>
  <si>
    <t>DEAD (Asp-Glu-Ala-Asp) box polypeptide 39B [Source:ZFIN;Acc:ZDB-GENE-040426-1259]</t>
  </si>
  <si>
    <t>ENSDARG00000016132</t>
  </si>
  <si>
    <t>keap1a</t>
  </si>
  <si>
    <t>kelch-like ECH-associated protein 1a [Source:ZFIN;Acc:ZDB-GENE-030131-556]</t>
  </si>
  <si>
    <t>ENSDARG00000056582</t>
  </si>
  <si>
    <t>map3k14b</t>
  </si>
  <si>
    <t>mitogen-activated protein kinase kinase kinase 14b [Source:ZFIN;Acc:ZDB-GENE-091204-121]</t>
  </si>
  <si>
    <t>ENSDARG00000033604</t>
  </si>
  <si>
    <t>lrpap1</t>
  </si>
  <si>
    <t>low density lipoprotein receptor-related protein associated protein 1 [Source:ZFIN;Acc:ZDB-GENE-030131-5871]</t>
  </si>
  <si>
    <t>ENSDARG00000076014</t>
  </si>
  <si>
    <t>ERC1</t>
  </si>
  <si>
    <t>si:dkey-222l13.1 [Source:ZFIN;Acc:ZDB-GENE-110411-39]</t>
  </si>
  <si>
    <t>ENSDARG00000096902</t>
  </si>
  <si>
    <t>si:ch211-180n24.3</t>
  </si>
  <si>
    <t>si:ch211-180n24.3 [Source:ZFIN;Acc:ZDB-GENE-131121-454]</t>
  </si>
  <si>
    <t>ENSDARG00000105273</t>
  </si>
  <si>
    <t>si:ch73-295i22.2</t>
  </si>
  <si>
    <t>si:ch73-295i22.2 [Source:ZFIN;Acc:ZDB-GENE-141222-38]</t>
  </si>
  <si>
    <t>ENSDARG00000105441</t>
  </si>
  <si>
    <t>pcdh11</t>
  </si>
  <si>
    <t>protocadherin 11 [Source:ZFIN;Acc:ZDB-GENE-140106-21]</t>
  </si>
  <si>
    <t>ENSDARG00000005397</t>
  </si>
  <si>
    <t>trim3b</t>
  </si>
  <si>
    <t>tripartite motif containing 3b [Source:ZFIN;Acc:ZDB-GENE-070112-1132]</t>
  </si>
  <si>
    <t>ENSDARG00000069194</t>
  </si>
  <si>
    <t>mycbpap</t>
  </si>
  <si>
    <t>mycbp associated protein [Source:ZFIN;Acc:ZDB-GENE-080923-1]</t>
  </si>
  <si>
    <t>ENSDARG00000053864</t>
  </si>
  <si>
    <t>elmsan1b</t>
  </si>
  <si>
    <t>ELM2 and Myb/SANT-like domain containing 1b [Source:ZFIN;Acc:ZDB-GENE-131121-13]</t>
  </si>
  <si>
    <t>ENSDARG00000093658</t>
  </si>
  <si>
    <t>tm7sf3</t>
  </si>
  <si>
    <t>transmembrane 7 superfamily member 3 [Source:ZFIN;Acc:ZDB-GENE-030131-1770]</t>
  </si>
  <si>
    <t>ENSDARG00000062370</t>
  </si>
  <si>
    <t>bcl2l13</t>
  </si>
  <si>
    <t>BCL2-like 13 (apoptosis facilitator) [Source:ZFIN;Acc:ZDB-GENE-050419-215]</t>
  </si>
  <si>
    <t>ENSDARG00000057910</t>
  </si>
  <si>
    <t>mrps34</t>
  </si>
  <si>
    <t>mitochondrial ribosomal protein S34 [Source:ZFIN;Acc:ZDB-GENE-041114-71]</t>
  </si>
  <si>
    <t>ENSDARG00000061889</t>
  </si>
  <si>
    <t>ppcs</t>
  </si>
  <si>
    <t>phosphopantothenoylcysteine synthetase [Source:ZFIN;Acc:ZDB-GENE-060512-104]</t>
  </si>
  <si>
    <t>ENSDARG00000098652</t>
  </si>
  <si>
    <t>pcdh11.1</t>
  </si>
  <si>
    <t>ENSDARG00000045522</t>
  </si>
  <si>
    <t>si:dkeyp-89c11.3</t>
  </si>
  <si>
    <t>si:dkeyp-89c11.3 [Source:ZFIN;Acc:ZDB-GENE-041210-203]</t>
  </si>
  <si>
    <t>ENSDARG00000009544</t>
  </si>
  <si>
    <t>cldnb</t>
  </si>
  <si>
    <t>claudin b [Source:ZFIN;Acc:ZDB-GENE-010328-2]</t>
  </si>
  <si>
    <t>ENSDARG00000100099</t>
  </si>
  <si>
    <t>si:ch211-263l8.1</t>
  </si>
  <si>
    <t>si:ch211-263l8.1 [Source:ZFIN;Acc:ZDB-GENE-120703-29]</t>
  </si>
  <si>
    <t>ENSDARG00000008884</t>
  </si>
  <si>
    <t>hprt1</t>
  </si>
  <si>
    <t>hypoxanthine phosphoribosyltransferase 1 [Source:ZFIN;Acc:ZDB-GENE-040426-1918]</t>
  </si>
  <si>
    <t>ENSDARG00000077737</t>
  </si>
  <si>
    <t>spsb3a</t>
  </si>
  <si>
    <t>splA/ryanodine receptor domain and SOCS box containing 3a [Source:ZFIN;Acc:ZDB-GENE-030131-4182]</t>
  </si>
  <si>
    <t>ENSDARG00000011579</t>
  </si>
  <si>
    <t>hoxb10a</t>
  </si>
  <si>
    <t>homeo box B10a [Source:ZFIN;Acc:ZDB-GENE-000328-2]</t>
  </si>
  <si>
    <t>ENSDARG00000062967</t>
  </si>
  <si>
    <t>kcng4a</t>
  </si>
  <si>
    <t>potassium voltage-gated channel, subfamily G, member 4a [Source:ZFIN;Acc:ZDB-GENE-050419-11]</t>
  </si>
  <si>
    <t>ENSDARG00000019404</t>
  </si>
  <si>
    <t>atp5d</t>
  </si>
  <si>
    <t>ATP synthase, H+ transporting, mitochondrial F1 complex, delta subunit [Source:ZFIN;Acc:ZDB-GENE-030131-7649]</t>
  </si>
  <si>
    <t>ENSDARG00000079067</t>
  </si>
  <si>
    <t>mms19</t>
  </si>
  <si>
    <t>MMS19 homolog, cytosolic iron-sulfur assembly component [Source:ZFIN;Acc:ZDB-GENE-120316-2]</t>
  </si>
  <si>
    <t>ENSDARG00000010472</t>
  </si>
  <si>
    <t>atp1a2a</t>
  </si>
  <si>
    <t>ATPase, Na+/K+ transporting, alpha 2a polypeptide [Source:ZFIN;Acc:ZDB-GENE-001212-6]</t>
  </si>
  <si>
    <t>ENSDARG00000104782</t>
  </si>
  <si>
    <t>oaz1b</t>
  </si>
  <si>
    <t>ornithine decarboxylase antizyme 1b [Source:ZFIN;Acc:ZDB-GENE-020731-5]</t>
  </si>
  <si>
    <t>ENSDARG00000069482</t>
  </si>
  <si>
    <t>traf1</t>
  </si>
  <si>
    <t>TNF receptor-associated factor 1 [Source:ZFIN;Acc:ZDB-GENE-071120-4]</t>
  </si>
  <si>
    <t>ENSDARG00000101622</t>
  </si>
  <si>
    <t>mrps7</t>
  </si>
  <si>
    <t>mitochondrial ribosomal protein S7 [Source:ZFIN;Acc:ZDB-GENE-050809-112]</t>
  </si>
  <si>
    <t>ENSDARG00000100280</t>
  </si>
  <si>
    <t>znfx1</t>
  </si>
  <si>
    <t>zinc finger, NFX1-type containing 1 [Source:ZFIN;Acc:ZDB-GENE-110804-2]</t>
  </si>
  <si>
    <t>ENSDARG00000016743</t>
  </si>
  <si>
    <t>angel2</t>
  </si>
  <si>
    <t>angel homolog 2 (Drosophila) [Source:ZFIN;Acc:ZDB-GENE-030131-6498]</t>
  </si>
  <si>
    <t>ENSDARG00000024775</t>
  </si>
  <si>
    <t>si:ch211-129c21.1</t>
  </si>
  <si>
    <t>si:ch211-129c21.1 [Source:ZFIN;Acc:ZDB-GENE-030131-5796]</t>
  </si>
  <si>
    <t>ENSDARG00000015978</t>
  </si>
  <si>
    <t>zgc:86599</t>
  </si>
  <si>
    <t>zgc:86599 [Source:ZFIN;Acc:ZDB-GENE-040625-180]</t>
  </si>
  <si>
    <t>ENSDARG00000017658</t>
  </si>
  <si>
    <t>gmppb</t>
  </si>
  <si>
    <t>GDP-mannose pyrophosphorylase B [Source:ZFIN;Acc:ZDB-GENE-040801-234]</t>
  </si>
  <si>
    <t>ENSDARG00000098452</t>
  </si>
  <si>
    <t>si:dkey-151g22.1</t>
  </si>
  <si>
    <t>si:dkey-151g22.1 [Source:ZFIN;Acc:ZDB-GENE-041001-115]</t>
  </si>
  <si>
    <t>ENSDARG00000045190</t>
  </si>
  <si>
    <t>ch25h</t>
  </si>
  <si>
    <t>cholesterol 25-hydroxylase [Source:ZFIN;Acc:ZDB-GENE-041212-81]</t>
  </si>
  <si>
    <t>ENSDARG00000091831</t>
  </si>
  <si>
    <t>ddx27</t>
  </si>
  <si>
    <t>DEAD (Asp-Glu-Ala-Asp) box polypeptide 27 [Source:ZFIN;Acc:ZDB-GENE-031001-8]</t>
  </si>
  <si>
    <t>ENSDARG00000069878</t>
  </si>
  <si>
    <t>snu13a</t>
  </si>
  <si>
    <t>SNU13 homolog, small nuclear ribonucleoprotein a (U4/U6.U5) [Source:ZFIN;Acc:ZDB-GENE-040426-879]</t>
  </si>
  <si>
    <t>ENSDARG00000027710</t>
  </si>
  <si>
    <t>btbd16</t>
  </si>
  <si>
    <t>BTB (POZ) domain containing 16 [Source:ZFIN;Acc:ZDB-GENE-100513-3]</t>
  </si>
  <si>
    <t>ENSDARG00000031795</t>
  </si>
  <si>
    <t>abcf1</t>
  </si>
  <si>
    <t>ATP-binding cassette, sub-family F (GCN20), member 1 [Source:ZFIN;Acc:ZDB-GENE-050517-31]</t>
  </si>
  <si>
    <t>ENSDARG00000103007</t>
  </si>
  <si>
    <t>rps3</t>
  </si>
  <si>
    <t>ribosomal protein S3 [Source:ZFIN;Acc:ZDB-GENE-030131-8494]</t>
  </si>
  <si>
    <t>ENSDARG00000059885</t>
  </si>
  <si>
    <t>frmd3</t>
  </si>
  <si>
    <t>FERM domain containing 3 [Source:ZFIN;Acc:ZDB-GENE-070523-1]</t>
  </si>
  <si>
    <t>ENSDARG00000060452</t>
  </si>
  <si>
    <t>sdk2b</t>
  </si>
  <si>
    <t>sidekick cell adhesion molecule 2b [Source:ZFIN;Acc:ZDB-GENE-030131-8203]</t>
  </si>
  <si>
    <t>ENSDARG00000062799</t>
  </si>
  <si>
    <t>baiap2a</t>
  </si>
  <si>
    <t>BAI1-associated protein 2a [Source:ZFIN;Acc:ZDB-GENE-060421-2756]</t>
  </si>
  <si>
    <t>ENSDARG00000003091</t>
  </si>
  <si>
    <t>oclnb</t>
  </si>
  <si>
    <t>occludin b [Source:ZFIN;Acc:ZDB-GENE-041212-43]</t>
  </si>
  <si>
    <t>ENSDARG00000003910</t>
  </si>
  <si>
    <t>med13b</t>
  </si>
  <si>
    <t>mediator complex subunit 13b [Source:ZFIN;Acc:ZDB-GENE-030131-3529]</t>
  </si>
  <si>
    <t>ENSDARG00000013734</t>
  </si>
  <si>
    <t>polr3glb</t>
  </si>
  <si>
    <t>polymerase (RNA) III (DNA directed) polypeptide G like b [Source:ZFIN;Acc:ZDB-GENE-041010-32]</t>
  </si>
  <si>
    <t>ENSDARG00000043666</t>
  </si>
  <si>
    <t>abt1</t>
  </si>
  <si>
    <t>activator of basal transcription 1 [Source:ZFIN;Acc:ZDB-GENE-050522-127]</t>
  </si>
  <si>
    <t>ENSDARG00000016745</t>
  </si>
  <si>
    <t>slc35f6</t>
  </si>
  <si>
    <t>solute carrier family 35, member F6 [Source:ZFIN;Acc:ZDB-GENE-040718-297]</t>
  </si>
  <si>
    <t>ENSDARG00000100588</t>
  </si>
  <si>
    <t>rpl36</t>
  </si>
  <si>
    <t>ribosomal protein L36 [Source:ZFIN;Acc:ZDB-GENE-040622-2]</t>
  </si>
  <si>
    <t>ENSDARG00000070682</t>
  </si>
  <si>
    <t>sdf4</t>
  </si>
  <si>
    <t>stromal cell derived factor 4 [Source:ZFIN;Acc:ZDB-GENE-040426-2061]</t>
  </si>
  <si>
    <t>ENSDARG00000101377</t>
  </si>
  <si>
    <t>ccdc142</t>
  </si>
  <si>
    <t>coiled-coil domain containing 142 [Source:ZFIN;Acc:ZDB-GENE-030131-6705]</t>
  </si>
  <si>
    <t>ENSDARG00000091150</t>
  </si>
  <si>
    <t>mki67</t>
  </si>
  <si>
    <t>marker of proliferation Ki-67 [Source:ZFIN;Acc:ZDB-GENE-030131-9771]</t>
  </si>
  <si>
    <t>ENSDARG00000009215</t>
  </si>
  <si>
    <t>zgc:112437</t>
  </si>
  <si>
    <t>zgc:112437 [Source:ZFIN;Acc:ZDB-GENE-050417-293]</t>
  </si>
  <si>
    <t>ENSDARG00000021539</t>
  </si>
  <si>
    <t>ephb2b</t>
  </si>
  <si>
    <t>eph receptor B2b [Source:ZFIN;Acc:ZDB-GENE-050522-415]</t>
  </si>
  <si>
    <t>ENSDARG00000009899</t>
  </si>
  <si>
    <t>znf385a</t>
  </si>
  <si>
    <t>zinc finger protein 385A [Source:ZFIN;Acc:ZDB-GENE-090313-255]</t>
  </si>
  <si>
    <t>ENSDARG00000042069</t>
  </si>
  <si>
    <t>pebp1</t>
  </si>
  <si>
    <t>phosphatidylethanolamine binding protein 1 [Source:ZFIN;Acc:ZDB-GENE-040426-2621]</t>
  </si>
  <si>
    <t>ENSDARG00000015016</t>
  </si>
  <si>
    <t>kif26ab</t>
  </si>
  <si>
    <t>kinesin family member 26Ab [Source:ZFIN;Acc:ZDB-GENE-100716-6]</t>
  </si>
  <si>
    <t>ENSDARG00000016771</t>
  </si>
  <si>
    <t>tfa</t>
  </si>
  <si>
    <t>transferrin-a [Source:ZFIN;Acc:ZDB-GENE-980526-35]</t>
  </si>
  <si>
    <t>ENSDARG00000043185</t>
  </si>
  <si>
    <t>mllt1a</t>
  </si>
  <si>
    <t>myeloid/lymphoid or mixed-lineage leukemia; translocated to, 1a [Source:ZFIN;Acc:ZDB-GENE-081105-45]</t>
  </si>
  <si>
    <t>ENSDARG00000039489</t>
  </si>
  <si>
    <t>git1</t>
  </si>
  <si>
    <t>G protein-coupled receptor kinase interacting ArfGAP 1 [Source:ZFIN;Acc:ZDB-GENE-100408-5]</t>
  </si>
  <si>
    <t>ENSDARG00000023989</t>
  </si>
  <si>
    <t>pef1</t>
  </si>
  <si>
    <t>penta-EF-hand domain containing 1 [Source:ZFIN;Acc:ZDB-GENE-040801-259]</t>
  </si>
  <si>
    <t>ENSDARG00000078105</t>
  </si>
  <si>
    <t>depdc5</t>
  </si>
  <si>
    <t>DEP domain containing 5 [Source:ZFIN;Acc:ZDB-GENE-091204-356]</t>
  </si>
  <si>
    <t>ENSDARG00000029510</t>
  </si>
  <si>
    <t>timm17a</t>
  </si>
  <si>
    <t>translocase of inner mitochondrial membrane 17 homolog A (yeast) [Source:ZFIN;Acc:ZDB-GENE-031030-6]</t>
  </si>
  <si>
    <t>ENSDARG00000015552</t>
  </si>
  <si>
    <t>phactr4a</t>
  </si>
  <si>
    <t>phosphatase and actin regulator 4a [Source:ZFIN;Acc:ZDB-GENE-051030-69]</t>
  </si>
  <si>
    <t>ENSDARG00000017780</t>
  </si>
  <si>
    <t>rorcb</t>
  </si>
  <si>
    <t>RAR-related orphan receptor C b [Source:ZFIN;Acc:ZDB-GENE-040724-215]</t>
  </si>
  <si>
    <t>ENSDARG00000057632</t>
  </si>
  <si>
    <t>ppp1r42</t>
  </si>
  <si>
    <t>protein phosphatase 1, regulatory subunit 42 [Source:ZFIN;Acc:ZDB-GENE-040704-43]</t>
  </si>
  <si>
    <t>ENSDARG00000011157</t>
  </si>
  <si>
    <t>arhgef18a</t>
  </si>
  <si>
    <t>rho/rac guanine nucleotide exchange factor (GEF) 18a [Source:ZFIN;Acc:ZDB-GENE-040516-14]</t>
  </si>
  <si>
    <t>ENSDARG00000006580</t>
  </si>
  <si>
    <t>cldnd</t>
  </si>
  <si>
    <t>claudin d [Source:ZFIN;Acc:ZDB-GENE-010328-4]</t>
  </si>
  <si>
    <t>ENSDARG00000104111</t>
  </si>
  <si>
    <t>mrps30</t>
  </si>
  <si>
    <t>mitochondrial ribosomal protein S30 [Source:ZFIN;Acc:ZDB-GENE-050809-4]</t>
  </si>
  <si>
    <t>ENSDARG00000077492</t>
  </si>
  <si>
    <t>atp8a2</t>
  </si>
  <si>
    <t>ATPase, aminophospholipid transporter, class I, type 8A, member 2 [Source:ZFIN;Acc:ZDB-GENE-100209-2]</t>
  </si>
  <si>
    <t>ENSDARG00000008542</t>
  </si>
  <si>
    <t>yod1</t>
  </si>
  <si>
    <t>YOD1 deubiquitinase [Source:ZFIN;Acc:ZDB-GENE-050417-217]</t>
  </si>
  <si>
    <t>ENSDARG00000103473</t>
  </si>
  <si>
    <t>si:dkeyp-87d1.10</t>
  </si>
  <si>
    <t>si:dkeyp-87d1.10 [Source:ZFIN;Acc:ZDB-GENE-131121-22]</t>
  </si>
  <si>
    <t>ENSDARG00000102608</t>
  </si>
  <si>
    <t>zgc:109986</t>
  </si>
  <si>
    <t>zgc:109986 [Source:ZFIN;Acc:ZDB-GENE-050522-136]</t>
  </si>
  <si>
    <t>ENSDARG00000096717</t>
  </si>
  <si>
    <t>si:rp71-1c10.7</t>
  </si>
  <si>
    <t>si:rp71-1c10.7 [Source:ZFIN;Acc:ZDB-GENE-030131-7204]</t>
  </si>
  <si>
    <t>ENSDARG00000069946</t>
  </si>
  <si>
    <t>itga6b</t>
  </si>
  <si>
    <t>integrin, alpha 6b [Source:ZFIN;Acc:ZDB-GENE-050320-5]</t>
  </si>
  <si>
    <t>ENSDARG00000013004</t>
  </si>
  <si>
    <t>tdg.1</t>
  </si>
  <si>
    <t>thymine DNA glycosylase, tandem duplicate 1 [Source:ZFIN;Acc:ZDB-GENE-050522-44]</t>
  </si>
  <si>
    <t>ENSDARG00000104665</t>
  </si>
  <si>
    <t>kirrel3l</t>
  </si>
  <si>
    <t>kin of IRRE like 3 like [Source:ZFIN;Acc:ZDB-GENE-070831-1]</t>
  </si>
  <si>
    <t>ENSDARG00000059437</t>
  </si>
  <si>
    <t>fktn</t>
  </si>
  <si>
    <t>fukutin [Source:ZFIN;Acc:ZDB-GENE-070410-96]</t>
  </si>
  <si>
    <t>ENSDARG00000004049</t>
  </si>
  <si>
    <t>marcksa</t>
  </si>
  <si>
    <t>myristoylated alanine-rich protein kinase C substrate a [Source:ZFIN;Acc:ZDB-GENE-050522-145]</t>
  </si>
  <si>
    <t>ENSDARG00000068123</t>
  </si>
  <si>
    <t>gkap1</t>
  </si>
  <si>
    <t>G kinase anchoring protein 1 [Source:ZFIN;Acc:ZDB-GENE-040426-2485]</t>
  </si>
  <si>
    <t>ENSDARG00000074768</t>
  </si>
  <si>
    <t>zgc:113295</t>
  </si>
  <si>
    <t>zgc:113295 [Source:ZFIN;Acc:ZDB-GENE-050320-122]</t>
  </si>
  <si>
    <t>ENSDARG00000095603</t>
  </si>
  <si>
    <t>grid2ipb</t>
  </si>
  <si>
    <t>glutamate receptor, ionotropic, delta 2 (Grid2) interacting protein, b [Source:ZFIN;Acc:ZDB-GENE-040724-161]</t>
  </si>
  <si>
    <t>ENSDARG00000004017</t>
  </si>
  <si>
    <t>spag1a</t>
  </si>
  <si>
    <t>sperm associated antigen 1a [Source:ZFIN;Acc:ZDB-GENE-030131-9443]</t>
  </si>
  <si>
    <t>ENSDARG00000056723</t>
  </si>
  <si>
    <t>fhad1</t>
  </si>
  <si>
    <t>forkhead-associated (FHA) phosphopeptide binding domain 1 [Source:ZFIN;Acc:ZDB-GENE-041210-354]</t>
  </si>
  <si>
    <t>ENSDARG00000054867</t>
  </si>
  <si>
    <t>hibch</t>
  </si>
  <si>
    <t>3-hydroxyisobutyryl-CoA hydrolase [Source:ZFIN;Acc:ZDB-GENE-050327-29]</t>
  </si>
  <si>
    <t>ENSDARG00000061719</t>
  </si>
  <si>
    <t>si:dkey-23p11.2</t>
  </si>
  <si>
    <t>si:dkey-23p11.2 [Source:ZFIN;Acc:ZDB-GENE-100427-4]</t>
  </si>
  <si>
    <t>ENSDARG00000056023</t>
  </si>
  <si>
    <t>hoxb9a</t>
  </si>
  <si>
    <t>homeobox B9a [Source:ZFIN;Acc:ZDB-GENE-990415-109]</t>
  </si>
  <si>
    <t>ENSDARG00000033852</t>
  </si>
  <si>
    <t>mad1l1</t>
  </si>
  <si>
    <t>MAD1 mitotic arrest deficient-like 1 [Source:ZFIN;Acc:ZDB-GENE-040426-1081]</t>
  </si>
  <si>
    <t>ENSDARG00000014138</t>
  </si>
  <si>
    <t>acot8</t>
  </si>
  <si>
    <t>acyl-CoA thioesterase 8 [Source:ZFIN;Acc:ZDB-GENE-041010-174]</t>
  </si>
  <si>
    <t>ENSDARG00000089230</t>
  </si>
  <si>
    <t>si:ch211-253b8.2</t>
  </si>
  <si>
    <t>si:ch211-253b8.2 [Source:ZFIN;Acc:ZDB-GENE-030131-4633]</t>
  </si>
  <si>
    <t>ENSDARG00000070826</t>
  </si>
  <si>
    <t>bpgm</t>
  </si>
  <si>
    <t>2,3-bisphosphoglycerate mutase [Source:ZFIN;Acc:ZDB-GENE-040718-375]</t>
  </si>
  <si>
    <t>ENSDARG00000102734</t>
  </si>
  <si>
    <t>wdr48a</t>
  </si>
  <si>
    <t>WD repeat domain 48a [Source:ZFIN;Acc:ZDB-GENE-061110-55]</t>
  </si>
  <si>
    <t>ENSDARG00000076945</t>
  </si>
  <si>
    <t>dsg2.1</t>
  </si>
  <si>
    <t>desmoglein 2, tandem duplicate 1 [Source:ZFIN;Acc:ZDB-GENE-030131-7531]</t>
  </si>
  <si>
    <t>ENSDARG00000077955</t>
  </si>
  <si>
    <t>rnf6</t>
  </si>
  <si>
    <t>ring finger protein (C3H2C3 type) 6 [Source:ZFIN;Acc:ZDB-GENE-100209-1]</t>
  </si>
  <si>
    <t>ENSDARG00000040455</t>
  </si>
  <si>
    <t>unc50</t>
  </si>
  <si>
    <t>unc-50 homolog (C. elegans) [Source:ZFIN;Acc:ZDB-GENE-040426-907]</t>
  </si>
  <si>
    <t>ENSDARG00000058322</t>
  </si>
  <si>
    <t>enc3</t>
  </si>
  <si>
    <t>ectodermal-neural cortex 3 [Source:ZFIN;Acc:ZDB-GENE-030131-5742]</t>
  </si>
  <si>
    <t>ENSDARG00000077515</t>
  </si>
  <si>
    <t>letm2</t>
  </si>
  <si>
    <t>leucine zipper-EF-hand containing transmembrane protein 2 [Source:ZFIN;Acc:ZDB-GENE-090521-4]</t>
  </si>
  <si>
    <t>ENSDARG00000102626</t>
  </si>
  <si>
    <t>frem2b</t>
  </si>
  <si>
    <t>frem2b.1</t>
  </si>
  <si>
    <t>Fras1 related extracellular matrix protein 2b [Source:ZFIN;Acc:ZDB-GENE-081119-4]</t>
  </si>
  <si>
    <t>ENSDARG00000054220</t>
  </si>
  <si>
    <t>ap4s1</t>
  </si>
  <si>
    <t>adaptor-related protein complex 4, sigma 1 subunit [Source:ZFIN;Acc:ZDB-GENE-030616-404]</t>
  </si>
  <si>
    <t>ENSDARG00000100774</t>
  </si>
  <si>
    <t>cmc4</t>
  </si>
  <si>
    <t>C-x(9)-C motif containing 4 homolog (S. cerevisiae) [Source:ZFIN;Acc:ZDB-GENE-120216-1]</t>
  </si>
  <si>
    <t>ENSDARG00000079571</t>
  </si>
  <si>
    <t>zgc:162161</t>
  </si>
  <si>
    <t>zgc:162161 [Source:ZFIN;Acc:ZDB-GENE-070410-26]</t>
  </si>
  <si>
    <t>ENSDARG00000093137</t>
  </si>
  <si>
    <t>si:ch211-218d20.10</t>
  </si>
  <si>
    <t>si:ch211-218d20.10 [Source:ZFIN;Acc:ZDB-GENE-070912-191]</t>
  </si>
  <si>
    <t>ENSDARG00000041372</t>
  </si>
  <si>
    <t>zgc:136564</t>
  </si>
  <si>
    <t>zgc:136564 [Source:ZFIN;Acc:ZDB-GENE-070410-3]</t>
  </si>
  <si>
    <t>ENSDARG00000054903</t>
  </si>
  <si>
    <t>mta3</t>
  </si>
  <si>
    <t>metastasis associated 1 family, member 3 [Source:ZFIN;Acc:ZDB-GENE-030131-6485]</t>
  </si>
  <si>
    <t>ENSDARG00000062173</t>
  </si>
  <si>
    <t>camsap2a</t>
  </si>
  <si>
    <t>calmodulin regulated spectrin-associated protein family, member 2a [Source:ZFIN;Acc:ZDB-GENE-030131-3016]</t>
  </si>
  <si>
    <t>ENSDARG00000070358</t>
  </si>
  <si>
    <t>smim12</t>
  </si>
  <si>
    <t>small integral membrane protein 12 [Source:ZFIN;Acc:ZDB-GENE-050320-101]</t>
  </si>
  <si>
    <t>ENSDARG00000101642</t>
  </si>
  <si>
    <t>si:ch211-155m12.1</t>
  </si>
  <si>
    <t>si:ch211-155m12.1 [Source:ZFIN;Acc:ZDB-GENE-060526-51]</t>
  </si>
  <si>
    <t>ENSDARG00000096661</t>
  </si>
  <si>
    <t>si:ch211-286b5.5</t>
  </si>
  <si>
    <t>si:ch211-286b5.5 [Source:ZFIN;Acc:ZDB-GENE-121214-209]</t>
  </si>
  <si>
    <t>ENSDARG00000001729</t>
  </si>
  <si>
    <t>strn3</t>
  </si>
  <si>
    <t>striatin, calmodulin binding protein 3 [Source:ZFIN;Acc:ZDB-GENE-030616-405]</t>
  </si>
  <si>
    <t>ENSDARG00000007996</t>
  </si>
  <si>
    <t>pou2f1b</t>
  </si>
  <si>
    <t>POU class 2 homeobox 1b [Source:ZFIN;Acc:ZDB-GENE-030131-2422]</t>
  </si>
  <si>
    <t>ENSDARG00000070674</t>
  </si>
  <si>
    <t>psmd6</t>
  </si>
  <si>
    <t>proteasome 26S subunit, non-ATPase 6 [Source:ZFIN;Acc:ZDB-GENE-040426-1038]</t>
  </si>
  <si>
    <t>ENSDARG00000028815</t>
  </si>
  <si>
    <t>zgc:162945</t>
  </si>
  <si>
    <t>zgc:162945 [Source:ZFIN;Acc:ZDB-GENE-030131-3975]</t>
  </si>
  <si>
    <t>ENSDARG00000096142</t>
  </si>
  <si>
    <t>si:dkey-54f18.2</t>
  </si>
  <si>
    <t>si:dkey-54f18.2 [Source:ZFIN;Acc:ZDB-GENE-110914-244]</t>
  </si>
  <si>
    <t>ENSDARG00000015989</t>
  </si>
  <si>
    <t>zdhhc16b</t>
  </si>
  <si>
    <t>zinc finger, DHHC-type containing 16b [Source:ZFIN;Acc:ZDB-GENE-040426-1301]</t>
  </si>
  <si>
    <t>ENSDARG00000058000</t>
  </si>
  <si>
    <t>cep350</t>
  </si>
  <si>
    <t>centrosomal protein 350 [Source:ZFIN;Acc:ZDB-GENE-030131-6975]</t>
  </si>
  <si>
    <t>ENSDARG00000062008</t>
  </si>
  <si>
    <t>hs2st1b</t>
  </si>
  <si>
    <t>heparan sulfate 2-O-sulfotransferase 1b [Source:ZFIN;Acc:ZDB-GENE-100304-1]</t>
  </si>
  <si>
    <t>ENSDARG00000071772</t>
  </si>
  <si>
    <t>si:ch211-253p2.2</t>
  </si>
  <si>
    <t>si:ch211-253p2.2 [Source:ZFIN;Acc:ZDB-GENE-041111-272]</t>
  </si>
  <si>
    <t>ENSDARG00000099966</t>
  </si>
  <si>
    <t>polr2a</t>
  </si>
  <si>
    <t>polymerase (RNA) II (DNA directed) polypeptide A [Source:ZFIN;Acc:ZDB-GENE-041008-78]</t>
  </si>
  <si>
    <t>ENSDARG00000020258</t>
  </si>
  <si>
    <t>ewsr1a</t>
  </si>
  <si>
    <t>EWS RNA-binding protein 1a [Source:ZFIN;Acc:ZDB-GENE-030131-2317]</t>
  </si>
  <si>
    <t>ENSDARG00000102578</t>
  </si>
  <si>
    <t>mif4gdb</t>
  </si>
  <si>
    <t>MIF4G domain containing b [Source:ZFIN;Acc:ZDB-GENE-050227-7]</t>
  </si>
  <si>
    <t>ENSDARG00000036074</t>
  </si>
  <si>
    <t>cebpa</t>
  </si>
  <si>
    <t>CCAAT/enhancer binding protein (C/EBP), alpha [Source:ZFIN;Acc:ZDB-GENE-020111-2]</t>
  </si>
  <si>
    <t>ENSDARG00000026448</t>
  </si>
  <si>
    <t>med29</t>
  </si>
  <si>
    <t>mediator complex subunit 29 [Source:ZFIN;Acc:ZDB-GENE-021217-1]</t>
  </si>
  <si>
    <t>ENSDARG00000000730</t>
  </si>
  <si>
    <t>slc6a13</t>
  </si>
  <si>
    <t>solute carrier family 6 (neurotransmitter transporter), member 13 [Source:ZFIN;Acc:ZDB-GENE-030616-629]</t>
  </si>
  <si>
    <t>ENSDARG00000009142</t>
  </si>
  <si>
    <t>ppp1r13bb</t>
  </si>
  <si>
    <t>protein phosphatase 1, regulatory subunit 13Bb [Source:ZFIN;Acc:ZDB-GENE-030131-4327]</t>
  </si>
  <si>
    <t>ENSDARG00000033501</t>
  </si>
  <si>
    <t>zgc:64189</t>
  </si>
  <si>
    <t>zgc:64189 [Source:ZFIN;Acc:ZDB-GENE-040426-1397]</t>
  </si>
  <si>
    <t>ENSDARG00000043493</t>
  </si>
  <si>
    <t>cltca</t>
  </si>
  <si>
    <t>clathrin, heavy chain a (Hc) [Source:ZFIN;Acc:ZDB-GENE-030131-2299]</t>
  </si>
  <si>
    <t>ENSDARG00000035556</t>
  </si>
  <si>
    <t>rps6ka3a</t>
  </si>
  <si>
    <t>ribosomal protein S6 kinase a, polypeptide 3a [Source:ZFIN;Acc:ZDB-GENE-030219-119]</t>
  </si>
  <si>
    <t>ENSDARG00000073913</t>
  </si>
  <si>
    <t>pimr213</t>
  </si>
  <si>
    <t>Pim proto-oncogene, serine/threonine kinase, related 213 [Source:ZFIN;Acc:ZDB-GENE-041014-208]</t>
  </si>
  <si>
    <t>ENSDARG00000086317</t>
  </si>
  <si>
    <t>si:ch211-67e16.4</t>
  </si>
  <si>
    <t>si:ch211-67e16.4 [Source:ZFIN;Acc:ZDB-GENE-070912-311]</t>
  </si>
  <si>
    <t>ENSDARG00000075666</t>
  </si>
  <si>
    <t>tsc22d3</t>
  </si>
  <si>
    <t>TSC22 domain family, member 3 [Source:ZFIN;Acc:ZDB-GENE-040426-1433]</t>
  </si>
  <si>
    <t>ENSDARG00000030161</t>
  </si>
  <si>
    <t>ppp1r14bb</t>
  </si>
  <si>
    <t>protein phosphatase 1, regulatory (inhibitor) subunit 14Bb [Source:ZFIN;Acc:ZDB-GENE-030616-595]</t>
  </si>
  <si>
    <t>ENSDARG00000052082</t>
  </si>
  <si>
    <t>gabarapb</t>
  </si>
  <si>
    <t>GABA(A) receptor-associated protein b [Source:ZFIN;Acc:ZDB-GENE-101102-9]</t>
  </si>
  <si>
    <t>ENSDARG00000009939</t>
  </si>
  <si>
    <t>micu2</t>
  </si>
  <si>
    <t>mitochondrial calcium uptake 2 [Source:ZFIN;Acc:ZDB-GENE-030131-3374]</t>
  </si>
  <si>
    <t>ENSDARG00000025226</t>
  </si>
  <si>
    <t>znf668</t>
  </si>
  <si>
    <t>zinc finger protein 668 [Source:ZFIN;Acc:ZDB-GENE-041001-46]</t>
  </si>
  <si>
    <t>ENSDARG00000007526</t>
  </si>
  <si>
    <t>ndufs2</t>
  </si>
  <si>
    <t>NADH dehydrogenase (ubiquinone) Fe-S protein 2 [Source:ZFIN;Acc:ZDB-GENE-050522-273]</t>
  </si>
  <si>
    <t>ENSDARG00000056720</t>
  </si>
  <si>
    <t>utp3</t>
  </si>
  <si>
    <t>UTP3, small subunit (SSU) processome component, homolog (S. cerevisiae) [Source:ZFIN;Acc:ZDB-GENE-040912-163]</t>
  </si>
  <si>
    <t>ENSDARG00000052348</t>
  </si>
  <si>
    <t>smarca5</t>
  </si>
  <si>
    <t>SWI/SNF related, matrix associated, actin dependent regulator of chromatin, subfamily a, member 5 [Source:ZFIN;Acc:ZDB-GENE-021125-1]</t>
  </si>
  <si>
    <t>ENSDARG00000093304</t>
  </si>
  <si>
    <t>si:dkey-221j11.3</t>
  </si>
  <si>
    <t>si:dkey-221j11.3 [Source:ZFIN;Acc:ZDB-GENE-090313-247]</t>
  </si>
  <si>
    <t>ENSDARG00000061424</t>
  </si>
  <si>
    <t>znf646p</t>
  </si>
  <si>
    <t>zinc finger protein 646, pseudogene [Source:ZFIN;Acc:ZDB-GENEP-040724-6]</t>
  </si>
  <si>
    <t>ENSDARG00000042995</t>
  </si>
  <si>
    <t>sptlc1</t>
  </si>
  <si>
    <t>serine palmitoyltransferase, long chain base subunit 1 [Source:ZFIN;Acc:ZDB-GENE-050522-61]</t>
  </si>
  <si>
    <t>ENSDARG00000023448</t>
  </si>
  <si>
    <t>galnt14</t>
  </si>
  <si>
    <t>UDP-N-acetyl-alpha-D-galactosamine:polypeptide N-acetylgalactosaminyltransferase 14 (GalNAc-T14) [Source:ZFIN;Acc:ZDB-GENE-041014-351]</t>
  </si>
  <si>
    <t>ENSDARG00000036335</t>
  </si>
  <si>
    <t>c1galt1c1</t>
  </si>
  <si>
    <t>C1GALT1-specific chaperone 1 [Source:ZFIN;Acc:ZDB-GENE-030131-2772]</t>
  </si>
  <si>
    <t>ENSDARG00000059804</t>
  </si>
  <si>
    <t>fam134c</t>
  </si>
  <si>
    <t>family with sequence similarity 134, member C [Source:ZFIN;Acc:ZDB-GENE-080520-1]</t>
  </si>
  <si>
    <t>ENSDARG00000011932</t>
  </si>
  <si>
    <t>prkcbp1l</t>
  </si>
  <si>
    <t>protein kinase C binding protein 1, like [Source:ZFIN;Acc:ZDB-GENE-030131-2199]</t>
  </si>
  <si>
    <t>ENSDARG00000006773</t>
  </si>
  <si>
    <t>elovl4a</t>
  </si>
  <si>
    <t>ELOVL fatty acid elongase 4a [Source:ZFIN;Acc:ZDB-GENE-040426-1767]</t>
  </si>
  <si>
    <t>ENSDARG00000102525</t>
  </si>
  <si>
    <t>lck</t>
  </si>
  <si>
    <t>LCK proto-oncogene, Src family tyrosine kinase [Source:ZFIN;Acc:ZDB-GENE-040617-1]</t>
  </si>
  <si>
    <t>ENSDARG00000042527</t>
  </si>
  <si>
    <t>unga</t>
  </si>
  <si>
    <t>uracil DNA glycosylase a [Source:ZFIN;Acc:ZDB-GENE-040426-900]</t>
  </si>
  <si>
    <t>ENSDARG00000093505</t>
  </si>
  <si>
    <t>si:ch211-215m21.31</t>
  </si>
  <si>
    <t>si:ch211-215m21.31 [Source:ZFIN;Acc:ZDB-GENE-070705-115]</t>
  </si>
  <si>
    <t>ENSDARG00000061757</t>
  </si>
  <si>
    <t>rabgap1l</t>
  </si>
  <si>
    <t>RAB GTPase activating protein 1-like [Source:ZFIN;Acc:ZDB-GENE-050208-389]</t>
  </si>
  <si>
    <t>ENSDARG00000075437</t>
  </si>
  <si>
    <t>shc1</t>
  </si>
  <si>
    <t>SHC (Src homology 2 domain containing) transforming protein 1 [Source:ZFIN;Acc:ZDB-GENE-030131-2538]</t>
  </si>
  <si>
    <t>ENSDARG00000103740</t>
  </si>
  <si>
    <t>fundc2</t>
  </si>
  <si>
    <t>fun14 domain containing 2 [Source:ZFIN;Acc:ZDB-GENE-041010-26]</t>
  </si>
  <si>
    <t>ENSDARG00000018914</t>
  </si>
  <si>
    <t>hnrnpk</t>
  </si>
  <si>
    <t>heterogeneous nuclear ribonucleoprotein K [Source:ZFIN;Acc:ZDB-GENE-040426-1926]</t>
  </si>
  <si>
    <t>ENSDARG00000024365</t>
  </si>
  <si>
    <t>crlf1a</t>
  </si>
  <si>
    <t>cytokine receptor-like factor 1a [Source:ZFIN;Acc:ZDB-GENE-040718-397]</t>
  </si>
  <si>
    <t>ENSDARG00000040854</t>
  </si>
  <si>
    <t>tsg101a</t>
  </si>
  <si>
    <t>tumor susceptibility 101a [Source:ZFIN;Acc:ZDB-GENE-030217-1]</t>
  </si>
  <si>
    <t>ENSDARG00000079945</t>
  </si>
  <si>
    <t>dfnb59</t>
  </si>
  <si>
    <t>deafness, autosomal recessive 59 [Source:ZFIN;Acc:ZDB-GENE-110411-133]</t>
  </si>
  <si>
    <t>ENSDARG00000020647</t>
  </si>
  <si>
    <t>trpc4apb</t>
  </si>
  <si>
    <t>transient receptor potential cation channel, subfamily C, member 4 associated protein b [Source:ZFIN;Acc:ZDB-GENE-000330-2]</t>
  </si>
  <si>
    <t>ENSDARG00000004396</t>
  </si>
  <si>
    <t>b3gnt5b</t>
  </si>
  <si>
    <t>UDP-GlcNAc:betaGal beta-1,3-N-acetylglucosaminyltransferase 5b [Source:ZFIN;Acc:ZDB-GENE-041010-166]</t>
  </si>
  <si>
    <t>ENSDARG00000076899</t>
  </si>
  <si>
    <t>slc2a13b</t>
  </si>
  <si>
    <t>solute carrier family 2 (facilitated glucose transporter), member 13b [Source:ZFIN;Acc:ZDB-GENE-090812-1]</t>
  </si>
  <si>
    <t>ENSDARG00000002002</t>
  </si>
  <si>
    <t>lmcd1</t>
  </si>
  <si>
    <t>LIM and cysteine-rich domains 1 [Source:ZFIN;Acc:ZDB-GENE-040426-1067]</t>
  </si>
  <si>
    <t>ENSDARG00000005015</t>
  </si>
  <si>
    <t>TSPYL1</t>
  </si>
  <si>
    <t>zgc:66430 [Source:ZFIN;Acc:ZDB-GENE-030131-9158]</t>
  </si>
  <si>
    <t>ENSDARG00000060705</t>
  </si>
  <si>
    <t>nsd1b</t>
  </si>
  <si>
    <t>nuclear receptor binding SET domain protein 1b [Source:ZFIN;Acc:ZDB-GENE-080519-2]</t>
  </si>
  <si>
    <t>ENSDARG00000056027</t>
  </si>
  <si>
    <t>hoxb8a</t>
  </si>
  <si>
    <t>homeobox B8a [Source:ZFIN;Acc:ZDB-GENE-990415-108]</t>
  </si>
  <si>
    <t>ENSDARG00000100938</t>
  </si>
  <si>
    <t>hint2</t>
  </si>
  <si>
    <t>histidine triad nucleotide binding protein 2 [Source:ZFIN;Acc:ZDB-GENE-070410-139]</t>
  </si>
  <si>
    <t>ENSDARG00000026985</t>
  </si>
  <si>
    <t>lims1</t>
  </si>
  <si>
    <t>LIM and senescent cell antigen-like domains 1 [Source:ZFIN;Acc:ZDB-GENE-050522-236]</t>
  </si>
  <si>
    <t>ENSDARG00000092257</t>
  </si>
  <si>
    <t>si:dkeyp-93h6.3</t>
  </si>
  <si>
    <t>si:dkeyp-93h6.3 [Source:ZFIN;Acc:ZDB-GENE-040724-197]</t>
  </si>
  <si>
    <t>ENSDARG00000006314</t>
  </si>
  <si>
    <t>itgav</t>
  </si>
  <si>
    <t>integrin, alpha V [Source:ZFIN;Acc:ZDB-GENE-060616-382]</t>
  </si>
  <si>
    <t>ENSDARG00000097855</t>
  </si>
  <si>
    <t>si:ch211-3o3.9</t>
  </si>
  <si>
    <t>si:ch211-3o3.9 [Source:ZFIN;Acc:ZDB-GENE-131127-12]</t>
  </si>
  <si>
    <t>ENSDARG00000045858</t>
  </si>
  <si>
    <t>tigarb</t>
  </si>
  <si>
    <t>tp53-induced glycolysis and apoptosis regulator b [Source:ZFIN;Acc:ZDB-GENE-040426-885]</t>
  </si>
  <si>
    <t>ENSDARG00000095347</t>
  </si>
  <si>
    <t>si:dkeyp-72h1.1</t>
  </si>
  <si>
    <t>si:dkeyp-72h1.1 [Source:ZFIN;Acc:ZDB-GENE-050208-447]</t>
  </si>
  <si>
    <t>ENSDARG00000061100</t>
  </si>
  <si>
    <t>nars</t>
  </si>
  <si>
    <t>asparaginyl-tRNA synthetase [Source:ZFIN;Acc:ZDB-GENE-030131-1016]</t>
  </si>
  <si>
    <t>ENSDARG00000101251</t>
  </si>
  <si>
    <t>ldha</t>
  </si>
  <si>
    <t>lactate dehydrogenase A4 [Source:ZFIN;Acc:ZDB-GENE-991026-5]</t>
  </si>
  <si>
    <t>ENSDARG00000056961</t>
  </si>
  <si>
    <t>ccdc30</t>
  </si>
  <si>
    <t>coiled-coil domain containing 30 [Source:ZFIN;Acc:ZDB-GENE-130530-667]</t>
  </si>
  <si>
    <t>ENSDARG00000010411</t>
  </si>
  <si>
    <t>epn1</t>
  </si>
  <si>
    <t>epsin 1 [Source:ZFIN;Acc:ZDB-GENE-040426-2680]</t>
  </si>
  <si>
    <t>ENSDARG00000000729</t>
  </si>
  <si>
    <t>daxx</t>
  </si>
  <si>
    <t>death-domain associated protein [Source:ZFIN;Acc:ZDB-GENE-010110-3]</t>
  </si>
  <si>
    <t>ENSDARG00000013976</t>
  </si>
  <si>
    <t>anxa13</t>
  </si>
  <si>
    <t>annexin A13 [Source:ZFIN;Acc:ZDB-GENE-010406-1]</t>
  </si>
  <si>
    <t>ENSDARG00000074804</t>
  </si>
  <si>
    <t>atxn7</t>
  </si>
  <si>
    <t>ataxin 7 [Source:ZFIN;Acc:ZDB-GENE-110621-1]</t>
  </si>
  <si>
    <t>ENSDARG00000033771</t>
  </si>
  <si>
    <t>hspbap1</t>
  </si>
  <si>
    <t>hspb associated protein 1 [Source:ZFIN;Acc:ZDB-GENE-040808-38]</t>
  </si>
  <si>
    <t>ENSDARG00000014591</t>
  </si>
  <si>
    <t>ilf2</t>
  </si>
  <si>
    <t>interleukin enhancer binding factor 2 [Source:ZFIN;Acc:ZDB-GENE-040426-2345]</t>
  </si>
  <si>
    <t>ENSDARG00000006010</t>
  </si>
  <si>
    <t>bmi1a</t>
  </si>
  <si>
    <t>bmi1 polycomb ring finger oncogene 1a [Source:ZFIN;Acc:ZDB-GENE-030131-224]</t>
  </si>
  <si>
    <t>ENSDARG00000006169</t>
  </si>
  <si>
    <t>lrrk2</t>
  </si>
  <si>
    <t>leucine-rich repeat kinase 2 [Source:ZFIN;Acc:ZDB-GENE-071218-6]</t>
  </si>
  <si>
    <t>ENSDARG00000097791</t>
  </si>
  <si>
    <t>si:ch1073-277f7.2</t>
  </si>
  <si>
    <t>si:ch1073-277f7.2 [Source:ZFIN;Acc:ZDB-GENE-131121-570]</t>
  </si>
  <si>
    <t>ENSDARG00000042904</t>
  </si>
  <si>
    <t>foxo3b</t>
  </si>
  <si>
    <t>forkhead box O3b [Source:ZFIN;Acc:ZDB-GENE-990708-6]</t>
  </si>
  <si>
    <t>ENSDARG00000091678</t>
  </si>
  <si>
    <t>ints12</t>
  </si>
  <si>
    <t>integrator complex subunit 12 [Source:ZFIN;Acc:ZDB-GENE-040625-178]</t>
  </si>
  <si>
    <t>ENSDARG00000074340</t>
  </si>
  <si>
    <t>serf2</t>
  </si>
  <si>
    <t>small EDRK-rich factor 2 [Source:ZFIN;Acc:ZDB-GENE-041108-1]</t>
  </si>
  <si>
    <t>ENSDARG00000043026</t>
  </si>
  <si>
    <t>TTBK2</t>
  </si>
  <si>
    <t>si:dkey-12h9.11 [Source:ZFIN;Acc:ZDB-GENE-030131-8246]</t>
  </si>
  <si>
    <t>ENSDARG00000020311</t>
  </si>
  <si>
    <t>cnih1</t>
  </si>
  <si>
    <t>cornichon family AMPA receptor auxiliary protein 1 [Source:ZFIN;Acc:ZDB-GENE-040426-1944]</t>
  </si>
  <si>
    <t>ENSDARG00000054829</t>
  </si>
  <si>
    <t>pik3c3</t>
  </si>
  <si>
    <t>phosphatidylinositol 3-kinase, catalytic subunit type 3 [Source:ZFIN;Acc:ZDB-GENE-050410-13]</t>
  </si>
  <si>
    <t>ENSDARG00000077119</t>
  </si>
  <si>
    <t>carkd</t>
  </si>
  <si>
    <t>carbohydrate kinase domain containing [Source:ZFIN;Acc:ZDB-GENE-080204-1]</t>
  </si>
  <si>
    <t>ENSDARG00000042902</t>
  </si>
  <si>
    <t>lace1b</t>
  </si>
  <si>
    <t>lactation elevated 1b [Source:ZFIN;Acc:ZDB-GENE-041014-178]</t>
  </si>
  <si>
    <t>ENSDARG00000024651</t>
  </si>
  <si>
    <t>snrpa1</t>
  </si>
  <si>
    <t>small nuclear ribonucleoprotein polypeptide A' [Source:ZFIN;Acc:ZDB-GENE-041114-82]</t>
  </si>
  <si>
    <t>ENSDARG00000017058</t>
  </si>
  <si>
    <t>gyltl1b</t>
  </si>
  <si>
    <t>glycosyltransferase-like 1b [Source:ZFIN;Acc:ZDB-GENE-050419-253]</t>
  </si>
  <si>
    <t>ENSDARG00000042726</t>
  </si>
  <si>
    <t>GRB7</t>
  </si>
  <si>
    <t>si:ch211-253b1.3 [Source:ZFIN;Acc:ZDB-GENE-091118-23]</t>
  </si>
  <si>
    <t>ENSDARG00000041376</t>
  </si>
  <si>
    <t>rmi1</t>
  </si>
  <si>
    <t>RMI1, RecQ mediated genome instability 1, homolog (S. cerevisiae) [Source:ZFIN;Acc:ZDB-GENE-040426-829]</t>
  </si>
  <si>
    <t>ENSDARG00000035161</t>
  </si>
  <si>
    <t>pkdcca</t>
  </si>
  <si>
    <t>protein kinase domain containing, cytoplasmic a [Source:ZFIN;Acc:ZDB-GENE-081107-30]</t>
  </si>
  <si>
    <t>ENSDARG00000027595</t>
  </si>
  <si>
    <t>selt1b</t>
  </si>
  <si>
    <t>selenoprotein T, 1b [Source:ZFIN;Acc:ZDB-GENE-030411-1]</t>
  </si>
  <si>
    <t>ENSDARG00000042637</t>
  </si>
  <si>
    <t>tert</t>
  </si>
  <si>
    <t>telomerase reverse transcriptase [Source:ZFIN;Acc:ZDB-GENE-080405-1]</t>
  </si>
  <si>
    <t>ENSDARG00000003789</t>
  </si>
  <si>
    <t>dennd5b</t>
  </si>
  <si>
    <t>DENN/MADD domain containing 5B [Source:ZFIN;Acc:ZDB-GENE-030131-2248]</t>
  </si>
  <si>
    <t>ENSDARG00000104679</t>
  </si>
  <si>
    <t>si:dkey-20i10.5</t>
  </si>
  <si>
    <t>si:dkey-20i10.5 [Source:ZFIN;Acc:ZDB-GENE-090312-80]</t>
  </si>
  <si>
    <t>ENSDARG00000028327</t>
  </si>
  <si>
    <t>gmfb</t>
  </si>
  <si>
    <t>glia maturation factor, beta [Source:ZFIN;Acc:ZDB-GENE-040426-2114]</t>
  </si>
  <si>
    <t>ENSDARG00000017984</t>
  </si>
  <si>
    <t>zgc:172106</t>
  </si>
  <si>
    <t>zgc:172106 [Source:ZFIN;Acc:ZDB-GENE-080204-42]</t>
  </si>
  <si>
    <t>ENSDARG00000014209</t>
  </si>
  <si>
    <t>ODF3L2</t>
  </si>
  <si>
    <t>zgc:110183 [Source:ZFIN;Acc:ZDB-GENE-050417-380]</t>
  </si>
  <si>
    <t>ENSDARG00000033361</t>
  </si>
  <si>
    <t>asl</t>
  </si>
  <si>
    <t>argininosuccinate lyase [Source:ZFIN;Acc:ZDB-GENE-040426-1152]</t>
  </si>
  <si>
    <t>ENSDARG00000023920</t>
  </si>
  <si>
    <t>llgl2</t>
  </si>
  <si>
    <t>lethal giant larvae homolog 2 (Drosophila) [Source:ZFIN;Acc:ZDB-GENE-030131-9877]</t>
  </si>
  <si>
    <t>ENSDARG00000059897</t>
  </si>
  <si>
    <t>ntrk2a</t>
  </si>
  <si>
    <t>neurotrophic tyrosine kinase, receptor, type 2a [Source:ZFIN;Acc:ZDB-GENE-010126-1]</t>
  </si>
  <si>
    <t>ENSDARG00000000476</t>
  </si>
  <si>
    <t>pms1</t>
  </si>
  <si>
    <t>PMS1 homolog 1, mismatch repair system component [Source:ZFIN;Acc:ZDB-GENE-030616-528]</t>
  </si>
  <si>
    <t>ENSDARG00000069318</t>
  </si>
  <si>
    <t>efr3bb</t>
  </si>
  <si>
    <t>EFR3 homolog Bb (S. cerevisiae) [Source:ZFIN;Acc:ZDB-GENE-041014-293]</t>
  </si>
  <si>
    <t>ENSDARG00000069505</t>
  </si>
  <si>
    <t>zgc:136892</t>
  </si>
  <si>
    <t>zgc:136892 [Source:ZFIN;Acc:ZDB-GENE-060421-4745]</t>
  </si>
  <si>
    <t>ENSDARG00000002298</t>
  </si>
  <si>
    <t>ankrd22</t>
  </si>
  <si>
    <t>ankyrin repeat domain 22 [Source:ZFIN;Acc:ZDB-GENE-040426-1120]</t>
  </si>
  <si>
    <t>ENSDARG00000014181</t>
  </si>
  <si>
    <t>foxp1b</t>
  </si>
  <si>
    <t>forkhead box P1b [Source:ZFIN;Acc:ZDB-GENE-041203-1]</t>
  </si>
  <si>
    <t>ENSDARG00000087742</t>
  </si>
  <si>
    <t>map4k3a</t>
  </si>
  <si>
    <t>mitogen-activated protein kinase kinase kinase kinase 3a [Source:ZFIN;Acc:ZDB-GENE-130329-1]</t>
  </si>
  <si>
    <t>ENSDARG00000022177</t>
  </si>
  <si>
    <t>ddx59</t>
  </si>
  <si>
    <t>DEAD (Asp-Glu-Ala-Asp) box polypeptide 59 [Source:ZFIN;Acc:ZDB-GENE-050208-665]</t>
  </si>
  <si>
    <t>ENSDARG00000069507</t>
  </si>
  <si>
    <t>wbscr27</t>
  </si>
  <si>
    <t>Williams Beuren syndrome chromosome region 27 [Source:ZFIN;Acc:ZDB-GENE-060421-5918]</t>
  </si>
  <si>
    <t>ENSDARG00000034093</t>
  </si>
  <si>
    <t>dclk2a</t>
  </si>
  <si>
    <t>doublecortin-like kinase 2a [Source:ZFIN;Acc:ZDB-GENE-050420-170]</t>
  </si>
  <si>
    <t>ENSDARG00000009430</t>
  </si>
  <si>
    <t>tmem30c</t>
  </si>
  <si>
    <t>transmembrane protein 30C [Source:ZFIN;Acc:ZDB-GENE-040426-1127]</t>
  </si>
  <si>
    <t>ENSDARG00000099692</t>
  </si>
  <si>
    <t>ccnyl1</t>
  </si>
  <si>
    <t>cyclin Y-like 1 [Source:ZFIN;Acc:ZDB-GENE-060929-732]</t>
  </si>
  <si>
    <t>ENSDARG00000018529</t>
  </si>
  <si>
    <t>lipf</t>
  </si>
  <si>
    <t>lipase, gastric [Source:ZFIN;Acc:ZDB-GENE-040426-2737]</t>
  </si>
  <si>
    <t>ENSDARG00000067958</t>
  </si>
  <si>
    <t>sh3gl1a</t>
  </si>
  <si>
    <t>SH3-domain GRB2-like 1a [Source:ZFIN;Acc:ZDB-GENE-030131-4524]</t>
  </si>
  <si>
    <t>ENSDARG00000097768</t>
  </si>
  <si>
    <t>ltbp1</t>
  </si>
  <si>
    <t>ltbp1.1</t>
  </si>
  <si>
    <t>latent transforming growth factor beta binding protein 1 [Source:ZFIN;Acc:ZDB-GENE-091202-8]</t>
  </si>
  <si>
    <t>ENSDARG00000014333</t>
  </si>
  <si>
    <t>ormdl1</t>
  </si>
  <si>
    <t>ORMDL sphingolipid biosynthesis regulator 1 [Source:ZFIN;Acc:ZDB-GENE-030616-529]</t>
  </si>
  <si>
    <t>ENSDARG00000070048</t>
  </si>
  <si>
    <t>zgc:173548</t>
  </si>
  <si>
    <t>zgc:173548 [Source:ZFIN;Acc:ZDB-GENE-070928-39]</t>
  </si>
  <si>
    <t>ENSDARG00000079029</t>
  </si>
  <si>
    <t>dhx32b</t>
  </si>
  <si>
    <t>DEAH (Asp-Glu-Ala-His) box polypeptide 32b [Source:ZFIN;Acc:ZDB-GENE-130613-5]</t>
  </si>
  <si>
    <t>ENSDARG00000015228</t>
  </si>
  <si>
    <t>ero1a</t>
  </si>
  <si>
    <t>endoplasmic reticulum oxidoreductase alpha [Source:ZFIN;Acc:ZDB-GENE-040426-1312]</t>
  </si>
  <si>
    <t>ENSDARG00000063570</t>
  </si>
  <si>
    <t>dyrk1aa</t>
  </si>
  <si>
    <t>dual-specificity tyrosine-(Y)-phosphorylation regulated kinase 1A, a [Source:ZFIN;Acc:ZDB-GENE-050302-29]</t>
  </si>
  <si>
    <t>ENSDARG00000101655</t>
  </si>
  <si>
    <t>sstr5</t>
  </si>
  <si>
    <t>somatostatin receptor 5 [Source:ZFIN;Acc:ZDB-GENE-040426-2502]</t>
  </si>
  <si>
    <t>ENSDARG00000028559</t>
  </si>
  <si>
    <t>march5l</t>
  </si>
  <si>
    <t>membrane-associated ring finger (C3HC4) 5, like [Source:ZFIN;Acc:ZDB-GENE-030131-4792]</t>
  </si>
  <si>
    <t>ENSDARG00000062904</t>
  </si>
  <si>
    <t>idua</t>
  </si>
  <si>
    <t>iduronidase, alpha-L- [Source:ZFIN;Acc:ZDB-GENE-060526-29]</t>
  </si>
  <si>
    <t>ENSDARG00000092089</t>
  </si>
  <si>
    <t>si:ch211-196n4.10</t>
  </si>
  <si>
    <t>si:ch211-196n4.10 [Source:ZFIN;Acc:ZDB-GENE-061009-9]</t>
  </si>
  <si>
    <t>ENSDARG00000025567</t>
  </si>
  <si>
    <t>nf2b</t>
  </si>
  <si>
    <t>neurofibromin 2b (merlin) [Source:ZFIN;Acc:ZDB-GENE-040622-3]</t>
  </si>
  <si>
    <t>ENSDARG00000019702</t>
  </si>
  <si>
    <t>aldocb</t>
  </si>
  <si>
    <t>aldolase C, fructose-bisphosphate, b [Source:ZFIN;Acc:ZDB-GENE-030821-1]</t>
  </si>
  <si>
    <t>ENSDARG00000056030</t>
  </si>
  <si>
    <t>hoxb7a</t>
  </si>
  <si>
    <t>homeobox B7a [Source:ZFIN;Acc:ZDB-GENE-000329-2]</t>
  </si>
  <si>
    <t>ENSDARG00000036065</t>
  </si>
  <si>
    <t>mgat1b</t>
  </si>
  <si>
    <t>mannosyl (alpha-1,3-)-glycoprotein beta-1,2-N-acetylglucosaminyltransferase b [Source:ZFIN;Acc:ZDB-GENE-061103-589]</t>
  </si>
  <si>
    <t>ENSDARG00000010905</t>
  </si>
  <si>
    <t>mettl13</t>
  </si>
  <si>
    <t>methyltransferase like 13 [Source:ZFIN;Acc:ZDB-GENE-060929-60]</t>
  </si>
  <si>
    <t>ENSDARG00000069307</t>
  </si>
  <si>
    <t>pomcb</t>
  </si>
  <si>
    <t>proopiomelanocortin b [Source:ZFIN;Acc:ZDB-GENE-041014-294]</t>
  </si>
  <si>
    <t>ENSDARG00000090851</t>
  </si>
  <si>
    <t>ciita</t>
  </si>
  <si>
    <t>class II, major histocompatibility complex, transactivator [Source:ZFIN;Acc:ZDB-GENE-071116-6]</t>
  </si>
  <si>
    <t>ENSDARG00000069279</t>
  </si>
  <si>
    <t>elovl7a</t>
  </si>
  <si>
    <t>ELOVL fatty acid elongase 7a [Source:ZFIN;Acc:ZDB-GENE-030131-6149]</t>
  </si>
  <si>
    <t>ENSDARG00000105214</t>
  </si>
  <si>
    <t>agtpbp1</t>
  </si>
  <si>
    <t>ATP/GTP binding protein 1 [Source:ZFIN;Acc:ZDB-GENE-081104-267]</t>
  </si>
  <si>
    <t>ENSDARG00000007077</t>
  </si>
  <si>
    <t>si:dkey-145p14.5</t>
  </si>
  <si>
    <t>si:dkey-145p14.5 [Source:ZFIN;Acc:ZDB-GENE-041008-117]</t>
  </si>
  <si>
    <t>ENSDARG00000002988</t>
  </si>
  <si>
    <t>tnnt2d</t>
  </si>
  <si>
    <t>troponin T2d, cardiac [Source:ZFIN;Acc:ZDB-GENE-050626-97]</t>
  </si>
  <si>
    <t>ENSDARG00000005049</t>
  </si>
  <si>
    <t>rab20</t>
  </si>
  <si>
    <t>RAB20, member RAS oncogene family [Source:ZFIN;Acc:ZDB-GENE-030131-9143]</t>
  </si>
  <si>
    <t>ENSDARG00000068940</t>
  </si>
  <si>
    <t>atp5ib</t>
  </si>
  <si>
    <t>ATP synthase, H+ transporting, mitochondrial Fo complex, subunit Eb [Source:ZFIN;Acc:ZDB-GENE-051130-1]</t>
  </si>
  <si>
    <t>ENSDARG00000062460</t>
  </si>
  <si>
    <t>sgk3</t>
  </si>
  <si>
    <t>serum/glucocorticoid regulated kinase family, member 3 [Source:ZFIN;Acc:ZDB-GENE-070424-62]</t>
  </si>
  <si>
    <t>ENSDARG00000104542</t>
  </si>
  <si>
    <t>ppt2</t>
  </si>
  <si>
    <t>palmitoyl-protein thioesterase 2 [Source:ZFIN;Acc:ZDB-GENE-010430-4]</t>
  </si>
  <si>
    <t>ENSDARG00000101812</t>
  </si>
  <si>
    <t>SRCIN1</t>
  </si>
  <si>
    <t>zgc:114120 [Source:ZFIN;Acc:ZDB-GENE-050913-55]</t>
  </si>
  <si>
    <t>ENSDARG00000058801</t>
  </si>
  <si>
    <t>rev3l</t>
  </si>
  <si>
    <t>REV3-like, polymerase (DNA directed), zeta, catalytic subunit [Source:ZFIN;Acc:ZDB-GENE-050302-55]</t>
  </si>
  <si>
    <t>ENSDARG00000012892</t>
  </si>
  <si>
    <t>ammecr1</t>
  </si>
  <si>
    <t>Alport syndrome, mental retardation, midface hypoplasia and elliptocytosis chromosomal region gene 1 homolog (human) [Source:ZFIN;Acc:ZDB-GENE-040426-1533]</t>
  </si>
  <si>
    <t>ENSDARG00000036073</t>
  </si>
  <si>
    <t>cebpg</t>
  </si>
  <si>
    <t>CCAAT/enhancer binding protein (C/EBP), gamma [Source:ZFIN;Acc:ZDB-GENE-020111-5]</t>
  </si>
  <si>
    <t>ENSDARG00000074850</t>
  </si>
  <si>
    <t>il12rb2l</t>
  </si>
  <si>
    <t>interleukin 12 receptor, beta 2a, like [Source:ZFIN;Acc:ZDB-GENE-080107-6]</t>
  </si>
  <si>
    <t>ENSDARG00000098999</t>
  </si>
  <si>
    <t>si:ch73-311h14.2</t>
  </si>
  <si>
    <t>si:ch73-311h14.2 [Source:ZFIN;Acc:ZDB-GENE-030131-1610]</t>
  </si>
  <si>
    <t>ENSDARG00000020735</t>
  </si>
  <si>
    <t>efcab6</t>
  </si>
  <si>
    <t>EF-hand calcium binding domain 6 [Source:ZFIN;Acc:ZDB-GENE-070828-2]</t>
  </si>
  <si>
    <t>ENSDARG00000093732</t>
  </si>
  <si>
    <t>si:dkey-157g20.2</t>
  </si>
  <si>
    <t>si:dkey-157g20.2 [Source:ZFIN;Acc:ZDB-GENE-070705-300]</t>
  </si>
  <si>
    <t>ENSDARG00000070780</t>
  </si>
  <si>
    <t>rln3a</t>
  </si>
  <si>
    <t>relaxin 3a [Source:ZFIN;Acc:ZDB-GENE-050310-3]</t>
  </si>
  <si>
    <t>ENSDARG00000038847</t>
  </si>
  <si>
    <t>gins3</t>
  </si>
  <si>
    <t>GINS complex subunit 3 [Source:ZFIN;Acc:ZDB-GENE-040721-1]</t>
  </si>
  <si>
    <t>ENSDARG00000102307</t>
  </si>
  <si>
    <t>taf2</t>
  </si>
  <si>
    <t>TAF2 RNA polymerase II, TATA box binding protein (TBP)-associated factor [Source:ZFIN;Acc:ZDB-GENE-030131-3207]</t>
  </si>
  <si>
    <t>ENSDARG00000077962</t>
  </si>
  <si>
    <t>gltpb</t>
  </si>
  <si>
    <t>glycolipid transfer protein b [Source:ZFIN;Acc:ZDB-GENE-091118-80]</t>
  </si>
  <si>
    <t>ENSDARG00000088492</t>
  </si>
  <si>
    <t>cntrl</t>
  </si>
  <si>
    <t>centriolin [Source:ZFIN;Acc:ZDB-GENE-120608-3]</t>
  </si>
  <si>
    <t>ENSDARG00000062187</t>
  </si>
  <si>
    <t>kif14</t>
  </si>
  <si>
    <t>kinesin family member 14 [Source:ZFIN;Acc:ZDB-GENE-030131-5759]</t>
  </si>
  <si>
    <t>ENSDARG00000044422</t>
  </si>
  <si>
    <t>acvr2b</t>
  </si>
  <si>
    <t>activin A receptor, type IIB [Source:ZFIN;Acc:ZDB-GENE-980526-549]</t>
  </si>
  <si>
    <t>ENSDARG00000055548</t>
  </si>
  <si>
    <t>npat</t>
  </si>
  <si>
    <t>nuclear protein, ataxia-telangiectasia locus [Source:ZFIN;Acc:ZDB-GENE-050506-54]</t>
  </si>
  <si>
    <t>ENSDARG00000045801</t>
  </si>
  <si>
    <t>fbxl14b</t>
  </si>
  <si>
    <t>F-box and leucine-rich repeat protein 14b [Source:ZFIN;Acc:ZDB-GENE-030131-3556]</t>
  </si>
  <si>
    <t>ENSDARG00000098852</t>
  </si>
  <si>
    <t>smdt1b</t>
  </si>
  <si>
    <t>single-pass membrane protein with aspartate-rich tail 1b [Source:ZFIN;Acc:ZDB-GENE-141212-9]</t>
  </si>
  <si>
    <t>ENSDARG00000005823</t>
  </si>
  <si>
    <t>slc39a10</t>
  </si>
  <si>
    <t>solute carrier family 39 (zinc transporter), member 10 [Source:ZFIN;Acc:ZDB-GENE-040426-1157]</t>
  </si>
  <si>
    <t>ENSDARG00000033175</t>
  </si>
  <si>
    <t>snrpe</t>
  </si>
  <si>
    <t>small nuclear ribonucleoprotein polypeptide E [Source:ZFIN;Acc:ZDB-GENE-040426-1112]</t>
  </si>
  <si>
    <t>ENSDARG00000020475</t>
  </si>
  <si>
    <t>znrf1</t>
  </si>
  <si>
    <t>zinc and ring finger 1 [Source:ZFIN;Acc:ZDB-GENE-040426-1905]</t>
  </si>
  <si>
    <t>ENSDARG00000092998</t>
  </si>
  <si>
    <t>si:ch211-202f5.3</t>
  </si>
  <si>
    <t>si:ch211-202f5.3 [Source:ZFIN;Acc:ZDB-GENE-030131-1042]</t>
  </si>
  <si>
    <t>ENSDARG00000018000</t>
  </si>
  <si>
    <t>ubp1</t>
  </si>
  <si>
    <t>upstream binding protein 1 (LBP-1a) [Source:ZFIN;Acc:ZDB-GENE-060503-870]</t>
  </si>
  <si>
    <t>ENSDARG00000067639</t>
  </si>
  <si>
    <t>prpf4</t>
  </si>
  <si>
    <t>PRP4 pre-mRNA processing factor 4 homolog (yeast) [Source:ZFIN;Acc:ZDB-GENE-030131-5143]</t>
  </si>
  <si>
    <t>ENSDARG00000097877</t>
  </si>
  <si>
    <t>si:ch211-167b20.8</t>
  </si>
  <si>
    <t>si:ch211-167b20.8 [Source:ZFIN;Acc:ZDB-GENE-081104-147]</t>
  </si>
  <si>
    <t>ENSDARG00000062231</t>
  </si>
  <si>
    <t>znf362b</t>
  </si>
  <si>
    <t>zinc finger protein 362b [Source:ZFIN;Acc:ZDB-GENE-070424-35]</t>
  </si>
  <si>
    <t>ENSDARG00000099873</t>
  </si>
  <si>
    <t>zgc:163083</t>
  </si>
  <si>
    <t>zgc:163083 [Source:ZFIN;Acc:ZDB-GENE-070424-53]</t>
  </si>
  <si>
    <t>ENSDARG00000060165</t>
  </si>
  <si>
    <t>dnah7</t>
  </si>
  <si>
    <t>dynein, axonemal, heavy chain 7 [Source:ZFIN;Acc:ZDB-GENE-070912-282]</t>
  </si>
  <si>
    <t>ENSDARG00000053666</t>
  </si>
  <si>
    <t>myb</t>
  </si>
  <si>
    <t>v-myb avian myeloblastosis viral oncogene homolog [Source:ZFIN;Acc:ZDB-GENE-991110-14]</t>
  </si>
  <si>
    <t>ENSDARG00000057853</t>
  </si>
  <si>
    <t>atp6v0ca</t>
  </si>
  <si>
    <t>ATPase, H+ transporting, lysosomal, V0 subunit ca [Source:ZFIN;Acc:ZDB-GENE-020419-23]</t>
  </si>
  <si>
    <t>ENSDARG00000042308</t>
  </si>
  <si>
    <t>arhgef18b</t>
  </si>
  <si>
    <t>rho/rac guanine nucleotide exchange factor (GEF) 18b [Source:ZFIN;Acc:ZDB-GENE-070705-462]</t>
  </si>
  <si>
    <t>ENSDARG00000012274</t>
  </si>
  <si>
    <t>eif4e1c</t>
  </si>
  <si>
    <t>eukaryotic translation initiation factor 4E family member 1c [Source:ZFIN;Acc:ZDB-GENE-050417-398]</t>
  </si>
  <si>
    <t>ENSDARG00000012378</t>
  </si>
  <si>
    <t>naa35</t>
  </si>
  <si>
    <t>N(alpha)-acetyltransferase 35, NatC auxiliary subunit [Source:ZFIN;Acc:ZDB-GENE-030131-306]</t>
  </si>
  <si>
    <t>ENSDARG00000063177</t>
  </si>
  <si>
    <t>manf</t>
  </si>
  <si>
    <t>mesencephalic astrocyte-derived neurotrophic factor [Source:ZFIN;Acc:ZDB-GENE-060929-640]</t>
  </si>
  <si>
    <t>ENSDARG00000008127</t>
  </si>
  <si>
    <t>pcdh15b</t>
  </si>
  <si>
    <t>protocadherin-related 15b [Source:ZFIN;Acc:ZDB-GENE-050214-1]</t>
  </si>
  <si>
    <t>ENSDARG00000053517</t>
  </si>
  <si>
    <t>EML5</t>
  </si>
  <si>
    <t>si:dkey-1f12.3 [Source:ZFIN;Acc:ZDB-GENE-030131-1677]</t>
  </si>
  <si>
    <t>ENSDARG00000095415</t>
  </si>
  <si>
    <t>RNF224</t>
  </si>
  <si>
    <t>si:ch211-202f5.2 [Source:ZFIN;Acc:ZDB-GENE-070705-92]</t>
  </si>
  <si>
    <t>ENSDARG00000029043</t>
  </si>
  <si>
    <t>nupl2</t>
  </si>
  <si>
    <t>nucleoporin like 2 [Source:ZFIN;Acc:ZDB-GENE-040426-2292]</t>
  </si>
  <si>
    <t>ENSDARG00000055092</t>
  </si>
  <si>
    <t>pora</t>
  </si>
  <si>
    <t>P450 (cytochrome) oxidoreductase a [Source:ZFIN;Acc:ZDB-GENE-050809-121]</t>
  </si>
  <si>
    <t>ENSDARG00000093420</t>
  </si>
  <si>
    <t>creb1b</t>
  </si>
  <si>
    <t>cAMP responsive element binding protein 1b [Source:ZFIN;Acc:ZDB-GENE-050417-355]</t>
  </si>
  <si>
    <t>ENSDARG00000060303</t>
  </si>
  <si>
    <t>slc4a10b</t>
  </si>
  <si>
    <t>solute carrier family 4, sodium bicarbonate transporter, member 10b [Source:ZFIN;Acc:ZDB-GENE-081105-62]</t>
  </si>
  <si>
    <t>ENSDARG00000010831</t>
  </si>
  <si>
    <t>churc1</t>
  </si>
  <si>
    <t>churchill domain containing 1 [Source:ZFIN;Acc:ZDB-GENE-041001-150]</t>
  </si>
  <si>
    <t>ENSDARG00000097378</t>
  </si>
  <si>
    <t>si:dkey-81l17.7</t>
  </si>
  <si>
    <t>si:dkey-81l17.7 [Source:ZFIN;Acc:ZDB-GENE-131127-164]</t>
  </si>
  <si>
    <t>ENSDARG00000061121</t>
  </si>
  <si>
    <t>adgrl3.1</t>
  </si>
  <si>
    <t>adhesion G protein-coupled receptor L3.1 [Source:ZFIN;Acc:ZDB-GENE-030131-7856]</t>
  </si>
  <si>
    <t>ENSDARG00000007869</t>
  </si>
  <si>
    <t>ehd3</t>
  </si>
  <si>
    <t>EH-domain containing 3 [Source:ZFIN;Acc:ZDB-GENE-041014-352]</t>
  </si>
  <si>
    <t>ENSDARG00000076420</t>
  </si>
  <si>
    <t>dkk2</t>
  </si>
  <si>
    <t>dickkopf WNT signaling pathway inhibitor 2 [Source:ZFIN;Acc:ZDB-GENE-080204-14]</t>
  </si>
  <si>
    <t>ENSDARG00000059925</t>
  </si>
  <si>
    <t>usp24</t>
  </si>
  <si>
    <t>ubiquitin specific peptidase 24 [Source:ZFIN;Acc:ZDB-GENE-030131-4356]</t>
  </si>
  <si>
    <t>ENSDARG00000055093</t>
  </si>
  <si>
    <t>cdh27</t>
  </si>
  <si>
    <t>cadherin 27 [Source:ZFIN;Acc:ZDB-GENE-141215-13]</t>
  </si>
  <si>
    <t>ENSDARG00000079610</t>
  </si>
  <si>
    <t>akap9</t>
  </si>
  <si>
    <t>A kinase (PRKA) anchor protein 9 [Source:ZFIN;Acc:ZDB-GENE-030131-7276]</t>
  </si>
  <si>
    <t>ENSDARG00000013379</t>
  </si>
  <si>
    <t>ppp6r3</t>
  </si>
  <si>
    <t>protein phosphatase 6, regulatory subunit 3 [Source:ZFIN;Acc:ZDB-GENE-030131-3251]</t>
  </si>
  <si>
    <t>ENSDARG00000012040</t>
  </si>
  <si>
    <t>rnf19a</t>
  </si>
  <si>
    <t>ring finger protein 19A, RBR E3 ubiquitin protein ligase [Source:ZFIN;Acc:ZDB-GENE-030131-9414]</t>
  </si>
  <si>
    <t>ENSDARG00000100423</t>
  </si>
  <si>
    <t>taf6</t>
  </si>
  <si>
    <t>ENSDARG00000008678</t>
  </si>
  <si>
    <t>snx3</t>
  </si>
  <si>
    <t>sorting nexin 3 [Source:ZFIN;Acc:ZDB-GENE-030131-921]</t>
  </si>
  <si>
    <t>ENSDARG00000061370</t>
  </si>
  <si>
    <t>tsen34</t>
  </si>
  <si>
    <t>TSEN34 tRNA splicing endonuclease subunit [Source:ZFIN;Acc:ZDB-GENE-050419-115]</t>
  </si>
  <si>
    <t>ENSDARG00000019881</t>
  </si>
  <si>
    <t>bsg</t>
  </si>
  <si>
    <t>basigin [Source:ZFIN;Acc:ZDB-GENE-030131-9638]</t>
  </si>
  <si>
    <t>ENSDARG00000102998</t>
  </si>
  <si>
    <t>taf6.1</t>
  </si>
  <si>
    <t>TAF6 RNA polymerase II, TATA box binding protein (TBP)-associated factor [Source:ZFIN;Acc:ZDB-GENE-040912-23]</t>
  </si>
  <si>
    <t>ENSDARG00000074221</t>
  </si>
  <si>
    <t>ABCA7</t>
  </si>
  <si>
    <t>zgc:172302 [Source:ZFIN;Acc:ZDB-GENE-081205-5]</t>
  </si>
  <si>
    <t>ENSDARG00000076659</t>
  </si>
  <si>
    <t>cdca7b</t>
  </si>
  <si>
    <t>cell division cycle associated 7b [Source:ZFIN;Acc:ZDB-GENE-030131-607]</t>
  </si>
  <si>
    <t>ENSDARG00000030297</t>
  </si>
  <si>
    <t>sox13</t>
  </si>
  <si>
    <t>SRY (sex determining region Y)-box 13 [Source:ZFIN;Acc:ZDB-GENE-100519-1]</t>
  </si>
  <si>
    <t>ENSDARG00000055753</t>
  </si>
  <si>
    <t>suv39h1b</t>
  </si>
  <si>
    <t>suppressor of variegation 3-9 homolog 1b [Source:ZFIN;Acc:ZDB-GENE-030131-5105]</t>
  </si>
  <si>
    <t>ENSDARG00000045150</t>
  </si>
  <si>
    <t>csnk1e</t>
  </si>
  <si>
    <t>casein kinase 1, epsilon [Source:ZFIN;Acc:ZDB-GENE-030131-7873]</t>
  </si>
  <si>
    <t>ENSDARG00000023298</t>
  </si>
  <si>
    <t>rps27.1</t>
  </si>
  <si>
    <t>ribosomal protein S27, isoform 1 [Source:ZFIN;Acc:ZDB-GENE-050522-549]</t>
  </si>
  <si>
    <t>ENSDARG00000001549</t>
  </si>
  <si>
    <t>sp3a</t>
  </si>
  <si>
    <t>sp3a transcription factor [Source:ZFIN;Acc:ZDB-GENE-070410-111]</t>
  </si>
  <si>
    <t>ENSDARG00000086255</t>
  </si>
  <si>
    <t>si:rp71-1c10.10</t>
  </si>
  <si>
    <t>si:rp71-1c10.10 [Source:ZFIN;Acc:ZDB-GENE-130603-55]</t>
  </si>
  <si>
    <t>ENSDARG00000053858</t>
  </si>
  <si>
    <t>crip1</t>
  </si>
  <si>
    <t>cysteine-rich protein 1 [Source:ZFIN;Acc:ZDB-GENE-041111-1]</t>
  </si>
  <si>
    <t>ENSDARG00000020887</t>
  </si>
  <si>
    <t>armc1l</t>
  </si>
  <si>
    <t>armadillo repeat containing 1, like [Source:ZFIN;Acc:ZDB-GENE-030131-9819]</t>
  </si>
  <si>
    <t>ENSDARG00000015889</t>
  </si>
  <si>
    <t>zc3h15</t>
  </si>
  <si>
    <t>zinc finger CCCH-type containing 15 [Source:ZFIN;Acc:ZDB-GENE-030131-6239]</t>
  </si>
  <si>
    <t>ENSDARG00000037870</t>
  </si>
  <si>
    <t>actb2</t>
  </si>
  <si>
    <t>actin, beta 2 [Source:ZFIN;Acc:ZDB-GENE-000329-3]</t>
  </si>
  <si>
    <t>ENSDARG00000070959</t>
  </si>
  <si>
    <t>si:ch211-288g17.3</t>
  </si>
  <si>
    <t>si:ch211-288g17.3 [Source:ZFIN;Acc:ZDB-GENE-030131-461]</t>
  </si>
  <si>
    <t>ENSDARG00000078966</t>
  </si>
  <si>
    <t>rbm15b</t>
  </si>
  <si>
    <t>RNA binding motif protein 15B [Source:ZFIN;Acc:ZDB-GENE-080204-91]</t>
  </si>
  <si>
    <t>ENSDARG00000042641</t>
  </si>
  <si>
    <t>cyp51</t>
  </si>
  <si>
    <t>cytochrome P450, family 51 [Source:ZFIN;Acc:ZDB-GENE-040625-2]</t>
  </si>
  <si>
    <t>ENSDARG00000056717</t>
  </si>
  <si>
    <t>vars2</t>
  </si>
  <si>
    <t>valyl-tRNA synthetase 2, mitochondrial (putative) [Source:ZFIN;Acc:ZDB-GENE-060503-575]</t>
  </si>
  <si>
    <t>ENSDARG00000099672</t>
  </si>
  <si>
    <t>capgb</t>
  </si>
  <si>
    <t>capping protein (actin filament), gelsolin-like b [Source:ZFIN;Acc:ZDB-GENE-030131-8541]</t>
  </si>
  <si>
    <t>ENSDARG00000099951</t>
  </si>
  <si>
    <t>si:ch73-40i7.7</t>
  </si>
  <si>
    <t>si:ch73-40i7.7 [Source:ZFIN;Acc:ZDB-GENE-141216-173]</t>
  </si>
  <si>
    <t>ENSDARG00000060394</t>
  </si>
  <si>
    <t>mtfr2</t>
  </si>
  <si>
    <t>mitochondrial fission regulator 2 [Source:ZFIN;Acc:ZDB-GENE-061013-398]</t>
  </si>
  <si>
    <t>ENSDARG00000086866</t>
  </si>
  <si>
    <t>gfpt1</t>
  </si>
  <si>
    <t>glutamine--fructose-6-phosphate transaminase 1 [Source:ZFIN;Acc:ZDB-GENE-070423-1]</t>
  </si>
  <si>
    <t>ENSDARG00000077897</t>
  </si>
  <si>
    <t>znf296</t>
  </si>
  <si>
    <t>zinc finger protein 296 [Source:ZFIN;Acc:ZDB-GENE-050419-201]</t>
  </si>
  <si>
    <t>ENSDARG00000095219</t>
  </si>
  <si>
    <t>si:dkey-145p14.6</t>
  </si>
  <si>
    <t>si:dkey-145p14.6 [Source:ZFIN;Acc:ZDB-GENE-070912-370]</t>
  </si>
  <si>
    <t>ENSDARG00000029263</t>
  </si>
  <si>
    <t>hoxb3a</t>
  </si>
  <si>
    <t>homeobox B3a [Source:ZFIN;Acc:ZDB-GENE-990415-104]</t>
  </si>
  <si>
    <t>ENSDARG00000069954</t>
  </si>
  <si>
    <t>kcnq5a</t>
  </si>
  <si>
    <t>potassium voltage-gated channel, KQT-like subfamily, member 5a [Source:ZFIN;Acc:ZDB-GENE-090312-185]</t>
  </si>
  <si>
    <t>ENSDARG00000016783</t>
  </si>
  <si>
    <t>srsf6b</t>
  </si>
  <si>
    <t>serine/arginine-rich splicing factor 6b [Source:ZFIN;Acc:ZDB-GENE-041219-1]</t>
  </si>
  <si>
    <t>ENSDARG00000077089</t>
  </si>
  <si>
    <t>blm</t>
  </si>
  <si>
    <t>Bloom syndrome, RecQ helicase-like [Source:ZFIN;Acc:ZDB-GENE-070702-5]</t>
  </si>
  <si>
    <t>ENSDARG00000096721</t>
  </si>
  <si>
    <t>si:rp71-1c10.11</t>
  </si>
  <si>
    <t>si:rp71-1c10.11 [Source:ZFIN;Acc:ZDB-GENE-130603-61]</t>
  </si>
  <si>
    <t>ENSDARG00000102765</t>
  </si>
  <si>
    <t>lonp1</t>
  </si>
  <si>
    <t>lon peptidase 1, mitochondrial [Source:ZFIN;Acc:ZDB-GENE-030131-4006]</t>
  </si>
  <si>
    <t>ENSDARG00000101755</t>
  </si>
  <si>
    <t>prkar1ab</t>
  </si>
  <si>
    <t>protein kinase, cAMP-dependent, regulatory, type I, alpha (tissue specific extinguisher 1) b [Source:ZFIN;Acc:ZDB-GENE-050417-238]</t>
  </si>
  <si>
    <t>ENSDARG00000078059</t>
  </si>
  <si>
    <t>nudcd2</t>
  </si>
  <si>
    <t>NudC domain containing 2 [Source:ZFIN;Acc:ZDB-GENE-040801-49]</t>
  </si>
  <si>
    <t>ENSDARG00000103224</t>
  </si>
  <si>
    <t>si:ch73-350k19.1</t>
  </si>
  <si>
    <t>si:ch73-350k19.1 [Source:ZFIN;Acc:ZDB-GENE-141212-184]</t>
  </si>
  <si>
    <t>ENSDARG00000041117</t>
  </si>
  <si>
    <t>wnt2</t>
  </si>
  <si>
    <t>wingless-type MMTV integration site family member 2 [Source:ZFIN;Acc:ZDB-GENE-980526-416]</t>
  </si>
  <si>
    <t>ENSDARG00000101825</t>
  </si>
  <si>
    <t>si:ch211-220f16.1</t>
  </si>
  <si>
    <t>si:ch211-220f16.1.1</t>
  </si>
  <si>
    <t>si:ch211-220f16.1 [Source:ZFIN;Acc:ZDB-GENE-070912-198]</t>
  </si>
  <si>
    <t>ENSDARG00000013057</t>
  </si>
  <si>
    <t>hoxb5a</t>
  </si>
  <si>
    <t>homeobox B5a [Source:ZFIN;Acc:ZDB-GENE-980526-70]</t>
  </si>
  <si>
    <t>ENSDARG00000010630</t>
  </si>
  <si>
    <t>hoxb6a</t>
  </si>
  <si>
    <t>homeobox B6a [Source:ZFIN;Acc:ZDB-GENE-990415-106]</t>
  </si>
  <si>
    <t>ENSDARG00000013847</t>
  </si>
  <si>
    <t>egfra</t>
  </si>
  <si>
    <t>epidermal growth factor receptor a (erythroblastic leukemia viral (v-erb-b) oncogene homolog, avian) [Source:ZFIN;Acc:ZDB-GENE-030918-1]</t>
  </si>
  <si>
    <t>ENSDARG00000094473</t>
  </si>
  <si>
    <t>FHAD1</t>
  </si>
  <si>
    <t>si:dkey-163f12.6 [Source:ZFIN;Acc:ZDB-GENE-041210-350]</t>
  </si>
  <si>
    <t>ENSDARG00000070261</t>
  </si>
  <si>
    <t>crlf3</t>
  </si>
  <si>
    <t>cytokine receptor-like factor 3 [Source:ZFIN;Acc:ZDB-GENE-050417-354]</t>
  </si>
  <si>
    <t>ENSDARG00000032761</t>
  </si>
  <si>
    <t>pde4d</t>
  </si>
  <si>
    <t>phosphodiesterase 4D, cAMP-specific [Source:ZFIN;Acc:ZDB-GENE-081105-16]</t>
  </si>
  <si>
    <t>ENSDARG00000088497</t>
  </si>
  <si>
    <t>si:ch211-273j9.2</t>
  </si>
  <si>
    <t>si:ch211-273j9.2 [Source:ZFIN;Acc:ZDB-GENE-100922-276]</t>
  </si>
  <si>
    <t>ENSDARG00000023672</t>
  </si>
  <si>
    <t>timm8a</t>
  </si>
  <si>
    <t>translocase of inner mitochondrial membrane 8 homolog A (yeast) [Source:ZFIN;Acc:ZDB-GENE-040801-158]</t>
  </si>
  <si>
    <t>ENSDARG00000062177</t>
  </si>
  <si>
    <t>dcbld2</t>
  </si>
  <si>
    <t>discoidin, CUB and LCCL domain containing 2 [Source:ZFIN;Acc:ZDB-GENE-070112-1822]</t>
  </si>
  <si>
    <t>ENSDARG00000000175</t>
  </si>
  <si>
    <t>hoxb2a</t>
  </si>
  <si>
    <t>homeobox B2a [Source:ZFIN;Acc:ZDB-GENE-990415-103]</t>
  </si>
  <si>
    <t>ENSDARG00000074904</t>
  </si>
  <si>
    <t>DBNDD2</t>
  </si>
  <si>
    <t>si:ch211-253b8.5 [Source:ZFIN;Acc:ZDB-GENE-141212-327]</t>
  </si>
  <si>
    <t>ENSDARG00000100219</t>
  </si>
  <si>
    <t>si:dkey-264f17.1</t>
  </si>
  <si>
    <t>si:dkey-264f17.1 [Source:ZFIN;Acc:ZDB-GENE-110913-6]</t>
  </si>
  <si>
    <t>ENSDARG00000091992</t>
  </si>
  <si>
    <t>mrap</t>
  </si>
  <si>
    <t>melanocortin 2 receptor accessory protein [Source:ZFIN;Acc:ZDB-GENE-060503-387]</t>
  </si>
  <si>
    <t>ENSDARG00000097608</t>
  </si>
  <si>
    <t>si:dkeyp-91h6.2</t>
  </si>
  <si>
    <t>si:dkeyp-91h6.2 [Source:ZFIN;Acc:ZDB-GENE-131119-9]</t>
  </si>
  <si>
    <t>ENSDARG00000014690</t>
  </si>
  <si>
    <t>rps4x</t>
  </si>
  <si>
    <t>ribosomal protein S4, X-linked [Source:ZFIN;Acc:ZDB-GENE-040927-19]</t>
  </si>
  <si>
    <t>ENSDARG00000011376</t>
  </si>
  <si>
    <t>zgc:77816</t>
  </si>
  <si>
    <t>zgc:77816 [Source:ZFIN;Acc:ZDB-GENE-040426-1884]</t>
  </si>
  <si>
    <t>ENSDARG00000075733</t>
  </si>
  <si>
    <t>zyx</t>
  </si>
  <si>
    <t>zyxin [Source:ZFIN;Acc:ZDB-GENE-070928-18]</t>
  </si>
  <si>
    <t>ENSDARG00000060515</t>
  </si>
  <si>
    <t>zdhhc9</t>
  </si>
  <si>
    <t>zinc finger, DHHC-type containing 9 [Source:ZFIN;Acc:ZDB-GENE-071004-8]</t>
  </si>
  <si>
    <t>ENSDARG00000087388</t>
  </si>
  <si>
    <t>si:dkey-29b11.3</t>
  </si>
  <si>
    <t>si:dkey-29b11.3 [Source:ZFIN;Acc:ZDB-GENE-100922-178]</t>
  </si>
  <si>
    <t>ENSDARG00000015394</t>
  </si>
  <si>
    <t>thoc7</t>
  </si>
  <si>
    <t>THO complex 7 [Source:ZFIN;Acc:ZDB-GENE-040801-17]</t>
  </si>
  <si>
    <t>ENSDARG00000075188</t>
  </si>
  <si>
    <t>adamts10</t>
  </si>
  <si>
    <t>ADAM metallopeptidase with thrombospondin type 1 motif, 10 [Source:ZFIN;Acc:ZDB-GENE-081104-414]</t>
  </si>
  <si>
    <t>ENSDARG00000091947</t>
  </si>
  <si>
    <t>znf106b</t>
  </si>
  <si>
    <t>zinc finger protein 106b [Source:ZFIN;Acc:ZDB-GENE-091118-24]</t>
  </si>
  <si>
    <t>ENSDARG00000097372</t>
  </si>
  <si>
    <t>si:ch211-139d20.3</t>
  </si>
  <si>
    <t>si:ch211-139d20.3 [Source:ZFIN;Acc:ZDB-GENE-131127-287]</t>
  </si>
  <si>
    <t>ENSDARG00000061862</t>
  </si>
  <si>
    <t>myo18ab</t>
  </si>
  <si>
    <t>myosin XVIIIAb [Source:ZFIN;Acc:ZDB-GENE-080423-1]</t>
  </si>
  <si>
    <t>ENSDARG00000076831</t>
  </si>
  <si>
    <t>iqck</t>
  </si>
  <si>
    <t>IQ motif containing K [Source:ZFIN;Acc:ZDB-GENE-081022-109]</t>
  </si>
  <si>
    <t>ENSDARG00000027279</t>
  </si>
  <si>
    <t>numb</t>
  </si>
  <si>
    <t>numb homolog (Drosophila) [Source:ZFIN;Acc:ZDB-GENE-060422-1]</t>
  </si>
  <si>
    <t>ENSDARG00000092510</t>
  </si>
  <si>
    <t>si:dkey-47k20.6</t>
  </si>
  <si>
    <t>si:dkey-47k20.6 [Source:ZFIN;Acc:ZDB-GENE-060503-170]</t>
  </si>
  <si>
    <t>ENSDARG00000051955</t>
  </si>
  <si>
    <t>brms1</t>
  </si>
  <si>
    <t>breast cancer metastasis suppressor 1 [Source:ZFIN;Acc:ZDB-GENE-030616-596]</t>
  </si>
  <si>
    <t>ENSDARG00000061479</t>
  </si>
  <si>
    <t>thsd7aa</t>
  </si>
  <si>
    <t>thrombospondin, type I, domain containing 7Aa [Source:ZFIN;Acc:ZDB-GENE-060503-709]</t>
  </si>
  <si>
    <t>ENSDARG00000026682</t>
  </si>
  <si>
    <t>zgc:101583</t>
  </si>
  <si>
    <t>zgc:101583 [Source:ZFIN;Acc:ZDB-GENE-041212-75]</t>
  </si>
  <si>
    <t>ENSDARG00000014794</t>
  </si>
  <si>
    <t>uqcrc2a</t>
  </si>
  <si>
    <t>ubiquinol-cytochrome c reductase core protein IIa [Source:ZFIN;Acc:ZDB-GENE-040718-405]</t>
  </si>
  <si>
    <t>ENSDARG00000045074</t>
  </si>
  <si>
    <t>arl4d</t>
  </si>
  <si>
    <t>ADP-ribosylation factor-like 4D [Source:ZFIN;Acc:ZDB-GENE-030131-2293]</t>
  </si>
  <si>
    <t>ENSDARG00000001634</t>
  </si>
  <si>
    <t>kirrela</t>
  </si>
  <si>
    <t>kin of IRRE like a [Source:ZFIN;Acc:ZDB-GENE-040426-2126]</t>
  </si>
  <si>
    <t>ENSDARG00000004875</t>
  </si>
  <si>
    <t>tmc6b</t>
  </si>
  <si>
    <t>transmembrane channel-like 6b [Source:ZFIN;Acc:ZDB-GENE-040718-460]</t>
  </si>
  <si>
    <t>ENSDARG00000055472</t>
  </si>
  <si>
    <t>nubp1</t>
  </si>
  <si>
    <t>nucleotide binding protein 1 (MinD homolog, E. coli) [Source:ZFIN;Acc:ZDB-GENE-050417-471]</t>
  </si>
  <si>
    <t>ENSDARG00000033444</t>
  </si>
  <si>
    <t>map4k6</t>
  </si>
  <si>
    <t>mitogen-activated protein kinase kinase kinase kinase 6 [Source:ZFIN;Acc:ZDB-GENE-060512-339]</t>
  </si>
  <si>
    <t>ENSDARG00000031283</t>
  </si>
  <si>
    <t>vamp1</t>
  </si>
  <si>
    <t>vesicle-associated membrane protein 1 [Source:ZFIN;Acc:ZDB-GENE-040426-2725]</t>
  </si>
  <si>
    <t>ENSDARG00000004874</t>
  </si>
  <si>
    <t>spata6l</t>
  </si>
  <si>
    <t>spermatogenesis associated 6-like [Source:ZFIN;Acc:ZDB-GENE-040426-1369]</t>
  </si>
  <si>
    <t>ENSDARG00000045694</t>
  </si>
  <si>
    <t>prickle1b</t>
  </si>
  <si>
    <t>prickle homolog 1b [Source:ZFIN;Acc:ZDB-GENE-030131-2152]</t>
  </si>
  <si>
    <t>ENSDARG00000028088</t>
  </si>
  <si>
    <t>galk1</t>
  </si>
  <si>
    <t>galactokinase 1 [Source:ZFIN;Acc:ZDB-GENE-041010-79]</t>
  </si>
  <si>
    <t>ENSDARG00000025269</t>
  </si>
  <si>
    <t>pdcd6ip</t>
  </si>
  <si>
    <t>programmed cell death 6 interacting protein [Source:ZFIN;Acc:ZDB-GENE-040426-2678]</t>
  </si>
  <si>
    <t>ENSDARG00000058108</t>
  </si>
  <si>
    <t>EPS8L2</t>
  </si>
  <si>
    <t>si:ch1073-89b12.1 [Source:ZFIN;Acc:ZDB-GENE-131121-340]</t>
  </si>
  <si>
    <t>ENSDARG00000095807</t>
  </si>
  <si>
    <t>hp</t>
  </si>
  <si>
    <t>hp.1</t>
  </si>
  <si>
    <t>haptoglobin [Source:ZFIN;Acc:ZDB-GENE-030131-1259]</t>
  </si>
  <si>
    <t>ENSDARG00000060697</t>
  </si>
  <si>
    <t>kmt2bb</t>
  </si>
  <si>
    <t>lysine (K)-specific methyltransferase 2Bb [Source:ZFIN;Acc:ZDB-GENE-080521-1]</t>
  </si>
  <si>
    <t>ENSDARG00000100426</t>
  </si>
  <si>
    <t>fam167b</t>
  </si>
  <si>
    <t>family with sequence similarity 167, member B [Source:ZFIN;Acc:ZDB-GENE-131121-390]</t>
  </si>
  <si>
    <t>ENSDARG00000087084</t>
  </si>
  <si>
    <t>hcar1-4</t>
  </si>
  <si>
    <t>hydroxycarboxylic acid receptor 1-4 [Source:ZFIN;Acc:ZDB-GENE-111111-10]</t>
  </si>
  <si>
    <t>ENSDARG00000060030</t>
  </si>
  <si>
    <t>setd1a</t>
  </si>
  <si>
    <t>SET domain containing 1A [Source:ZFIN;Acc:ZDB-GENE-080521-4]</t>
  </si>
  <si>
    <t>ENSDARG00000078188</t>
  </si>
  <si>
    <t>fam160a2</t>
  </si>
  <si>
    <t>family with sequence similarity 160, member A2 [Source:ZFIN;Acc:ZDB-GENE-070912-291]</t>
  </si>
  <si>
    <t>ENSDARG00000014047</t>
  </si>
  <si>
    <t>cldn7b</t>
  </si>
  <si>
    <t>claudin 7b [Source:ZFIN;Acc:ZDB-GENE-001103-5]</t>
  </si>
  <si>
    <t>ENSDARG00000075963</t>
  </si>
  <si>
    <t>mhc1uba</t>
  </si>
  <si>
    <t>major histocompatibility complex class I UBA [Source:ZFIN;Acc:ZDB-GENE-990415-145]</t>
  </si>
  <si>
    <t>ENSDARG00000069189</t>
  </si>
  <si>
    <t>si:dkey-242h9.3</t>
  </si>
  <si>
    <t>si:dkey-242h9.3 [Source:ZFIN;Acc:ZDB-GENE-060503-347]</t>
  </si>
  <si>
    <t>ENSDARG00000087640</t>
  </si>
  <si>
    <t>nsfl1c</t>
  </si>
  <si>
    <t>NSFL1 (p97) cofactor (p47) [Source:ZFIN;Acc:ZDB-GENE-041114-160]</t>
  </si>
  <si>
    <t>ENSDARG00000061255</t>
  </si>
  <si>
    <t>dusp3a</t>
  </si>
  <si>
    <t>dual specificity phosphatase 3a [Source:ZFIN;Acc:ZDB-GENE-111207-3]</t>
  </si>
  <si>
    <t>ENSDARG00000054597</t>
  </si>
  <si>
    <t>cnot6l</t>
  </si>
  <si>
    <t>CCR4-NOT transcription complex, subunit 6-like [Source:ZFIN;Acc:ZDB-GENE-050522-302]</t>
  </si>
  <si>
    <t>ENSDARG00000038422</t>
  </si>
  <si>
    <t>entpd4</t>
  </si>
  <si>
    <t>ectonucleoside triphosphate diphosphohydrolase 4 [Source:ZFIN;Acc:ZDB-GENE-040718-116]</t>
  </si>
  <si>
    <t>ENSDARG00000088440</t>
  </si>
  <si>
    <t>ssh2a</t>
  </si>
  <si>
    <t>slingshot protein phosphatase 2a [Source:ZFIN;Acc:ZDB-GENE-030131-3810]</t>
  </si>
  <si>
    <t>ENSDARG00000020469</t>
  </si>
  <si>
    <t>map3k7</t>
  </si>
  <si>
    <t>mitogen-activated protein kinase kinase kinase 7 [Source:ZFIN;Acc:ZDB-GENE-041001-135]</t>
  </si>
  <si>
    <t>ENSDARG00000062087</t>
  </si>
  <si>
    <t>nceh1b</t>
  </si>
  <si>
    <t>neutral cholesterol ester hydrolase 1b [Source:ZFIN;Acc:ZDB-GENE-061110-43]</t>
  </si>
  <si>
    <t>ENSDARG00000074265</t>
  </si>
  <si>
    <t>dzip1l</t>
  </si>
  <si>
    <t>DAZ interacting zinc finger protein 1-like [Source:ZFIN;Acc:ZDB-GENE-051113-196]</t>
  </si>
  <si>
    <t>ENSDARG00000037570</t>
  </si>
  <si>
    <t>polr1d</t>
  </si>
  <si>
    <t>polymerase (RNA) I polypeptide D [Source:ZFIN;Acc:ZDB-GENE-040930-4]</t>
  </si>
  <si>
    <t>ENSDARG00000039196</t>
  </si>
  <si>
    <t>greb1l</t>
  </si>
  <si>
    <t>growth regulation by estrogen in breast cancer-like [Source:ZFIN;Acc:ZDB-GENE-030131-4022]</t>
  </si>
  <si>
    <t>ENSDARG00000100690</t>
  </si>
  <si>
    <t>si:ch211-256e16.11</t>
  </si>
  <si>
    <t>si:ch211-256e16.11 [Source:ZFIN;Acc:ZDB-GENE-131127-41]</t>
  </si>
  <si>
    <t>ENSDARG00000055757</t>
  </si>
  <si>
    <t>tmem9</t>
  </si>
  <si>
    <t>transmembrane protein 9 [Source:ZFIN;Acc:ZDB-GENE-030131-6083]</t>
  </si>
  <si>
    <t>ENSDARG00000073743</t>
  </si>
  <si>
    <t>slc25a37</t>
  </si>
  <si>
    <t>solute carrier family 25 (mitochondrial iron transporter), member 37 [Source:ZFIN;Acc:ZDB-GENE-031118-202]</t>
  </si>
  <si>
    <t>ENSDARG00000079765</t>
  </si>
  <si>
    <t>EFCC1</t>
  </si>
  <si>
    <t>si:ch211-112f3.4 [Source:ZFIN;Acc:ZDB-GENE-141219-9]</t>
  </si>
  <si>
    <t>ENSDARG00000030999</t>
  </si>
  <si>
    <t>mybl1</t>
  </si>
  <si>
    <t>v-myb avian myeloblastosis viral oncogene homolog-like 1 [Source:ZFIN;Acc:ZDB-GENE-041111-281]</t>
  </si>
  <si>
    <t>ENSDARG00000012982</t>
  </si>
  <si>
    <t>nf1a</t>
  </si>
  <si>
    <t>neurofibromin 1a [Source:ZFIN;Acc:ZDB-GENE-030131-4907]</t>
  </si>
  <si>
    <t>ENSDARG00000054164</t>
  </si>
  <si>
    <t>mrps17</t>
  </si>
  <si>
    <t>mitochondrial ribosomal protein S17 [Source:ZFIN;Acc:ZDB-GENE-050522-390]</t>
  </si>
  <si>
    <t>ENSDARG00000068214</t>
  </si>
  <si>
    <t>ccni</t>
  </si>
  <si>
    <t>cyclin I [Source:ZFIN;Acc:ZDB-GENE-040426-2898]</t>
  </si>
  <si>
    <t>ENSDARG00000033965</t>
  </si>
  <si>
    <t>nup58</t>
  </si>
  <si>
    <t>nucleoporin 58 [Source:ZFIN;Acc:ZDB-GENE-040426-2326]</t>
  </si>
  <si>
    <t>ENSDARG00000067723</t>
  </si>
  <si>
    <t>tank</t>
  </si>
  <si>
    <t>TRAF family member-associated NFKB activator [Source:ZFIN;Acc:ZDB-GENE-060929-308]</t>
  </si>
  <si>
    <t>ENSDARG00000069082</t>
  </si>
  <si>
    <t>rnmtl1b</t>
  </si>
  <si>
    <t>RNA methyltransferase like 1b [Source:ZFIN;Acc:ZDB-GENE-030131-158]</t>
  </si>
  <si>
    <t>ENSDARG00000100959</t>
  </si>
  <si>
    <t>si:dkey-3p4.7</t>
  </si>
  <si>
    <t>si:dkey-3p4.7 [Source:ZFIN;Acc:ZDB-GENE-131119-47]</t>
  </si>
  <si>
    <t>ENSDARG00000078781</t>
  </si>
  <si>
    <t>si:ch211-161c3.6</t>
  </si>
  <si>
    <t>si:ch211-161c3.6 [Source:ZFIN;Acc:ZDB-GENE-131126-51]</t>
  </si>
  <si>
    <t>ENSDARG00000078280</t>
  </si>
  <si>
    <t>nkx3-1</t>
  </si>
  <si>
    <t>NK3 homeobox 1 [Source:ZFIN;Acc:ZDB-GENE-081104-238]</t>
  </si>
  <si>
    <t>ENSDARG00000052113</t>
  </si>
  <si>
    <t>hexa</t>
  </si>
  <si>
    <t>hexosaminidase A (alpha polypeptide) [Source:ZFIN;Acc:ZDB-GENE-050417-283]</t>
  </si>
  <si>
    <t>ENSDARG00000104451</t>
  </si>
  <si>
    <t>slc39a7</t>
  </si>
  <si>
    <t>solute carrier family 39 (zinc transporter), member 7 [Source:ZFIN;Acc:ZDB-GENE-991110-20]</t>
  </si>
  <si>
    <t>ENSDARG00000045011</t>
  </si>
  <si>
    <t>tapbp.2</t>
  </si>
  <si>
    <t>TAP binding protein (tapasin), tandem duplicate 2 [Source:ZFIN;Acc:ZDB-GENE-060503-136]</t>
  </si>
  <si>
    <t>ENSDARG00000043821</t>
  </si>
  <si>
    <t>klf7b</t>
  </si>
  <si>
    <t>Kruppel-like factor 7b [Source:ZFIN;Acc:ZDB-GENE-041014-171]</t>
  </si>
  <si>
    <t>ENSDARG00000097322</t>
  </si>
  <si>
    <t>si:dkey-81l17.6</t>
  </si>
  <si>
    <t>si:dkey-81l17.6 [Source:ZFIN;Acc:ZDB-GENE-131127-284]</t>
  </si>
  <si>
    <t>ENSDARG00000037040</t>
  </si>
  <si>
    <t>cgrrf1</t>
  </si>
  <si>
    <t>cell growth regulator with ring finger domain 1 [Source:ZFIN;Acc:ZDB-GENE-040724-100]</t>
  </si>
  <si>
    <t>ENSDARG00000100896</t>
  </si>
  <si>
    <t>znf973</t>
  </si>
  <si>
    <t>zinc finger protein 973 [Source:ZFIN;Acc:ZDB-GENE-080218-9]</t>
  </si>
  <si>
    <t>ENSDARG00000021232</t>
  </si>
  <si>
    <t>nkx2.7</t>
  </si>
  <si>
    <t>NK2 transcription factor related 7 [Source:ZFIN;Acc:ZDB-GENE-990415-179]</t>
  </si>
  <si>
    <t>ENSDARG00000035131</t>
  </si>
  <si>
    <t>surf4l</t>
  </si>
  <si>
    <t>surfeit gene 4, like [Source:ZFIN;Acc:ZDB-GENE-040718-172]</t>
  </si>
  <si>
    <t>ENSDARG00000008966</t>
  </si>
  <si>
    <t>tbl1xr1b</t>
  </si>
  <si>
    <t>transducin (beta)-like 1 X-linked receptor 1b [Source:ZFIN;Acc:ZDB-GENE-040426-1192]</t>
  </si>
  <si>
    <t>ENSDARG00000069014</t>
  </si>
  <si>
    <t>nphp4</t>
  </si>
  <si>
    <t>nephronophthisis 4 [Source:ZFIN;Acc:ZDB-GENE-060503-715]</t>
  </si>
  <si>
    <t>ENSDARG00000068849</t>
  </si>
  <si>
    <t>fam83ha</t>
  </si>
  <si>
    <t>family with sequence similarity 83, member Ha [Source:ZFIN;Acc:ZDB-GENE-090312-104]</t>
  </si>
  <si>
    <t>ENSDARG00000102567</t>
  </si>
  <si>
    <t>nme8</t>
  </si>
  <si>
    <t>ENSDARG00000026882</t>
  </si>
  <si>
    <t>palm1a</t>
  </si>
  <si>
    <t>paralemmin 1a [Source:ZFIN;Acc:ZDB-GENE-050417-409]</t>
  </si>
  <si>
    <t>ENSDARG00000068409</t>
  </si>
  <si>
    <t>vgll4l</t>
  </si>
  <si>
    <t>vestigial like 4 like [Source:ZFIN;Acc:ZDB-GENE-070112-1682]</t>
  </si>
  <si>
    <t>ENSDARG00000100916</t>
  </si>
  <si>
    <t>uvssa</t>
  </si>
  <si>
    <t>UV-stimulated scaffold protein A [Source:ZFIN;Acc:ZDB-GENE-091204-111]</t>
  </si>
  <si>
    <t>ENSDARG00000074137</t>
  </si>
  <si>
    <t>c2cd3</t>
  </si>
  <si>
    <t>C2 calcium-dependent domain containing 3 [Source:ZFIN;Acc:ZDB-GENE-060503-104]</t>
  </si>
  <si>
    <t>ENSDARG00000003303</t>
  </si>
  <si>
    <t>stc1</t>
  </si>
  <si>
    <t>stanniocalcin 1 [Source:ZFIN;Acc:ZDB-GENE-060825-79]</t>
  </si>
  <si>
    <t>ENSDARG00000092810</t>
  </si>
  <si>
    <t>stap2a</t>
  </si>
  <si>
    <t>signal transducing adaptor family member 2a [Source:ZFIN;Acc:ZDB-GENE-030131-5383]</t>
  </si>
  <si>
    <t>ENSDARG00000040396</t>
  </si>
  <si>
    <t>bcl7bb</t>
  </si>
  <si>
    <t>B-cell CLL/lymphoma 7B, b [Source:ZFIN;Acc:ZDB-GENE-010328-17]</t>
  </si>
  <si>
    <t>ENSDARG00000079126</t>
  </si>
  <si>
    <t>si:dkey-250i3.3</t>
  </si>
  <si>
    <t>si:dkey-250i3.3 [Source:ZFIN;Acc:ZDB-GENE-110131-5]</t>
  </si>
  <si>
    <t>ENSDARG00000063299</t>
  </si>
  <si>
    <t>pcloa</t>
  </si>
  <si>
    <t>piccolo presynaptic cytomatrix protein a [Source:ZFIN;Acc:ZDB-GENE-030131-8115]</t>
  </si>
  <si>
    <t>ENSDARG00000099900</t>
  </si>
  <si>
    <t>peo1</t>
  </si>
  <si>
    <t>progressive external ophthalmoplegia 1 [Source:ZFIN;Acc:ZDB-GENE-030131-5569]</t>
  </si>
  <si>
    <t>ENSDARG00000041450</t>
  </si>
  <si>
    <t>rab11a</t>
  </si>
  <si>
    <t>RAB11a, member RAS oncogene family [Source:ZFIN;Acc:ZDB-GENE-041114-53]</t>
  </si>
  <si>
    <t>ENSDARG00000024276</t>
  </si>
  <si>
    <t>pcbp4</t>
  </si>
  <si>
    <t>poly(rC) binding protein 4 [Source:ZFIN;Acc:ZDB-GENE-040426-2122]</t>
  </si>
  <si>
    <t>ENSDARG00000020699</t>
  </si>
  <si>
    <t>slc9a8</t>
  </si>
  <si>
    <t>solute carrier family 9, subfamily A (NHE8, cation proton antiporter 8), member 8 [Source:ZFIN;Acc:ZDB-GENE-041212-7]</t>
  </si>
  <si>
    <t>ENSDARG00000077544</t>
  </si>
  <si>
    <t>toe1</t>
  </si>
  <si>
    <t>target of EGR1, member 1 (nuclear) [Source:ZFIN;Acc:ZDB-GENE-070912-533]</t>
  </si>
  <si>
    <t>ENSDARG00000069808</t>
  </si>
  <si>
    <t>ostm1</t>
  </si>
  <si>
    <t>osteopetrosis associated transmembrane protein 1 [Source:ZFIN;Acc:ZDB-GENE-081104-270]</t>
  </si>
  <si>
    <t>ENSDARG00000000804</t>
  </si>
  <si>
    <t>rassf6</t>
  </si>
  <si>
    <t>Ras association (RalGDS/AF-6) domain family 6 [Source:ZFIN;Acc:ZDB-GENE-030616-513]</t>
  </si>
  <si>
    <t>ENSDARG00000018423</t>
  </si>
  <si>
    <t>sulf2a</t>
  </si>
  <si>
    <t>sulfatase 2a [Source:ZFIN;Acc:ZDB-GENE-040426-759]</t>
  </si>
  <si>
    <t>ENSDARG00000009783</t>
  </si>
  <si>
    <t>dirc2</t>
  </si>
  <si>
    <t>disrupted in renal carcinoma 2 [Source:ZFIN;Acc:ZDB-GENE-040912-167]</t>
  </si>
  <si>
    <t>ENSDARG00000078078</t>
  </si>
  <si>
    <t>lrfn4b</t>
  </si>
  <si>
    <t>leucine rich repeat and fibronectin type III domain containing 4b [Source:ZFIN;Acc:ZDB-GENE-070705-473]</t>
  </si>
  <si>
    <t>ENSDARG00000097448</t>
  </si>
  <si>
    <t>cep19</t>
  </si>
  <si>
    <t>cep19.1</t>
  </si>
  <si>
    <t>ENSDARG00000103924</t>
  </si>
  <si>
    <t>zgc:154055</t>
  </si>
  <si>
    <t>zgc:154055 [Source:ZFIN;Acc:ZDB-GENE-060929-612]</t>
  </si>
  <si>
    <t>ENSDARG00000075515</t>
  </si>
  <si>
    <t>CD37</t>
  </si>
  <si>
    <t>zgc:171713 [Source:ZFIN;Acc:ZDB-GENE-070820-17]</t>
  </si>
  <si>
    <t>ENSDARG00000101849</t>
  </si>
  <si>
    <t>adipor2</t>
  </si>
  <si>
    <t>adiponectin receptor 2 [Source:ZFIN;Acc:ZDB-GENE-041210-60]</t>
  </si>
  <si>
    <t>ENSDARG00000052997</t>
  </si>
  <si>
    <t>sema4e</t>
  </si>
  <si>
    <t>semaphorin 4e [Source:ZFIN;Acc:ZDB-GENE-990715-7]</t>
  </si>
  <si>
    <t>ENSDARG00000060751</t>
  </si>
  <si>
    <t>taok3a</t>
  </si>
  <si>
    <t>TAO kinase 3a [Source:ZFIN;Acc:ZDB-GENE-100921-50]</t>
  </si>
  <si>
    <t>ENSDARG00000025903</t>
  </si>
  <si>
    <t>lgals9l1</t>
  </si>
  <si>
    <t>lectin, galactoside-binding, soluble, 9 (galectin 9)-like 1 [Source:ZFIN;Acc:ZDB-GENE-030131-9543]</t>
  </si>
  <si>
    <t>ENSDARG00000051939</t>
  </si>
  <si>
    <t>pcxb</t>
  </si>
  <si>
    <t>pyruvate carboxylase b [Source:ZFIN;Acc:ZDB-GENE-000831-1]</t>
  </si>
  <si>
    <t>ENSDARG00000061665</t>
  </si>
  <si>
    <t>hcn2b</t>
  </si>
  <si>
    <t>hyperpolarization activated cyclic nucleotide-gated potassium channel 2b [Source:ZFIN;Acc:ZDB-GENE-030131-8228]</t>
  </si>
  <si>
    <t>ENSDARG00000028676</t>
  </si>
  <si>
    <t>nuak1b</t>
  </si>
  <si>
    <t>NUAK family, SNF1-like kinase, 1b [Source:ZFIN;Acc:ZDB-GENE-131120-18]</t>
  </si>
  <si>
    <t>ENSDARG00000071437</t>
  </si>
  <si>
    <t>ptprc</t>
  </si>
  <si>
    <t>protein tyrosine phosphatase, receptor type, C [Source:ZFIN;Acc:ZDB-GENE-050208-585]</t>
  </si>
  <si>
    <t>ENSDARG00000057241</t>
  </si>
  <si>
    <t>tnfsf10</t>
  </si>
  <si>
    <t>tumor necrosis factor (ligand) superfamily, member 10 [Source:ZFIN;Acc:ZDB-GENE-040718-335]</t>
  </si>
  <si>
    <t>ENSDARG00000027183</t>
  </si>
  <si>
    <t>namptb</t>
  </si>
  <si>
    <t>nicotinamide phosphoribosyltransferase b [Source:ZFIN;Acc:ZDB-GENE-030131-2931]</t>
  </si>
  <si>
    <t>ENSDARG00000061417</t>
  </si>
  <si>
    <t>nub1</t>
  </si>
  <si>
    <t>negative regulator of ubiquitin-like proteins 1 [Source:ZFIN;Acc:ZDB-GENE-080212-11]</t>
  </si>
  <si>
    <t>ENSDARG00000013794</t>
  </si>
  <si>
    <t>klf11b</t>
  </si>
  <si>
    <t>Kruppel-like factor 11b [Source:ZFIN;Acc:ZDB-GENE-061103-82]</t>
  </si>
  <si>
    <t>ENSDARG00000105454</t>
  </si>
  <si>
    <t>si:ch211-59d2.2</t>
  </si>
  <si>
    <t>si:ch211-59d2.2 [Source:ZFIN;Acc:ZDB-GENE-160114-6]</t>
  </si>
  <si>
    <t>ENSDARG00000016864</t>
  </si>
  <si>
    <t>farsb</t>
  </si>
  <si>
    <t>phenylalanyl-tRNA synthetase, beta subunit [Source:ZFIN;Acc:ZDB-GENE-021206-2]</t>
  </si>
  <si>
    <t>ENSDARG00000032317</t>
  </si>
  <si>
    <t>tox</t>
  </si>
  <si>
    <t>thymocyte selection-associated high mobility group box [Source:ZFIN;Acc:ZDB-GENE-070912-181]</t>
  </si>
  <si>
    <t>ENSDARG00000037891</t>
  </si>
  <si>
    <t>mlx</t>
  </si>
  <si>
    <t>MLX, MAX dimerization protein [Source:ZFIN;Acc:ZDB-GENE-050522-316]</t>
  </si>
  <si>
    <t>ENSDARG00000076781</t>
  </si>
  <si>
    <t>trim45</t>
  </si>
  <si>
    <t>tripartite motif containing 45 [Source:ZFIN;Acc:ZDB-GENE-070912-389]</t>
  </si>
  <si>
    <t>ENSDARG00000061131</t>
  </si>
  <si>
    <t>kif21a</t>
  </si>
  <si>
    <t>kinesin family member 21A [Source:ZFIN;Acc:ZDB-GENE-110411-237]</t>
  </si>
  <si>
    <t>ENSDARG00000067524</t>
  </si>
  <si>
    <t>fut9b</t>
  </si>
  <si>
    <t>fucosyltransferase 9b [Source:ZFIN;Acc:ZDB-GENE-030131-9925]</t>
  </si>
  <si>
    <t>ENSDARG00000041060</t>
  </si>
  <si>
    <t>zgc:92326</t>
  </si>
  <si>
    <t>zgc:92326 [Source:ZFIN;Acc:ZDB-GENE-040718-159]</t>
  </si>
  <si>
    <t>ENSDARG00000016173</t>
  </si>
  <si>
    <t>cct3</t>
  </si>
  <si>
    <t>chaperonin containing TCP1, subunit 3 (gamma) [Source:ZFIN;Acc:ZDB-GENE-020419-5]</t>
  </si>
  <si>
    <t>ENSDARG00000027699</t>
  </si>
  <si>
    <t>FUT9</t>
  </si>
  <si>
    <t>FUT9.3</t>
  </si>
  <si>
    <t>zgc:103510 [Source:ZFIN;Acc:ZDB-GENE-041212-27]</t>
  </si>
  <si>
    <t>ENSDARG00000057403</t>
  </si>
  <si>
    <t>si:ch211-209j10.5</t>
  </si>
  <si>
    <t>si:ch211-209j10.5 [Source:ZFIN;Acc:ZDB-GENE-090313-80]</t>
  </si>
  <si>
    <t>ENSDARG00000036500</t>
  </si>
  <si>
    <t>fam122b</t>
  </si>
  <si>
    <t>family with sequence similarity 122B [Source:ZFIN;Acc:ZDB-GENE-040801-204]</t>
  </si>
  <si>
    <t>ENSDARG00000028201</t>
  </si>
  <si>
    <t>commd8</t>
  </si>
  <si>
    <t>COMM domain containing 8 [Source:ZFIN;Acc:ZDB-GENE-061103-124]</t>
  </si>
  <si>
    <t>ENSDARG00000086603</t>
  </si>
  <si>
    <t>FUT9.4</t>
  </si>
  <si>
    <t>zgc:136963 [Source:ZFIN;Acc:ZDB-GENE-060312-8]</t>
  </si>
  <si>
    <t>ENSDARG00000073923</t>
  </si>
  <si>
    <t>adck2</t>
  </si>
  <si>
    <t>aarF domain containing kinase 2 [Source:ZFIN;Acc:ZDB-GENE-131121-369]</t>
  </si>
  <si>
    <t>ENSDARG00000005462</t>
  </si>
  <si>
    <t>kif4</t>
  </si>
  <si>
    <t>kinesin family member 4 [Source:ZFIN;Acc:ZDB-GENE-040426-1545]</t>
  </si>
  <si>
    <t>ENSDARG00000012453</t>
  </si>
  <si>
    <t>rnls</t>
  </si>
  <si>
    <t>renalase, FAD-dependent amine oxidase [Source:ZFIN;Acc:ZDB-GENE-040718-351]</t>
  </si>
  <si>
    <t>ENSDARG00000105010</t>
  </si>
  <si>
    <t>lztfl1</t>
  </si>
  <si>
    <t>leucine zipper transcription factor-like 1 [Source:ZFIN;Acc:ZDB-GENE-030131-945]</t>
  </si>
  <si>
    <t>ENSDARG00000045814</t>
  </si>
  <si>
    <t>samm50</t>
  </si>
  <si>
    <t>SAMM50 sorting and assembly machinery component [Source:ZFIN;Acc:ZDB-GENE-040426-806]</t>
  </si>
  <si>
    <t>ENSDARG00000051940</t>
  </si>
  <si>
    <t>ugt2a4</t>
  </si>
  <si>
    <t>UDP glucuronosyltransferase 2 family, polypeptide A4 [Source:ZFIN;Acc:ZDB-GENE-080721-23]</t>
  </si>
  <si>
    <t>ENSDARG00000025914</t>
  </si>
  <si>
    <t>si:dkey-190g11.3</t>
  </si>
  <si>
    <t>si:dkey-190g11.3 [Source:ZFIN;Acc:ZDB-GENE-081104-341]</t>
  </si>
  <si>
    <t>ENSDARG00000003021</t>
  </si>
  <si>
    <t>hdac8</t>
  </si>
  <si>
    <t>histone deacetylase 8 [Source:ZFIN;Acc:ZDB-GENE-040426-2772]</t>
  </si>
  <si>
    <t>ENSDARG00000045147</t>
  </si>
  <si>
    <t>tmem184ba</t>
  </si>
  <si>
    <t>transmembrane protein 184ba [Source:ZFIN;Acc:ZDB-GENE-050417-219]</t>
  </si>
  <si>
    <t>ENSDARG00000040453</t>
  </si>
  <si>
    <t>wdfy2</t>
  </si>
  <si>
    <t>WD repeat and FYVE domain containing 2 [Source:ZFIN;Acc:ZDB-GENE-041111-211]</t>
  </si>
  <si>
    <t>ENSDARG00000099871</t>
  </si>
  <si>
    <t>myo7aa</t>
  </si>
  <si>
    <t>myosin VIIAa [Source:ZFIN;Acc:ZDB-GENE-020709-1]</t>
  </si>
  <si>
    <t>ENSDARG00000037654</t>
  </si>
  <si>
    <t>pmm2</t>
  </si>
  <si>
    <t>phosphomannomutase 2 [Source:ZFIN;Acc:ZDB-GENE-030722-6]</t>
  </si>
  <si>
    <t>ENSDARG00000058666</t>
  </si>
  <si>
    <t>dennd2da</t>
  </si>
  <si>
    <t>DENN/MADD domain containing 2Da [Source:ZFIN;Acc:ZDB-GENE-061013-542]</t>
  </si>
  <si>
    <t>ENSDARG00000057529</t>
  </si>
  <si>
    <t>itpa</t>
  </si>
  <si>
    <t>inosine triphosphatase (nucleoside triphosphate pyrophosphatase) [Source:ZFIN;Acc:ZDB-GENE-070705-218]</t>
  </si>
  <si>
    <t>ENSDARG00000034871</t>
  </si>
  <si>
    <t>mid2</t>
  </si>
  <si>
    <t>midline 2 [Source:ZFIN;Acc:ZDB-GENE-090220-1]</t>
  </si>
  <si>
    <t>ENSDARG00000096579</t>
  </si>
  <si>
    <t>si:dkey-9c18.3</t>
  </si>
  <si>
    <t>si:dkey-9c18.3 [Source:ZFIN;Acc:ZDB-GENE-121214-321]</t>
  </si>
  <si>
    <t>ENSDARG00000074305</t>
  </si>
  <si>
    <t>si:ch73-257c13.2</t>
  </si>
  <si>
    <t>si:ch73-257c13.2 [Source:ZFIN;Acc:ZDB-GENE-081104-269]</t>
  </si>
  <si>
    <t>ENSDARG00000037892</t>
  </si>
  <si>
    <t>psmc3ip</t>
  </si>
  <si>
    <t>PSMC3 interacting protein [Source:ZFIN;Acc:ZDB-GENE-040625-125]</t>
  </si>
  <si>
    <t>ENSDARG00000025948</t>
  </si>
  <si>
    <t>mlh1</t>
  </si>
  <si>
    <t>mutL homolog 1, colon cancer, nonpolyposis type 2 (E. coli) [Source:ZFIN;Acc:ZDB-GENE-040426-1600]</t>
  </si>
  <si>
    <t>ENSDARG00000011609</t>
  </si>
  <si>
    <t>FOXK2</t>
  </si>
  <si>
    <t>si:ch211-262e15.1 [Source:ZFIN;Acc:ZDB-GENE-030131-5310]</t>
  </si>
  <si>
    <t>ENSDARG00000070979</t>
  </si>
  <si>
    <t>FUT9.6</t>
  </si>
  <si>
    <t>si:dkey-88e12.3 [Source:ZFIN;Acc:ZDB-GENE-131126-37]</t>
  </si>
  <si>
    <t>ENSDARG00000101220</t>
  </si>
  <si>
    <t>POLRMT</t>
  </si>
  <si>
    <t>si:dkey-21e2.1 [Source:ZFIN;Acc:ZDB-GENE-050208-458]</t>
  </si>
  <si>
    <t>ENSDARG00000089156</t>
  </si>
  <si>
    <t>egr3</t>
  </si>
  <si>
    <t>early growth response 3 [Source:ZFIN;Acc:ZDB-GENE-040718-394]</t>
  </si>
  <si>
    <t>ENSDARG00000069302</t>
  </si>
  <si>
    <t>snx9b</t>
  </si>
  <si>
    <t>sorting nexin 9b [Source:ZFIN;Acc:ZDB-GENE-031118-50]</t>
  </si>
  <si>
    <t>ENSDARG00000097970</t>
  </si>
  <si>
    <t>si:dkey-15i8.4</t>
  </si>
  <si>
    <t>si:dkey-15i8.4 [Source:ZFIN;Acc:ZDB-GENE-131121-314]</t>
  </si>
  <si>
    <t>ENSDARG00000093317</t>
  </si>
  <si>
    <t>si:ch211-209j10.6</t>
  </si>
  <si>
    <t>si:ch211-209j10.6 [Source:ZFIN;Acc:ZDB-GENE-090311-44]</t>
  </si>
  <si>
    <t>ENSDARG00000029291</t>
  </si>
  <si>
    <t>ipmkb</t>
  </si>
  <si>
    <t>inositol polyphosphate multikinase b [Source:ZFIN;Acc:ZDB-GENE-061215-5]</t>
  </si>
  <si>
    <t>ENSDARG00000036063</t>
  </si>
  <si>
    <t>ppp1r11</t>
  </si>
  <si>
    <t>protein phosphatase 1, regulatory (inhibitor) subunit 11 [Source:ZFIN;Acc:ZDB-GENE-050417-99]</t>
  </si>
  <si>
    <t>ENSDARG00000077531</t>
  </si>
  <si>
    <t>BAG6</t>
  </si>
  <si>
    <t>zgc:153389 [Source:ZFIN;Acc:ZDB-GENE-060825-176]</t>
  </si>
  <si>
    <t>ENSDARG00000099579</t>
  </si>
  <si>
    <t>aldh18a1</t>
  </si>
  <si>
    <t>aldehyde dehydrogenase 18 family, member A1 [Source:ZFIN;Acc:ZDB-GENE-030131-5602]</t>
  </si>
  <si>
    <t>ENSDARG00000096739</t>
  </si>
  <si>
    <t>si:dkey-219e21.2</t>
  </si>
  <si>
    <t>si:dkey-219e21.2 [Source:ZFIN;Acc:ZDB-GENE-141215-26]</t>
  </si>
  <si>
    <t>ENSDARG00000006062</t>
  </si>
  <si>
    <t>akap1b</t>
  </si>
  <si>
    <t>A kinase (PRKA) anchor protein 1b [Source:ZFIN;Acc:ZDB-GENE-030131-6844]</t>
  </si>
  <si>
    <t>ENSDARG00000088388</t>
  </si>
  <si>
    <t>BIN3</t>
  </si>
  <si>
    <t>si:ch73-6l19.2 [Source:ZFIN;Acc:ZDB-GENE-131127-313]</t>
  </si>
  <si>
    <t>ENSDARG00000079751</t>
  </si>
  <si>
    <t>megf8</t>
  </si>
  <si>
    <t>multiple EGF-like-domains 8 [Source:ZFIN;Acc:ZDB-GENE-090730-1]</t>
  </si>
  <si>
    <t>ENSDARG00000011770</t>
  </si>
  <si>
    <t>dhrs12</t>
  </si>
  <si>
    <t>dehydrogenase/reductase (SDR family) member 12 [Source:ZFIN;Acc:ZDB-GENE-060929-1134]</t>
  </si>
  <si>
    <t>ENSDARG00000061259</t>
  </si>
  <si>
    <t>sost</t>
  </si>
  <si>
    <t>sclerostin [Source:ZFIN;Acc:ZDB-GENE-110411-139]</t>
  </si>
  <si>
    <t>ENSDARG00000021806</t>
  </si>
  <si>
    <t>zfp36l2</t>
  </si>
  <si>
    <t>zinc finger protein 36, C3H type-like 2 [Source:ZFIN;Acc:ZDB-GENE-030131-5873]</t>
  </si>
  <si>
    <t>ENSDARG00000087528</t>
  </si>
  <si>
    <t>snip1</t>
  </si>
  <si>
    <t>Smad nuclear interacting protein [Source:ZFIN;Acc:ZDB-GENE-041026-3]</t>
  </si>
  <si>
    <t>ENSDARG00000077039</t>
  </si>
  <si>
    <t>esama</t>
  </si>
  <si>
    <t>endothelial cell adhesion molecule a [Source:ZFIN;Acc:ZDB-GENE-090629-1]</t>
  </si>
  <si>
    <t>ENSDARG00000015887</t>
  </si>
  <si>
    <t>b2ml</t>
  </si>
  <si>
    <t>beta-2-microglobulin, like [Source:ZFIN;Acc:ZDB-GENE-040426-2136]</t>
  </si>
  <si>
    <t>ENSDARG00000092463</t>
  </si>
  <si>
    <t>rhbdd2</t>
  </si>
  <si>
    <t>rhomboid domain containing 2 [Source:ZFIN;Acc:ZDB-GENE-091204-359]</t>
  </si>
  <si>
    <t>ENSDARG00000094554</t>
  </si>
  <si>
    <t>si:ch73-7i4.1</t>
  </si>
  <si>
    <t>si:ch73-7i4.1 [Source:ZFIN;Acc:ZDB-GENE-100921-19]</t>
  </si>
  <si>
    <t>ENSDARG00000075461</t>
  </si>
  <si>
    <t>suv420h2</t>
  </si>
  <si>
    <t>suppressor of variegation 4-20 homolog 2 (Drosophila) [Source:ZFIN;Acc:ZDB-GENE-080523-2]</t>
  </si>
  <si>
    <t>ENSDARG00000007359</t>
  </si>
  <si>
    <t>UBL4B</t>
  </si>
  <si>
    <t>zgc:56596 [Source:ZFIN;Acc:ZDB-GENE-040426-1089]</t>
  </si>
  <si>
    <t>ENSDARG00000020893</t>
  </si>
  <si>
    <t>slc25a22</t>
  </si>
  <si>
    <t>solute carrier family 25 (mitochondrial carrier: glutamate), member 22 [Source:ZFIN;Acc:ZDB-GENE-040426-2745]</t>
  </si>
  <si>
    <t>ENSDARG00000096654</t>
  </si>
  <si>
    <t>si:dkey-119m7.8</t>
  </si>
  <si>
    <t>si:dkey-119m7.8 [Source:ZFIN;Acc:ZDB-GENE-121214-235]</t>
  </si>
  <si>
    <t>ENSDARG00000097483</t>
  </si>
  <si>
    <t>si:ch211-213d14.2</t>
  </si>
  <si>
    <t>si:ch211-213d14.2 [Source:ZFIN;Acc:ZDB-GENE-030131-8357]</t>
  </si>
  <si>
    <t>ENSDARG00000103347</t>
  </si>
  <si>
    <t>cyp2aa3</t>
  </si>
  <si>
    <t>cytochrome P450, family 2, subfamily AA, polypeptide 3 [Source:ZFIN;Acc:ZDB-GENE-031030-8]</t>
  </si>
  <si>
    <t>ENSDARG00000003941</t>
  </si>
  <si>
    <t>rrs1</t>
  </si>
  <si>
    <t>RRS1 ribosome biogenesis regulator homolog (S. cerevisiae) [Source:ZFIN;Acc:ZDB-GENE-030131-9345]</t>
  </si>
  <si>
    <t>ENSDARG00000076334</t>
  </si>
  <si>
    <t>mrpl43</t>
  </si>
  <si>
    <t>mitochondrial ribosomal protein L43 [Source:ZFIN;Acc:ZDB-GENE-040718-125]</t>
  </si>
  <si>
    <t>ENSDARG00000006200</t>
  </si>
  <si>
    <t>eif4g1a</t>
  </si>
  <si>
    <t>eukaryotic translation initiation factor 4 gamma, 1a [Source:ZFIN;Acc:ZDB-GENE-070112-702]</t>
  </si>
  <si>
    <t>ENSDARG00000016514</t>
  </si>
  <si>
    <t>gtf2h2</t>
  </si>
  <si>
    <t>general transcription factor IIH, polypeptide 2 [Source:ZFIN;Acc:ZDB-GENE-030131-1959]</t>
  </si>
  <si>
    <t>ENSDARG00000076079</t>
  </si>
  <si>
    <t>ush1gb</t>
  </si>
  <si>
    <t>Usher syndrome 1Gb (autosomal recessive) [Source:ZFIN;Acc:ZDB-GENE-110411-55]</t>
  </si>
  <si>
    <t>ENSDARG00000062056</t>
  </si>
  <si>
    <t>elmod1</t>
  </si>
  <si>
    <t>ELMO/CED-12 domain containing 1 [Source:ZFIN;Acc:ZDB-GENE-070112-262]</t>
  </si>
  <si>
    <t>ENSDARG00000097333</t>
  </si>
  <si>
    <t>si:ch211-213d14.3</t>
  </si>
  <si>
    <t>si:ch211-213d14.3 [Source:ZFIN;Acc:ZDB-GENE-131121-585]</t>
  </si>
  <si>
    <t>ENSDARG00000061458</t>
  </si>
  <si>
    <t>phf14</t>
  </si>
  <si>
    <t>PHD finger protein 14 [Source:ZFIN;Acc:ZDB-GENE-030131-1796]</t>
  </si>
  <si>
    <t>ENSDARG00000092033</t>
  </si>
  <si>
    <t>si:dkey-239h2.3</t>
  </si>
  <si>
    <t>si:dkey-239h2.3 [Source:ZFIN;Acc:ZDB-GENE-081104-383]</t>
  </si>
  <si>
    <t>ENSDARG00000094570</t>
  </si>
  <si>
    <t>si:ch211-226h7.2</t>
  </si>
  <si>
    <t>si:ch211-226h7.2 [Source:ZFIN;Acc:ZDB-GENE-130531-8]</t>
  </si>
  <si>
    <t>ENSDARG00000075745</t>
  </si>
  <si>
    <t>ovgp1</t>
  </si>
  <si>
    <t>oviductal glycoprotein 1 [Source:ZFIN;Acc:ZDB-GENE-140106-118]</t>
  </si>
  <si>
    <t>ENSDARG00000075942</t>
  </si>
  <si>
    <t>FRMD5</t>
  </si>
  <si>
    <t>si:ch211-69m14.1 [Source:ZFIN;Acc:ZDB-GENE-050419-226]</t>
  </si>
  <si>
    <t>ENSDARG00000063242</t>
  </si>
  <si>
    <t>ttc13</t>
  </si>
  <si>
    <t>tetratricopeptide repeat domain 13 [Source:ZFIN;Acc:ZDB-GENE-080722-25]</t>
  </si>
  <si>
    <t>ENSDARG00000028957</t>
  </si>
  <si>
    <t>maff</t>
  </si>
  <si>
    <t>v-maf avian musculoaponeurotic fibrosarcoma oncogene homolog F [Source:ZFIN;Acc:ZDB-GENE-040426-1280]</t>
  </si>
  <si>
    <t>ENSDARG00000032516</t>
  </si>
  <si>
    <t>rrp36</t>
  </si>
  <si>
    <t>ribosomal RNA processing 36 [Source:ZFIN;Acc:ZDB-GENE-030131-9751]</t>
  </si>
  <si>
    <t>ENSDARG00000031100</t>
  </si>
  <si>
    <t>ivns1abpa</t>
  </si>
  <si>
    <t>influenza virus NS1A binding protein a [Source:ZFIN;Acc:ZDB-GENE-031222-2]</t>
  </si>
  <si>
    <t>ENSDARG00000003486</t>
  </si>
  <si>
    <t>ppp1caa</t>
  </si>
  <si>
    <t>protein phosphatase 1, catalytic subunit, alpha isozyme a [Source:ZFIN;Acc:ZDB-GENE-040516-3]</t>
  </si>
  <si>
    <t>ENSDARG00000079886</t>
  </si>
  <si>
    <t>otulinb</t>
  </si>
  <si>
    <t>OTU deubiquitinase with linear linkage specificity b [Source:ZFIN;Acc:ZDB-GENE-070912-627]</t>
  </si>
  <si>
    <t>ENSDARG00000098367</t>
  </si>
  <si>
    <t>srp54</t>
  </si>
  <si>
    <t>signal recognition particle 54 [Source:ZFIN;Acc:ZDB-GENE-040426-818]</t>
  </si>
  <si>
    <t>ENSDARG00000013704</t>
  </si>
  <si>
    <t>cers2a</t>
  </si>
  <si>
    <t>ceramide synthase 2a [Source:ZFIN;Acc:ZDB-GENE-020808-2]</t>
  </si>
  <si>
    <t>ENSDARG00000061672</t>
  </si>
  <si>
    <t>si:ch73-334d15.1</t>
  </si>
  <si>
    <t>si:ch73-334d15.1 [Source:ZFIN;Acc:ZDB-GENE-091118-35]</t>
  </si>
  <si>
    <t>ENSDARG00000098011</t>
  </si>
  <si>
    <t>si:ch211-209m20.7</t>
  </si>
  <si>
    <t>si:ch211-209m20.7 [Source:ZFIN;Acc:ZDB-GENE-131121-400]</t>
  </si>
  <si>
    <t>ENSDARG00000100583</t>
  </si>
  <si>
    <t>hid1b</t>
  </si>
  <si>
    <t>HID1 domain containing b [Source:ZFIN;Acc:ZDB-GENE-040718-239]</t>
  </si>
  <si>
    <t>ENSDARG00000102265</t>
  </si>
  <si>
    <t>smarcal1</t>
  </si>
  <si>
    <t>SWI/SNF related, matrix associated, actin dependent regulator of chromatin, subfamily a-like 1 [Source:ZFIN;Acc:ZDB-GENE-041210-303]</t>
  </si>
  <si>
    <t>ENSDARG00000069383</t>
  </si>
  <si>
    <t>cnga4</t>
  </si>
  <si>
    <t>cyclic nucleotide gated channel alpha 4 [Source:ZFIN;Acc:ZDB-GENE-070912-292]</t>
  </si>
  <si>
    <t>ENSDARG00000039255</t>
  </si>
  <si>
    <t>klhl21</t>
  </si>
  <si>
    <t>kelch-like family member 21 [Source:ZFIN;Acc:ZDB-GENE-040426-2627]</t>
  </si>
  <si>
    <t>ENSDARG00000045146</t>
  </si>
  <si>
    <t>tomm22</t>
  </si>
  <si>
    <t>translocase of outer mitochondrial membrane 22 homolog (yeast) [Source:ZFIN;Acc:ZDB-GENE-030131-9810]</t>
  </si>
  <si>
    <t>ENSDARG00000038845</t>
  </si>
  <si>
    <t>ldhd</t>
  </si>
  <si>
    <t>lactate dehydrogenase D [Source:ZFIN;Acc:ZDB-GENE-030131-6140]</t>
  </si>
  <si>
    <t>ENSDARG00000097381</t>
  </si>
  <si>
    <t>si:dkey-23p11.4</t>
  </si>
  <si>
    <t>si:dkey-23p11.4 [Source:ZFIN;Acc:ZDB-GENE-131120-32]</t>
  </si>
  <si>
    <t>ENSDARG00000075253</t>
  </si>
  <si>
    <t>pik3cb</t>
  </si>
  <si>
    <t>phosphatidylinositol-4,5-bisphosphate 3-kinase, catalytic subunit beta [Source:ZFIN;Acc:ZDB-GENE-030131-1904]</t>
  </si>
  <si>
    <t>ENSDARG00000015006</t>
  </si>
  <si>
    <t>dnm1l</t>
  </si>
  <si>
    <t>dynamin 1-like [Source:ZFIN;Acc:ZDB-GENE-040426-1556]</t>
  </si>
  <si>
    <t>ENSDARG00000052361</t>
  </si>
  <si>
    <t>il15</t>
  </si>
  <si>
    <t>interleukin 15 [Source:ZFIN;Acc:ZDB-GENE-060213-2]</t>
  </si>
  <si>
    <t>ENSDARG00000021987</t>
  </si>
  <si>
    <t>plecb</t>
  </si>
  <si>
    <t>plectin b [Source:ZFIN;Acc:ZDB-GENE-100917-2]</t>
  </si>
  <si>
    <t>ENSDARG00000097750</t>
  </si>
  <si>
    <t>si:dkey-181d19.6</t>
  </si>
  <si>
    <t>si:dkey-181d19.6 [Source:ZFIN;Acc:ZDB-GENE-131121-220]</t>
  </si>
  <si>
    <t>ENSDARG00000007125</t>
  </si>
  <si>
    <t>asb6</t>
  </si>
  <si>
    <t>ankyrin repeat and SOCS box containing 6 [Source:ZFIN;Acc:ZDB-GENE-050522-338]</t>
  </si>
  <si>
    <t>ENSDARG00000069499</t>
  </si>
  <si>
    <t>spag1b</t>
  </si>
  <si>
    <t>sperm associated antigen 1b [Source:ZFIN;Acc:ZDB-GENE-061013-512]</t>
  </si>
  <si>
    <t>ENSDARG00000044588</t>
  </si>
  <si>
    <t>emp2</t>
  </si>
  <si>
    <t>epithelial membrane protein 2 [Source:ZFIN;Acc:ZDB-GENE-040822-24]</t>
  </si>
  <si>
    <t>ENSDARG00000021287</t>
  </si>
  <si>
    <t>zgc:91909</t>
  </si>
  <si>
    <t>zgc:91909.1</t>
  </si>
  <si>
    <t>zgc:91909 [Source:ZFIN;Acc:ZDB-GENE-040704-16]</t>
  </si>
  <si>
    <t>ENSDARG00000063100</t>
  </si>
  <si>
    <t>psmd14</t>
  </si>
  <si>
    <t>proteasome 26S subunit, non-ATPase 14 [Source:ZFIN;Acc:ZDB-GENE-070410-56]</t>
  </si>
  <si>
    <t>ENSDARG00000041359</t>
  </si>
  <si>
    <t>zgc:161969</t>
  </si>
  <si>
    <t>zgc:161969 [Source:ZFIN;Acc:ZDB-GENE-030131-2597]</t>
  </si>
  <si>
    <t>ENSDARG00000006181</t>
  </si>
  <si>
    <t>hif1aa</t>
  </si>
  <si>
    <t>hypoxia inducible factor 1, alpha subunit (basic helix-loop-helix transcription factor) a [Source:ZFIN;Acc:ZDB-GENE-080917-55]</t>
  </si>
  <si>
    <t>ENSDARG00000058504</t>
  </si>
  <si>
    <t>ap1s2</t>
  </si>
  <si>
    <t>adaptor-related protein complex 1, sigma 2 subunit [Source:ZFIN;Acc:ZDB-GENE-030131-5448]</t>
  </si>
  <si>
    <t>ENSDARG00000092798</t>
  </si>
  <si>
    <t>ppib</t>
  </si>
  <si>
    <t>peptidylprolyl isomerase B (cyclophilin B) [Source:ZFIN;Acc:ZDB-GENE-040426-1955]</t>
  </si>
  <si>
    <t>ENSDARG00000000503</t>
  </si>
  <si>
    <t>stx1b</t>
  </si>
  <si>
    <t>syntaxin 1B [Source:ZFIN;Acc:ZDB-GENE-000330-4]</t>
  </si>
  <si>
    <t>ENSDARG00000020494</t>
  </si>
  <si>
    <t>znf330</t>
  </si>
  <si>
    <t>zinc finger protein 330 [Source:ZFIN;Acc:ZDB-GENE-040426-2697]</t>
  </si>
  <si>
    <t>ENSDARG00000068698</t>
  </si>
  <si>
    <t>psenen</t>
  </si>
  <si>
    <t>presenilin enhancer gamma secretase subunit [Source:ZFIN;Acc:ZDB-GENE-040218-1]</t>
  </si>
  <si>
    <t>ENSDARG00000032126</t>
  </si>
  <si>
    <t>scg5</t>
  </si>
  <si>
    <t>secretogranin V [Source:ZFIN;Acc:ZDB-GENE-040426-1687]</t>
  </si>
  <si>
    <t>ENSDARG00000080020</t>
  </si>
  <si>
    <t>il13ra1</t>
  </si>
  <si>
    <t>interleukin 13 receptor, alpha 1 [Source:ZFIN;Acc:ZDB-GENE-060503-103]</t>
  </si>
  <si>
    <t>ENSDARG00000093642</t>
  </si>
  <si>
    <t>si:dkey-57c15.9</t>
  </si>
  <si>
    <t>si:dkey-57c15.9 [Source:ZFIN;Acc:ZDB-GENE-050208-517]</t>
  </si>
  <si>
    <t>ENSDARG00000052094</t>
  </si>
  <si>
    <t>notch1b</t>
  </si>
  <si>
    <t>notch 1b [Source:ZFIN;Acc:ZDB-GENE-990415-183]</t>
  </si>
  <si>
    <t>ENSDARG00000088143</t>
  </si>
  <si>
    <t>sema4gb</t>
  </si>
  <si>
    <t>sema domain, immunoglobulin domain (Ig), transmembrane domain (TM) and short cytoplasmic domain, (semaphorin) 4Gb [Source:ZFIN;Acc:ZDB-GENE-111117-1]</t>
  </si>
  <si>
    <t>ENSDARG00000095581</t>
  </si>
  <si>
    <t>si:dkey-97a13.5</t>
  </si>
  <si>
    <t>si:dkey-97a13.5 [Source:ZFIN;Acc:ZDB-GENE-070912-616]</t>
  </si>
  <si>
    <t>ENSDARG00000023026</t>
  </si>
  <si>
    <t>pkp2</t>
  </si>
  <si>
    <t>plakophilin 2 [Source:ZFIN;Acc:ZDB-GENE-041210-167]</t>
  </si>
  <si>
    <t>ENSDARG00000100636</t>
  </si>
  <si>
    <t>rbm12</t>
  </si>
  <si>
    <t>RNA binding motif protein 12 [Source:ZFIN;Acc:ZDB-GENE-081022-16]</t>
  </si>
  <si>
    <t>ENSDARG00000097453</t>
  </si>
  <si>
    <t>si:ch211-225b7.5</t>
  </si>
  <si>
    <t>si:ch211-225b7.5 [Source:ZFIN;Acc:ZDB-GENE-131121-217]</t>
  </si>
  <si>
    <t>ENSDARG00000011496</t>
  </si>
  <si>
    <t>ppm1bb</t>
  </si>
  <si>
    <t>protein phosphatase, Mg2+/Mn2+ dependent, 1Bb [Source:ZFIN;Acc:ZDB-GENE-041114-185]</t>
  </si>
  <si>
    <t>ENSDARG00000014058</t>
  </si>
  <si>
    <t>rab36</t>
  </si>
  <si>
    <t>RAB36, member RAS oncogene family [Source:ZFIN;Acc:ZDB-GENE-040910-5]</t>
  </si>
  <si>
    <t>ENSDARG00000076303</t>
  </si>
  <si>
    <t>usp11</t>
  </si>
  <si>
    <t>ubiquitin specific peptidase 11 [Source:ZFIN;Acc:ZDB-GENE-081104-421]</t>
  </si>
  <si>
    <t>ENSDARG00000099533</t>
  </si>
  <si>
    <t>zgc:113279</t>
  </si>
  <si>
    <t>zgc:113279 [Source:ZFIN;Acc:ZDB-GENE-050522-529]</t>
  </si>
  <si>
    <t>ENSDARG00000075536</t>
  </si>
  <si>
    <t>cpne1</t>
  </si>
  <si>
    <t>copine I [Source:ZFIN;Acc:ZDB-GENE-030131-3562]</t>
  </si>
  <si>
    <t>ENSDARG00000012204</t>
  </si>
  <si>
    <t>CDK18</t>
  </si>
  <si>
    <t>si:dkey-166c18.1 [Source:ZFIN;Acc:ZDB-GENE-141215-51]</t>
  </si>
  <si>
    <t>ENSDARG00000057680</t>
  </si>
  <si>
    <t>foxj2</t>
  </si>
  <si>
    <t>forkhead box J2 [Source:ZFIN;Acc:ZDB-GENE-100922-240]</t>
  </si>
  <si>
    <t>ENSDARG00000029768</t>
  </si>
  <si>
    <t>waplb</t>
  </si>
  <si>
    <t>WAPL cohesin release factor b [Source:ZFIN;Acc:ZDB-GENE-080220-45]</t>
  </si>
  <si>
    <t>ENSDARG00000078624</t>
  </si>
  <si>
    <t>arhgef9b</t>
  </si>
  <si>
    <t>Cdc42 guanine nucleotide exchange factor (GEF) 9b [Source:ZFIN;Acc:ZDB-GENE-030131-7745]</t>
  </si>
  <si>
    <t>ENSDARG00000009748</t>
  </si>
  <si>
    <t>dffb</t>
  </si>
  <si>
    <t>DNA fragmentation factor, beta polypeptide (caspase-activated DNase) [Source:ZFIN;Acc:ZDB-GENE-030826-4]</t>
  </si>
  <si>
    <t>ENSDARG00000063037</t>
  </si>
  <si>
    <t>lipea</t>
  </si>
  <si>
    <t>lipase, hormone-sensitive a [Source:ZFIN;Acc:ZDB-GENE-060503-734]</t>
  </si>
  <si>
    <t>ENSDARG00000005840</t>
  </si>
  <si>
    <t>got2b</t>
  </si>
  <si>
    <t>glutamic-oxaloacetic transaminase 2b, mitochondrial [Source:ZFIN;Acc:ZDB-GENE-030131-7917]</t>
  </si>
  <si>
    <t>ENSDARG00000104295</t>
  </si>
  <si>
    <t>arhgap21a</t>
  </si>
  <si>
    <t>Rho GTPase activating protein 21a [Source:ZFIN;Acc:ZDB-GENE-090918-5]</t>
  </si>
  <si>
    <t>ENSDARG00000011921</t>
  </si>
  <si>
    <t>txnl1</t>
  </si>
  <si>
    <t>thioredoxin-like 1 [Source:ZFIN;Acc:ZDB-GENE-040426-701]</t>
  </si>
  <si>
    <t>ENSDARG00000102914</t>
  </si>
  <si>
    <t>dennd4b</t>
  </si>
  <si>
    <t>DENN/MADD domain containing 4B [Source:ZFIN;Acc:ZDB-GENE-130530-684]</t>
  </si>
  <si>
    <t>ENSDARG00000056966</t>
  </si>
  <si>
    <t>nek7</t>
  </si>
  <si>
    <t>NIMA-related kinase 7 [Source:ZFIN;Acc:ZDB-GENE-040801-136]</t>
  </si>
  <si>
    <t>ENSDARG00000077226</t>
  </si>
  <si>
    <t>smarca4a</t>
  </si>
  <si>
    <t>SWI/SNF related, matrix associated, actin dependent regulator of chromatin, subfamily a, member 4a [Source:ZFIN;Acc:ZDB-GENE-030605-1]</t>
  </si>
  <si>
    <t>ENSDARG00000076510</t>
  </si>
  <si>
    <t>fgf22</t>
  </si>
  <si>
    <t>fibroblast growth factor 22 [Source:ZFIN;Acc:ZDB-GENE-050208-380]</t>
  </si>
  <si>
    <t>ENSDARG00000093833</t>
  </si>
  <si>
    <t>si:ch73-382f3.1</t>
  </si>
  <si>
    <t>si:ch73-382f3.1 [Source:ZFIN;Acc:ZDB-GENE-030131-9513]</t>
  </si>
  <si>
    <t>ENSDARG00000095595</t>
  </si>
  <si>
    <t>si:ch211-283e2.7</t>
  </si>
  <si>
    <t>si:ch211-283e2.7 [Source:ZFIN;Acc:ZDB-GENE-070912-275]</t>
  </si>
  <si>
    <t>ENSDARG00000093557</t>
  </si>
  <si>
    <t>si:ch211-281k12.4</t>
  </si>
  <si>
    <t>si:ch211-281k12.4 [Source:ZFIN;Acc:ZDB-GENE-041210-55]</t>
  </si>
  <si>
    <t>ENSDARG00000093088</t>
  </si>
  <si>
    <t>si:dkey-274m14.3</t>
  </si>
  <si>
    <t>si:dkey-274m14.3 [Source:ZFIN;Acc:ZDB-GENE-081104-403]</t>
  </si>
  <si>
    <t>ENSDARG00000017675</t>
  </si>
  <si>
    <t>cirh1a</t>
  </si>
  <si>
    <t>cirrhosis, autosomal recessive 1A (cirhin) [Source:ZFIN;Acc:ZDB-GENE-040426-2466]</t>
  </si>
  <si>
    <t>ENSDARG00000057227</t>
  </si>
  <si>
    <t>si:dkey-222b8.4</t>
  </si>
  <si>
    <t>si:dkey-222b8.4 [Source:ZFIN;Acc:ZDB-GENE-060503-438]</t>
  </si>
  <si>
    <t>ENSDARG00000094677</t>
  </si>
  <si>
    <t>si:dkey-92j12.5</t>
  </si>
  <si>
    <t>si:dkey-92j12.5 [Source:ZFIN;Acc:ZDB-GENE-090313-354]</t>
  </si>
  <si>
    <t>ENSDARG00000091932</t>
  </si>
  <si>
    <t>si:ch73-25f10.6</t>
  </si>
  <si>
    <t>si:ch73-25f10.6 [Source:ZFIN;Acc:ZDB-GENE-100922-192]</t>
  </si>
  <si>
    <t>ENSDARG00000090769</t>
  </si>
  <si>
    <t>si:dkey-51d8.6</t>
  </si>
  <si>
    <t>si:dkey-51d8.6 [Source:ZFIN;Acc:ZDB-GENE-110914-115]</t>
  </si>
  <si>
    <t>ENSDARG00000057867</t>
  </si>
  <si>
    <t>lasp1</t>
  </si>
  <si>
    <t>LIM and SH3 protein 1 [Source:ZFIN;Acc:ZDB-GENE-030131-1936]</t>
  </si>
  <si>
    <t>ENSDARG00000019417</t>
  </si>
  <si>
    <t>gadd45ga</t>
  </si>
  <si>
    <t>growth arrest and DNA-damage-inducible, gamma a [Source:ZFIN;Acc:ZDB-GENE-040426-1882]</t>
  </si>
  <si>
    <t>ENSDARG00000045853</t>
  </si>
  <si>
    <t>rad51ap1</t>
  </si>
  <si>
    <t>RAD51 associated protein 1 [Source:ZFIN;Acc:ZDB-GENE-050419-96]</t>
  </si>
  <si>
    <t>ENSDARG00000061952</t>
  </si>
  <si>
    <t>si:dkey-245p14.7</t>
  </si>
  <si>
    <t>si:dkey-245p14.7 [Source:ZFIN;Acc:ZDB-GENE-061207-66]</t>
  </si>
  <si>
    <t>ENSDARG00000103127</t>
  </si>
  <si>
    <t>gpn2</t>
  </si>
  <si>
    <t>GPN-loop GTPase 2 [Source:ZFIN;Acc:ZDB-GENE-041010-86]</t>
  </si>
  <si>
    <t>ENSDARG00000044874</t>
  </si>
  <si>
    <t>zgc:92107</t>
  </si>
  <si>
    <t>zgc:92107 [Source:ZFIN;Acc:ZDB-GENE-041114-4]</t>
  </si>
  <si>
    <t>ENSDARG00000019130</t>
  </si>
  <si>
    <t>plk2b</t>
  </si>
  <si>
    <t>polo-like kinase 2b (Drosophila) [Source:ZFIN;Acc:ZDB-GENE-070720-17]</t>
  </si>
  <si>
    <t>ENSDARG00000062712</t>
  </si>
  <si>
    <t>tmem264</t>
  </si>
  <si>
    <t>transmembrane protein 264 [Source:ZFIN;Acc:ZDB-GENE-060503-911]</t>
  </si>
  <si>
    <t>ENSDARG00000025319</t>
  </si>
  <si>
    <t>fynb</t>
  </si>
  <si>
    <t>FYN proto-oncogene, Src family tyrosine kinase b [Source:ZFIN;Acc:ZDB-GENE-050706-89]</t>
  </si>
  <si>
    <t>ENSDARG00000029556</t>
  </si>
  <si>
    <t>kansl3</t>
  </si>
  <si>
    <t>KAT8 regulatory NSL complex subunit 3 [Source:ZFIN;Acc:ZDB-GENE-050809-132]</t>
  </si>
  <si>
    <t>ENSDARG00000017740</t>
  </si>
  <si>
    <t>sec63</t>
  </si>
  <si>
    <t>SEC63 homolog, protein translocation regulator [Source:ZFIN;Acc:ZDB-GENE-040718-328]</t>
  </si>
  <si>
    <t>ENSDARG00000010059</t>
  </si>
  <si>
    <t>itpkb</t>
  </si>
  <si>
    <t>inositol-trisphosphate 3-kinase B [Source:ZFIN;Acc:ZDB-GENE-041014-166]</t>
  </si>
  <si>
    <t>ENSDARG00000101749</t>
  </si>
  <si>
    <t>zgc:92161</t>
  </si>
  <si>
    <t>zgc:92161 [Source:ZFIN;Acc:ZDB-GENE-040912-22]</t>
  </si>
  <si>
    <t>ENSDARG00000021140</t>
  </si>
  <si>
    <t>pabpc1b</t>
  </si>
  <si>
    <t>poly A binding protein, cytoplasmic 1 b [Source:ZFIN;Acc:ZDB-GENE-050308-1]</t>
  </si>
  <si>
    <t>ENSDARG00000042057</t>
  </si>
  <si>
    <t>trmt1l</t>
  </si>
  <si>
    <t>tRNA methyltransferase 1-like [Source:ZFIN;Acc:ZDB-GENE-041014-189]</t>
  </si>
  <si>
    <t>ENSDARG00000060308</t>
  </si>
  <si>
    <t>urb1</t>
  </si>
  <si>
    <t>URB1 ribosome biogenesis 1 homolog (S. cerevisiae) [Source:ZFIN;Acc:ZDB-GENE-030131-5181]</t>
  </si>
  <si>
    <t>ENSDARG00000074149</t>
  </si>
  <si>
    <t>itpr1b</t>
  </si>
  <si>
    <t>inositol 1,4,5-trisphosphate receptor, type 1b [Source:ZFIN;Acc:ZDB-GENE-070604-2]</t>
  </si>
  <si>
    <t>ENSDARG00000074362</t>
  </si>
  <si>
    <t>FUT9.7</t>
  </si>
  <si>
    <t>zgc:165582 [Source:ZFIN;Acc:ZDB-GENE-070820-9]</t>
  </si>
  <si>
    <t>ENSDARG00000011948</t>
  </si>
  <si>
    <t>insra</t>
  </si>
  <si>
    <t>insulin receptor a [Source:ZFIN;Acc:ZDB-GENE-020503-3]</t>
  </si>
  <si>
    <t>ENSDARG00000061081</t>
  </si>
  <si>
    <t>arpp21</t>
  </si>
  <si>
    <t>cAMP-regulated phosphoprotein, 21 [Source:ZFIN;Acc:ZDB-GENE-081104-296]</t>
  </si>
  <si>
    <t>ENSDARG00000043661</t>
  </si>
  <si>
    <t>cadpsa</t>
  </si>
  <si>
    <t>Ca2+-dependent activator protein for secretion a [Source:ZFIN;Acc:ZDB-GENE-030616-525]</t>
  </si>
  <si>
    <t>ENSDARG00000030782</t>
  </si>
  <si>
    <t>exoc3l2b</t>
  </si>
  <si>
    <t>exocyst complex component 3-like 2b [Source:ZFIN;Acc:ZDB-GENE-100728-5]</t>
  </si>
  <si>
    <t>ENSDARG00000094048</t>
  </si>
  <si>
    <t>si:dkey-224b4.5</t>
  </si>
  <si>
    <t>si:dkey-224b4.5 [Source:ZFIN;Acc:ZDB-GENE-091204-358]</t>
  </si>
  <si>
    <t>ENSDARG00000102076</t>
  </si>
  <si>
    <t>zgc:158852</t>
  </si>
  <si>
    <t>zgc:158852 [Source:ZFIN;Acc:ZDB-GENE-070112-972]</t>
  </si>
  <si>
    <t>ENSDARG00000046012</t>
  </si>
  <si>
    <t>slc47a1</t>
  </si>
  <si>
    <t>solute carrier family 47 (multidrug and toxin extrusion), member 1 [Source:ZFIN;Acc:ZDB-GENE-050327-20]</t>
  </si>
  <si>
    <t>ENSDARG00000100342</t>
  </si>
  <si>
    <t>SHF</t>
  </si>
  <si>
    <t>si:ch73-116f3.3 [Source:ZFIN;Acc:ZDB-GENE-120215-147]</t>
  </si>
  <si>
    <t>ENSDARG00000016153</t>
  </si>
  <si>
    <t>dag1</t>
  </si>
  <si>
    <t>dystroglycan 1 [Source:ZFIN;Acc:ZDB-GENE-021223-1]</t>
  </si>
  <si>
    <t>ENSDARG00000100737</t>
  </si>
  <si>
    <t>EPO</t>
  </si>
  <si>
    <t>si:dkey-259i8.1 [Source:ZFIN;Acc:ZDB-GENE-141216-428]</t>
  </si>
  <si>
    <t>ENSDARG00000039130</t>
  </si>
  <si>
    <t>cdkn3</t>
  </si>
  <si>
    <t>cyclin-dependent kinase inhibitor 3 [Source:ZFIN;Acc:ZDB-GENE-060427-2]</t>
  </si>
  <si>
    <t>ENSDARG00000094010</t>
  </si>
  <si>
    <t>swt1</t>
  </si>
  <si>
    <t>SWT1 RNA endoribonuclease homolog [Source:ZFIN;Acc:ZDB-GENE-041015-373]</t>
  </si>
  <si>
    <t>ENSDARG00000086324</t>
  </si>
  <si>
    <t>si:dkey-274m17.3</t>
  </si>
  <si>
    <t>si:dkey-274m17.3 [Source:ZFIN;Acc:ZDB-GENE-110621-3]</t>
  </si>
  <si>
    <t>ENSDARG00000077620</t>
  </si>
  <si>
    <t>cdca7a</t>
  </si>
  <si>
    <t>cell division cycle associated 7a [Source:ZFIN;Acc:ZDB-GENE-050417-29]</t>
  </si>
  <si>
    <t>ENSDARG00000074680</t>
  </si>
  <si>
    <t>rims1a</t>
  </si>
  <si>
    <t>regulating synaptic membrane exocytosis 1a [Source:ZFIN;Acc:ZDB-GENE-090312-135]</t>
  </si>
  <si>
    <t>ENSDARG00000036645</t>
  </si>
  <si>
    <t>rcbtb1</t>
  </si>
  <si>
    <t>regulator of chromosome condensation (RCC1) and BTB (POZ) domain containing protein 1 [Source:ZFIN;Acc:ZDB-GENE-030131-7951]</t>
  </si>
  <si>
    <t>ENSDARG00000059035</t>
  </si>
  <si>
    <t>porb</t>
  </si>
  <si>
    <t>P450 (cytochrome) oxidoreductase b [Source:ZFIN;Acc:ZDB-GENE-030131-5767]</t>
  </si>
  <si>
    <t>ENSDARG00000023768</t>
  </si>
  <si>
    <t>mfsd4a</t>
  </si>
  <si>
    <t>major facilitator superfamily domain containing 4a [Source:ZFIN;Acc:ZDB-GENE-040426-1643]</t>
  </si>
  <si>
    <t>ENSDARG00000063254</t>
  </si>
  <si>
    <t>r3hdm4</t>
  </si>
  <si>
    <t>R3H domain containing 4 [Source:ZFIN;Acc:ZDB-GENE-070112-1352]</t>
  </si>
  <si>
    <t>ENSDARG00000006545</t>
  </si>
  <si>
    <t>rgp1</t>
  </si>
  <si>
    <t>GP1 homolog, RAB6A GEF complex partner 1 [Source:ZFIN;Acc:ZDB-GENE-040718-352]</t>
  </si>
  <si>
    <t>ENSDARG00000097906</t>
  </si>
  <si>
    <t>samd4a</t>
  </si>
  <si>
    <t>ENSDARG00000100247</t>
  </si>
  <si>
    <t>FUT9.8</t>
  </si>
  <si>
    <t>fucosyltransferase 9 (alpha (1,3) fucosyltransferase) [Source:HGNC Symbol;Acc:HGNC:4020]</t>
  </si>
  <si>
    <t>ENSDARG00000079508</t>
  </si>
  <si>
    <t>fam114a2</t>
  </si>
  <si>
    <t>family with sequence similarity 114, member A2 [Source:ZFIN;Acc:ZDB-GENE-030131-6308]</t>
  </si>
  <si>
    <t>ENSDARG00000020986</t>
  </si>
  <si>
    <t>ctu1</t>
  </si>
  <si>
    <t>cytosolic thiouridylase subunit 1 homolog (S. pombe) [Source:ZFIN;Acc:ZDB-GENE-040426-704]</t>
  </si>
  <si>
    <t>ENSDARG00000039430</t>
  </si>
  <si>
    <t>msl2b</t>
  </si>
  <si>
    <t>male-specific lethal 2 homolog b (Drosophila) [Source:ZFIN;Acc:ZDB-GENE-030131-1621]</t>
  </si>
  <si>
    <t>ENSDARG00000079850</t>
  </si>
  <si>
    <t>dchs1b</t>
  </si>
  <si>
    <t>dachsous cadherin-related 1b [Source:ZFIN;Acc:ZDB-GENE-050208-41]</t>
  </si>
  <si>
    <t>ENSDARG00000026762</t>
  </si>
  <si>
    <t>fam126a</t>
  </si>
  <si>
    <t>family with sequence similarity 126, member A [Source:ZFIN;Acc:ZDB-GENE-040426-1806]</t>
  </si>
  <si>
    <t>ENSDARG00000019113</t>
  </si>
  <si>
    <t>mob3a</t>
  </si>
  <si>
    <t>MOB kinase activator 3A [Source:ZFIN;Acc:ZDB-GENE-030131-4091]</t>
  </si>
  <si>
    <t>ENSDARG00000077790</t>
  </si>
  <si>
    <t>dcaf15</t>
  </si>
  <si>
    <t>DDB1 and CUL4 associated factor 15 [Source:ZFIN;Acc:ZDB-GENE-030131-2374]</t>
  </si>
  <si>
    <t>ENSDARG00000088841</t>
  </si>
  <si>
    <t>dnal4b</t>
  </si>
  <si>
    <t>dynein, axonemal, light chain 4b [Source:ZFIN;Acc:ZDB-GENE-050208-510]</t>
  </si>
  <si>
    <t>ENSDARG00000014790</t>
  </si>
  <si>
    <t>g3bp2</t>
  </si>
  <si>
    <t>GTPase activating protein (SH3 domain) binding protein 2 [Source:ZFIN;Acc:ZDB-GENE-070112-1972]</t>
  </si>
  <si>
    <t>ENSDARG00000096428</t>
  </si>
  <si>
    <t>si:dkey-217d24.6</t>
  </si>
  <si>
    <t>si:dkey-217d24.6 [Source:ZFIN;Acc:ZDB-GENE-030131-5663]</t>
  </si>
  <si>
    <t>ENSDARG00000043404</t>
  </si>
  <si>
    <t>rpp21</t>
  </si>
  <si>
    <t>ribonuclease P 21 subunit [Source:ZFIN;Acc:ZDB-GENE-040801-37]</t>
  </si>
  <si>
    <t>ENSDARG00000061472</t>
  </si>
  <si>
    <t>gba2</t>
  </si>
  <si>
    <t>glucosidase, beta (bile acid) 2 [Source:ZFIN;Acc:ZDB-GENE-070522-3]</t>
  </si>
  <si>
    <t>ENSDARG00000045025</t>
  </si>
  <si>
    <t>ift52</t>
  </si>
  <si>
    <t>intraflagellar transport 52 homolog (Chlamydomonas) [Source:ZFIN;Acc:ZDB-GENE-040614-3]</t>
  </si>
  <si>
    <t>ENSDARG00000102978</t>
  </si>
  <si>
    <t>eif4a3</t>
  </si>
  <si>
    <t>eukaryotic translation initiation factor 4A3 [Source:ZFIN;Acc:ZDB-GENE-040426-915]</t>
  </si>
  <si>
    <t>ENSDARG00000098535</t>
  </si>
  <si>
    <t>si:dkey-13a3.5</t>
  </si>
  <si>
    <t>si:dkey-13a3.5 [Source:ZFIN;Acc:ZDB-GENE-141216-242]</t>
  </si>
  <si>
    <t>ENSDARG00000070929</t>
  </si>
  <si>
    <t>sox14</t>
  </si>
  <si>
    <t>SRY (sex determining region Y)-box 14 [Source:ZFIN;Acc:ZDB-GENE-051113-268]</t>
  </si>
  <si>
    <t>ENSDARG00000020926</t>
  </si>
  <si>
    <t>creb3l3l</t>
  </si>
  <si>
    <t>cAMP responsive element binding protein 3-like 3 like [Source:ZFIN;Acc:ZDB-GENE-040426-2942]</t>
  </si>
  <si>
    <t>ENSDARG00000103308</t>
  </si>
  <si>
    <t>mst1</t>
  </si>
  <si>
    <t>macrophage stimulating 1 [Source:ZFIN;Acc:ZDB-GENE-020806-3]</t>
  </si>
  <si>
    <t>ENSDARG00000013371</t>
  </si>
  <si>
    <t>isoc2</t>
  </si>
  <si>
    <t>isochorismatase domain containing 2 [Source:ZFIN;Acc:ZDB-GENE-070518-1]</t>
  </si>
  <si>
    <t>ENSDARG00000035907</t>
  </si>
  <si>
    <t>fam49a</t>
  </si>
  <si>
    <t>family with sequence similarity 49, member A [Source:ZFIN;Acc:ZDB-GENE-040801-125]</t>
  </si>
  <si>
    <t>ENSDARG00000016855</t>
  </si>
  <si>
    <t>sf3b5</t>
  </si>
  <si>
    <t>splicing factor 3b, subunit 5 [Source:ZFIN;Acc:ZDB-GENE-040718-181]</t>
  </si>
  <si>
    <t>ENSDARG00000018303</t>
  </si>
  <si>
    <t>etv4</t>
  </si>
  <si>
    <t>ets variant 4 [Source:ZFIN;Acc:ZDB-GENE-990415-71]</t>
  </si>
  <si>
    <t>ENSDARG00000074575</t>
  </si>
  <si>
    <t>si:ch211-269i23.2</t>
  </si>
  <si>
    <t>si:ch211-269i23.2 [Source:ZFIN;Acc:ZDB-GENE-090312-99]</t>
  </si>
  <si>
    <t>ENSDARG00000009214</t>
  </si>
  <si>
    <t>mfsd13a</t>
  </si>
  <si>
    <t>major facilitator superfamily domain containing 13A [Source:ZFIN;Acc:ZDB-GENE-041212-83]</t>
  </si>
  <si>
    <t>ENSDARG00000027316</t>
  </si>
  <si>
    <t>tcp11l2</t>
  </si>
  <si>
    <t>t-complex 11, testis-specific-like 2 [Source:ZFIN;Acc:ZDB-GENE-040426-1956]</t>
  </si>
  <si>
    <t>ENSDARG00000060010</t>
  </si>
  <si>
    <t>iqgap2</t>
  </si>
  <si>
    <t>IQ motif containing GTPase activating protein 2 [Source:ZFIN;Acc:ZDB-GENE-030131-2878]</t>
  </si>
  <si>
    <t>ENSDARG00000088444</t>
  </si>
  <si>
    <t>sell</t>
  </si>
  <si>
    <t>selectin L [Source:ZFIN;Acc:ZDB-GENE-141212-269]</t>
  </si>
  <si>
    <t>ENSDARG00000043510</t>
  </si>
  <si>
    <t>vamp4</t>
  </si>
  <si>
    <t>vesicle-associated membrane protein 4 [Source:ZFIN;Acc:ZDB-GENE-040625-92]</t>
  </si>
  <si>
    <t>ENSDARG00000097058</t>
  </si>
  <si>
    <t>si:ch211-60j9.3</t>
  </si>
  <si>
    <t>si:ch211-60j9.3 [Source:ZFIN;Acc:ZDB-GENE-131127-191]</t>
  </si>
  <si>
    <t>ENSDARG00000038576</t>
  </si>
  <si>
    <t>ube2d1b</t>
  </si>
  <si>
    <t>ubiquitin-conjugating enzyme E2D 1b [Source:ZFIN;Acc:ZDB-GENE-030131-2735]</t>
  </si>
  <si>
    <t>ENSDARG00000041362</t>
  </si>
  <si>
    <t>chmp7</t>
  </si>
  <si>
    <t>charged multivesicular body protein 7 [Source:ZFIN;Acc:ZDB-GENE-040426-1750]</t>
  </si>
  <si>
    <t>ENSDARG00000068152</t>
  </si>
  <si>
    <t>si:dkey-77f17.1</t>
  </si>
  <si>
    <t>si:dkey-77f17.1 [Source:ZFIN;Acc:ZDB-GENE-050419-182]</t>
  </si>
  <si>
    <t>ENSDARG00000011125</t>
  </si>
  <si>
    <t>snrpb</t>
  </si>
  <si>
    <t>small nuclear ribonucleoprotein polypeptides B and B1 [Source:ZFIN;Acc:ZDB-GENE-040426-1819]</t>
  </si>
  <si>
    <t>ENSDARG00000039966</t>
  </si>
  <si>
    <t>prom1a</t>
  </si>
  <si>
    <t>prominin 1a [Source:ZFIN;Acc:ZDB-GENE-030131-1577]</t>
  </si>
  <si>
    <t>ENSDARG00000017687</t>
  </si>
  <si>
    <t>dnajc5gb</t>
  </si>
  <si>
    <t>DnaJ (Hsp40) homolog, subfamily C, member 5 gamma b [Source:ZFIN;Acc:ZDB-GENE-040426-1238]</t>
  </si>
  <si>
    <t>ENSDARG00000020158</t>
  </si>
  <si>
    <t>spag6</t>
  </si>
  <si>
    <t>sperm associated antigen 6 [Source:ZFIN;Acc:ZDB-GENE-040704-53]</t>
  </si>
  <si>
    <t>ENSDARG00000018159</t>
  </si>
  <si>
    <t>ano10b</t>
  </si>
  <si>
    <t>anoctamin 10b [Source:ZFIN;Acc:ZDB-GENE-061013-169]</t>
  </si>
  <si>
    <t>ENSDARG00000071524</t>
  </si>
  <si>
    <t>insrb</t>
  </si>
  <si>
    <t>insulin receptor b [Source:ZFIN;Acc:ZDB-GENE-020503-4]</t>
  </si>
  <si>
    <t>ENSDARG00000042977</t>
  </si>
  <si>
    <t>nfil3</t>
  </si>
  <si>
    <t>nuclear factor, interleukin 3 regulated [Source:ZFIN;Acc:ZDB-GENE-040822-28]</t>
  </si>
  <si>
    <t>ENSDARG00000070390</t>
  </si>
  <si>
    <t>flad1</t>
  </si>
  <si>
    <t>flavin adenine dinucleotide synthetase 1 [Source:ZFIN;Acc:ZDB-GENE-040822-44]</t>
  </si>
  <si>
    <t>ENSDARG00000104934</t>
  </si>
  <si>
    <t>tln2b</t>
  </si>
  <si>
    <t>talin 2b [Source:ZFIN;Acc:ZDB-GENE-130325-1]</t>
  </si>
  <si>
    <t>ENSDARG00000092671</t>
  </si>
  <si>
    <t>PARD3B</t>
  </si>
  <si>
    <t>si:ch1073-345a8.1 [Source:ZFIN;Acc:ZDB-GENE-091204-447]</t>
  </si>
  <si>
    <t>ENSDARG00000104489</t>
  </si>
  <si>
    <t>si:dkey-74i1.5</t>
  </si>
  <si>
    <t>si:dkey-74i1.5 [Source:ZFIN;Acc:ZDB-GENE-131120-68]</t>
  </si>
  <si>
    <t>ENSDARG00000054978</t>
  </si>
  <si>
    <t>kifc3</t>
  </si>
  <si>
    <t>kinesin family member C3 [Source:ZFIN;Acc:ZDB-GENE-030131-3724]</t>
  </si>
  <si>
    <t>ENSDARG00000077092</t>
  </si>
  <si>
    <t>elk4</t>
  </si>
  <si>
    <t>ELK4, ETS-domain protein [Source:ZFIN;Acc:ZDB-GENE-030716-1]</t>
  </si>
  <si>
    <t>ENSDARG00000039213</t>
  </si>
  <si>
    <t>prpf38a</t>
  </si>
  <si>
    <t>pre-mRNA processing factor 38A [Source:ZFIN;Acc:ZDB-GENE-040801-225]</t>
  </si>
  <si>
    <t>ENSDARG00000103235</t>
  </si>
  <si>
    <t>mfsd8</t>
  </si>
  <si>
    <t>major facilitator superfamily domain containing 8 [Source:ZFIN;Acc:ZDB-GENE-060818-29]</t>
  </si>
  <si>
    <t>ENSDARG00000061057</t>
  </si>
  <si>
    <t>cyhr1</t>
  </si>
  <si>
    <t>cysteine/histidine-rich 1 [Source:ZFIN;Acc:ZDB-GENE-060929-720]</t>
  </si>
  <si>
    <t>ENSDARG00000088130</t>
  </si>
  <si>
    <t>si:dkey-30c15.10</t>
  </si>
  <si>
    <t>si:dkey-30c15.10 [Source:ZFIN;Acc:ZDB-GENE-060503-826]</t>
  </si>
  <si>
    <t>ENSDARG00000011611</t>
  </si>
  <si>
    <t>actr1</t>
  </si>
  <si>
    <t>ARP1 actin-related protein 1, centractin (yeast) [Source:ZFIN;Acc:ZDB-GENE-040426-2695]</t>
  </si>
  <si>
    <t>ENSDARG00000100964</t>
  </si>
  <si>
    <t>si:ch211-57b15.2</t>
  </si>
  <si>
    <t>si:ch211-57b15.2 [Source:ZFIN;Acc:ZDB-GENE-141219-31]</t>
  </si>
  <si>
    <t>ENSDARG00000089461</t>
  </si>
  <si>
    <t>ciz1b</t>
  </si>
  <si>
    <t>cdkn1a interacting zinc finger protein 1b [Source:ZFIN;Acc:ZDB-GENE-040426-2933]</t>
  </si>
  <si>
    <t>ENSDARG00000092532</t>
  </si>
  <si>
    <t>si:dkey-21e2.4</t>
  </si>
  <si>
    <t>si:dkey-21e2.4 [Source:ZFIN;Acc:ZDB-GENE-050208-538]</t>
  </si>
  <si>
    <t>ENSDARG00000070097</t>
  </si>
  <si>
    <t>vimp</t>
  </si>
  <si>
    <t>VCP-interacting membrane selenoprotein [Source:ZFIN;Acc:ZDB-GENE-060804-1]</t>
  </si>
  <si>
    <t>ENSDARG00000096678</t>
  </si>
  <si>
    <t>si:dkey-1f1.3</t>
  </si>
  <si>
    <t>si:dkey-1f1.3 [Source:ZFIN;Acc:ZDB-GENE-130531-67]</t>
  </si>
  <si>
    <t>ENSDARG00000042525</t>
  </si>
  <si>
    <t>ebf2</t>
  </si>
  <si>
    <t>early B-cell factor 2 [Source:ZFIN;Acc:ZDB-GENE-990715-11]</t>
  </si>
  <si>
    <t>ENSDARG00000076710</t>
  </si>
  <si>
    <t>si:dkey-42l23.7</t>
  </si>
  <si>
    <t>si:dkey-42l23.7 [Source:ZFIN;Acc:ZDB-GENE-131121-326]</t>
  </si>
  <si>
    <t>ENSDARG00000052462</t>
  </si>
  <si>
    <t>pisd</t>
  </si>
  <si>
    <t>phosphatidylserine decarboxylase [Source:ZFIN;Acc:ZDB-GENE-061215-46]</t>
  </si>
  <si>
    <t>ENSDARG00000096681</t>
  </si>
  <si>
    <t>si:dkey-1f1.4</t>
  </si>
  <si>
    <t>si:dkey-1f1.4 [Source:ZFIN;Acc:ZDB-GENE-130531-44]</t>
  </si>
  <si>
    <t>ENSDARG00000097816</t>
  </si>
  <si>
    <t>si:dkey-117a8.1</t>
  </si>
  <si>
    <t>si:dkey-117a8.1 [Source:ZFIN;Acc:ZDB-GENE-131121-256]</t>
  </si>
  <si>
    <t>ENSDARG00000097591</t>
  </si>
  <si>
    <t>proser3</t>
  </si>
  <si>
    <t>proline and serine rich 3 [Source:ZFIN;Acc:ZDB-GENE-030131-5986]</t>
  </si>
  <si>
    <t>ENSDARG00000036966</t>
  </si>
  <si>
    <t>hsd3b7</t>
  </si>
  <si>
    <t>hydroxy-delta-5-steroid dehydrogenase, 3 beta- and steroid delta-isomerase [Source:ZFIN;Acc:ZDB-GENE-030131-5673]</t>
  </si>
  <si>
    <t>ENSDARG00000069009</t>
  </si>
  <si>
    <t>si:ch211-147a11.3</t>
  </si>
  <si>
    <t>si:ch211-147a11.3 [Source:ZFIN;Acc:ZDB-GENE-060503-102]</t>
  </si>
  <si>
    <t>ENSDARG00000017710</t>
  </si>
  <si>
    <t>ppp1r14ab</t>
  </si>
  <si>
    <t>protein phosphatase 1, regulatory (inhibitor) subunit 14Ab [Source:ZFIN;Acc:ZDB-GENE-040426-1783]</t>
  </si>
  <si>
    <t>ENSDARG00000043431</t>
  </si>
  <si>
    <t>b3gntl1</t>
  </si>
  <si>
    <t>UDP-GlcNAc:betaGal beta-1,3-N-acetylglucosaminyltransferase-like 1 [Source:ZFIN;Acc:ZDB-GENE-050913-133]</t>
  </si>
  <si>
    <t>ENSDARG00000097872</t>
  </si>
  <si>
    <t>si:ch211-137j23.6</t>
  </si>
  <si>
    <t>si:ch211-137j23.6 [Source:ZFIN;Acc:ZDB-GENE-131127-548]</t>
  </si>
  <si>
    <t>ENSDARG00000045611</t>
  </si>
  <si>
    <t>nfybb</t>
  </si>
  <si>
    <t>nuclear transcription factor Y, beta b [Source:ZFIN;Acc:ZDB-GENE-050306-25]</t>
  </si>
  <si>
    <t>ENSDARG00000041911</t>
  </si>
  <si>
    <t>si:ch211-245h14.1</t>
  </si>
  <si>
    <t>si:ch211-245h14.1 [Source:ZFIN;Acc:ZDB-GENE-041014-350]</t>
  </si>
  <si>
    <t>ENSDARG00000098027</t>
  </si>
  <si>
    <t>si:dkey-77f5.14</t>
  </si>
  <si>
    <t>si:dkey-77f5.14 [Source:ZFIN;Acc:ZDB-GENE-131127-60]</t>
  </si>
  <si>
    <t>ENSDARG00000009754</t>
  </si>
  <si>
    <t>zc3h11a</t>
  </si>
  <si>
    <t>zinc finger CCCH-type containing 11A [Source:ZFIN;Acc:ZDB-GENE-030131-3272]</t>
  </si>
  <si>
    <t>ENSDARG00000103251</t>
  </si>
  <si>
    <t>sh3pxd2b</t>
  </si>
  <si>
    <t>SH3 and PX domains 2B [Source:ZFIN;Acc:ZDB-GENE-060810-52]</t>
  </si>
  <si>
    <t>ENSDARG00000006600</t>
  </si>
  <si>
    <t>lsm14aa</t>
  </si>
  <si>
    <t>LSM14A mRNA processing body assembly factor a [Source:ZFIN;Acc:ZDB-GENE-040426-1567]</t>
  </si>
  <si>
    <t>ENSDARG00000001354</t>
  </si>
  <si>
    <t>slc6a13l</t>
  </si>
  <si>
    <t>solute carrier family 6 (neurotransmitter transporter, GABA), member 13 like [Source:ZFIN;Acc:ZDB-GENE-030616-628]</t>
  </si>
  <si>
    <t>ENSDARG00000016979</t>
  </si>
  <si>
    <t>pmpcb</t>
  </si>
  <si>
    <t>peptidase (mitochondrial processing) beta [Source:ZFIN;Acc:ZDB-GENE-050220-10]</t>
  </si>
  <si>
    <t>ENSDARG00000053950</t>
  </si>
  <si>
    <t>lin37</t>
  </si>
  <si>
    <t>lin-37 DREAM MuvB core complex component [Source:ZFIN;Acc:ZDB-GENE-050417-446]</t>
  </si>
  <si>
    <t>ENSDARG00000069296</t>
  </si>
  <si>
    <t>moxd1l</t>
  </si>
  <si>
    <t>monooxygenase, DBH-like 1, like [Source:ZFIN;Acc:ZDB-GENE-060126-3]</t>
  </si>
  <si>
    <t>ENSDARG00000041071</t>
  </si>
  <si>
    <t>jagn1a</t>
  </si>
  <si>
    <t>jagunal homolog 1a [Source:ZFIN;Acc:ZDB-GENE-041010-80]</t>
  </si>
  <si>
    <t>ENSDARG00000041910</t>
  </si>
  <si>
    <t>znf512</t>
  </si>
  <si>
    <t>zinc finger protein 512 [Source:ZFIN;Acc:ZDB-GENE-041014-346]</t>
  </si>
  <si>
    <t>ENSDARG00000104531</t>
  </si>
  <si>
    <t>zcchc4</t>
  </si>
  <si>
    <t>zinc finger, CCHC domain containing 4 [Source:ZFIN;Acc:ZDB-GENE-080204-65]</t>
  </si>
  <si>
    <t>ENSDARG00000104938</t>
  </si>
  <si>
    <t>ftsj3</t>
  </si>
  <si>
    <t>FtsJ homolog 3 (E. coli) [Source:ZFIN;Acc:ZDB-GENE-030131-9828]</t>
  </si>
  <si>
    <t>ENSDARG00000101710</t>
  </si>
  <si>
    <t>arid1aa</t>
  </si>
  <si>
    <t>AT rich interactive domain 1Aa (SWI-like) [Source:ZFIN;Acc:ZDB-GENE-080220-35]</t>
  </si>
  <si>
    <t>ENSDARG00000073737</t>
  </si>
  <si>
    <t>suds3</t>
  </si>
  <si>
    <t>SDS3 homolog, SIN3A corepressor complex component [Source:ZFIN;Acc:ZDB-GENE-040801-236]</t>
  </si>
  <si>
    <t>ENSDARG00000060729</t>
  </si>
  <si>
    <t>trim8b</t>
  </si>
  <si>
    <t>tripartite motif containing 8b [Source:ZFIN;Acc:ZDB-GENE-030131-4325]</t>
  </si>
  <si>
    <t>ENSDARG00000036774</t>
  </si>
  <si>
    <t>rgs12b</t>
  </si>
  <si>
    <t>regulator of G-protein signaling 12b [Source:ZFIN;Acc:ZDB-GENE-031006-13]</t>
  </si>
  <si>
    <t>ENSDARG00000012269</t>
  </si>
  <si>
    <t>clcn1b</t>
  </si>
  <si>
    <t>chloride channel, voltage-sensitive 1b [Source:ZFIN;Acc:ZDB-GENE-100921-11]</t>
  </si>
  <si>
    <t>ENSDARG00000056623</t>
  </si>
  <si>
    <t>ptenb</t>
  </si>
  <si>
    <t>phosphatase and tensin homolog B [Source:ZFIN;Acc:ZDB-GENE-030616-47]</t>
  </si>
  <si>
    <t>ENSDARG00000054878</t>
  </si>
  <si>
    <t>six2b</t>
  </si>
  <si>
    <t>SIX homeobox 2b [Source:ZFIN;Acc:ZDB-GENE-080723-23]</t>
  </si>
  <si>
    <t>ENSDARG00000075650</t>
  </si>
  <si>
    <t>dscr3</t>
  </si>
  <si>
    <t>Down syndrome critical region 3 [Source:ZFIN;Acc:ZDB-GENE-040801-6]</t>
  </si>
  <si>
    <t>ENSDARG00000053204</t>
  </si>
  <si>
    <t>snx22</t>
  </si>
  <si>
    <t>sorting nexin 22 [Source:ZFIN;Acc:ZDB-GENE-060825-154]</t>
  </si>
  <si>
    <t>ENSDARG00000020123</t>
  </si>
  <si>
    <t>adck3</t>
  </si>
  <si>
    <t>aarF domain containing kinase 3 [Source:ZFIN;Acc:ZDB-GENE-040718-487]</t>
  </si>
  <si>
    <t>ENSDARG00000022509</t>
  </si>
  <si>
    <t>cox4i2</t>
  </si>
  <si>
    <t>cytochrome c oxidase subunit IV isoform 2 [Source:ZFIN;Acc:ZDB-GENE-040426-1775]</t>
  </si>
  <si>
    <t>ENSDARG00000032876</t>
  </si>
  <si>
    <t>trit1</t>
  </si>
  <si>
    <t>tRNA isopentenyltransferase 1 [Source:ZFIN;Acc:ZDB-GENE-060503-297]</t>
  </si>
  <si>
    <t>ENSDARG00000040926</t>
  </si>
  <si>
    <t>nr2f2</t>
  </si>
  <si>
    <t>nuclear receptor subfamily 2, group F, member 2 [Source:ZFIN;Acc:ZDB-GENE-990415-252]</t>
  </si>
  <si>
    <t>ENSDARG00000090914</t>
  </si>
  <si>
    <t>si:ch211-117k10.3</t>
  </si>
  <si>
    <t>si:ch211-117k10.3 [Source:ZFIN;Acc:ZDB-GENE-141212-273]</t>
  </si>
  <si>
    <t>ENSDARG00000099320</t>
  </si>
  <si>
    <t>si:dkey-284i7.2</t>
  </si>
  <si>
    <t>si:dkey-284i7.2 [Source:ZFIN;Acc:ZDB-GENE-141215-60]</t>
  </si>
  <si>
    <t>ENSDARG00000043317</t>
  </si>
  <si>
    <t>kita</t>
  </si>
  <si>
    <t>v-kit Hardy-Zuckerman 4 feline sarcoma viral oncogene homolog a [Source:ZFIN;Acc:ZDB-GENE-980526-464]</t>
  </si>
  <si>
    <t>ENSDARG00000012002</t>
  </si>
  <si>
    <t>slc38a7</t>
  </si>
  <si>
    <t>solute carrier family 38, member 7 [Source:ZFIN;Acc:ZDB-GENE-040801-266]</t>
  </si>
  <si>
    <t>ENSDARG00000030716</t>
  </si>
  <si>
    <t>ing4</t>
  </si>
  <si>
    <t>inhibitor of growth family, member 4 [Source:ZFIN;Acc:ZDB-GENE-050522-47]</t>
  </si>
  <si>
    <t>ENSDARG00000055751</t>
  </si>
  <si>
    <t>fosb</t>
  </si>
  <si>
    <t>FBJ murine osteosarcoma viral oncogene homolog B [Source:ZFIN;Acc:ZDB-GENE-041114-181]</t>
  </si>
  <si>
    <t>ENSDARG00000092402</t>
  </si>
  <si>
    <t>si:ch211-208h1.1</t>
  </si>
  <si>
    <t>si:ch211-208h1.1 [Source:ZFIN;Acc:ZDB-GENE-050419-107]</t>
  </si>
  <si>
    <t>ENSDARG00000070477</t>
  </si>
  <si>
    <t>dnajc2</t>
  </si>
  <si>
    <t>DnaJ (Hsp40) homolog, subfamily C, member 2 [Source:ZFIN;Acc:ZDB-GENE-040426-1912]</t>
  </si>
  <si>
    <t>ENSDARG00000054458</t>
  </si>
  <si>
    <t>slmapa</t>
  </si>
  <si>
    <t>sarcolemma associated protein a [Source:ZFIN;Acc:ZDB-GENE-061013-184]</t>
  </si>
  <si>
    <t>ENSDARG00000092610</t>
  </si>
  <si>
    <t>lamp1</t>
  </si>
  <si>
    <t>lysosomal-associated membrane protein 1 [Source:ZFIN;Acc:ZDB-GENE-030131-9303]</t>
  </si>
  <si>
    <t>ENSDARG00000069957</t>
  </si>
  <si>
    <t>zgc:162936</t>
  </si>
  <si>
    <t>zgc:162936 [Source:ZFIN;Acc:ZDB-GENE-030131-5253]</t>
  </si>
  <si>
    <t>ENSDARG00000001244</t>
  </si>
  <si>
    <t>srrm1</t>
  </si>
  <si>
    <t>serine/arginine repetitive matrix 1 [Source:ZFIN;Acc:ZDB-GENE-040426-2789]</t>
  </si>
  <si>
    <t>ENSDARG00000041728</t>
  </si>
  <si>
    <t>man1a2</t>
  </si>
  <si>
    <t>mannosidase, alpha, class 1A, member 2 [Source:ZFIN;Acc:ZDB-GENE-070912-390]</t>
  </si>
  <si>
    <t>ENSDARG00000057234</t>
  </si>
  <si>
    <t>chtopa</t>
  </si>
  <si>
    <t>chromatin target of PRMT1a [Source:ZFIN;Acc:ZDB-GENE-030131-210]</t>
  </si>
  <si>
    <t>ENSDARG00000013422</t>
  </si>
  <si>
    <t>slc8a1a</t>
  </si>
  <si>
    <t>solute carrier family 8 (sodium/calcium exchanger), member 1a [Source:ZFIN;Acc:ZDB-GENE-050809-1]</t>
  </si>
  <si>
    <t>ENSDARG00000017673</t>
  </si>
  <si>
    <t>nova2</t>
  </si>
  <si>
    <t>neuro-oncological ventral antigen 2 [Source:ZFIN;Acc:ZDB-GENE-080211-1]</t>
  </si>
  <si>
    <t>ENSDARG00000095980</t>
  </si>
  <si>
    <t>si:ch73-381a20.2</t>
  </si>
  <si>
    <t>si:ch73-381a20.2 [Source:ZFIN;Acc:ZDB-GENE-110914-176]</t>
  </si>
  <si>
    <t>ENSDARG00000011027</t>
  </si>
  <si>
    <t>fgfr1a</t>
  </si>
  <si>
    <t>fibroblast growth factor receptor 1a [Source:ZFIN;Acc:ZDB-GENE-980526-255]</t>
  </si>
  <si>
    <t>ENSDARG00000086259</t>
  </si>
  <si>
    <t>si:dkey-234l24.9</t>
  </si>
  <si>
    <t>si:dkey-234l24.9 [Source:ZFIN;Acc:ZDB-GENE-110914-36]</t>
  </si>
  <si>
    <t>ENSDARG00000074087</t>
  </si>
  <si>
    <t>nim1k</t>
  </si>
  <si>
    <t>NIM1 serine/threonine protein kinase [Source:ZFIN;Acc:ZDB-GENE-130530-744]</t>
  </si>
  <si>
    <t>ENSDARG00000012387</t>
  </si>
  <si>
    <t>pdha1a</t>
  </si>
  <si>
    <t>pyruvate dehydrogenase (lipoamide) alpha 1a [Source:ZFIN;Acc:ZDB-GENE-040426-2719]</t>
  </si>
  <si>
    <t>ENSDARG00000025977</t>
  </si>
  <si>
    <t>blmh</t>
  </si>
  <si>
    <t>bleomycin hydrolase [Source:ZFIN;Acc:ZDB-GENE-030131-8485]</t>
  </si>
  <si>
    <t>ENSDARG00000078604</t>
  </si>
  <si>
    <t>tbc1d10b</t>
  </si>
  <si>
    <t>TBC1 domain family, member 10b [Source:ZFIN;Acc:ZDB-GENE-030131-7754]</t>
  </si>
  <si>
    <t>ENSDARG00000097452</t>
  </si>
  <si>
    <t>si:zfos-1451h6.1</t>
  </si>
  <si>
    <t>si:zfos-1451h6.1 [Source:ZFIN;Acc:ZDB-GENE-131121-245]</t>
  </si>
  <si>
    <t>ENSDARG00000093061</t>
  </si>
  <si>
    <t>fam207a</t>
  </si>
  <si>
    <t>ENSDARG00000056267</t>
  </si>
  <si>
    <t>dixdc1b</t>
  </si>
  <si>
    <t>DIX domain containing 1b [Source:ZFIN;Acc:ZDB-GENE-041008-148]</t>
  </si>
  <si>
    <t>ENSDARG00000069065</t>
  </si>
  <si>
    <t>btg3</t>
  </si>
  <si>
    <t>B-cell translocation gene 3 [Source:ZFIN;Acc:ZDB-GENE-031113-19]</t>
  </si>
  <si>
    <t>ENSDARG00000103497</t>
  </si>
  <si>
    <t>si:dkey-246j6.3</t>
  </si>
  <si>
    <t>si:dkey-246j6.3 [Source:ZFIN;Acc:ZDB-GENE-110913-132]</t>
  </si>
  <si>
    <t>ENSDARG00000102832</t>
  </si>
  <si>
    <t>baz1b</t>
  </si>
  <si>
    <t>bromodomain adjacent to zinc finger domain, 1B [Source:ZFIN;Acc:ZDB-GENE-010328-16]</t>
  </si>
  <si>
    <t>ENSDARG00000099298</t>
  </si>
  <si>
    <t>xrcc5</t>
  </si>
  <si>
    <t>X-ray repair complementing defective repair in Chinese hamster cells 5 [Source:ZFIN;Acc:ZDB-GENE-041008-108]</t>
  </si>
  <si>
    <t>ENSDARG00000087210</t>
  </si>
  <si>
    <t>vwa3a</t>
  </si>
  <si>
    <t>von Willebrand factor A domain containing 3A [Source:ZFIN;Acc:ZDB-GENE-131121-527]</t>
  </si>
  <si>
    <t>ENSDARG00000078997</t>
  </si>
  <si>
    <t>dclk3</t>
  </si>
  <si>
    <t>doublecortin-like kinase 3 [Source:ZFIN;Acc:ZDB-GENE-081104-224]</t>
  </si>
  <si>
    <t>ENSDARG00000037652</t>
  </si>
  <si>
    <t>zgc:56409</t>
  </si>
  <si>
    <t>zgc:56409 [Source:ZFIN;Acc:ZDB-GENE-040426-1019]</t>
  </si>
  <si>
    <t>ENSDARG00000077859</t>
  </si>
  <si>
    <t>ndufaf4</t>
  </si>
  <si>
    <t>NADH dehydrogenase (ubiquinone) complex I, assembly factor 4 [Source:ZFIN;Acc:ZDB-GENE-060810-114]</t>
  </si>
  <si>
    <t>ENSDARG00000099403</t>
  </si>
  <si>
    <t>znf1075</t>
  </si>
  <si>
    <t>zinc finger protein 1075 [Source:ZFIN;Acc:ZDB-GENE-120703-31]</t>
  </si>
  <si>
    <t>ENSDARG00000101594</t>
  </si>
  <si>
    <t>si:dkey-246j6.1</t>
  </si>
  <si>
    <t>si:dkey-246j6.1 [Source:ZFIN;Acc:ZDB-GENE-110913-97]</t>
  </si>
  <si>
    <t>ENSDARG00000100568</t>
  </si>
  <si>
    <t>si:ch211-209j12.3</t>
  </si>
  <si>
    <t>si:ch211-209j12.3 [Source:ZFIN;Acc:ZDB-GENE-120709-21]</t>
  </si>
  <si>
    <t>ENSDARG00000068641</t>
  </si>
  <si>
    <t>taf10</t>
  </si>
  <si>
    <t>TAF10 RNA polymerase II, TATA box binding protein (TBP)-associated factor [Source:ZFIN;Acc:ZDB-GENE-060526-334]</t>
  </si>
  <si>
    <t>ENSDARG00000009844</t>
  </si>
  <si>
    <t>dusp23a</t>
  </si>
  <si>
    <t>dual specificity phosphatase 23a [Source:ZFIN;Acc:ZDB-GENE-030131-2554]</t>
  </si>
  <si>
    <t>ENSDARG00000058425</t>
  </si>
  <si>
    <t>rab35b</t>
  </si>
  <si>
    <t>RAB35, member RAS oncogene family b [Source:ZFIN;Acc:ZDB-GENE-040801-62]</t>
  </si>
  <si>
    <t>ENSDARG00000013938</t>
  </si>
  <si>
    <t>psmb3</t>
  </si>
  <si>
    <t>proteasome subunit beta 3 [Source:ZFIN;Acc:ZDB-GENE-040426-2682]</t>
  </si>
  <si>
    <t>ENSDARG00000060506</t>
  </si>
  <si>
    <t>sos2</t>
  </si>
  <si>
    <t>son of sevenless homolog 2 (Drosophila) [Source:ZFIN;Acc:ZDB-GENE-090319-5]</t>
  </si>
  <si>
    <t>ENSDARG00000070843</t>
  </si>
  <si>
    <t>arid3a</t>
  </si>
  <si>
    <t>AT rich interactive domain 3A (BRIGHT-like) [Source:ZFIN;Acc:ZDB-GENE-140106-97]</t>
  </si>
  <si>
    <t>ENSDARG00000056532</t>
  </si>
  <si>
    <t>serinc2</t>
  </si>
  <si>
    <t>serine incorporator 2 [Source:ZFIN;Acc:ZDB-GENE-041111-296]</t>
  </si>
  <si>
    <t>ENSDARG00000104221</t>
  </si>
  <si>
    <t>sat2b</t>
  </si>
  <si>
    <t>spermidine/spermine N1-acetyltransferase family member 2b [Source:ZFIN;Acc:ZDB-GENE-040718-292]</t>
  </si>
  <si>
    <t>ENSDARG00000019341</t>
  </si>
  <si>
    <t>gpc1a</t>
  </si>
  <si>
    <t>glypican 1a [Source:ZFIN;Acc:ZDB-GENE-051120-147]</t>
  </si>
  <si>
    <t>ENSDARG00000078691</t>
  </si>
  <si>
    <t>gigyf1</t>
  </si>
  <si>
    <t>GRB10 interacting GYF protein 1 [Source:ZFIN;Acc:ZDB-GENE-091204-310]</t>
  </si>
  <si>
    <t>ENSDARG00000077785</t>
  </si>
  <si>
    <t>atf5b</t>
  </si>
  <si>
    <t>activating transcription factor 5b [Source:ZFIN;Acc:ZDB-GENE-030131-2637]</t>
  </si>
  <si>
    <t>ENSDARG00000008434</t>
  </si>
  <si>
    <t>bcl2l1</t>
  </si>
  <si>
    <t>bcl2-like 1 [Source:ZFIN;Acc:ZDB-GENE-010730-1]</t>
  </si>
  <si>
    <t>ENSDARG00000046081</t>
  </si>
  <si>
    <t>bloc1s2</t>
  </si>
  <si>
    <t>biogenesis of lysosomal organelles complex-1, subunit 2 [Source:ZFIN;Acc:ZDB-GENE-050809-129]</t>
  </si>
  <si>
    <t>ENSDARG00000021288</t>
  </si>
  <si>
    <t>mier3b</t>
  </si>
  <si>
    <t>mesoderm induction early response 1, family member 3 b [Source:ZFIN;Acc:ZDB-GENE-070424-65]</t>
  </si>
  <si>
    <t>ENSDARG00000093549</t>
  </si>
  <si>
    <t>sepp1a</t>
  </si>
  <si>
    <t>selenoprotein P, plasma, 1a [Source:ZFIN;Acc:ZDB-GENE-030311-1]</t>
  </si>
  <si>
    <t>ENSDARG00000068551</t>
  </si>
  <si>
    <t>elovl8a</t>
  </si>
  <si>
    <t>ELOVL fatty acid elongase 8a [Source:ZFIN;Acc:ZDB-GENE-060929-240]</t>
  </si>
  <si>
    <t>ENSDARG00000062702</t>
  </si>
  <si>
    <t>ankmy1</t>
  </si>
  <si>
    <t>ankyrin repeat and MYND domain containing 1 [Source:ZFIN;Acc:ZDB-GENE-050208-740]</t>
  </si>
  <si>
    <t>ENSDARG00000003681</t>
  </si>
  <si>
    <t>eif5</t>
  </si>
  <si>
    <t>eukaryotic translation initiation factor 5 [Source:ZFIN;Acc:ZDB-GENE-030131-975]</t>
  </si>
  <si>
    <t>ENSDARG00000037783</t>
  </si>
  <si>
    <t>proza</t>
  </si>
  <si>
    <t>protein Z, vitamin K-dependent plasma glycoprotein a [Source:ZFIN;Acc:ZDB-GENE-061013-403]</t>
  </si>
  <si>
    <t>ENSDARG00000018854</t>
  </si>
  <si>
    <t>scaf4b</t>
  </si>
  <si>
    <t>SR-related CTD-associated factor 4b [Source:ZFIN;Acc:ZDB-GENE-050506-42]</t>
  </si>
  <si>
    <t>ENSDARG00000092042</t>
  </si>
  <si>
    <t>si:ch211-226f24.4</t>
  </si>
  <si>
    <t>si:ch211-226f24.4 [Source:ZFIN;Acc:ZDB-GENE-141211-81]</t>
  </si>
  <si>
    <t>ENSDARG00000076865</t>
  </si>
  <si>
    <t>si:ch73-193c12.2</t>
  </si>
  <si>
    <t>si:ch73-193c12.2 [Source:ZFIN;Acc:ZDB-GENE-131127-646]</t>
  </si>
  <si>
    <t>ENSDARG00000057583</t>
  </si>
  <si>
    <t>prrc2c</t>
  </si>
  <si>
    <t>proline-rich coiled-coil 2C [Source:ZFIN;Acc:ZDB-GENE-081104-156]</t>
  </si>
  <si>
    <t>ENSDARG00000031269</t>
  </si>
  <si>
    <t>rnf123</t>
  </si>
  <si>
    <t>ring finger protein 123 [Source:ZFIN;Acc:ZDB-GENE-050208-529]</t>
  </si>
  <si>
    <t>ENSDARG00000063522</t>
  </si>
  <si>
    <t>bbs4</t>
  </si>
  <si>
    <t>Bardet-Biedl syndrome 4 [Source:ZFIN;Acc:ZDB-GENE-060126-2]</t>
  </si>
  <si>
    <t>ENSDARG00000028699</t>
  </si>
  <si>
    <t>crkl</t>
  </si>
  <si>
    <t>v-crk avian sarcoma virus CT10 oncogene homolog-like [Source:ZFIN;Acc:ZDB-GENE-040426-2951]</t>
  </si>
  <si>
    <t>ENSDARG00000043257</t>
  </si>
  <si>
    <t>ckbb</t>
  </si>
  <si>
    <t>creatine kinase, brain b [Source:ZFIN;Acc:ZDB-GENE-020103-2]</t>
  </si>
  <si>
    <t>ENSDARG00000074540</t>
  </si>
  <si>
    <t>gpr63</t>
  </si>
  <si>
    <t>G protein-coupled receptor 63 [Source:ZFIN;Acc:ZDB-GENE-110411-183]</t>
  </si>
  <si>
    <t>ENSDARG00000019532</t>
  </si>
  <si>
    <t>fads2</t>
  </si>
  <si>
    <t>fatty acid desaturase 2 [Source:ZFIN;Acc:ZDB-GENE-011212-1]</t>
  </si>
  <si>
    <t>ENSDARG00000042975</t>
  </si>
  <si>
    <t>auh</t>
  </si>
  <si>
    <t>AU RNA binding protein/enoyl-CoA hydratase [Source:ZFIN;Acc:ZDB-GENE-040801-95]</t>
  </si>
  <si>
    <t>ENSDARG00000098884</t>
  </si>
  <si>
    <t>si:dkeyp-33c10.5</t>
  </si>
  <si>
    <t>si:dkeyp-33c10.5 [Source:ZFIN;Acc:ZDB-GENE-041210-223]</t>
  </si>
  <si>
    <t>ENSDARG00000074469</t>
  </si>
  <si>
    <t>amigo3</t>
  </si>
  <si>
    <t>adhesion molecule with Ig-like domain 3 [Source:ZFIN;Acc:ZDB-GENE-050208-449]</t>
  </si>
  <si>
    <t>ENSDARG00000014015</t>
  </si>
  <si>
    <t>zgc:77086</t>
  </si>
  <si>
    <t>zgc:77086 [Source:ZFIN;Acc:ZDB-GENE-040426-2238]</t>
  </si>
  <si>
    <t>ENSDARG00000062052</t>
  </si>
  <si>
    <t>casp2</t>
  </si>
  <si>
    <t>caspase 2, apoptosis-related cysteine peptidase [Source:ZFIN;Acc:ZDB-GENE-030825-3]</t>
  </si>
  <si>
    <t>ENSDARG00000069675</t>
  </si>
  <si>
    <t>her8.2</t>
  </si>
  <si>
    <t>hairy-related 8.2 [Source:ZFIN;Acc:ZDB-GENE-060815-4]</t>
  </si>
  <si>
    <t>ENSDARG00000074425</t>
  </si>
  <si>
    <t>si:busm1-57f23.1</t>
  </si>
  <si>
    <t>si:busm1-57f23.1 [Source:ZFIN;Acc:ZDB-GENE-030616-512]</t>
  </si>
  <si>
    <t>ENSDARG00000014098</t>
  </si>
  <si>
    <t>pkd2</t>
  </si>
  <si>
    <t>polycystic kidney disease 2 [Source:ZFIN;Acc:ZDB-GENE-040827-4]</t>
  </si>
  <si>
    <t>ENSDARG00000055759</t>
  </si>
  <si>
    <t>efhd2</t>
  </si>
  <si>
    <t>EF-hand domain family, member D2 [Source:ZFIN;Acc:ZDB-GENE-060531-152]</t>
  </si>
  <si>
    <t>ENSDARG00000035329</t>
  </si>
  <si>
    <t>capns1a</t>
  </si>
  <si>
    <t>calpain, small subunit 1 a [Source:ZFIN;Acc:ZDB-GENE-030113-3]</t>
  </si>
  <si>
    <t>ENSDARG00000100531</t>
  </si>
  <si>
    <t>abhd14b</t>
  </si>
  <si>
    <t>abhydrolase domain containing 14B [Source:ZFIN;Acc:ZDB-GENE-040426-1342]</t>
  </si>
  <si>
    <t>ENSDARG00000098317</t>
  </si>
  <si>
    <t>dync1li1</t>
  </si>
  <si>
    <t>dynein, cytoplasmic 1, light intermediate chain 1 [Source:ZFIN;Acc:ZDB-GENE-030131-4108]</t>
  </si>
  <si>
    <t>ENSDARG00000069476</t>
  </si>
  <si>
    <t>spint2</t>
  </si>
  <si>
    <t>serine peptidase inhibitor, Kunitz type, 2 [Source:ZFIN;Acc:ZDB-GENE-061013-323]</t>
  </si>
  <si>
    <t>ENSDARG00000005640</t>
  </si>
  <si>
    <t>adat3</t>
  </si>
  <si>
    <t>adenosine deaminase, tRNA-specific 3 [Source:ZFIN;Acc:ZDB-GENE-030616-531]</t>
  </si>
  <si>
    <t>ENSDARG00000099764</t>
  </si>
  <si>
    <t>si:dkey-74i1.3</t>
  </si>
  <si>
    <t>si:dkey-74i1.3 [Source:ZFIN;Acc:ZDB-GENE-131125-74]</t>
  </si>
  <si>
    <t>ENSDARG00000000651</t>
  </si>
  <si>
    <t>osgepl1</t>
  </si>
  <si>
    <t>O-sialoglycoprotein endopeptidase-like 1 [Source:ZFIN;Acc:ZDB-GENE-030616-532]</t>
  </si>
  <si>
    <t>ENSDARG00000096149</t>
  </si>
  <si>
    <t>pus7l</t>
  </si>
  <si>
    <t>ENSDARG00000005220</t>
  </si>
  <si>
    <t>pdcd6</t>
  </si>
  <si>
    <t>programmed cell death 6 [Source:ZFIN;Acc:ZDB-GENE-040426-1307]</t>
  </si>
  <si>
    <t>ENSDARG00000023290</t>
  </si>
  <si>
    <t>fabp3</t>
  </si>
  <si>
    <t>fatty acid binding protein 3, muscle and heart [Source:ZFIN;Acc:ZDB-GENE-020318-2]</t>
  </si>
  <si>
    <t>ENSDARG00000075299</t>
  </si>
  <si>
    <t>aaed1</t>
  </si>
  <si>
    <t>AhpC/TSA antioxidant enzyme domain containing 1 [Source:ZFIN;Acc:ZDB-GENE-110914-194]</t>
  </si>
  <si>
    <t>ENSDARG00000004305</t>
  </si>
  <si>
    <t>vangl1</t>
  </si>
  <si>
    <t>VANGL planar cell polarity protein 1 [Source:ZFIN;Acc:ZDB-GENE-040621-2]</t>
  </si>
  <si>
    <t>ENSDARG00000010673</t>
  </si>
  <si>
    <t>trim16</t>
  </si>
  <si>
    <t>tripartite motif containing 16 [Source:ZFIN;Acc:ZDB-GENE-090512-6]</t>
  </si>
  <si>
    <t>ENSDARG00000092578</t>
  </si>
  <si>
    <t>si:ch211-222e20.4</t>
  </si>
  <si>
    <t>si:ch211-222e20.4 [Source:ZFIN;Acc:ZDB-GENE-091118-60]</t>
  </si>
  <si>
    <t>ENSDARG00000039263</t>
  </si>
  <si>
    <t>zbtb48</t>
  </si>
  <si>
    <t>zinc finger and BTB domain containing 48 [Source:ZFIN;Acc:ZDB-GENE-030131-4450]</t>
  </si>
  <si>
    <t>ENSDARG00000089795</t>
  </si>
  <si>
    <t>sertad4</t>
  </si>
  <si>
    <t>SERTA domain containing 4 [Source:ZFIN;Acc:ZDB-GENE-090313-199]</t>
  </si>
  <si>
    <t>ENSDARG00000087793</t>
  </si>
  <si>
    <t>si:dkey-54n8.2</t>
  </si>
  <si>
    <t>si:dkey-54n8.2 [Source:ZFIN;Acc:ZDB-GENE-131121-569]</t>
  </si>
  <si>
    <t>ENSDARG00000097525</t>
  </si>
  <si>
    <t>si:ch211-51k14.4</t>
  </si>
  <si>
    <t>si:ch211-51k14.4 [Source:ZFIN;Acc:ZDB-GENE-131127-564]</t>
  </si>
  <si>
    <t>ENSDARG00000055433</t>
  </si>
  <si>
    <t>vps26bl</t>
  </si>
  <si>
    <t>vacuolar protein sorting 26 homolog B, like [Source:ZFIN;Acc:ZDB-GENE-040718-112]</t>
  </si>
  <si>
    <t>ENSDARG00000078887</t>
  </si>
  <si>
    <t>atp10d</t>
  </si>
  <si>
    <t>ATPase, class V, type 10D [Source:ZFIN;Acc:ZDB-GENE-090313-231]</t>
  </si>
  <si>
    <t>ENSDARG00000017602</t>
  </si>
  <si>
    <t>ccng2</t>
  </si>
  <si>
    <t>cyclin G2 [Source:ZFIN;Acc:ZDB-GENE-021016-1]</t>
  </si>
  <si>
    <t>ENSDARG00000021404</t>
  </si>
  <si>
    <t>zgc:110319</t>
  </si>
  <si>
    <t>zgc:110319 [Source:ZFIN;Acc:ZDB-GENE-050417-345]</t>
  </si>
  <si>
    <t>ENSDARG00000003641</t>
  </si>
  <si>
    <t>tfg</t>
  </si>
  <si>
    <t>trk-fused gene [Source:ZFIN;Acc:ZDB-GENE-030131-8410]</t>
  </si>
  <si>
    <t>ENSDARG00000074023</t>
  </si>
  <si>
    <t>rbms1a</t>
  </si>
  <si>
    <t>RNA binding motif, single stranded interacting protein 1a [Source:ZFIN;Acc:ZDB-GENE-030131-4967]</t>
  </si>
  <si>
    <t>ENSDARG00000071031</t>
  </si>
  <si>
    <t>snx1a</t>
  </si>
  <si>
    <t>sorting nexin 1a [Source:ZFIN;Acc:ZDB-GENE-060302-3]</t>
  </si>
  <si>
    <t>ENSDARG00000077751</t>
  </si>
  <si>
    <t>nol9</t>
  </si>
  <si>
    <t>nucleolar protein 9 [Source:ZFIN;Acc:ZDB-GENE-070629-1]</t>
  </si>
  <si>
    <t>ENSDARG00000018936</t>
  </si>
  <si>
    <t>zcchc17</t>
  </si>
  <si>
    <t>zinc finger, CCHC domain containing 17 [Source:ZFIN;Acc:ZDB-GENE-040325-2]</t>
  </si>
  <si>
    <t>ENSDARG00000013122</t>
  </si>
  <si>
    <t>maf1</t>
  </si>
  <si>
    <t>MAF1 homolog, negative regulator of RNA polymerase III [Source:ZFIN;Acc:ZDB-GENE-040426-2788]</t>
  </si>
  <si>
    <t>ENSDARG00000034668</t>
  </si>
  <si>
    <t>celf3a</t>
  </si>
  <si>
    <t>cugbp, Elav-like family member 3a [Source:ZFIN;Acc:ZDB-GENE-000501-2]</t>
  </si>
  <si>
    <t>ENSDARG00000091994</t>
  </si>
  <si>
    <t>znf1046</t>
  </si>
  <si>
    <t>zinc finger protein 1046 [Source:ZFIN;Acc:ZDB-GENE-030131-2092]</t>
  </si>
  <si>
    <t>ENSDARG00000077253</t>
  </si>
  <si>
    <t>alkbh6</t>
  </si>
  <si>
    <t>alkB homolog 6 [Source:ZFIN;Acc:ZDB-GENE-060407-1]</t>
  </si>
  <si>
    <t>ENSDARG00000004037</t>
  </si>
  <si>
    <t>cog2</t>
  </si>
  <si>
    <t>component of oligomeric golgi complex 2 [Source:ZFIN;Acc:ZDB-GENE-040426-2671]</t>
  </si>
  <si>
    <t>ENSDARG00000003974</t>
  </si>
  <si>
    <t>spoplb</t>
  </si>
  <si>
    <t>speckle-type POZ protein-like b [Source:ZFIN;Acc:ZDB-GENE-061103-277]</t>
  </si>
  <si>
    <t>ENSDARG00000032264</t>
  </si>
  <si>
    <t>mybl2b</t>
  </si>
  <si>
    <t>v-myb avian myeloblastosis viral oncogene homolog-like 2b [Source:ZFIN;Acc:ZDB-GENE-041007-1]</t>
  </si>
  <si>
    <t>ENSDARG00000096217</t>
  </si>
  <si>
    <t>si:dkey-51d8.9</t>
  </si>
  <si>
    <t>si:dkey-51d8.9 [Source:ZFIN;Acc:ZDB-GENE-110914-66]</t>
  </si>
  <si>
    <t>ENSDARG00000030269</t>
  </si>
  <si>
    <t>grtp1b</t>
  </si>
  <si>
    <t>growth hormone regulated TBC protein 1b [Source:ZFIN;Acc:ZDB-GENE-050417-346]</t>
  </si>
  <si>
    <t>ENSDARG00000097392</t>
  </si>
  <si>
    <t>si:dkeyp-91h6.3</t>
  </si>
  <si>
    <t>si:dkeyp-91h6.3 [Source:ZFIN;Acc:ZDB-GENE-131120-195]</t>
  </si>
  <si>
    <t>ENSDARG00000015164</t>
  </si>
  <si>
    <t>mknk2b</t>
  </si>
  <si>
    <t>MAP kinase interacting serine/threonine kinase 2b [Source:ZFIN;Acc:ZDB-GENE-030829-2]</t>
  </si>
  <si>
    <t>ENSDARG00000041350</t>
  </si>
  <si>
    <t>ankrd39</t>
  </si>
  <si>
    <t>ankyrin repeat domain 39 [Source:ZFIN;Acc:ZDB-GENE-081104-153]</t>
  </si>
  <si>
    <t>ENSDARG00000099122</t>
  </si>
  <si>
    <t>naa38</t>
  </si>
  <si>
    <t>N(alpha)-acetyltransferase 38, NatC auxiliary subunit [Source:ZFIN;Acc:ZDB-GENE-030131-7762]</t>
  </si>
  <si>
    <t>ENSDARG00000088861</t>
  </si>
  <si>
    <t>znf1021</t>
  </si>
  <si>
    <t>zinc finger protein 1021 [Source:ZFIN;Acc:ZDB-GENE-110913-143]</t>
  </si>
  <si>
    <t>ENSDARG00000054616</t>
  </si>
  <si>
    <t>cldni</t>
  </si>
  <si>
    <t>claudin i [Source:ZFIN;Acc:ZDB-GENE-010328-9]</t>
  </si>
  <si>
    <t>ENSDARG00000007825</t>
  </si>
  <si>
    <t>map2k1</t>
  </si>
  <si>
    <t>mitogen-activated protein kinase kinase 1 [Source:ZFIN;Acc:ZDB-GENE-040426-2759]</t>
  </si>
  <si>
    <t>ENSDARG00000096310</t>
  </si>
  <si>
    <t>TAF1C</t>
  </si>
  <si>
    <t>wu:fj64h06 [Source:ZFIN;Acc:ZDB-GENE-030131-8286]</t>
  </si>
  <si>
    <t>ENSDARG00000099676</t>
  </si>
  <si>
    <t>si:ch211-30g3.4</t>
  </si>
  <si>
    <t>si:ch211-30g3.4 [Source:ZFIN;Acc:ZDB-GENE-060531-63]</t>
  </si>
  <si>
    <t>ENSDARG00000069745</t>
  </si>
  <si>
    <t>slc35f2</t>
  </si>
  <si>
    <t>solute carrier family 35, member F2 [Source:ZFIN;Acc:ZDB-GENE-030131-5516]</t>
  </si>
  <si>
    <t>ENSDARG00000012987</t>
  </si>
  <si>
    <t>gpia</t>
  </si>
  <si>
    <t>glucose-6-phosphate isomerase a [Source:ZFIN;Acc:ZDB-GENE-020513-2]</t>
  </si>
  <si>
    <t>ENSDARG00000012572</t>
  </si>
  <si>
    <t>polr3f</t>
  </si>
  <si>
    <t>polymerase (RNA) III (DNA directed) polypeptide F [Source:ZFIN;Acc:ZDB-GENE-040426-972]</t>
  </si>
  <si>
    <t>ENSDARG00000036637</t>
  </si>
  <si>
    <t>arl11</t>
  </si>
  <si>
    <t>ADP-ribosylation factor-like 11 [Source:ZFIN;Acc:ZDB-GENE-030131-3410]</t>
  </si>
  <si>
    <t>ENSDARG00000006413</t>
  </si>
  <si>
    <t>rpl38</t>
  </si>
  <si>
    <t>ribosomal protein L38 [Source:ZFIN;Acc:ZDB-GENE-030131-8752]</t>
  </si>
  <si>
    <t>ENSDARG00000057975</t>
  </si>
  <si>
    <t>plcd4a</t>
  </si>
  <si>
    <t>phospholipase C, delta 4a [Source:ZFIN;Acc:ZDB-GENE-050208-654]</t>
  </si>
  <si>
    <t>ENSDARG00000040707</t>
  </si>
  <si>
    <t>CHCHD4</t>
  </si>
  <si>
    <t>zgc:101803 [Source:ZFIN;Acc:ZDB-GENE-041010-149]</t>
  </si>
  <si>
    <t>ENSDARG00000026048</t>
  </si>
  <si>
    <t>tsc1a</t>
  </si>
  <si>
    <t>tuberous sclerosis 1a [Source:ZFIN;Acc:ZDB-GENE-030131-9111]</t>
  </si>
  <si>
    <t>ENSDARG00000036155</t>
  </si>
  <si>
    <t>gla</t>
  </si>
  <si>
    <t>galactosidase, alpha [Source:ZFIN;Acc:ZDB-GENE-041010-207]</t>
  </si>
  <si>
    <t>ENSDARG00000092359</t>
  </si>
  <si>
    <t>si:dkeyp-113d7.10</t>
  </si>
  <si>
    <t>si:dkeyp-113d7.10 [Source:ZFIN;Acc:ZDB-GENE-061207-80]</t>
  </si>
  <si>
    <t>ENSDARG00000026986</t>
  </si>
  <si>
    <t>rexo1</t>
  </si>
  <si>
    <t>REX1, RNA exonuclease 1 homolog [Source:ZFIN;Acc:ZDB-GENE-030131-1650]</t>
  </si>
  <si>
    <t>ENSDARG00000004184</t>
  </si>
  <si>
    <t>nf1b</t>
  </si>
  <si>
    <t>neurofibromin 1b [Source:ZFIN;Acc:ZDB-GENE-091111-4]</t>
  </si>
  <si>
    <t>ENSDARG00000060282</t>
  </si>
  <si>
    <t>rnf121</t>
  </si>
  <si>
    <t>ring finger protein 121 [Source:ZFIN;Acc:ZDB-GENE-050809-3]</t>
  </si>
  <si>
    <t>ENSDARG00000041182</t>
  </si>
  <si>
    <t>rpl4</t>
  </si>
  <si>
    <t>ribosomal protein L4 [Source:ZFIN;Acc:ZDB-GENE-030131-9034]</t>
  </si>
  <si>
    <t>ENSDARG00000056929</t>
  </si>
  <si>
    <t>kdm6bb</t>
  </si>
  <si>
    <t>lysine (K)-specific demethylase 6B, b [Source:ZFIN;Acc:ZDB-GENE-040724-166]</t>
  </si>
  <si>
    <t>ENSDARG00000071409</t>
  </si>
  <si>
    <t>arl3</t>
  </si>
  <si>
    <t>ADP-ribosylation factor-like 3 [Source:ZFIN;Acc:ZDB-GENE-030131-7518]</t>
  </si>
  <si>
    <t>ENSDARG00000092662</t>
  </si>
  <si>
    <t>dnaaf3</t>
  </si>
  <si>
    <t>dynein, axonemal, assembly factor 3 [Source:ZFIN;Acc:ZDB-GENE-091204-296]</t>
  </si>
  <si>
    <t>ENSDARG00000098497</t>
  </si>
  <si>
    <t>hrasa</t>
  </si>
  <si>
    <t>v-Ha-ras Harvey rat sarcoma viral oncogene homolog a [Source:ZFIN;Acc:ZDB-GENE-050417-95]</t>
  </si>
  <si>
    <t>ENSDARG00000021209</t>
  </si>
  <si>
    <t>kctd9a</t>
  </si>
  <si>
    <t>potassium channel tetramerization domain containing 9a [Source:ZFIN;Acc:ZDB-GENE-050320-147]</t>
  </si>
  <si>
    <t>ENSDARG00000003403</t>
  </si>
  <si>
    <t>tenm1</t>
  </si>
  <si>
    <t>teneurin transmembrane protein 1 [Source:ZFIN;Acc:ZDB-GENE-060531-26]</t>
  </si>
  <si>
    <t>ENSDARG00000043842</t>
  </si>
  <si>
    <t>si:ch73-111k22.2</t>
  </si>
  <si>
    <t>si:ch73-111k22.2 [Source:ZFIN;Acc:ZDB-GENE-030131-5221]</t>
  </si>
  <si>
    <t>ENSDARG00000006607</t>
  </si>
  <si>
    <t>gpr27</t>
  </si>
  <si>
    <t>G protein-coupled receptor 27 [Source:ZFIN;Acc:ZDB-GENE-071022-3]</t>
  </si>
  <si>
    <t>ENSDARG00000034956</t>
  </si>
  <si>
    <t>myclb</t>
  </si>
  <si>
    <t>v-myc avian myelocytomatosis viral oncogene lung carcinoma derived homolog b [Source:ZFIN;Acc:ZDB-GENE-030131-5561]</t>
  </si>
  <si>
    <t>ENSDARG00000037815</t>
  </si>
  <si>
    <t>b4galt5</t>
  </si>
  <si>
    <t>UDP-Gal:betaGlcNAc beta 1,4- galactosyltransferase, polypeptide 5 [Source:ZFIN;Acc:ZDB-GENE-060628-3]</t>
  </si>
  <si>
    <t>ENSDARG00000103390</t>
  </si>
  <si>
    <t>CACNA2D2</t>
  </si>
  <si>
    <t>si:dkey-18h3.3 [Source:ZFIN;Acc:ZDB-GENE-141211-4]</t>
  </si>
  <si>
    <t>ENSDARG00000036636</t>
  </si>
  <si>
    <t>ebpl</t>
  </si>
  <si>
    <t>emopamil binding protein-like [Source:ZFIN;Acc:ZDB-GENE-030616-542]</t>
  </si>
  <si>
    <t>ENSDARG00000079823</t>
  </si>
  <si>
    <t>mrps36</t>
  </si>
  <si>
    <t>mitochondrial ribosomal protein S36 [Source:ZFIN;Acc:ZDB-GENE-081104-343]</t>
  </si>
  <si>
    <t>ENSDARG00000053133</t>
  </si>
  <si>
    <t>b3gnt7l</t>
  </si>
  <si>
    <t>UDP-GlcNAc:betaGal beta-1,3-N-acetylglucosaminyltransferase 7, like [Source:ZFIN;Acc:ZDB-GENE-040718-143]</t>
  </si>
  <si>
    <t>ENSDARG00000016519</t>
  </si>
  <si>
    <t>ctdnep1a</t>
  </si>
  <si>
    <t>CTD nuclear envelope phosphatase 1a [Source:ZFIN;Acc:ZDB-GENE-041114-177]</t>
  </si>
  <si>
    <t>ENSDARG00000013524</t>
  </si>
  <si>
    <t>cyp2ae1</t>
  </si>
  <si>
    <t>cytochrome P450, family 2, subfamily AE, polypeptide 1 [Source:ZFIN;Acc:ZDB-GENE-090312-107]</t>
  </si>
  <si>
    <t>ENSDARG00000016794</t>
  </si>
  <si>
    <t>mtmr6</t>
  </si>
  <si>
    <t>myotubularin related protein 6 [Source:ZFIN;Acc:ZDB-GENE-030131-5557]</t>
  </si>
  <si>
    <t>ENSDARG00000014969</t>
  </si>
  <si>
    <t>ankhb</t>
  </si>
  <si>
    <t>ANKH inorganic pyrophosphate transport regulator b [Source:ZFIN;Acc:ZDB-GENE-030131-2458]</t>
  </si>
  <si>
    <t>ENSDARG00000056920</t>
  </si>
  <si>
    <t>tmem88a</t>
  </si>
  <si>
    <t>transmembrane protein 88 a [Source:ZFIN;Acc:ZDB-GENE-040426-1808]</t>
  </si>
  <si>
    <t>ENSDARG00000045542</t>
  </si>
  <si>
    <t>LAMTOR4</t>
  </si>
  <si>
    <t>si:dkey-159a18.7 [Source:ZFIN;Acc:ZDB-GENE-030131-7438]</t>
  </si>
  <si>
    <t>ENSDARG00000028614</t>
  </si>
  <si>
    <t>mospd1</t>
  </si>
  <si>
    <t>motile sperm domain containing 1 [Source:ZFIN;Acc:ZDB-GENE-040426-2691]</t>
  </si>
  <si>
    <t>ENSDARG00000040033</t>
  </si>
  <si>
    <t>trmt11</t>
  </si>
  <si>
    <t>tRNA methyltransferase 11 homolog (S. cerevisiae) [Source:ZFIN;Acc:ZDB-GENE-040426-953]</t>
  </si>
  <si>
    <t>ENSDARG00000091511</t>
  </si>
  <si>
    <t>gpx7</t>
  </si>
  <si>
    <t>glutathione peroxidase 7 [Source:ZFIN;Acc:ZDB-GENE-050522-419]</t>
  </si>
  <si>
    <t>ENSDARG00000023279</t>
  </si>
  <si>
    <t>psmd4b</t>
  </si>
  <si>
    <t>proteasome 26S subunit, non-ATPase 4b [Source:ZFIN;Acc:ZDB-GENE-050417-96]</t>
  </si>
  <si>
    <t>ENSDARG00000035952</t>
  </si>
  <si>
    <t>cdr2a</t>
  </si>
  <si>
    <t>cerebellar degeneration-related protein 2a [Source:ZFIN;Acc:ZDB-GENE-101203-5]</t>
  </si>
  <si>
    <t>ENSDARG00000042072</t>
  </si>
  <si>
    <t>fbxl17</t>
  </si>
  <si>
    <t>F-box and leucine-rich repeat protein 17 [Source:ZFIN;Acc:ZDB-GENE-111013-3]</t>
  </si>
  <si>
    <t>ENSDARG00000013087</t>
  </si>
  <si>
    <t>ndrg3a</t>
  </si>
  <si>
    <t>ndrg family member 3a [Source:ZFIN;Acc:ZDB-GENE-980526-124]</t>
  </si>
  <si>
    <t>ENSDARG00000029479</t>
  </si>
  <si>
    <t>zgc:86609</t>
  </si>
  <si>
    <t>zgc:86609 [Source:ZFIN;Acc:ZDB-GENE-050102-7]</t>
  </si>
  <si>
    <t>ENSDARG00000069242</t>
  </si>
  <si>
    <t>pdia5</t>
  </si>
  <si>
    <t>protein disulfide isomerase family A, member 5 [Source:ZFIN;Acc:ZDB-GENE-030521-5]</t>
  </si>
  <si>
    <t>ENSDARG00000042055</t>
  </si>
  <si>
    <t>fam129aa</t>
  </si>
  <si>
    <t>family with sequence similarity 129, member Aa [Source:ZFIN;Acc:ZDB-GENE-041014-181]</t>
  </si>
  <si>
    <t>ENSDARG00000045543</t>
  </si>
  <si>
    <t>atp6v1f</t>
  </si>
  <si>
    <t>ATPase, H+ transporting, lysosomal, V1 subunit F [Source:ZFIN;Acc:ZDB-GENE-040718-259]</t>
  </si>
  <si>
    <t>ENSDARG00000009958</t>
  </si>
  <si>
    <t>cbl</t>
  </si>
  <si>
    <t>Cbl proto-oncogene, E3 ubiquitin protein ligase [Source:ZFIN;Acc:ZDB-GENE-041114-207]</t>
  </si>
  <si>
    <t>ENSDARG00000070271</t>
  </si>
  <si>
    <t>zcchc11</t>
  </si>
  <si>
    <t>zinc finger, CCHC domain containing 11 [Source:ZFIN;Acc:ZDB-GENE-030131-2403]</t>
  </si>
  <si>
    <t>ENSDARG00000024815</t>
  </si>
  <si>
    <t>ogfrl2</t>
  </si>
  <si>
    <t>opioid growth factor receptor-like 2 [Source:ZFIN;Acc:ZDB-GENE-030616-523]</t>
  </si>
  <si>
    <t>ENSDARG00000062382</t>
  </si>
  <si>
    <t>snapin</t>
  </si>
  <si>
    <t>SNAP-associated protein [Source:ZFIN;Acc:ZDB-GENE-060503-343]</t>
  </si>
  <si>
    <t>ENSDARG00000031248</t>
  </si>
  <si>
    <t>enkur</t>
  </si>
  <si>
    <t>enkurin, TRPC channel interacting protein [Source:ZFIN;Acc:ZDB-GENE-070718-1]</t>
  </si>
  <si>
    <t>ENSDARG00000074328</t>
  </si>
  <si>
    <t>apba1b</t>
  </si>
  <si>
    <t>amyloid beta (A4) precursor protein-binding, family A, member 1b [Source:ZFIN;Acc:ZDB-GENE-070925-3]</t>
  </si>
  <si>
    <t>ENSDARG00000013025</t>
  </si>
  <si>
    <t>ints6</t>
  </si>
  <si>
    <t>integrator complex subunit 6 [Source:ZFIN;Acc:ZDB-GENE-070906-1]</t>
  </si>
  <si>
    <t>ENSDARG00000067613</t>
  </si>
  <si>
    <t>dnajc25</t>
  </si>
  <si>
    <t>DnaJ (Hsp40) homolog, subfamily C , member 25 [Source:ZFIN;Acc:ZDB-GENE-081104-137]</t>
  </si>
  <si>
    <t>ENSDARG00000031768</t>
  </si>
  <si>
    <t>roraa</t>
  </si>
  <si>
    <t>RAR-related orphan receptor A, paralog a [Source:ZFIN;Acc:ZDB-GENE-060306-2]</t>
  </si>
  <si>
    <t>ENSDARG00000003008</t>
  </si>
  <si>
    <t>prkcea</t>
  </si>
  <si>
    <t>protein kinase C, epsilon a [Source:ZFIN;Acc:ZDB-GENE-030131-8191]</t>
  </si>
  <si>
    <t>ENSDARG00000089646</t>
  </si>
  <si>
    <t>ctdspl3</t>
  </si>
  <si>
    <t>CTD (carboxy-terminal domain, RNA polymerase II, polypeptide A) small phosphatase like 3 [Source:ZFIN;Acc:ZDB-GENE-141215-56]</t>
  </si>
  <si>
    <t>ENSDARG00000093371</t>
  </si>
  <si>
    <t>si:dkey-13i19.10</t>
  </si>
  <si>
    <t>si:dkey-13i19.10 [Source:ZFIN;Acc:ZDB-GENE-041210-168]</t>
  </si>
  <si>
    <t>ENSDARG00000087762</t>
  </si>
  <si>
    <t>rab27b</t>
  </si>
  <si>
    <t>RAB27B, member RAS oncogene family [Source:ZFIN;Acc:ZDB-GENE-120215-85]</t>
  </si>
  <si>
    <t>ENSDARG00000093545</t>
  </si>
  <si>
    <t>si:dkeyp-20e4.3</t>
  </si>
  <si>
    <t>si:dkeyp-20e4.3 [Source:ZFIN;Acc:ZDB-GENE-050208-675]</t>
  </si>
  <si>
    <t>ENSDARG00000088807</t>
  </si>
  <si>
    <t>klhl22</t>
  </si>
  <si>
    <t>kelch-like family member 22 [Source:ZFIN;Acc:ZDB-GENE-081104-154]</t>
  </si>
  <si>
    <t>ENSDARG00000098458</t>
  </si>
  <si>
    <t>RPL37A</t>
  </si>
  <si>
    <t>zgc:171772 [Source:ZFIN;Acc:ZDB-GENE-070928-31]</t>
  </si>
  <si>
    <t>ENSDARG00000097001</t>
  </si>
  <si>
    <t>si:ch73-233c7.1</t>
  </si>
  <si>
    <t>si:ch73-233c7.1 [Source:ZFIN;Acc:ZDB-GENE-131125-36]</t>
  </si>
  <si>
    <t>ENSDARG00000069807</t>
  </si>
  <si>
    <t>zdhhc18a</t>
  </si>
  <si>
    <t>zinc finger, DHHC-type containing 18a [Source:ZFIN;Acc:ZDB-GENE-060929-424]</t>
  </si>
  <si>
    <t>ENSDARG00000029472</t>
  </si>
  <si>
    <t>mllt4a</t>
  </si>
  <si>
    <t>myeloid/lymphoid or mixed-lineage leukemia; translocated to, 4a [Source:ZFIN;Acc:ZDB-GENE-050419-52]</t>
  </si>
  <si>
    <t>ENSDARG00000091970</t>
  </si>
  <si>
    <t>ms4a17a.3</t>
  </si>
  <si>
    <t>membrane-spanning 4-domains, subfamily A, member 17A.3 [Source:ZFIN;Acc:ZDB-GENE-080829-1]</t>
  </si>
  <si>
    <t>ENSDARG00000105239</t>
  </si>
  <si>
    <t>ecm1b</t>
  </si>
  <si>
    <t>extracellular matrix protein 1b [Source:ZFIN;Acc:ZDB-GENE-121204-2]</t>
  </si>
  <si>
    <t>ENSDARG00000012505</t>
  </si>
  <si>
    <t>u2af2a</t>
  </si>
  <si>
    <t>U2 small nuclear RNA auxiliary factor 2a [Source:ZFIN;Acc:ZDB-GENE-050706-131]</t>
  </si>
  <si>
    <t>ENSDARG00000024026</t>
  </si>
  <si>
    <t>sdf2</t>
  </si>
  <si>
    <t>stromal cell-derived factor 2 [Source:ZFIN;Acc:ZDB-GENE-030131-8823]</t>
  </si>
  <si>
    <t>ENSDARG00000059916</t>
  </si>
  <si>
    <t>hyal1</t>
  </si>
  <si>
    <t>hyaluronoglucosaminidase 1 [Source:ZFIN;Acc:ZDB-GENE-060312-42]</t>
  </si>
  <si>
    <t>ENSDARG00000097414</t>
  </si>
  <si>
    <t>si:ch211-106e7.2</t>
  </si>
  <si>
    <t>si:ch211-106e7.2 [Source:ZFIN;Acc:ZDB-GENE-031116-72]</t>
  </si>
  <si>
    <t>ENSDARG00000101868</t>
  </si>
  <si>
    <t>dennd1b</t>
  </si>
  <si>
    <t>DENN/MADD domain containing 1B [Source:ZFIN;Acc:ZDB-GENE-060503-16]</t>
  </si>
  <si>
    <t>ENSDARG00000100639</t>
  </si>
  <si>
    <t>si:ch211-262i1.2</t>
  </si>
  <si>
    <t>si:ch211-262i1.2 [Source:ZFIN;Acc:ZDB-GENE-141216-186]</t>
  </si>
  <si>
    <t>ENSDARG00000021669</t>
  </si>
  <si>
    <t>sec61a1</t>
  </si>
  <si>
    <t>Sec61 translocon alpha 1 subunit [Source:ZFIN;Acc:ZDB-GENE-020418-2]</t>
  </si>
  <si>
    <t>ENSDARG00000060361</t>
  </si>
  <si>
    <t>cep104</t>
  </si>
  <si>
    <t>centrosomal protein 104 [Source:ZFIN;Acc:ZDB-GENE-060503-195]</t>
  </si>
  <si>
    <t>ENSDARG00000071658</t>
  </si>
  <si>
    <t>ywhag2</t>
  </si>
  <si>
    <t>3-monooxygenase/tryptophan 5-monooxygenase activation protein, gamma polypeptide 2 [Source:ZFIN;Acc:ZDB-GENE-061023-2]</t>
  </si>
  <si>
    <t>ENSDARG00000078473</t>
  </si>
  <si>
    <t>nucks1a</t>
  </si>
  <si>
    <t>nuclear casein kinase and cyclin-dependent kinase substrate 1a [Source:ZFIN;Acc:ZDB-GENE-040912-175]</t>
  </si>
  <si>
    <t>ENSDARG00000007097</t>
  </si>
  <si>
    <t>her13</t>
  </si>
  <si>
    <t>hairy-related 13 [Source:ZFIN;Acc:ZDB-GENE-050228-1]</t>
  </si>
  <si>
    <t>ENSDARG00000058342</t>
  </si>
  <si>
    <t>grhl2a</t>
  </si>
  <si>
    <t>grainyhead-like transcription factor 2a [Source:ZFIN;Acc:ZDB-GENE-050913-123]</t>
  </si>
  <si>
    <t>ENSDARG00000101137</t>
  </si>
  <si>
    <t>znf999</t>
  </si>
  <si>
    <t>zinc finger protein 999 [Source:ZFIN;Acc:ZDB-GENE-110913-39]</t>
  </si>
  <si>
    <t>ENSDARG00000018809</t>
  </si>
  <si>
    <t>abhd3</t>
  </si>
  <si>
    <t>abhydrolase domain containing 3 [Source:ZFIN;Acc:ZDB-GENE-040912-90]</t>
  </si>
  <si>
    <t>ENSDARG00000059109</t>
  </si>
  <si>
    <t>si:dkeyp-113d7.1</t>
  </si>
  <si>
    <t>si:dkeyp-113d7.1 [Source:ZFIN;Acc:ZDB-GENE-030131-755]</t>
  </si>
  <si>
    <t>ENSDARG00000043442</t>
  </si>
  <si>
    <t>MAL</t>
  </si>
  <si>
    <t>zgc:153665 [Source:ZFIN;Acc:ZDB-GENE-061027-365]</t>
  </si>
  <si>
    <t>ENSDARG00000103103</t>
  </si>
  <si>
    <t>si:dkey-269o24.2</t>
  </si>
  <si>
    <t>si:dkey-269o24.2 [Source:ZFIN;Acc:ZDB-GENE-041210-348]</t>
  </si>
  <si>
    <t>ENSDARG00000070256</t>
  </si>
  <si>
    <t>suz12a</t>
  </si>
  <si>
    <t>SUZ12 polycomb repressive complex 2a subunit [Source:ZFIN;Acc:ZDB-GENE-040801-36]</t>
  </si>
  <si>
    <t>ENSDARG00000062346</t>
  </si>
  <si>
    <t>cacna1ea</t>
  </si>
  <si>
    <t>calcium channel, voltage-dependent, R type, alpha 1E subunit a [Source:ZFIN;Acc:ZDB-GENE-081104-526]</t>
  </si>
  <si>
    <t>ENSDARG00000054799</t>
  </si>
  <si>
    <t>rfc1</t>
  </si>
  <si>
    <t>replication factor C (activator 1) 1 [Source:ZFIN;Acc:ZDB-GENE-070410-99]</t>
  </si>
  <si>
    <t>ENSDARG00000057060</t>
  </si>
  <si>
    <t>tvp23b</t>
  </si>
  <si>
    <t>trans-golgi network vesicle protein 23 homolog B (S. cerevisiae) [Source:ZFIN;Acc:ZDB-GENE-050522-404]</t>
  </si>
  <si>
    <t>ENSDARG00000070401</t>
  </si>
  <si>
    <t>MAL.1</t>
  </si>
  <si>
    <t>zgc:158773 [Source:ZFIN;Acc:ZDB-GENE-070424-9]</t>
  </si>
  <si>
    <t>ENSDARG00000103977</t>
  </si>
  <si>
    <t>terf2ip</t>
  </si>
  <si>
    <t>telomeric repeat binding factor 2, interacting protein [Source:ZFIN;Acc:ZDB-GENE-131121-641]</t>
  </si>
  <si>
    <t>ENSDARG00000103417</t>
  </si>
  <si>
    <t>si:dkey-269o24.6</t>
  </si>
  <si>
    <t>si:dkey-269o24.6 [Source:ZFIN;Acc:ZDB-GENE-110914-22]</t>
  </si>
  <si>
    <t>ENSDARG00000039943</t>
  </si>
  <si>
    <t>fam46ba</t>
  </si>
  <si>
    <t>family with sequence similarity 46, member Ba [Source:ZFIN;Acc:ZDB-GENE-061110-129]</t>
  </si>
  <si>
    <t>ENSDARG00000070478</t>
  </si>
  <si>
    <t>amn1</t>
  </si>
  <si>
    <t>antagonist of mitotic exit network 1 homolog (S. cerevisiae) [Source:ZFIN;Acc:ZDB-GENE-060825-13]</t>
  </si>
  <si>
    <t>ENSDARG00000055900</t>
  </si>
  <si>
    <t>zswim5</t>
  </si>
  <si>
    <t>zinc finger, SWIM-type containing 5 [Source:ZFIN;Acc:ZDB-GENE-030925-30]</t>
  </si>
  <si>
    <t>ENSDARG00000054771</t>
  </si>
  <si>
    <t>ghra</t>
  </si>
  <si>
    <t>growth hormone receptor a [Source:ZFIN;Acc:ZDB-GENE-070509-1]</t>
  </si>
  <si>
    <t>ENSDARG00000093660</t>
  </si>
  <si>
    <t>si:dkey-6f10.3</t>
  </si>
  <si>
    <t>si:dkey-6f10.3 [Source:ZFIN;Acc:ZDB-GENE-041210-339]</t>
  </si>
  <si>
    <t>ENSDARG00000100865</t>
  </si>
  <si>
    <t>si:dkey-269o24.1</t>
  </si>
  <si>
    <t>si:dkey-269o24.1 [Source:ZFIN;Acc:ZDB-GENE-041210-347]</t>
  </si>
  <si>
    <t>ENSDARG00000007496</t>
  </si>
  <si>
    <t>ufl1</t>
  </si>
  <si>
    <t>UFM1-specific ligase 1 [Source:ZFIN;Acc:ZDB-GENE-040426-1163]</t>
  </si>
  <si>
    <t>ENSDARG00000035909</t>
  </si>
  <si>
    <t>mfsd2ab</t>
  </si>
  <si>
    <t>major facilitator superfamily domain containing 2ab [Source:ZFIN;Acc:ZDB-GENE-040801-89]</t>
  </si>
  <si>
    <t>ENSDARG00000037174</t>
  </si>
  <si>
    <t>nek12</t>
  </si>
  <si>
    <t>NIMA-related kinase 12 [Source:ZFIN;Acc:ZDB-GENE-050410-11]</t>
  </si>
  <si>
    <t>ENSDARG00000075904</t>
  </si>
  <si>
    <t>rfx1b</t>
  </si>
  <si>
    <t>regulatory factor X, 1b (influences HLA class II expression) [Source:ZFIN;Acc:ZDB-GENE-041008-101]</t>
  </si>
  <si>
    <t>ENSDARG00000101664</t>
  </si>
  <si>
    <t>si:dkey-269o24.7</t>
  </si>
  <si>
    <t>si:dkey-269o24.7 [Source:ZFIN;Acc:ZDB-GENE-110914-211]</t>
  </si>
  <si>
    <t>ENSDARG00000035719</t>
  </si>
  <si>
    <t>arl5c</t>
  </si>
  <si>
    <t>ADP-ribosylation factor-like 5C [Source:ZFIN;Acc:ZDB-GENE-040426-1866]</t>
  </si>
  <si>
    <t>ENSDARG00000009953</t>
  </si>
  <si>
    <t>med14</t>
  </si>
  <si>
    <t>mediator complex subunit 14 [Source:ZFIN;Acc:ZDB-GENE-030131-8867]</t>
  </si>
  <si>
    <t>ENSDARG00000015153</t>
  </si>
  <si>
    <t>wdr91</t>
  </si>
  <si>
    <t>WD repeat domain 91 [Source:ZFIN;Acc:ZDB-GENE-050113-2]</t>
  </si>
  <si>
    <t>ENSDARG00000069951</t>
  </si>
  <si>
    <t>eef1a1b</t>
  </si>
  <si>
    <t>eukaryotic translation elongation factor 1 alpha 1b [Source:ZFIN;Acc:ZDB-GENE-050417-327]</t>
  </si>
  <si>
    <t>ENSDARG00000002750</t>
  </si>
  <si>
    <t>phf20a</t>
  </si>
  <si>
    <t>PHD finger protein 20, a [Source:ZFIN;Acc:ZDB-GENE-070912-270]</t>
  </si>
  <si>
    <t>ENSDARG00000094892</t>
  </si>
  <si>
    <t>cenph</t>
  </si>
  <si>
    <t>centromere protein H [Source:ZFIN;Acc:ZDB-GENE-081104-340]</t>
  </si>
  <si>
    <t>ENSDARG00000075805</t>
  </si>
  <si>
    <t>si:dkey-219c3.2</t>
  </si>
  <si>
    <t>si:dkey-219c3.2 [Source:ZFIN;Acc:ZDB-GENE-090313-238]</t>
  </si>
  <si>
    <t>ENSDARG00000076229</t>
  </si>
  <si>
    <t>mkl1b</t>
  </si>
  <si>
    <t>megakaryoblastic leukemia (translocation) 1b [Source:ZFIN;Acc:ZDB-GENE-030131-681]</t>
  </si>
  <si>
    <t>ENSDARG00000022974</t>
  </si>
  <si>
    <t>wdr13</t>
  </si>
  <si>
    <t>WD repeat domain 13 [Source:ZFIN;Acc:ZDB-GENE-050522-274]</t>
  </si>
  <si>
    <t>ENSDARG00000074170</t>
  </si>
  <si>
    <t>fbxo4</t>
  </si>
  <si>
    <t>F-box protein 4 [Source:ZFIN;Acc:ZDB-GENE-081104-415]</t>
  </si>
  <si>
    <t>ENSDARG00000070670</t>
  </si>
  <si>
    <t>crip2</t>
  </si>
  <si>
    <t>cysteine-rich protein 2 [Source:ZFIN;Acc:ZDB-GENE-040426-2889]</t>
  </si>
  <si>
    <t>ENSDARG00000018432</t>
  </si>
  <si>
    <t>m6pr</t>
  </si>
  <si>
    <t>mannose-6-phosphate receptor (cation dependent) [Source:ZFIN;Acc:ZDB-GENE-040426-2285]</t>
  </si>
  <si>
    <t>ENSDARG00000070059</t>
  </si>
  <si>
    <t>si:ch211-262i1.5</t>
  </si>
  <si>
    <t>si:ch211-262i1.5 [Source:ZFIN;Acc:ZDB-GENE-030131-3152]</t>
  </si>
  <si>
    <t>ENSDARG00000070952</t>
  </si>
  <si>
    <t>fam131ba</t>
  </si>
  <si>
    <t>family with sequence similarity 131, member Ba [Source:ZFIN;Acc:ZDB-GENE-060503-616]</t>
  </si>
  <si>
    <t>ENSDARG00000061226</t>
  </si>
  <si>
    <t>timp2a</t>
  </si>
  <si>
    <t>TIMP metallopeptidase inhibitor 2a [Source:ZFIN;Acc:ZDB-GENE-030612-1]</t>
  </si>
  <si>
    <t>ENSDARG00000086075</t>
  </si>
  <si>
    <t>ttc3</t>
  </si>
  <si>
    <t>tetratricopeptide repeat domain 3 [Source:ZFIN;Acc:ZDB-GENE-090313-3]</t>
  </si>
  <si>
    <t>ENSDARG00000025500</t>
  </si>
  <si>
    <t>mtx1a</t>
  </si>
  <si>
    <t>metaxin 1a [Source:ZFIN;Acc:ZDB-GENE-060606-2]</t>
  </si>
  <si>
    <t>ENSDARG00000079326</t>
  </si>
  <si>
    <t>si:ch211-53f16.1</t>
  </si>
  <si>
    <t>si:ch211-53f16.1 [Source:ZFIN;Acc:ZDB-GENE-081104-237]</t>
  </si>
  <si>
    <t>ENSDARG00000010437</t>
  </si>
  <si>
    <t>fam46c</t>
  </si>
  <si>
    <t>family with sequence similarity 46, member C [Source:ZFIN;Acc:ZDB-GENE-030131-5365]</t>
  </si>
  <si>
    <t>ENSDARG00000088073</t>
  </si>
  <si>
    <t>fam110b</t>
  </si>
  <si>
    <t>family with sequence similarity 110, member B [Source:ZFIN;Acc:ZDB-GENE-050626-70]</t>
  </si>
  <si>
    <t>ENSDARG00000054777</t>
  </si>
  <si>
    <t>si:dkey-46a10.3</t>
  </si>
  <si>
    <t>si:dkey-46a10.3 [Source:ZFIN;Acc:ZDB-GENE-030131-4610]</t>
  </si>
  <si>
    <t>ENSDARG00000060041</t>
  </si>
  <si>
    <t>lig1</t>
  </si>
  <si>
    <t>ligase I, DNA, ATP-dependent [Source:ZFIN;Acc:ZDB-GENE-110404-2]</t>
  </si>
  <si>
    <t>ENSDARG00000008639</t>
  </si>
  <si>
    <t>kifap3a</t>
  </si>
  <si>
    <t>kinesin-associated protein 3a [Source:ZFIN;Acc:ZDB-GENE-040912-74]</t>
  </si>
  <si>
    <t>ENSDARG00000036721</t>
  </si>
  <si>
    <t>tomm40l</t>
  </si>
  <si>
    <t>translocase of outer mitochondrial membrane 40 homolog, like [Source:ZFIN;Acc:ZDB-GENE-040426-2319]</t>
  </si>
  <si>
    <t>ENSDARG00000055763</t>
  </si>
  <si>
    <t>tmem115</t>
  </si>
  <si>
    <t>transmembrane protein 115 [Source:ZFIN;Acc:ZDB-GENE-050913-157]</t>
  </si>
  <si>
    <t>ENSDARG00000017960</t>
  </si>
  <si>
    <t>sfxn2</t>
  </si>
  <si>
    <t>sideroflexin 2 [Source:ZFIN;Acc:ZDB-GENE-040426-2831]</t>
  </si>
  <si>
    <t>ENSDARG00000034852</t>
  </si>
  <si>
    <t>nt5c2l1</t>
  </si>
  <si>
    <t>5'-nucleotidase, cytosolic II, like 1 [Source:ZFIN;Acc:ZDB-GENE-031006-8]</t>
  </si>
  <si>
    <t>ENSDARG00000063097</t>
  </si>
  <si>
    <t>scube1</t>
  </si>
  <si>
    <t>signal peptide, CUB domain, EGF-like 1 [Source:ZFIN;Acc:ZDB-GENE-050302-78]</t>
  </si>
  <si>
    <t>ENSDARG00000067717</t>
  </si>
  <si>
    <t>tomm7</t>
  </si>
  <si>
    <t>translocase of outer mitochondrial membrane 7 homolog (yeast) [Source:ZFIN;Acc:ZDB-GENE-060825-115]</t>
  </si>
  <si>
    <t>ENSDARG00000036064</t>
  </si>
  <si>
    <t>cnep1r1</t>
  </si>
  <si>
    <t>CTD nuclear envelope phosphatase 1 regulatory subunit 1 [Source:ZFIN;Acc:ZDB-GENE-050417-425]</t>
  </si>
  <si>
    <t>ENSDARG00000014005</t>
  </si>
  <si>
    <t>lrrc45</t>
  </si>
  <si>
    <t>leucine rich repeat containing 45 [Source:ZFIN;Acc:ZDB-GENE-121214-317]</t>
  </si>
  <si>
    <t>ENSDARG00000045553</t>
  </si>
  <si>
    <t>hsd17b2</t>
  </si>
  <si>
    <t>hydroxysteroid (17-beta) dehydrogenase 2 [Source:ZFIN;Acc:ZDB-GENE-040928-1]</t>
  </si>
  <si>
    <t>ENSDARG00000019613</t>
  </si>
  <si>
    <t>ip6k2b</t>
  </si>
  <si>
    <t>inositol hexakisphosphate kinase 2b [Source:ZFIN;Acc:ZDB-GENE-040718-85]</t>
  </si>
  <si>
    <t>ENSDARG00000079725</t>
  </si>
  <si>
    <t>dhx9</t>
  </si>
  <si>
    <t>DEAH (Asp-Glu-Ala-His) box helicase 9 [Source:ZFIN;Acc:ZDB-GENE-070912-171]</t>
  </si>
  <si>
    <t>ENSDARG00000055591</t>
  </si>
  <si>
    <t>pipox</t>
  </si>
  <si>
    <t>pipecolic acid oxidase [Source:ZFIN;Acc:ZDB-GENE-110627-2]</t>
  </si>
  <si>
    <t>ENSDARG00000077637</t>
  </si>
  <si>
    <t>mal2</t>
  </si>
  <si>
    <t>mal, T-cell differentiation protein 2 (gene/pseudogene) [Source:ZFIN;Acc:ZDB-GENE-081022-204]</t>
  </si>
  <si>
    <t>ENSDARG00000018658</t>
  </si>
  <si>
    <t>aar2</t>
  </si>
  <si>
    <t>AAR2 splicing factor homolog (S. cerevisiae) [Source:ZFIN;Acc:ZDB-GENE-040704-68]</t>
  </si>
  <si>
    <t>ENSDARG00000003822</t>
  </si>
  <si>
    <t>ankrd16</t>
  </si>
  <si>
    <t>ankyrin repeat domain 16 [Source:ZFIN;Acc:ZDB-GENE-041210-253]</t>
  </si>
  <si>
    <t>ENSDARG00000093007</t>
  </si>
  <si>
    <t>mphosph6</t>
  </si>
  <si>
    <t>M-phase phosphoprotein 6 [Source:ZFIN;Acc:ZDB-GENE-040801-137]</t>
  </si>
  <si>
    <t>ENSDARG00000010603</t>
  </si>
  <si>
    <t>kctd9b</t>
  </si>
  <si>
    <t>potassium channel tetramerization domain containing 9b [Source:ZFIN;Acc:ZDB-GENE-040718-238]</t>
  </si>
  <si>
    <t>ENSDARG00000102447</t>
  </si>
  <si>
    <t>gdpd4a</t>
  </si>
  <si>
    <t>glycerophosphodiester phosphodiesterase domain containing 4a [Source:ZFIN;Acc:ZDB-GENE-091204-436]</t>
  </si>
  <si>
    <t>ENSDARG00000103858</t>
  </si>
  <si>
    <t>arf4a</t>
  </si>
  <si>
    <t>ADP-ribosylation factor 4a [Source:ZFIN;Acc:ZDB-GENE-040801-109]</t>
  </si>
  <si>
    <t>ENSDARG00000073876</t>
  </si>
  <si>
    <t>si:ch1073-165f9.2</t>
  </si>
  <si>
    <t>si:ch1073-165f9.2 [Source:ZFIN;Acc:ZDB-GENE-141216-228]</t>
  </si>
  <si>
    <t>ENSDARG00000026736</t>
  </si>
  <si>
    <t>il11ra</t>
  </si>
  <si>
    <t>interleukin 11 receptor, alpha [Source:ZFIN;Acc:ZDB-GENE-030131-5942]</t>
  </si>
  <si>
    <t>ENSDARG00000095427</t>
  </si>
  <si>
    <t>si:ch211-152p11.8</t>
  </si>
  <si>
    <t>si:ch211-152p11.8 [Source:ZFIN;Acc:ZDB-GENE-060503-858]</t>
  </si>
  <si>
    <t>ENSDARG00000058319</t>
  </si>
  <si>
    <t>cep76</t>
  </si>
  <si>
    <t>centrosomal protein 76 [Source:ZFIN;Acc:ZDB-GENE-070820-5]</t>
  </si>
  <si>
    <t>ENSDARG00000042908</t>
  </si>
  <si>
    <t>hsh2d</t>
  </si>
  <si>
    <t>hematopoietic SH2 domain containing [Source:ZFIN;Acc:ZDB-GENE-050410-3]</t>
  </si>
  <si>
    <t>ENSDARG00000035557</t>
  </si>
  <si>
    <t>gabarapa</t>
  </si>
  <si>
    <t>GABA(A) receptor-associated protein a [Source:ZFIN;Acc:ZDB-GENE-030131-5174]</t>
  </si>
  <si>
    <t>ENSDARG00000007241</t>
  </si>
  <si>
    <t>mycb</t>
  </si>
  <si>
    <t>v-myc avian myelocytomatosis viral oncogene homolog b [Source:ZFIN;Acc:ZDB-GENE-040426-780]</t>
  </si>
  <si>
    <t>ENSDARG00000070583</t>
  </si>
  <si>
    <t>itpk1b</t>
  </si>
  <si>
    <t>inositol-tetrakisphosphate 1-kinase b [Source:ZFIN;Acc:ZDB-GENE-131126-72]</t>
  </si>
  <si>
    <t>ENSDARG00000040640</t>
  </si>
  <si>
    <t>si:ch73-44m9.3</t>
  </si>
  <si>
    <t>si:ch73-44m9.3 [Source:ZFIN;Acc:ZDB-GENE-081104-290]</t>
  </si>
  <si>
    <t>ENSDARG00000074210</t>
  </si>
  <si>
    <t>zgc:110286</t>
  </si>
  <si>
    <t>zgc:110286 [Source:ZFIN;Acc:ZDB-GENE-050417-68]</t>
  </si>
  <si>
    <t>ENSDARG00000093364</t>
  </si>
  <si>
    <t>mtmr3</t>
  </si>
  <si>
    <t>myotubularin related protein 3 [Source:ZFIN;Acc:ZDB-GENE-091204-465]</t>
  </si>
  <si>
    <t>ENSDARG00000013063</t>
  </si>
  <si>
    <t>oxct1a</t>
  </si>
  <si>
    <t>3-oxoacid CoA transferase 1a [Source:ZFIN;Acc:ZDB-GENE-040723-3]</t>
  </si>
  <si>
    <t>ENSDARG00000091948</t>
  </si>
  <si>
    <t>si:ch1073-109g21.1</t>
  </si>
  <si>
    <t>si:ch1073-109g21.1 [Source:ZFIN;Acc:ZDB-GENE-081104-66]</t>
  </si>
  <si>
    <t>ENSDARG00000055787</t>
  </si>
  <si>
    <t>dzank1</t>
  </si>
  <si>
    <t>double zinc ribbon and ankyrin repeat domains 1 [Source:ZFIN;Acc:ZDB-GENE-051113-296]</t>
  </si>
  <si>
    <t>ENSDARG00000004527</t>
  </si>
  <si>
    <t>pin4</t>
  </si>
  <si>
    <t>protein (peptidylprolyl cis/trans isomerase) NIMA-interacting, 4 (parvulin) [Source:ZFIN;Acc:ZDB-GENE-050522-117]</t>
  </si>
  <si>
    <t>ENSDARG00000062142</t>
  </si>
  <si>
    <t>stoml1</t>
  </si>
  <si>
    <t>stomatin (EPB72)-like 1 [Source:ZFIN;Acc:ZDB-GENE-070209-241]</t>
  </si>
  <si>
    <t>ENSDARG00000063145</t>
  </si>
  <si>
    <t>tfam</t>
  </si>
  <si>
    <t>transcription factor A, mitochondrial [Source:ZFIN;Acc:ZDB-GENE-061013-552]</t>
  </si>
  <si>
    <t>ENSDARG00000090063</t>
  </si>
  <si>
    <t>fa2h</t>
  </si>
  <si>
    <t>fatty acid 2-hydroxylase [Source:ZFIN;Acc:ZDB-GENE-031219-4]</t>
  </si>
  <si>
    <t>ENSDARG00000078195</t>
  </si>
  <si>
    <t>fhit</t>
  </si>
  <si>
    <t>fragile histidine triad gene [Source:ZFIN;Acc:ZDB-GENE-040426-1703]</t>
  </si>
  <si>
    <t>ENSDARG00000061039</t>
  </si>
  <si>
    <t>atp10a</t>
  </si>
  <si>
    <t>ATPase, class V, type 10A [Source:ZFIN;Acc:ZDB-GENE-101102-1]</t>
  </si>
  <si>
    <t>ENSDARG00000071082</t>
  </si>
  <si>
    <t>p4ha1b</t>
  </si>
  <si>
    <t>prolyl 4-hydroxylase, alpha polypeptide I b [Source:ZFIN;Acc:ZDB-GENE-030131-4089]</t>
  </si>
  <si>
    <t>ENSDARG00000070625</t>
  </si>
  <si>
    <t>enpp5</t>
  </si>
  <si>
    <t>ectonucleotide pyrophosphatase/phosphodiesterase 5 [Source:ZFIN;Acc:ZDB-GENE-041014-10]</t>
  </si>
  <si>
    <t>ENSDARG00000018491</t>
  </si>
  <si>
    <t>pdia4</t>
  </si>
  <si>
    <t>protein disulfide isomerase family A, member 4 [Source:ZFIN;Acc:ZDB-GENE-030131-5493]</t>
  </si>
  <si>
    <t>ENSDARG00000097008</t>
  </si>
  <si>
    <t>opn1mw1</t>
  </si>
  <si>
    <t>opsin 1 (cone pigments), medium-wave-sensitive, 1 [Source:ZFIN;Acc:ZDB-GENE-990604-42]</t>
  </si>
  <si>
    <t>ENSDARG00000097405</t>
  </si>
  <si>
    <t>si:dkey-273g18.1</t>
  </si>
  <si>
    <t>si:dkey-273g18.1.1</t>
  </si>
  <si>
    <t>si:dkey-273g18.1 [Source:ZFIN;Acc:ZDB-GENE-060503-256]</t>
  </si>
  <si>
    <t>ENSDARG00000093058</t>
  </si>
  <si>
    <t>si:dkey-13i19.8</t>
  </si>
  <si>
    <t>si:dkey-13i19.8 [Source:ZFIN;Acc:ZDB-GENE-041210-156]</t>
  </si>
  <si>
    <t>ENSDARG00000058280</t>
  </si>
  <si>
    <t>SPAG17</t>
  </si>
  <si>
    <t>si:dkey-208b23.5 [Source:ZFIN;Acc:ZDB-GENE-081104-362]</t>
  </si>
  <si>
    <t>ENSDARG00000097343</t>
  </si>
  <si>
    <t>si:ch211-165g14.3</t>
  </si>
  <si>
    <t>si:ch211-165g14.3 [Source:ZFIN;Acc:ZDB-GENE-131127-146]</t>
  </si>
  <si>
    <t>ENSDARG00000098638</t>
  </si>
  <si>
    <t>pimr65</t>
  </si>
  <si>
    <t>Pim proto-oncogene, serine/threonine kinase, related 65 [Source:ZFIN;Acc:ZDB-GENE-070912-539]</t>
  </si>
  <si>
    <t>ENSDARG00000052300</t>
  </si>
  <si>
    <t>zgc:171489</t>
  </si>
  <si>
    <t>zgc:171489 [Source:ZFIN;Acc:ZDB-GENE-080303-25]</t>
  </si>
  <si>
    <t>ENSDARG00000059057</t>
  </si>
  <si>
    <t>atpv0e2</t>
  </si>
  <si>
    <t>ATPase, H+ transporting V0 subunit e2 [Source:ZFIN;Acc:ZDB-GENE-050522-135]</t>
  </si>
  <si>
    <t>ENSDARG00000013329</t>
  </si>
  <si>
    <t>ttc5</t>
  </si>
  <si>
    <t>tetratricopeptide repeat domain 5 [Source:ZFIN;Acc:ZDB-GENE-050417-137]</t>
  </si>
  <si>
    <t>ENSDARG00000022795</t>
  </si>
  <si>
    <t>golt1ba</t>
  </si>
  <si>
    <t>golgi transport 1Ba [Source:ZFIN;Acc:ZDB-GENE-041210-157]</t>
  </si>
  <si>
    <t>ENSDARG00000096081</t>
  </si>
  <si>
    <t>LRRC56</t>
  </si>
  <si>
    <t>si:ch211-103e16.5 [Source:ZFIN;Acc:ZDB-GENE-110913-104]</t>
  </si>
  <si>
    <t>ENSDARG00000039229</t>
  </si>
  <si>
    <t>cep78</t>
  </si>
  <si>
    <t>centrosomal protein 78 [Source:ZFIN;Acc:ZDB-GENE-070905-1]</t>
  </si>
  <si>
    <t>ENSDARG00000016934</t>
  </si>
  <si>
    <t>ttyh2</t>
  </si>
  <si>
    <t>tweety family member 2 [Source:ZFIN;Acc:ZDB-GENE-040718-193]</t>
  </si>
  <si>
    <t>ENSDARG00000073899</t>
  </si>
  <si>
    <t>nemp1</t>
  </si>
  <si>
    <t>nuclear envelope integral membrane protein 1 [Source:ZFIN;Acc:ZDB-GENE-090313-182]</t>
  </si>
  <si>
    <t>ENSDARG00000036345</t>
  </si>
  <si>
    <t>cmtr2</t>
  </si>
  <si>
    <t>cap methyltransferase 2 [Source:ZFIN;Acc:ZDB-GENE-040426-2775]</t>
  </si>
  <si>
    <t>ENSDARG00000022378</t>
  </si>
  <si>
    <t>mtmr1b</t>
  </si>
  <si>
    <t>myotubularin related protein 1b [Source:ZFIN;Acc:ZDB-GENE-050327-48]</t>
  </si>
  <si>
    <t>ENSDARG00000043182</t>
  </si>
  <si>
    <t>hhla2a.1</t>
  </si>
  <si>
    <t>HERV-H LTR-associating 2a, tandem duplicate 1 [Source:ZFIN;Acc:ZDB-GENE-050327-45]</t>
  </si>
  <si>
    <t>ENSDARG00000053138</t>
  </si>
  <si>
    <t>lrrc47</t>
  </si>
  <si>
    <t>leucine rich repeat containing 47 [Source:ZFIN;Acc:ZDB-GENE-060503-289]</t>
  </si>
  <si>
    <t>ENSDARG00000017708</t>
  </si>
  <si>
    <t>lrrc40</t>
  </si>
  <si>
    <t>leucine rich repeat containing 40 [Source:ZFIN;Acc:ZDB-GENE-030131-6062]</t>
  </si>
  <si>
    <t>ENSDARG00000058351</t>
  </si>
  <si>
    <t>tapbpl</t>
  </si>
  <si>
    <t>TAP binding protein (tapasin)-like [Source:ZFIN;Acc:ZDB-GENE-121003-1]</t>
  </si>
  <si>
    <t>ENSDARG00000033855</t>
  </si>
  <si>
    <t>rqcd1</t>
  </si>
  <si>
    <t>RCD1 required for cell differentiation1 homolog (S. pombe) [Source:ZFIN;Acc:ZDB-GENE-030131-1558]</t>
  </si>
  <si>
    <t>ENSDARG00000094821</t>
  </si>
  <si>
    <t>si:ch73-44m9.2</t>
  </si>
  <si>
    <t>si:ch73-44m9.2 [Source:ZFIN;Acc:ZDB-GENE-081031-72]</t>
  </si>
  <si>
    <t>ENSDARG00000090386</t>
  </si>
  <si>
    <t>cd3eap</t>
  </si>
  <si>
    <t>CD3e molecule, epsilon associated protein [Source:ZFIN;Acc:ZDB-GENE-101202-2]</t>
  </si>
  <si>
    <t>ENSDARG00000029476</t>
  </si>
  <si>
    <t>ldlra</t>
  </si>
  <si>
    <t>low density lipoprotein receptor a [Source:ZFIN;Acc:ZDB-GENE-031217-1]</t>
  </si>
  <si>
    <t>ENSDARG00000094673</t>
  </si>
  <si>
    <t>rhoab</t>
  </si>
  <si>
    <t>ras homolog gene family, member Ab [Source:ZFIN;Acc:ZDB-GENE-040322-2]</t>
  </si>
  <si>
    <t>ENSDARG00000016496</t>
  </si>
  <si>
    <t>cdk8</t>
  </si>
  <si>
    <t>cyclin-dependent kinase 8 [Source:ZFIN;Acc:ZDB-GENE-030903-2]</t>
  </si>
  <si>
    <t>ENSDARG00000023952</t>
  </si>
  <si>
    <t>fam167ab</t>
  </si>
  <si>
    <t>family with sequence similarity 167, member Ab [Source:ZFIN;Acc:ZDB-GENE-041014-11]</t>
  </si>
  <si>
    <t>ENSDARG00000012222</t>
  </si>
  <si>
    <t>nup35</t>
  </si>
  <si>
    <t>nucleoporin 35 [Source:ZFIN;Acc:ZDB-GENE-030131-9407]</t>
  </si>
  <si>
    <t>ENSDARG00000024642</t>
  </si>
  <si>
    <t>pip5k1ab</t>
  </si>
  <si>
    <t>phosphatidylinositol-4-phosphate 5-kinase, type I, alpha, b [Source:ZFIN;Acc:ZDB-GENE-041111-123]</t>
  </si>
  <si>
    <t>ENSDARG00000037646</t>
  </si>
  <si>
    <t>rgs11</t>
  </si>
  <si>
    <t>regulator of G-protein signaling 11 [Source:ZFIN;Acc:ZDB-GENE-080220-46]</t>
  </si>
  <si>
    <t>ENSDARG00000089904</t>
  </si>
  <si>
    <t>adgre5b.3</t>
  </si>
  <si>
    <t>adhesion G protein-coupled receptor E5b, duplicate 3 [Source:ZFIN;Acc:ZDB-GENE-121214-275]</t>
  </si>
  <si>
    <t>ENSDARG00000078935</t>
  </si>
  <si>
    <t>ttll4</t>
  </si>
  <si>
    <t>tubulin tyrosine ligase-like family, member 4 [Source:ZFIN;Acc:ZDB-GENE-070912-313]</t>
  </si>
  <si>
    <t>ENSDARG00000079080</t>
  </si>
  <si>
    <t>mettl20</t>
  </si>
  <si>
    <t>methyltransferase like 20 [Source:ZFIN;Acc:ZDB-GENE-111107-1]</t>
  </si>
  <si>
    <t>ENSDARG00000008020</t>
  </si>
  <si>
    <t>med31</t>
  </si>
  <si>
    <t>mediator complex subunit 31 [Source:ZFIN;Acc:ZDB-GENE-040718-114]</t>
  </si>
  <si>
    <t>ENSDARG00000068130</t>
  </si>
  <si>
    <t>zgc:153740</t>
  </si>
  <si>
    <t>zgc:153740 [Source:ZFIN;Acc:ZDB-GENE-060825-33]</t>
  </si>
  <si>
    <t>ENSDARG00000069603</t>
  </si>
  <si>
    <t>taok1a</t>
  </si>
  <si>
    <t>TAO kinase 1a [Source:ZFIN;Acc:ZDB-GENE-130103-9]</t>
  </si>
  <si>
    <t>ENSDARG00000025920</t>
  </si>
  <si>
    <t>tiam1b</t>
  </si>
  <si>
    <t>T-cell lymphoma invasion and metastasis 1b [Source:ZFIN;Acc:ZDB-GENE-120221-1]</t>
  </si>
  <si>
    <t>ENSDARG00000105491</t>
  </si>
  <si>
    <t>arhgef5</t>
  </si>
  <si>
    <t>Rho guanine nucleotide exchange factor (GEF) 5 [Source:ZFIN;Acc:ZDB-GENE-130530-800]</t>
  </si>
  <si>
    <t>ENSDARG00000023160</t>
  </si>
  <si>
    <t>snrnp40</t>
  </si>
  <si>
    <t>small nuclear ribonucleoprotein 40 (U5) [Source:ZFIN;Acc:ZDB-GENE-040426-978]</t>
  </si>
  <si>
    <t>ENSDARG00000086459</t>
  </si>
  <si>
    <t>si:ch211-165g14.1</t>
  </si>
  <si>
    <t>si:ch211-165g14.1 [Source:ZFIN;Acc:ZDB-GENE-131127-601]</t>
  </si>
  <si>
    <t>ENSDARG00000093157</t>
  </si>
  <si>
    <t>zgc:174928</t>
  </si>
  <si>
    <t>zgc:174928 [Source:ZFIN;Acc:ZDB-GENE-080220-14]</t>
  </si>
  <si>
    <t>ENSDARG00000104267</t>
  </si>
  <si>
    <t>postnb</t>
  </si>
  <si>
    <t>periostin, osteoblast specific factor b [Source:ZFIN;Acc:ZDB-GENE-030131-9120]</t>
  </si>
  <si>
    <t>ENSDARG00000070688</t>
  </si>
  <si>
    <t>ncalda</t>
  </si>
  <si>
    <t>neurocalcin delta a [Source:ZFIN;Acc:ZDB-GENE-080220-28]</t>
  </si>
  <si>
    <t>ENSDARG00000060504</t>
  </si>
  <si>
    <t>pfkla</t>
  </si>
  <si>
    <t>phosphofructokinase, liver a [Source:ZFIN;Acc:ZDB-GENE-121207-1]</t>
  </si>
  <si>
    <t>ENSDARG00000096528</t>
  </si>
  <si>
    <t>zgc:174928.1</t>
  </si>
  <si>
    <t>ENSDARG00000045541</t>
  </si>
  <si>
    <t>gcc1</t>
  </si>
  <si>
    <t>GRIP and coiled-coil domain containing 1 [Source:ZFIN;Acc:ZDB-GENE-040801-118]</t>
  </si>
  <si>
    <t>ENSDARG00000104807</t>
  </si>
  <si>
    <t>si:ch73-221f6.3</t>
  </si>
  <si>
    <t>si:ch73-221f6.3 [Source:ZFIN;Acc:ZDB-GENE-121214-21]</t>
  </si>
  <si>
    <t>ENSDARG00000099817</t>
  </si>
  <si>
    <t>tusc2a</t>
  </si>
  <si>
    <t>tumor suppressor candidate 2a [Source:ZFIN;Acc:ZDB-GENE-061013-612]</t>
  </si>
  <si>
    <t>ENSDARG00000021681</t>
  </si>
  <si>
    <t>asrgl1</t>
  </si>
  <si>
    <t>asparaginase like 1 [Source:ZFIN;Acc:ZDB-GENE-050320-102]</t>
  </si>
  <si>
    <t>ENSDARG00000070626</t>
  </si>
  <si>
    <t>cacng8b</t>
  </si>
  <si>
    <t>calcium channel, voltage-dependent, gamma subunit 8b [Source:ZFIN;Acc:ZDB-GENE-100921-72]</t>
  </si>
  <si>
    <t>ENSDARG00000016200</t>
  </si>
  <si>
    <t>trib3</t>
  </si>
  <si>
    <t>tribbles pseudokinase 3 [Source:ZFIN;Acc:ZDB-GENE-040426-2609]</t>
  </si>
  <si>
    <t>ENSDARG00000045131</t>
  </si>
  <si>
    <t>id4</t>
  </si>
  <si>
    <t>inhibitor of DNA binding 4 [Source:ZFIN;Acc:ZDB-GENE-051113-208]</t>
  </si>
  <si>
    <t>ENSDARG00000103316</t>
  </si>
  <si>
    <t>SALL2</t>
  </si>
  <si>
    <t>si:ch211-212k18.5 [Source:ZFIN;Acc:ZDB-GENE-030131-379]</t>
  </si>
  <si>
    <t>ENSDARG00000079783</t>
  </si>
  <si>
    <t>isg20</t>
  </si>
  <si>
    <t>interferon stimulated exonuclease gene [Source:ZFIN;Acc:ZDB-GENE-100422-17]</t>
  </si>
  <si>
    <t>ENSDARG00000018944</t>
  </si>
  <si>
    <t>hoga1</t>
  </si>
  <si>
    <t>4-hydroxy-2-oxoglutarate aldolase 1 [Source:ZFIN;Acc:ZDB-GENE-040426-2242]</t>
  </si>
  <si>
    <t>ENSDARG00000028661</t>
  </si>
  <si>
    <t>cntfr</t>
  </si>
  <si>
    <t>ciliary neurotrophic factor receptor [Source:ZFIN;Acc:ZDB-GENE-030616-82]</t>
  </si>
  <si>
    <t>ENSDARG00000104783</t>
  </si>
  <si>
    <t>si:ch73-221f6.4</t>
  </si>
  <si>
    <t>si:ch73-221f6.4 [Source:ZFIN;Acc:ZDB-GENE-121214-120]</t>
  </si>
  <si>
    <t>ENSDARG00000016999</t>
  </si>
  <si>
    <t>lin28a</t>
  </si>
  <si>
    <t>lin-28 homolog A (C. elegans) [Source:ZFIN;Acc:ZDB-GENE-040426-747]</t>
  </si>
  <si>
    <t>ENSDARG00000079027</t>
  </si>
  <si>
    <t>chsy1</t>
  </si>
  <si>
    <t>chondroitin sulfate synthase 1 [Source:ZFIN;Acc:ZDB-GENE-030131-3127]</t>
  </si>
  <si>
    <t>ENSDARG00000024032</t>
  </si>
  <si>
    <t>coch</t>
  </si>
  <si>
    <t>coagulation factor C homolog, cochlin (Limulus polyphemus) [Source:ZFIN;Acc:ZDB-GENE-030616-403]</t>
  </si>
  <si>
    <t>ENSDARG00000039217</t>
  </si>
  <si>
    <t>orc1</t>
  </si>
  <si>
    <t>origin recognition complex, subunit 1 [Source:ZFIN;Acc:ZDB-GENE-030131-6960]</t>
  </si>
  <si>
    <t>ENSDARG00000101577</t>
  </si>
  <si>
    <t>si:ch211-172l8.4</t>
  </si>
  <si>
    <t>si:ch211-172l8.4 [Source:ZFIN;Acc:ZDB-GENE-131127-224]</t>
  </si>
  <si>
    <t>ENSDARG00000104904</t>
  </si>
  <si>
    <t>si:ch73-221f6.1</t>
  </si>
  <si>
    <t>si:ch73-221f6.1 [Source:ZFIN;Acc:ZDB-GENE-121214-41]</t>
  </si>
  <si>
    <t>ENSDARG00000094757</t>
  </si>
  <si>
    <t>si:dkey-192i18.5</t>
  </si>
  <si>
    <t>si:dkey-192i18.5 [Source:ZFIN;Acc:ZDB-GENE-090313-218]</t>
  </si>
  <si>
    <t>ENSDARG00000042031</t>
  </si>
  <si>
    <t>gorab</t>
  </si>
  <si>
    <t>golgin, rab6-interacting [Source:ZFIN;Acc:ZDB-GENE-040426-1384]</t>
  </si>
  <si>
    <t>ENSDARG00000103959</t>
  </si>
  <si>
    <t>pak1</t>
  </si>
  <si>
    <t>p21 protein (Cdc42/Rac)-activated kinase 1 [Source:ZFIN;Acc:ZDB-GENE-030826-29]</t>
  </si>
  <si>
    <t>ENSDARG00000068256</t>
  </si>
  <si>
    <t>rwdd</t>
  </si>
  <si>
    <t>RWD domain containing 4 [Source:ZFIN;Acc:ZDB-GENE-041010-61]</t>
  </si>
  <si>
    <t>ENSDARG00000091558</t>
  </si>
  <si>
    <t>si:ch211-251f6.7</t>
  </si>
  <si>
    <t>si:ch211-251f6.7 [Source:ZFIN;Acc:ZDB-GENE-091113-57]</t>
  </si>
  <si>
    <t>ENSDARG00000000540</t>
  </si>
  <si>
    <t>asnsd1</t>
  </si>
  <si>
    <t>asparagine synthetase domain containing 1 [Source:ZFIN;Acc:ZDB-GENE-030616-362]</t>
  </si>
  <si>
    <t>ENSDARG00000076959</t>
  </si>
  <si>
    <t>si:ch211-38m6.6</t>
  </si>
  <si>
    <t>si:ch211-38m6.6 [Source:ZFIN;Acc:ZDB-GENE-070705-179]</t>
  </si>
  <si>
    <t>ENSDARG00000097537</t>
  </si>
  <si>
    <t>wwp1</t>
  </si>
  <si>
    <t>WW domain containing E3 ubiquitin protein ligase 1 [Source:ZFIN;Acc:ZDB-GENE-131120-84]</t>
  </si>
  <si>
    <t>ENSDARG00000020795</t>
  </si>
  <si>
    <t>rac3b</t>
  </si>
  <si>
    <t>ras-related C3 botulinum toxin substrate 3b (rho family, small GTP binding protein Rac3) [Source:ZFIN;Acc:ZDB-GENE-080220-21]</t>
  </si>
  <si>
    <t>ENSDARG00000074702</t>
  </si>
  <si>
    <t>arfgef2</t>
  </si>
  <si>
    <t>ADP-ribosylation factor guanine nucleotide-exchange factor 2 (brefeldin A-inhibited) [Source:ZFIN;Acc:ZDB-GENE-090312-50]</t>
  </si>
  <si>
    <t>ENSDARG00000074848</t>
  </si>
  <si>
    <t>smim7</t>
  </si>
  <si>
    <t>small integral membrane protein 7 [Source:ZFIN;Acc:ZDB-GENE-060810-180]</t>
  </si>
  <si>
    <t>ENSDARG00000100908</t>
  </si>
  <si>
    <t>lcor</t>
  </si>
  <si>
    <t>ligand dependent nuclear receptor corepressor [Source:ZFIN;Acc:ZDB-GENE-061201-6]</t>
  </si>
  <si>
    <t>ENSDARG00000090747</t>
  </si>
  <si>
    <t>si:ch73-269m14.2</t>
  </si>
  <si>
    <t>si:ch73-269m14.2 [Source:ZFIN;Acc:ZDB-GENE-120215-136]</t>
  </si>
  <si>
    <t>ENSDARG00000089225</t>
  </si>
  <si>
    <t>trove2</t>
  </si>
  <si>
    <t>TROVE domain family, member 2 [Source:ZFIN;Acc:ZDB-GENE-051113-300]</t>
  </si>
  <si>
    <t>ENSDARG00000069780</t>
  </si>
  <si>
    <t>pus7l.1</t>
  </si>
  <si>
    <t>pseudouridylate synthase 7-like [Source:ZFIN;Acc:ZDB-GENE-050419-188]</t>
  </si>
  <si>
    <t>ENSDARG00000009267</t>
  </si>
  <si>
    <t>zgc:136439</t>
  </si>
  <si>
    <t>zgc:136439 [Source:ZFIN;Acc:ZDB-GENE-060421-2858]</t>
  </si>
  <si>
    <t>ENSDARG00000054301</t>
  </si>
  <si>
    <t>kti12</t>
  </si>
  <si>
    <t>KTI12 chromatin associated homolog [Source:ZFIN;Acc:ZDB-GENE-060825-174]</t>
  </si>
  <si>
    <t>ENSDARG00000019339</t>
  </si>
  <si>
    <t>uxt</t>
  </si>
  <si>
    <t>ubiquitously-expressed, prefoldin-like chaperone [Source:ZFIN;Acc:ZDB-GENE-040912-118]</t>
  </si>
  <si>
    <t>ENSDARG00000041708</t>
  </si>
  <si>
    <t>csrp2bp</t>
  </si>
  <si>
    <t>csrp2 binding protein [Source:ZFIN;Acc:ZDB-GENE-040718-452]</t>
  </si>
  <si>
    <t>ENSDARG00000017696</t>
  </si>
  <si>
    <t>diexf</t>
  </si>
  <si>
    <t>digestive organ expansion factor homolog [Source:ZFIN;Acc:ZDB-GENE-021217-2]</t>
  </si>
  <si>
    <t>ENSDARG00000079479</t>
  </si>
  <si>
    <t>gpr4</t>
  </si>
  <si>
    <t>G protein-coupled receptor 4 [Source:ZFIN;Acc:ZDB-GENE-101202-1]</t>
  </si>
  <si>
    <t>ENSDARG00000096556</t>
  </si>
  <si>
    <t>PGBD4.1</t>
  </si>
  <si>
    <t>si:dkey-19f4.2 [Source:ZFIN;Acc:ZDB-GENE-121214-262]</t>
  </si>
  <si>
    <t>ENSDARG00000074507</t>
  </si>
  <si>
    <t>rmdn1</t>
  </si>
  <si>
    <t>regulator of microtubule dynamics 1 [Source:ZFIN;Acc:ZDB-GENE-070928-17]</t>
  </si>
  <si>
    <t>ENSDARG00000032575</t>
  </si>
  <si>
    <t>ywhaz</t>
  </si>
  <si>
    <t>tyrosine 3-monooxygenase/tryptophan 5-monooxygenase activation protein, zeta polypeptide [Source:ZFIN;Acc:ZDB-GENE-030131-8554]</t>
  </si>
  <si>
    <t>ENSDARG00000004771</t>
  </si>
  <si>
    <t>ankrd10b</t>
  </si>
  <si>
    <t>ankyrin repeat domain 10b [Source:ZFIN;Acc:ZDB-GENE-061013-49]</t>
  </si>
  <si>
    <t>ENSDARG00000054794</t>
  </si>
  <si>
    <t>plcxd3</t>
  </si>
  <si>
    <t>phosphatidylinositol-specific phospholipase C, X domain containing 3 [Source:ZFIN;Acc:ZDB-GENE-050327-10]</t>
  </si>
  <si>
    <t>ENSDARG00000089698</t>
  </si>
  <si>
    <t>atf7ip2</t>
  </si>
  <si>
    <t>activating transcription factor 7 interacting protein 2 [Source:ZFIN;Acc:ZDB-GENE-131121-384]</t>
  </si>
  <si>
    <t>ENSDARG00000077115</t>
  </si>
  <si>
    <t>si:ch73-44m9.1</t>
  </si>
  <si>
    <t>si:ch73-44m9.1 [Source:ZFIN;Acc:ZDB-GENE-081104-289]</t>
  </si>
  <si>
    <t>ENSDARG00000054606</t>
  </si>
  <si>
    <t>mrpl1</t>
  </si>
  <si>
    <t>mitochondrial ribosomal protein L1 [Source:ZFIN;Acc:ZDB-GENE-060526-311]</t>
  </si>
  <si>
    <t>ENSDARG00000012699</t>
  </si>
  <si>
    <t>bbx</t>
  </si>
  <si>
    <t>bobby sox homolog (Drosophila) [Source:ZFIN;Acc:ZDB-GENE-091204-306]</t>
  </si>
  <si>
    <t>ENSDARG00000014599</t>
  </si>
  <si>
    <t>slc5a6b</t>
  </si>
  <si>
    <t>solute carrier family 5 (sodium/multivitamin and iodide cotransporter), member 6 [Source:ZFIN;Acc:ZDB-GENE-050913-86]</t>
  </si>
  <si>
    <t>ENSDARG00000056089</t>
  </si>
  <si>
    <t>nrbp1</t>
  </si>
  <si>
    <t>nuclear receptor binding protein 1 [Source:ZFIN;Acc:ZDB-GENE-041001-146]</t>
  </si>
  <si>
    <t>ENSDARG00000097419</t>
  </si>
  <si>
    <t>si:dkey-234l24.9.1</t>
  </si>
  <si>
    <t>ENSDARG00000075700</t>
  </si>
  <si>
    <t>zswim2</t>
  </si>
  <si>
    <t>zinc finger, SWIM-type containing 2 [Source:ZFIN;Acc:ZDB-GENE-070719-8]</t>
  </si>
  <si>
    <t>ENSDARG00000091833</t>
  </si>
  <si>
    <t>sv2</t>
  </si>
  <si>
    <t>synaptic vesicle glycoprotein 2 [Source:ZFIN;Acc:ZDB-GENE-000607-80]</t>
  </si>
  <si>
    <t>ENSDARG00000011190</t>
  </si>
  <si>
    <t>fgfr1b</t>
  </si>
  <si>
    <t>fibroblast growth factor receptor 1b [Source:ZFIN;Acc:ZDB-GENE-060503-14]</t>
  </si>
  <si>
    <t>ENSDARG00000013705</t>
  </si>
  <si>
    <t>ccm2</t>
  </si>
  <si>
    <t>cerebral cavernous malformation 2 [Source:ZFIN;Acc:ZDB-GENE-040712-6]</t>
  </si>
  <si>
    <t>ENSDARG00000086670</t>
  </si>
  <si>
    <t>ice2</t>
  </si>
  <si>
    <t>interactor of little elongator complex ELL subunit 2 [Source:ZFIN;Acc:ZDB-GENE-060306-1]</t>
  </si>
  <si>
    <t>ENSDARG00000097279</t>
  </si>
  <si>
    <t>si:ch73-274k23.3</t>
  </si>
  <si>
    <t>si:ch73-274k23.3 [Source:ZFIN;Acc:ZDB-GENE-131121-276]</t>
  </si>
  <si>
    <t>ENSDARG00000002255</t>
  </si>
  <si>
    <t>epb41l3a</t>
  </si>
  <si>
    <t>erythrocyte membrane protein band 4.1-like 3a [Source:ZFIN;Acc:ZDB-GENE-040822-8]</t>
  </si>
  <si>
    <t>ENSDARG00000053448</t>
  </si>
  <si>
    <t>si:ch211-251f6.6</t>
  </si>
  <si>
    <t>si:ch211-251f6.6 [Source:ZFIN;Acc:ZDB-GENE-030131-3219]</t>
  </si>
  <si>
    <t>ENSDARG00000103492</t>
  </si>
  <si>
    <t>si:ch73-111k22.3</t>
  </si>
  <si>
    <t>si:ch73-111k22.3 [Source:ZFIN;Acc:ZDB-GENE-141212-371]</t>
  </si>
  <si>
    <t>ENSDARG00000101271</t>
  </si>
  <si>
    <t>si:ch211-227n13.3</t>
  </si>
  <si>
    <t>si:ch211-227n13.3 [Source:ZFIN;Acc:ZDB-GENE-141222-2]</t>
  </si>
  <si>
    <t>ENSDARG00000027803</t>
  </si>
  <si>
    <t>sbds</t>
  </si>
  <si>
    <t>Shwachman-Bodian-Diamond syndrome [Source:ZFIN;Acc:ZDB-GENE-040426-1116]</t>
  </si>
  <si>
    <t>ENSDARG00000063882</t>
  </si>
  <si>
    <t>cox19</t>
  </si>
  <si>
    <t>COX19 cytochrome c oxidase assembly factor [Source:ZFIN;Acc:ZDB-GENE-070410-29]</t>
  </si>
  <si>
    <t>ENSDARG00000004189</t>
  </si>
  <si>
    <t>cbx1a</t>
  </si>
  <si>
    <t>chromobox homolog 1a (HP1 beta homolog Drosophila) [Source:ZFIN;Acc:ZDB-GENE-030131-4945]</t>
  </si>
  <si>
    <t>ENSDARG00000099524</t>
  </si>
  <si>
    <t>gbe1b</t>
  </si>
  <si>
    <t>glucan (1,4-alpha-), branching enzyme 1b [Source:ZFIN;Acc:ZDB-GENE-110914-16]</t>
  </si>
  <si>
    <t>ENSDARG00000074552</t>
  </si>
  <si>
    <t>ndufs7</t>
  </si>
  <si>
    <t>NADH dehydrogenase (ubiquinone) Fe-S protein 7, (NADH-coenzyme Q reductase) [Source:ZFIN;Acc:ZDB-GENE-041111-261]</t>
  </si>
  <si>
    <t>ENSDARG00000007198</t>
  </si>
  <si>
    <t>mta1</t>
  </si>
  <si>
    <t>metastasis associated 1 [Source:ZFIN;Acc:ZDB-GENE-131121-353]</t>
  </si>
  <si>
    <t>ENSDARG00000096451</t>
  </si>
  <si>
    <t>si:ch211-196f5.9</t>
  </si>
  <si>
    <t>si:ch211-196f5.9 [Source:ZFIN;Acc:ZDB-GENE-120709-32]</t>
  </si>
  <si>
    <t>ENSDARG00000028894</t>
  </si>
  <si>
    <t>mrgbp</t>
  </si>
  <si>
    <t>MRG/MORF4L binding protein [Source:ZFIN;Acc:ZDB-GENE-040426-1698]</t>
  </si>
  <si>
    <t>ENSDARG00000079917</t>
  </si>
  <si>
    <t>rassf7a</t>
  </si>
  <si>
    <t>Ras association (RalGDS/AF-6) domain family (N-terminal) member 7a [Source:ZFIN;Acc:ZDB-GENE-091013-3]</t>
  </si>
  <si>
    <t>ENSDARG00000006859</t>
  </si>
  <si>
    <t>nkain1</t>
  </si>
  <si>
    <t>Na+/K+ transporting ATPase interacting 1 [Source:ZFIN;Acc:ZDB-GENE-040426-1472]</t>
  </si>
  <si>
    <t>ENSDARG00000104034</t>
  </si>
  <si>
    <t>arid3b</t>
  </si>
  <si>
    <t>AT rich interactive domain 3B (BRIGHT-like) [Source:ZFIN;Acc:ZDB-GENE-070209-182]</t>
  </si>
  <si>
    <t>ENSDARG00000034403</t>
  </si>
  <si>
    <t>zgc:173443</t>
  </si>
  <si>
    <t>zgc:173443 [Source:ZFIN;Acc:ZDB-GENE-071004-101]</t>
  </si>
  <si>
    <t>ENSDARG00000053026</t>
  </si>
  <si>
    <t>kif19</t>
  </si>
  <si>
    <t>kinesin family member 19 [Source:ZFIN;Acc:ZDB-GENE-080215-2]</t>
  </si>
  <si>
    <t>ENSDARG00000075619</t>
  </si>
  <si>
    <t>cenpo</t>
  </si>
  <si>
    <t>centromere protein O [Source:ZFIN;Acc:ZDB-GENE-070928-16]</t>
  </si>
  <si>
    <t>ENSDARG00000100766</t>
  </si>
  <si>
    <t>ube2q1</t>
  </si>
  <si>
    <t>ubiquitin-conjugating enzyme E2Q family member 1 [Source:ZFIN;Acc:ZDB-GENE-050522-329]</t>
  </si>
  <si>
    <t>ENSDARG00000027807</t>
  </si>
  <si>
    <t>fynrk</t>
  </si>
  <si>
    <t>fyn-related Src family tyrosine kinase [Source:ZFIN;Acc:ZDB-GENE-110411-7]</t>
  </si>
  <si>
    <t>ENSDARG00000051986</t>
  </si>
  <si>
    <t>ndufs8a</t>
  </si>
  <si>
    <t>NADH dehydrogenase (ubiquinone) Fe-S protein 8a [Source:ZFIN;Acc:ZDB-GENE-040426-2153]</t>
  </si>
  <si>
    <t>ENSDARG00000007250</t>
  </si>
  <si>
    <t>use1</t>
  </si>
  <si>
    <t>unconventional SNARE in the ER 1 homolog (S. cerevisiae) [Source:ZFIN;Acc:ZDB-GENE-040426-1015]</t>
  </si>
  <si>
    <t>ENSDARG00000005500</t>
  </si>
  <si>
    <t>dgcr6</t>
  </si>
  <si>
    <t>DiGeorge syndrome critical region gene 6 [Source:ZFIN;Acc:ZDB-GENE-040912-125]</t>
  </si>
  <si>
    <t>ENSDARG00000034493</t>
  </si>
  <si>
    <t>grin2aa</t>
  </si>
  <si>
    <t>glutamate receptor, ionotropic, N-methyl D-aspartate 2A, a [Source:ZFIN;Acc:ZDB-GENE-070424-129]</t>
  </si>
  <si>
    <t>ENSDARG00000018787</t>
  </si>
  <si>
    <t>efna1b</t>
  </si>
  <si>
    <t>ephrin-A1b [Source:ZFIN;Acc:ZDB-GENE-041007-5]</t>
  </si>
  <si>
    <t>ENSDARG00000042456</t>
  </si>
  <si>
    <t>MAD2L2</t>
  </si>
  <si>
    <t>zgc:110299 [Source:ZFIN;Acc:ZDB-GENE-050417-61]</t>
  </si>
  <si>
    <t>ENSDARG00000053459</t>
  </si>
  <si>
    <t>rybpb</t>
  </si>
  <si>
    <t>RING1 and YY1 binding protein b [Source:ZFIN;Acc:ZDB-GENE-061103-96]</t>
  </si>
  <si>
    <t>ENSDARG00000078328</t>
  </si>
  <si>
    <t>sec22a</t>
  </si>
  <si>
    <t>SEC22 homolog A, vesicle trafficking protein [Source:ZFIN;Acc:ZDB-GENE-030131-3553]</t>
  </si>
  <si>
    <t>ENSDARG00000043923</t>
  </si>
  <si>
    <t>sox9b</t>
  </si>
  <si>
    <t>SRY (sex determining region Y)-box 9b [Source:ZFIN;Acc:ZDB-GENE-001103-2]</t>
  </si>
  <si>
    <t>ENSDARG00000009194</t>
  </si>
  <si>
    <t>col16a1</t>
  </si>
  <si>
    <t>collagen, type XVI, alpha 1 [Source:ZFIN;Acc:ZDB-GENE-060503-351]</t>
  </si>
  <si>
    <t>ENSDARG00000075252</t>
  </si>
  <si>
    <t>phrf1</t>
  </si>
  <si>
    <t>PHD and ring finger domains 1 [Source:ZFIN;Acc:ZDB-GENE-030131-624]</t>
  </si>
  <si>
    <t>ENSDARG00000035558</t>
  </si>
  <si>
    <t>gps2</t>
  </si>
  <si>
    <t>G protein pathway suppressor 2 [Source:ZFIN;Acc:ZDB-GENE-040426-1176]</t>
  </si>
  <si>
    <t>ENSDARG00000102822</t>
  </si>
  <si>
    <t>pam16</t>
  </si>
  <si>
    <t>presequence translocase-associated motor 16 homolog (S. cerevisiae) [Source:ZFIN;Acc:ZDB-GENE-040426-1776]</t>
  </si>
  <si>
    <t>ENSDARG00000003754</t>
  </si>
  <si>
    <t>tspan2a</t>
  </si>
  <si>
    <t>tetraspanin 2a [Source:ZFIN;Acc:ZDB-GENE-050522-511]</t>
  </si>
  <si>
    <t>ENSDARG00000088383</t>
  </si>
  <si>
    <t>cox5aa</t>
  </si>
  <si>
    <t>cytochrome c oxidase subunit Vaa [Source:ZFIN;Acc:ZDB-GENE-050522-133]</t>
  </si>
  <si>
    <t>ENSDARG00000025011</t>
  </si>
  <si>
    <t>synj1</t>
  </si>
  <si>
    <t>synaptojanin 1 [Source:ZFIN;Acc:ZDB-GENE-030131-9180]</t>
  </si>
  <si>
    <t>ENSDARG00000021021</t>
  </si>
  <si>
    <t>trim35-28</t>
  </si>
  <si>
    <t>tripartite motif containing 35-28 [Source:ZFIN;Acc:ZDB-GENE-071004-19]</t>
  </si>
  <si>
    <t>ENSDARG00000000241</t>
  </si>
  <si>
    <t>slc40a1</t>
  </si>
  <si>
    <t>solute carrier family 40 (iron-regulated transporter), member 1 [Source:ZFIN;Acc:ZDB-GENE-000511-8]</t>
  </si>
  <si>
    <t>ENSDARG00000014556</t>
  </si>
  <si>
    <t>serpinb1l3</t>
  </si>
  <si>
    <t>serpin peptidase inhibitor, clade B (ovalbumin), member 1, like 3 [Source:ZFIN;Acc:ZDB-GENE-030131-7059]</t>
  </si>
  <si>
    <t>ENSDARG00000078452</t>
  </si>
  <si>
    <t>hmox2b</t>
  </si>
  <si>
    <t>heme oxygenase 2b [Source:ZFIN;Acc:ZDB-GENE-091118-52]</t>
  </si>
  <si>
    <t>ENSDARG00000074270</t>
  </si>
  <si>
    <t>ZNF518A</t>
  </si>
  <si>
    <t>si:ch211-214e3.5 [Source:ZFIN;Acc:ZDB-GENE-050208-19]</t>
  </si>
  <si>
    <t>ENSDARG00000078066</t>
  </si>
  <si>
    <t>elk1</t>
  </si>
  <si>
    <t>ELK1, member of ETS oncogene family [Source:ZFIN;Acc:ZDB-GENE-090529-5]</t>
  </si>
  <si>
    <t>ENSDARG00000021569</t>
  </si>
  <si>
    <t>gdap2</t>
  </si>
  <si>
    <t>ganglioside induced differentiation associated protein 2 [Source:ZFIN;Acc:ZDB-GENE-040912-31]</t>
  </si>
  <si>
    <t>ENSDARG00000035132</t>
  </si>
  <si>
    <t>rgs3b</t>
  </si>
  <si>
    <t>regulator of G-protein signaling 3b [Source:ZFIN;Acc:ZDB-GENE-060531-24]</t>
  </si>
  <si>
    <t>ENSDARG00000039225</t>
  </si>
  <si>
    <t>vps13a</t>
  </si>
  <si>
    <t>vacuolar protein sorting 13 homolog A (S. cerevisiae) [Source:ZFIN;Acc:ZDB-GENE-030926-1]</t>
  </si>
  <si>
    <t>ENSDARG00000089616</t>
  </si>
  <si>
    <t>coro7</t>
  </si>
  <si>
    <t>coronin 7 [Source:ZFIN;Acc:ZDB-GENE-050706-137]</t>
  </si>
  <si>
    <t>ENSDARG00000103317</t>
  </si>
  <si>
    <t>capn5a</t>
  </si>
  <si>
    <t>calpain 5a [Source:ZFIN;Acc:ZDB-GENE-061103-214]</t>
  </si>
  <si>
    <t>ENSDARG00000055226</t>
  </si>
  <si>
    <t>slc7a7</t>
  </si>
  <si>
    <t>solute carrier family 7 (amino acid transporter light chain, y+L system), member 7 [Source:ZFIN;Acc:ZDB-GENE-051127-5]</t>
  </si>
  <si>
    <t>ENSDARG00000097592</t>
  </si>
  <si>
    <t>si:dkey-40c23.1</t>
  </si>
  <si>
    <t>si:dkey-40c23.1 [Source:ZFIN;Acc:ZDB-GENE-131119-61]</t>
  </si>
  <si>
    <t>ENSDARG00000090489</t>
  </si>
  <si>
    <t>ANKRD66</t>
  </si>
  <si>
    <t>si:ch211-189e2.2 [Source:ZFIN;Acc:ZDB-GENE-131121-624]</t>
  </si>
  <si>
    <t>ENSDARG00000003699</t>
  </si>
  <si>
    <t>atp7a</t>
  </si>
  <si>
    <t>ATPase, Cu++ transporting, alpha polypeptide [Source:ZFIN;Acc:ZDB-GENE-060825-45]</t>
  </si>
  <si>
    <t>ENSDARG00000004635</t>
  </si>
  <si>
    <t>epha7</t>
  </si>
  <si>
    <t>eph receptor A7 [Source:ZFIN;Acc:ZDB-GENE-030131-3745]</t>
  </si>
  <si>
    <t>ENSDARG00000074903</t>
  </si>
  <si>
    <t>itcha</t>
  </si>
  <si>
    <t>itchy E3 ubiquitin protein ligase a [Source:ZFIN;Acc:ZDB-GENE-120919-4]</t>
  </si>
  <si>
    <t>ENSDARG00000007018</t>
  </si>
  <si>
    <t>ms4a17a.6</t>
  </si>
  <si>
    <t>membrane-spanning 4-domains, subfamily A, member 17A.6 [Source:ZFIN;Acc:ZDB-GENE-070209-265]</t>
  </si>
  <si>
    <t>ENSDARG00000017931</t>
  </si>
  <si>
    <t>ddx26b</t>
  </si>
  <si>
    <t>DEAD/H (Asp-Glu-Ala-Asp/His) box polypeptide 26B [Source:ZFIN;Acc:ZDB-GENE-040426-1150]</t>
  </si>
  <si>
    <t>ENSDARG00000092136</t>
  </si>
  <si>
    <t>cenpw</t>
  </si>
  <si>
    <t>centromere protein W [Source:ZFIN;Acc:ZDB-GENE-100922-200]</t>
  </si>
  <si>
    <t>ENSDARG00000062948</t>
  </si>
  <si>
    <t>wasf3b</t>
  </si>
  <si>
    <t>WAS protein family, member 3b [Source:ZFIN;Acc:ZDB-GENE-070112-1512]</t>
  </si>
  <si>
    <t>ENSDARG00000091535</t>
  </si>
  <si>
    <t>ccser2b</t>
  </si>
  <si>
    <t>coiled-coil serine-rich protein 2b [Source:ZFIN;Acc:ZDB-GENE-121214-220]</t>
  </si>
  <si>
    <t>ENSDARG00000002494</t>
  </si>
  <si>
    <t>itgb6</t>
  </si>
  <si>
    <t>integrin, beta 6 [Source:ZFIN;Acc:ZDB-GENE-100812-2]</t>
  </si>
  <si>
    <t>ENSDARG00000098273</t>
  </si>
  <si>
    <t>zbtb14</t>
  </si>
  <si>
    <t>zinc finger and BTB domain containing 14 [Source:ZFIN;Acc:ZDB-GENE-040426-2946]</t>
  </si>
  <si>
    <t>ENSDARG00000079499</t>
  </si>
  <si>
    <t>stk32a</t>
  </si>
  <si>
    <t>serine/threonine kinase 32A [Source:ZFIN;Acc:ZDB-GENE-091204-271]</t>
  </si>
  <si>
    <t>ENSDARG00000020711</t>
  </si>
  <si>
    <t>rrm2.1</t>
  </si>
  <si>
    <t>ENSDARG00000022340</t>
  </si>
  <si>
    <t>ufc1</t>
  </si>
  <si>
    <t>ubiquitin-fold modifier conjugating enzyme 1 [Source:ZFIN;Acc:ZDB-GENE-040801-268]</t>
  </si>
  <si>
    <t>ENSDARG00000031885</t>
  </si>
  <si>
    <t>psmb12</t>
  </si>
  <si>
    <t>proteasome subunit beta 12 [Source:ZFIN;Acc:ZDB-GENE-001208-1]</t>
  </si>
  <si>
    <t>ENSDARG00000011605</t>
  </si>
  <si>
    <t>dennd6b</t>
  </si>
  <si>
    <t>DENN/MADD domain containing 6B [Source:ZFIN;Acc:ZDB-GENE-030131-9382]</t>
  </si>
  <si>
    <t>ENSDARG00000078391</t>
  </si>
  <si>
    <t>fam98a</t>
  </si>
  <si>
    <t>family with sequence similarity 98, member A [Source:ZFIN;Acc:ZDB-GENE-091202-6]</t>
  </si>
  <si>
    <t>ENSDARG00000074836</t>
  </si>
  <si>
    <t>setmar</t>
  </si>
  <si>
    <t>SET domain and mariner transposase fusion gene [Source:ZFIN;Acc:ZDB-GENE-080204-61]</t>
  </si>
  <si>
    <t>ENSDARG00000037813</t>
  </si>
  <si>
    <t>zgc:113278</t>
  </si>
  <si>
    <t>zgc:113278 [Source:ZFIN;Acc:ZDB-GENE-050327-66]</t>
  </si>
  <si>
    <t>ENSDARG00000056609</t>
  </si>
  <si>
    <t>atad1b</t>
  </si>
  <si>
    <t>ATPase family, AAA domain containing 1b [Source:ZFIN;Acc:ZDB-GENE-030616-44]</t>
  </si>
  <si>
    <t>ENSDARG00000070951</t>
  </si>
  <si>
    <t>hmga1b</t>
  </si>
  <si>
    <t>high mobility group AT-hook 1b [Source:ZFIN;Acc:ZDB-GENE-061013-204]</t>
  </si>
  <si>
    <t>ENSDARG00000070473</t>
  </si>
  <si>
    <t>parp6b</t>
  </si>
  <si>
    <t>poly (ADP-ribose) polymerase family, member 6b [Source:ZFIN;Acc:ZDB-GENE-080219-1]</t>
  </si>
  <si>
    <t>ENSDARG00000102040</t>
  </si>
  <si>
    <t>linc-mir30e-2</t>
  </si>
  <si>
    <t>linc RNA mir30e-2 [Source:ZFIN;Acc:ZDB-GENE-141216-251]</t>
  </si>
  <si>
    <t>ENSDARG00000061553</t>
  </si>
  <si>
    <t>tmem246</t>
  </si>
  <si>
    <t>transmembrane protein 246 [Source:ZFIN;Acc:ZDB-GENE-061013-692]</t>
  </si>
  <si>
    <t>ENSDARG00000020289</t>
  </si>
  <si>
    <t>pif1</t>
  </si>
  <si>
    <t>PIF1 5'-to-3' DNA helicase homolog (S. cerevisiae) [Source:ZFIN;Acc:ZDB-GENE-030131-4928]</t>
  </si>
  <si>
    <t>ENSDARG00000058494</t>
  </si>
  <si>
    <t>dnaja3a</t>
  </si>
  <si>
    <t>DnaJ (Hsp40) homolog, subfamily A, member 3A [Source:ZFIN;Acc:ZDB-GENE-030131-7837]</t>
  </si>
  <si>
    <t>ENSDARG00000102277</t>
  </si>
  <si>
    <t>lama1</t>
  </si>
  <si>
    <t>laminin, alpha 1 [Source:ZFIN;Acc:ZDB-GENE-060118-1]</t>
  </si>
  <si>
    <t>ENSDARG00000099727</t>
  </si>
  <si>
    <t>ssbp2</t>
  </si>
  <si>
    <t>single-stranded DNA binding protein 2 [Source:ZFIN;Acc:ZDB-GENE-090312-197]</t>
  </si>
  <si>
    <t>ENSDARG00000008697</t>
  </si>
  <si>
    <t>epas1a</t>
  </si>
  <si>
    <t>endothelial PAS domain protein 1a [Source:ZFIN;Acc:ZDB-GENE-030131-4490]</t>
  </si>
  <si>
    <t>ENSDARG00000087306</t>
  </si>
  <si>
    <t>si:ch73-281f12.1</t>
  </si>
  <si>
    <t>si:ch73-281f12.1 [Source:ZFIN;Acc:ZDB-GENE-131127-502]</t>
  </si>
  <si>
    <t>ENSDARG00000035913</t>
  </si>
  <si>
    <t>yars</t>
  </si>
  <si>
    <t>tyrosyl-tRNA synthetase [Source:ZFIN;Acc:ZDB-GENE-030425-2]</t>
  </si>
  <si>
    <t>ENSDARG00000040072</t>
  </si>
  <si>
    <t>scpep1</t>
  </si>
  <si>
    <t>serine carboxypeptidase 1 [Source:ZFIN;Acc:ZDB-GENE-040426-890]</t>
  </si>
  <si>
    <t>ENSDARG00000096375</t>
  </si>
  <si>
    <t>march7</t>
  </si>
  <si>
    <t>march7.2</t>
  </si>
  <si>
    <t>membrane-associated ring finger (C3HC4) 7 [Source:ZFIN;Acc:ZDB-GENE-080204-121]</t>
  </si>
  <si>
    <t>ENSDARG00000004211</t>
  </si>
  <si>
    <t>ccdc106a</t>
  </si>
  <si>
    <t>coiled-coil domain containing 106a [Source:ZFIN;Acc:ZDB-GENE-050220-4]</t>
  </si>
  <si>
    <t>ENSDARG00000006524</t>
  </si>
  <si>
    <t>supt6h</t>
  </si>
  <si>
    <t>SPT6 homolog, histone chaperone [Source:ZFIN;Acc:ZDB-GENE-030131-7949]</t>
  </si>
  <si>
    <t>ENSDARG00000009673</t>
  </si>
  <si>
    <t>si:ch211-197g15.6</t>
  </si>
  <si>
    <t>si:ch211-197g15.6 [Source:ZFIN;Acc:ZDB-GENE-050208-457]</t>
  </si>
  <si>
    <t>ENSDARG00000058508</t>
  </si>
  <si>
    <t>CFAP70</t>
  </si>
  <si>
    <t>si:dkey-254e1.1 [Source:ZFIN;Acc:ZDB-GENE-091204-50]</t>
  </si>
  <si>
    <t>ENSDARG00000091946</t>
  </si>
  <si>
    <t>si:ch211-139k8.2</t>
  </si>
  <si>
    <t>si:ch211-139k8.2 [Source:ZFIN;Acc:ZDB-GENE-070912-67]</t>
  </si>
  <si>
    <t>ENSDARG00000021859</t>
  </si>
  <si>
    <t>erap1b</t>
  </si>
  <si>
    <t>endoplasmic reticulum aminopeptidase 1b [Source:ZFIN;Acc:ZDB-GENE-040426-934]</t>
  </si>
  <si>
    <t>ENSDARG00000027828</t>
  </si>
  <si>
    <t>grin1a</t>
  </si>
  <si>
    <t>glutamate receptor, ionotropic, N-methyl D-aspartate 1a [Source:ZFIN;Acc:ZDB-GENE-051202-1]</t>
  </si>
  <si>
    <t>ENSDARG00000074544</t>
  </si>
  <si>
    <t>znf1007</t>
  </si>
  <si>
    <t>zinc finger protein 1007 [Source:ZFIN;Acc:ZDB-GENE-131120-139]</t>
  </si>
  <si>
    <t>ENSDARG00000040070</t>
  </si>
  <si>
    <t>coil</t>
  </si>
  <si>
    <t>coilin p80 [Source:ZFIN;Acc:ZDB-GENE-000330-8]</t>
  </si>
  <si>
    <t>ENSDARG00000056475</t>
  </si>
  <si>
    <t>trnau1apb</t>
  </si>
  <si>
    <t>tRNA selenocysteine 1 associated protein 1b [Source:ZFIN;Acc:ZDB-GENE-040426-2386]</t>
  </si>
  <si>
    <t>ENSDARG00000104200</t>
  </si>
  <si>
    <t>si:ch211-285j16.4</t>
  </si>
  <si>
    <t>si:ch211-285j16.4 [Source:ZFIN;Acc:ZDB-GENE-141219-32]</t>
  </si>
  <si>
    <t>ENSDARG00000004574</t>
  </si>
  <si>
    <t>gtf3c2</t>
  </si>
  <si>
    <t>general transcription factor IIIC, polypeptide 2, beta [Source:ZFIN;Acc:ZDB-GENE-041014-349]</t>
  </si>
  <si>
    <t>ENSDARG00000042123</t>
  </si>
  <si>
    <t>nudt3b</t>
  </si>
  <si>
    <t>nudix (nucleoside diphosphate linked moiety X)-type motif 3b [Source:ZFIN;Acc:ZDB-GENE-041010-128]</t>
  </si>
  <si>
    <t>ENSDARG00000038805</t>
  </si>
  <si>
    <t>pigp</t>
  </si>
  <si>
    <t>phosphatidylinositol glycan anchor biosynthesis, class P [Source:ZFIN;Acc:ZDB-GENE-030131-4041]</t>
  </si>
  <si>
    <t>ENSDARG00000006818</t>
  </si>
  <si>
    <t>urod</t>
  </si>
  <si>
    <t>uroporphyrinogen decarboxylase [Source:ZFIN;Acc:ZDB-GENE-000208-18]</t>
  </si>
  <si>
    <t>ENSDARG00000094747</t>
  </si>
  <si>
    <t>si:ch211-197g15.6.1</t>
  </si>
  <si>
    <t>ENSDARG00000063297</t>
  </si>
  <si>
    <t>abcb6a</t>
  </si>
  <si>
    <t>ATP-binding cassette, sub-family B (MDR/TAP), member 6a [Source:ZFIN;Acc:ZDB-GENE-050517-9]</t>
  </si>
  <si>
    <t>ENSDARG00000022944</t>
  </si>
  <si>
    <t>ecd</t>
  </si>
  <si>
    <t>ecdysoneless homolog (Drosophila) [Source:ZFIN;Acc:ZDB-GENE-030131-6304]</t>
  </si>
  <si>
    <t>ENSDARG00000097924</t>
  </si>
  <si>
    <t>wdhd1</t>
  </si>
  <si>
    <t>ENSDARG00000102787</t>
  </si>
  <si>
    <t>fam193a</t>
  </si>
  <si>
    <t>family with sequence similarity 193, member A [Source:ZFIN;Acc:ZDB-GENE-080917-25]</t>
  </si>
  <si>
    <t>ENSDARG00000099547</t>
  </si>
  <si>
    <t>nbeal1</t>
  </si>
  <si>
    <t>neurobeachin-like 1 [Source:ZFIN;Acc:ZDB-GENE-130530-544]</t>
  </si>
  <si>
    <t>ENSDARG00000096216</t>
  </si>
  <si>
    <t>si:ch211-162i8.7</t>
  </si>
  <si>
    <t>si:ch211-162i8.7 [Source:ZFIN;Acc:ZDB-GENE-110914-84]</t>
  </si>
  <si>
    <t>ENSDARG00000105277</t>
  </si>
  <si>
    <t>cnksr3</t>
  </si>
  <si>
    <t>cnksr family member 3 [Source:ZFIN;Acc:ZDB-GENE-080204-43]</t>
  </si>
  <si>
    <t>ENSDARG00000070890</t>
  </si>
  <si>
    <t>si:dkey-155d18.1</t>
  </si>
  <si>
    <t>si:dkey-155d18.1 [Source:ZFIN;Acc:ZDB-GENE-040724-195]</t>
  </si>
  <si>
    <t>ENSDARG00000071355</t>
  </si>
  <si>
    <t>si:ch211-197g15.7</t>
  </si>
  <si>
    <t>si:ch211-197g15.7 [Source:ZFIN;Acc:ZDB-GENE-030131-4763]</t>
  </si>
  <si>
    <t>ENSDARG00000095005</t>
  </si>
  <si>
    <t>si:dkey-21e2.10</t>
  </si>
  <si>
    <t>si:dkey-21e2.10 [Source:ZFIN;Acc:ZDB-GENE-050208-778]</t>
  </si>
  <si>
    <t>ENSDARG00000103405</t>
  </si>
  <si>
    <t>znf1102</t>
  </si>
  <si>
    <t>zinc finger protein 1102 [Source:ZFIN;Acc:ZDB-GENE-071004-71]</t>
  </si>
  <si>
    <t>ENSDARG00000079271</t>
  </si>
  <si>
    <t>dcxr</t>
  </si>
  <si>
    <t>dicarbonyl/L-xylulose reductase [Source:ZFIN;Acc:ZDB-GENE-030131-7002]</t>
  </si>
  <si>
    <t>ENSDARG00000008808</t>
  </si>
  <si>
    <t>eml2</t>
  </si>
  <si>
    <t>echinoderm microtubule associated protein like 2 [Source:ZFIN;Acc:ZDB-GENE-050706-71]</t>
  </si>
  <si>
    <t>ENSDARG00000053563</t>
  </si>
  <si>
    <t>si:ch73-56d11.4</t>
  </si>
  <si>
    <t>si:ch73-56d11.4 [Source:ZFIN;Acc:ZDB-GENE-131125-46]</t>
  </si>
  <si>
    <t>ENSDARG00000041878</t>
  </si>
  <si>
    <t>rab11ba</t>
  </si>
  <si>
    <t>RAB11B, member RAS oncogene family, a [Source:ZFIN;Acc:ZDB-GENE-040426-2860]</t>
  </si>
  <si>
    <t>ENSDARG00000056509</t>
  </si>
  <si>
    <t>pdik1l</t>
  </si>
  <si>
    <t>PDLIM1 interacting kinase 1 like [Source:ZFIN;Acc:ZDB-GENE-051113-236]</t>
  </si>
  <si>
    <t>ENSDARG00000014024</t>
  </si>
  <si>
    <t>ms4a17a.4</t>
  </si>
  <si>
    <t>membrane-spanning 4-domains, subfamily A, member 17A.4 [Source:ZFIN;Acc:ZDB-GENE-070822-16]</t>
  </si>
  <si>
    <t>ENSDARG00000023082</t>
  </si>
  <si>
    <t>krt1-19d</t>
  </si>
  <si>
    <t>keratin, type 1, gene 19d [Source:ZFIN;Acc:ZDB-GENE-060316-1]</t>
  </si>
  <si>
    <t>ENSDARG00000013931</t>
  </si>
  <si>
    <t>eif3m</t>
  </si>
  <si>
    <t>eukaryotic translation initiation factor 3, subunit M [Source:ZFIN;Acc:ZDB-GENE-040426-2643]</t>
  </si>
  <si>
    <t>ENSDARG00000093713</t>
  </si>
  <si>
    <t>si:dkey-256i11.2</t>
  </si>
  <si>
    <t>si:dkey-256i11.2 [Source:ZFIN;Acc:ZDB-GENE-110913-47]</t>
  </si>
  <si>
    <t>ENSDARG00000027357</t>
  </si>
  <si>
    <t>cd2bp2</t>
  </si>
  <si>
    <t>CD2 (cytoplasmic tail) binding protein 2 [Source:ZFIN;Acc:ZDB-GENE-040426-925]</t>
  </si>
  <si>
    <t>ENSDARG00000095695</t>
  </si>
  <si>
    <t>ms4a17a.10</t>
  </si>
  <si>
    <t>membrane-spanning 4-domains, subfamily A, member 17A.10 [Source:ZFIN;Acc:ZDB-GENE-080829-3]</t>
  </si>
  <si>
    <t>ENSDARG00000087168</t>
  </si>
  <si>
    <t>si:ch211-162i8.4</t>
  </si>
  <si>
    <t>si:ch211-162i8.4.1</t>
  </si>
  <si>
    <t>si:ch211-162i8.4 [Source:ZFIN;Acc:ZDB-GENE-110914-48]</t>
  </si>
  <si>
    <t>ENSDARG00000016710</t>
  </si>
  <si>
    <t>rchy1</t>
  </si>
  <si>
    <t>ring finger and CHY zinc finger domain containing 1 [Source:ZFIN;Acc:ZDB-GENE-040801-73]</t>
  </si>
  <si>
    <t>ENSDARG00000094222</t>
  </si>
  <si>
    <t>si:ch211-162i8.5</t>
  </si>
  <si>
    <t>si:ch211-162i8.5 [Source:ZFIN;Acc:ZDB-GENE-110914-30]</t>
  </si>
  <si>
    <t>ENSDARG00000099755</t>
  </si>
  <si>
    <t>pfklb</t>
  </si>
  <si>
    <t>phosphofructokinase, liver b [Source:ZFIN;Acc:ZDB-GENE-050417-62]</t>
  </si>
  <si>
    <t>ENSDARG00000031907</t>
  </si>
  <si>
    <t>ptbp1b</t>
  </si>
  <si>
    <t>polypyrimidine tract binding protein 1b [Source:ZFIN;Acc:ZDB-GENE-030131-9796]</t>
  </si>
  <si>
    <t>ENSDARG00000045989</t>
  </si>
  <si>
    <t>arf4a.1</t>
  </si>
  <si>
    <t>ENSDARG00000087893</t>
  </si>
  <si>
    <t>rnf216</t>
  </si>
  <si>
    <t>ring finger protein 216 [Source:ZFIN;Acc:ZDB-GENE-081104-199]</t>
  </si>
  <si>
    <t>ENSDARG00000059933</t>
  </si>
  <si>
    <t>plpp3</t>
  </si>
  <si>
    <t>phospholipid phosphatase 3 [Source:ZFIN;Acc:ZDB-GENE-060526-241]</t>
  </si>
  <si>
    <t>ENSDARG00000102475</t>
  </si>
  <si>
    <t>si:dkey-3p4.1</t>
  </si>
  <si>
    <t>si:dkey-3p4.1 [Source:ZFIN;Acc:ZDB-GENE-081103-34]</t>
  </si>
  <si>
    <t>ENSDARG00000018146</t>
  </si>
  <si>
    <t>gpx1a</t>
  </si>
  <si>
    <t>glutathione peroxidase 1a [Source:ZFIN;Acc:ZDB-GENE-030410-1]</t>
  </si>
  <si>
    <t>ENSDARG00000053257</t>
  </si>
  <si>
    <t>zgc:153733</t>
  </si>
  <si>
    <t>zgc:153733 [Source:ZFIN;Acc:ZDB-GENE-060825-273]</t>
  </si>
  <si>
    <t>ENSDARG00000045308</t>
  </si>
  <si>
    <t>pola1</t>
  </si>
  <si>
    <t>polymerase (DNA directed), alpha 1 [Source:ZFIN;Acc:ZDB-GENE-030114-9]</t>
  </si>
  <si>
    <t>ENSDARG00000087939</t>
  </si>
  <si>
    <t>tex264b</t>
  </si>
  <si>
    <t>testis expressed 264b [Source:ZFIN;Acc:ZDB-GENE-131211-1]</t>
  </si>
  <si>
    <t>ENSDARG00000056600</t>
  </si>
  <si>
    <t>papss2b</t>
  </si>
  <si>
    <t>3'-phosphoadenosine 5'-phosphosulfate synthase 2b [Source:ZFIN;Acc:ZDB-GENE-010323-5]</t>
  </si>
  <si>
    <t>ENSDARG00000075362</t>
  </si>
  <si>
    <t>dfnb31a</t>
  </si>
  <si>
    <t>deafness, autosomal recessive 31a [Source:ZFIN;Acc:ZDB-GENE-091118-27]</t>
  </si>
  <si>
    <t>ENSDARG00000030964</t>
  </si>
  <si>
    <t>pde12</t>
  </si>
  <si>
    <t>phosphodiesterase 12 [Source:ZFIN;Acc:ZDB-GENE-060519-25]</t>
  </si>
  <si>
    <t>ENSDARG00000031048</t>
  </si>
  <si>
    <t>gspt1</t>
  </si>
  <si>
    <t>G1 to S phase transition 1 [Source:ZFIN;Acc:ZDB-GENE-040822-36]</t>
  </si>
  <si>
    <t>ENSDARG00000007398</t>
  </si>
  <si>
    <t>lrrk1</t>
  </si>
  <si>
    <t>leucine-rich repeat kinase 1 [Source:ZFIN;Acc:ZDB-GENE-101019-2]</t>
  </si>
  <si>
    <t>ENSDARG00000041974</t>
  </si>
  <si>
    <t>brk1</t>
  </si>
  <si>
    <t>BRICK1, SCAR/WAVE actin-nucleating complex subunit [Source:ZFIN;Acc:ZDB-GENE-040625-77]</t>
  </si>
  <si>
    <t>ENSDARG00000031261</t>
  </si>
  <si>
    <t>sap30bp</t>
  </si>
  <si>
    <t>SAP30 binding protein [Source:ZFIN;Acc:ZDB-GENE-030131-457]</t>
  </si>
  <si>
    <t>ENSDARG00000030961</t>
  </si>
  <si>
    <t>ak8</t>
  </si>
  <si>
    <t>adenylate kinase 8 [Source:ZFIN;Acc:ZDB-GENE-050522-275]</t>
  </si>
  <si>
    <t>ENSDARG00000032795</t>
  </si>
  <si>
    <t>tmem8a</t>
  </si>
  <si>
    <t>transmembrane protein 8A [Source:ZFIN;Acc:ZDB-GENE-090312-158]</t>
  </si>
  <si>
    <t>ENSDARG00000045132</t>
  </si>
  <si>
    <t>vdac1</t>
  </si>
  <si>
    <t>voltage-dependent anion channel 1 [Source:ZFIN;Acc:ZDB-GENE-030131-6514]</t>
  </si>
  <si>
    <t>ENSDARG00000074759</t>
  </si>
  <si>
    <t>ccar1</t>
  </si>
  <si>
    <t>cell division cycle and apoptosis regulator 1 [Source:ZFIN;Acc:ZDB-GENE-030131-146]</t>
  </si>
  <si>
    <t>ENSDARG00000092870</t>
  </si>
  <si>
    <t>si:dkey-100n23.4</t>
  </si>
  <si>
    <t>si:dkey-100n23.4 [Source:ZFIN;Acc:ZDB-GENE-070912-346]</t>
  </si>
  <si>
    <t>ENSDARG00000002587</t>
  </si>
  <si>
    <t>dpysl3</t>
  </si>
  <si>
    <t>dihydropyrimidinase-like 3 [Source:ZFIN;Acc:ZDB-GENE-050720-2]</t>
  </si>
  <si>
    <t>ENSDARG00000067507</t>
  </si>
  <si>
    <t>kctd8</t>
  </si>
  <si>
    <t>potassium channel tetramerization domain containing 8 [Source:ZFIN;Acc:ZDB-GENE-060117-3]</t>
  </si>
  <si>
    <t>ENSDARG00000023323</t>
  </si>
  <si>
    <t>ywhaqb</t>
  </si>
  <si>
    <t>tyrosine 3-monooxygenase/tryptophan 5-monooxygenase activation protein, theta polypeptide b [Source:ZFIN;Acc:ZDB-GENE-030131-7135]</t>
  </si>
  <si>
    <t>ENSDARG00000057108</t>
  </si>
  <si>
    <t>serpine3</t>
  </si>
  <si>
    <t>serpin peptidase inhibitor, clade E (nexin, plasminogen activator inhibitor type 1), member 3 [Source:ZFIN;Acc:ZDB-GENE-050309-223]</t>
  </si>
  <si>
    <t>ENSDARG00000093764</t>
  </si>
  <si>
    <t>si:dkey-145c18.5</t>
  </si>
  <si>
    <t>si:dkey-145c18.5 [Source:ZFIN;Acc:ZDB-GENE-081104-310]</t>
  </si>
  <si>
    <t>ENSDARG00000062148</t>
  </si>
  <si>
    <t>SENP7</t>
  </si>
  <si>
    <t>si:dkey-100n23.3 [Source:ZFIN;Acc:ZDB-GENE-070912-345]</t>
  </si>
  <si>
    <t>ENSDARG00000057913</t>
  </si>
  <si>
    <t>syt11a</t>
  </si>
  <si>
    <t>synaptotagmin XIa [Source:ZFIN;Acc:ZDB-GENE-040426-2815]</t>
  </si>
  <si>
    <t>ENSDARG00000003216</t>
  </si>
  <si>
    <t>anxa2a</t>
  </si>
  <si>
    <t>annexin A2a [Source:ZFIN;Acc:ZDB-GENE-030131-4282]</t>
  </si>
  <si>
    <t>ENSDARG00000078109</t>
  </si>
  <si>
    <t>usp12a</t>
  </si>
  <si>
    <t>ubiquitin specific peptidase 12a [Source:ZFIN;Acc:ZDB-GENE-060228-3]</t>
  </si>
  <si>
    <t>ENSDARG00000061527</t>
  </si>
  <si>
    <t>nxt2</t>
  </si>
  <si>
    <t>nuclear transport factor 2-like export factor 2 [Source:ZFIN;Acc:ZDB-GENE-050521-1]</t>
  </si>
  <si>
    <t>ENSDARG00000031890</t>
  </si>
  <si>
    <t>tcp11l1</t>
  </si>
  <si>
    <t>t-complex 11, testis-specific-like 1 [Source:ZFIN;Acc:ZDB-GENE-050327-11]</t>
  </si>
  <si>
    <t>ENSDARG00000045661</t>
  </si>
  <si>
    <t>irf7</t>
  </si>
  <si>
    <t>interferon regulatory factor 7 [Source:ZFIN;Acc:ZDB-GENE-040426-1518]</t>
  </si>
  <si>
    <t>ENSDARG00000039681</t>
  </si>
  <si>
    <t>samm50l</t>
  </si>
  <si>
    <t>sorting and assembly machinery component 50 homolog, like [Source:ZFIN;Acc:ZDB-GENE-041114-30]</t>
  </si>
  <si>
    <t>ENSDARG00000068993</t>
  </si>
  <si>
    <t>zgc:153631</t>
  </si>
  <si>
    <t>zgc:153631 [Source:ZFIN;Acc:ZDB-GENE-060825-208]</t>
  </si>
  <si>
    <t>ENSDARG00000097761</t>
  </si>
  <si>
    <t>si:dkey-181d19.3</t>
  </si>
  <si>
    <t>si:dkey-181d19.3 [Source:ZFIN;Acc:ZDB-GENE-131127-635]</t>
  </si>
  <si>
    <t>ENSDARG00000099860</t>
  </si>
  <si>
    <t>pkmb</t>
  </si>
  <si>
    <t>pyruvate kinase, muscle, b [Source:ZFIN;Acc:ZDB-GENE-040801-230]</t>
  </si>
  <si>
    <t>ENSDARG00000019581</t>
  </si>
  <si>
    <t>uso1</t>
  </si>
  <si>
    <t>USO1 vesicle transport factor [Source:ZFIN;Acc:ZDB-GENE-040426-688]</t>
  </si>
  <si>
    <t>ENSDARG00000016238</t>
  </si>
  <si>
    <t>arl6ip5b</t>
  </si>
  <si>
    <t>ADP-ribosylation factor-like 6 interacting protein 5b [Source:ZFIN;Acc:ZDB-GENE-040718-223]</t>
  </si>
  <si>
    <t>ENSDARG00000018285</t>
  </si>
  <si>
    <t>pdpk1b</t>
  </si>
  <si>
    <t>3-phosphoinositide dependent protein kinase 1b [Source:ZFIN;Acc:ZDB-GENE-040426-1820]</t>
  </si>
  <si>
    <t>ENSDARG00000026766</t>
  </si>
  <si>
    <t>bcl2l10</t>
  </si>
  <si>
    <t>BCL2-like 10 (apoptosis facilitator) [Source:ZFIN;Acc:ZDB-GENE-030825-2]</t>
  </si>
  <si>
    <t>ENSDARG00000054172</t>
  </si>
  <si>
    <t>pgrmc1</t>
  </si>
  <si>
    <t>progesterone receptor membrane component 1 [Source:ZFIN;Acc:ZDB-GENE-041114-91]</t>
  </si>
  <si>
    <t>ENSDARG00000015070</t>
  </si>
  <si>
    <t>pola2</t>
  </si>
  <si>
    <t>polymerase (DNA directed), alpha 2 [Source:ZFIN;Acc:ZDB-GENE-030131-778]</t>
  </si>
  <si>
    <t>ENSDARG00000007369</t>
  </si>
  <si>
    <t>tcf7l1b</t>
  </si>
  <si>
    <t>transcription factor 7-like 1b (T-cell specific, HMG-box) [Source:ZFIN;Acc:ZDB-GENE-991110-10]</t>
  </si>
  <si>
    <t>ENSDARG00000098668</t>
  </si>
  <si>
    <t>si:dkeyp-7b3.2</t>
  </si>
  <si>
    <t>si:dkeyp-7b3.2 [Source:ZFIN;Acc:ZDB-GENE-131127-554]</t>
  </si>
  <si>
    <t>ENSDARG00000015002</t>
  </si>
  <si>
    <t>cdh4</t>
  </si>
  <si>
    <t>cadherin 4, type 1, R-cadherin (retinal) [Source:ZFIN;Acc:ZDB-GENE-991207-1]</t>
  </si>
  <si>
    <t>ENSDARG00000035695</t>
  </si>
  <si>
    <t>scxa</t>
  </si>
  <si>
    <t>scleraxis bHLH transcription factor a [Source:ZFIN;Acc:ZDB-GENE-060503-414]</t>
  </si>
  <si>
    <t>ENSDARG00000015628</t>
  </si>
  <si>
    <t>psmd10</t>
  </si>
  <si>
    <t>proteasome 26S subunit, non-ATPase 10 [Source:ZFIN;Acc:ZDB-GENE-050112-1]</t>
  </si>
  <si>
    <t>ENSDARG00000021488</t>
  </si>
  <si>
    <t>cyth1b</t>
  </si>
  <si>
    <t>cytohesin 1b [Source:ZFIN;Acc:ZDB-GENE-030131-4311]</t>
  </si>
  <si>
    <t>ENSDARG00000094957</t>
  </si>
  <si>
    <t>si:dkey-7m11.1</t>
  </si>
  <si>
    <t>si:dkey-7m11.1 [Source:ZFIN;Acc:ZDB-GENE-090313-345]</t>
  </si>
  <si>
    <t>ENSDARG00000019367</t>
  </si>
  <si>
    <t>tgfb3</t>
  </si>
  <si>
    <t>transforming growth factor, beta 3 [Source:ZFIN;Acc:ZDB-GENE-030723-4]</t>
  </si>
  <si>
    <t>ENSDARG00000063627</t>
  </si>
  <si>
    <t>bop1</t>
  </si>
  <si>
    <t>block of proliferation 1 [Source:ZFIN;Acc:ZDB-GENE-030219-109]</t>
  </si>
  <si>
    <t>ENSDARG00000056307</t>
  </si>
  <si>
    <t>znf706</t>
  </si>
  <si>
    <t>zinc finger protein 706 [Source:ZFIN;Acc:ZDB-GENE-040718-454]</t>
  </si>
  <si>
    <t>ENSDARG00000019195</t>
  </si>
  <si>
    <t>vps9d1</t>
  </si>
  <si>
    <t>VPS9 domain containing 1 [Source:ZFIN;Acc:ZDB-GENE-050306-57]</t>
  </si>
  <si>
    <t>ENSDARG00000045878</t>
  </si>
  <si>
    <t>nudt4b</t>
  </si>
  <si>
    <t>nudix (nucleoside diphosphate linked moiety X)-type motif 4b [Source:ZFIN;Acc:ZDB-GENE-040912-79]</t>
  </si>
  <si>
    <t>ENSDARG00000013117</t>
  </si>
  <si>
    <t>hiat1a</t>
  </si>
  <si>
    <t>hippocampus abundant transcript 1a [Source:ZFIN;Acc:ZDB-GENE-030131-834]</t>
  </si>
  <si>
    <t>ENSDARG00000099256</t>
  </si>
  <si>
    <t>pum1</t>
  </si>
  <si>
    <t>pumilio RNA-binding family member 1 [Source:ZFIN;Acc:ZDB-GENE-030131-2074]</t>
  </si>
  <si>
    <t>ENSDARG00000004078</t>
  </si>
  <si>
    <t>acsl4a</t>
  </si>
  <si>
    <t>acyl-CoA synthetase long-chain family member 4a [Source:ZFIN;Acc:ZDB-GENE-040426-1565]</t>
  </si>
  <si>
    <t>ENSDARG00000086327</t>
  </si>
  <si>
    <t>srrm4</t>
  </si>
  <si>
    <t>serine/arginine repetitive matrix 4 [Source:ZFIN;Acc:ZDB-GENE-050208-34]</t>
  </si>
  <si>
    <t>ENSDARG00000015057</t>
  </si>
  <si>
    <t>ube2d4</t>
  </si>
  <si>
    <t>ubiquitin-conjugating enzyme E2D 4 (putative) [Source:ZFIN;Acc:ZDB-GENE-070424-86]</t>
  </si>
  <si>
    <t>ENSDARG00000009830</t>
  </si>
  <si>
    <t>hdlbpa</t>
  </si>
  <si>
    <t>high density lipoprotein binding protein a [Source:ZFIN;Acc:ZDB-GENE-030131-2032]</t>
  </si>
  <si>
    <t>ENSDARG00000057590</t>
  </si>
  <si>
    <t>si:ch1073-396h14.1</t>
  </si>
  <si>
    <t>si:ch1073-396h14.1 [Source:ZFIN;Acc:ZDB-GENE-070705-6]</t>
  </si>
  <si>
    <t>ENSDARG00000098250</t>
  </si>
  <si>
    <t>cox7b</t>
  </si>
  <si>
    <t>cytochrome c oxidase subunit VIIb [Source:ZFIN;Acc:ZDB-GENE-030131-6602]</t>
  </si>
  <si>
    <t>ENSDARG00000076933</t>
  </si>
  <si>
    <t>aldh1a3</t>
  </si>
  <si>
    <t>aldehyde dehydrogenase 1 family, member A3 [Source:ZFIN;Acc:ZDB-GENE-061128-2]</t>
  </si>
  <si>
    <t>ENSDARG00000016143</t>
  </si>
  <si>
    <t>xiap</t>
  </si>
  <si>
    <t>X-linked inhibitor of apoptosis [Source:ZFIN;Acc:ZDB-GENE-030825-7]</t>
  </si>
  <si>
    <t>ENSDARG00000052680</t>
  </si>
  <si>
    <t>si:dkey-182g1.2</t>
  </si>
  <si>
    <t>si:dkey-182g1.2 [Source:ZFIN;Acc:ZDB-GENE-060503-619]</t>
  </si>
  <si>
    <t>ENSDARG00000038668</t>
  </si>
  <si>
    <t>gbp1</t>
  </si>
  <si>
    <t>guanylate binding protein 1 [Source:ZFIN;Acc:ZDB-GENE-040718-32]</t>
  </si>
  <si>
    <t>ENSDARG00000069549</t>
  </si>
  <si>
    <t>zgc:162396</t>
  </si>
  <si>
    <t>zgc:162396 [Source:ZFIN;Acc:ZDB-GENE-030131-1190]</t>
  </si>
  <si>
    <t>ENSDARG00000054856</t>
  </si>
  <si>
    <t>METTL12</t>
  </si>
  <si>
    <t>zgc:113305 [Source:ZFIN;Acc:ZDB-GENE-050522-31]</t>
  </si>
  <si>
    <t>ENSDARG00000006797</t>
  </si>
  <si>
    <t>nt5dc1</t>
  </si>
  <si>
    <t>5'-nucleotidase domain containing 1 [Source:ZFIN;Acc:ZDB-GENE-030131-8274]</t>
  </si>
  <si>
    <t>ENSDARG00000014806</t>
  </si>
  <si>
    <t>hacd2</t>
  </si>
  <si>
    <t>3-hydroxyacyl-CoA dehydratase 2 [Source:ZFIN;Acc:ZDB-GENE-030131-6053]</t>
  </si>
  <si>
    <t>ENSDARG00000013582</t>
  </si>
  <si>
    <t>csnk2a2b</t>
  </si>
  <si>
    <t>casein kinase 2, alpha prime polypeptide b [Source:ZFIN;Acc:ZDB-GENE-090406-4]</t>
  </si>
  <si>
    <t>ENSDARG00000002167</t>
  </si>
  <si>
    <t>cacnb1</t>
  </si>
  <si>
    <t>calcium channel, voltage-dependent, beta 1 subunit [Source:ZFIN;Acc:ZDB-GENE-040718-399]</t>
  </si>
  <si>
    <t>ENSDARG00000011462</t>
  </si>
  <si>
    <t>otub1b</t>
  </si>
  <si>
    <t>OTU deubiquitinase, ubiquitin aldehyde binding 1b [Source:ZFIN;Acc:ZDB-GENE-040718-204]</t>
  </si>
  <si>
    <t>ENSDARG00000102599</t>
  </si>
  <si>
    <t>TGOLN2</t>
  </si>
  <si>
    <t>si:ch1073-392o20.2 [Source:ZFIN;Acc:ZDB-GENE-091204-431]</t>
  </si>
  <si>
    <t>ENSDARG00000061023</t>
  </si>
  <si>
    <t>BORCS6</t>
  </si>
  <si>
    <t>si:dkey-72l14.4 [Source:ZFIN;Acc:ZDB-GENE-060531-151]</t>
  </si>
  <si>
    <t>ENSDARG00000028731</t>
  </si>
  <si>
    <t>stat4</t>
  </si>
  <si>
    <t>signal transducer and activator of transcription 4 [Source:ZFIN;Acc:ZDB-GENE-030616-264]</t>
  </si>
  <si>
    <t>ENSDARG00000091269</t>
  </si>
  <si>
    <t>si:ch73-27e22.8</t>
  </si>
  <si>
    <t>si:ch73-27e22.8.1</t>
  </si>
  <si>
    <t>si:ch73-27e22.8 [Source:ZFIN;Acc:ZDB-GENE-100917-4]</t>
  </si>
  <si>
    <t>ENSDARG00000057556</t>
  </si>
  <si>
    <t>rpl17</t>
  </si>
  <si>
    <t>ribosomal protein L17 [Source:ZFIN;Acc:ZDB-GENE-030131-8585]</t>
  </si>
  <si>
    <t>ENSDARG00000004724</t>
  </si>
  <si>
    <t>tcea3</t>
  </si>
  <si>
    <t>transcription elongation factor A (SII), 3 [Source:ZFIN;Acc:ZDB-GENE-040426-1860]</t>
  </si>
  <si>
    <t>ENSDARG00000102819</t>
  </si>
  <si>
    <t>znf1025</t>
  </si>
  <si>
    <t>zinc finger protein 1025 [Source:ZFIN;Acc:ZDB-GENE-110913-117]</t>
  </si>
  <si>
    <t>ENSDARG00000043701</t>
  </si>
  <si>
    <t>gpd1a</t>
  </si>
  <si>
    <t>glycerol-3-phosphate dehydrogenase 1a [Source:ZFIN;Acc:ZDB-GENE-050417-209]</t>
  </si>
  <si>
    <t>ENSDARG00000056092</t>
  </si>
  <si>
    <t>si:dkey-12h9.6</t>
  </si>
  <si>
    <t>si:dkey-12h9.6 [Source:ZFIN;Acc:ZDB-GENE-041001-145]</t>
  </si>
  <si>
    <t>ENSDARG00000098520</t>
  </si>
  <si>
    <t>SEC14L1</t>
  </si>
  <si>
    <t>si:dkey-237i9.1 [Source:ZFIN;Acc:ZDB-GENE-060503-441]</t>
  </si>
  <si>
    <t>ENSDARG00000041703</t>
  </si>
  <si>
    <t>rrbp1b</t>
  </si>
  <si>
    <t>ribosome binding protein 1 homolog b (dog) [Source:ZFIN;Acc:ZDB-GENE-030429-36]</t>
  </si>
  <si>
    <t>ENSDARG00000063309</t>
  </si>
  <si>
    <t>tjp2a</t>
  </si>
  <si>
    <t>tight junction protein 2a (zona occludens 2) [Source:ZFIN;Acc:ZDB-GENE-070925-2]</t>
  </si>
  <si>
    <t>ENSDARG00000017180</t>
  </si>
  <si>
    <t>npc1</t>
  </si>
  <si>
    <t>Niemann-Pick disease, type C1 [Source:ZFIN;Acc:ZDB-GENE-030131-3161]</t>
  </si>
  <si>
    <t>ENSDARG00000094077</t>
  </si>
  <si>
    <t>si:dkey-21e2.16</t>
  </si>
  <si>
    <t>si:dkey-21e2.16 [Source:ZFIN;Acc:ZDB-GENE-050208-698]</t>
  </si>
  <si>
    <t>ENSDARG00000030694</t>
  </si>
  <si>
    <t>atp6v1e1b</t>
  </si>
  <si>
    <t>ATPase, H+ transporting, lysosomal, V1 subunit E1b [Source:ZFIN;Acc:ZDB-GENE-020419-11]</t>
  </si>
  <si>
    <t>ENSDARG00000086906</t>
  </si>
  <si>
    <t>stambpb</t>
  </si>
  <si>
    <t>STAM binding protein b [Source:ZFIN;Acc:ZDB-GENE-051127-31]</t>
  </si>
  <si>
    <t>ENSDARG00000101807</t>
  </si>
  <si>
    <t>si:ch211-120c15.3</t>
  </si>
  <si>
    <t>si:ch211-120c15.3 [Source:ZFIN;Acc:ZDB-GENE-110913-99]</t>
  </si>
  <si>
    <t>ENSDARG00000016721</t>
  </si>
  <si>
    <t>sdha</t>
  </si>
  <si>
    <t>succinate dehydrogenase complex, subunit A, flavoprotein (Fp) [Source:ZFIN;Acc:ZDB-GENE-040426-874]</t>
  </si>
  <si>
    <t>ENSDARG00000086746</t>
  </si>
  <si>
    <t>si:ch73-209e20.3</t>
  </si>
  <si>
    <t>si:ch73-209e20.3 [Source:ZFIN;Acc:ZDB-GENE-120215-75]</t>
  </si>
  <si>
    <t>ENSDARG00000089529</t>
  </si>
  <si>
    <t>desi1b</t>
  </si>
  <si>
    <t>desumoylating isopeptidase 1b [Source:ZFIN;Acc:ZDB-GENE-040426-936]</t>
  </si>
  <si>
    <t>ENSDARG00000093538</t>
  </si>
  <si>
    <t>si:dkey-182g1.5</t>
  </si>
  <si>
    <t>si:dkey-182g1.5 [Source:ZFIN;Acc:ZDB-GENE-060503-902]</t>
  </si>
  <si>
    <t>ENSDARG00000091859</t>
  </si>
  <si>
    <t>si:ch73-233m11.2</t>
  </si>
  <si>
    <t>si:ch73-233m11.2 [Source:ZFIN;Acc:ZDB-GENE-081104-266]</t>
  </si>
  <si>
    <t>ENSDARG00000015158</t>
  </si>
  <si>
    <t>slc50a1</t>
  </si>
  <si>
    <t>solute carrier family 50 (sugar efflux transporter), member 1 [Source:ZFIN;Acc:ZDB-GENE-050220-11]</t>
  </si>
  <si>
    <t>ENSDARG00000090268</t>
  </si>
  <si>
    <t>krtt1c19e</t>
  </si>
  <si>
    <t>keratin type 1 c19e [Source:ZFIN;Acc:ZDB-GENE-050506-95]</t>
  </si>
  <si>
    <t>ENSDARG00000061223</t>
  </si>
  <si>
    <t>ogfrl1</t>
  </si>
  <si>
    <t>opioid growth factor receptor-like 1 [Source:ZFIN;Acc:ZDB-GENE-061207-32]</t>
  </si>
  <si>
    <t>ENSDARG00000017844</t>
  </si>
  <si>
    <t>copz1</t>
  </si>
  <si>
    <t>coatomer protein complex, subunit zeta 1 [Source:ZFIN;Acc:ZDB-GENE-000406-6]</t>
  </si>
  <si>
    <t>ENSDARG00000044803</t>
  </si>
  <si>
    <t>dhrs3b</t>
  </si>
  <si>
    <t>dehydrogenase/reductase (SDR family) member 3b [Source:ZFIN;Acc:ZDB-GENE-041010-172]</t>
  </si>
  <si>
    <t>ENSDARG00000092788</t>
  </si>
  <si>
    <t>si:dkey-21e2.15</t>
  </si>
  <si>
    <t>si:dkey-21e2.15 [Source:ZFIN;Acc:ZDB-GENE-050208-780]</t>
  </si>
  <si>
    <t>ENSDARG00000035285</t>
  </si>
  <si>
    <t>ncor1</t>
  </si>
  <si>
    <t>nuclear receptor corepressor 1 [Source:ZFIN;Acc:ZDB-GENE-040426-993]</t>
  </si>
  <si>
    <t>ENSDARG00000075264</t>
  </si>
  <si>
    <t>FAM124A</t>
  </si>
  <si>
    <t>si:dkeyp-74a11.1 [Source:ZFIN;Acc:ZDB-GENE-081104-474]</t>
  </si>
  <si>
    <t>ENSDARG00000005318</t>
  </si>
  <si>
    <t>stam2</t>
  </si>
  <si>
    <t>signal transducing adaptor molecule (SH3 domain and ITAM motif) 2 [Source:ZFIN;Acc:ZDB-GENE-041114-64]</t>
  </si>
  <si>
    <t>ENSDARG00000018153</t>
  </si>
  <si>
    <t>nt5c1ba</t>
  </si>
  <si>
    <t>5'-nucleotidase, cytosolic IB a [Source:ZFIN;Acc:ZDB-GENE-070424-103]</t>
  </si>
  <si>
    <t>ENSDARG00000102339</t>
  </si>
  <si>
    <t>si:dkey-5n7.2</t>
  </si>
  <si>
    <t>si:dkey-5n7.2 [Source:ZFIN;Acc:ZDB-GENE-050420-254]</t>
  </si>
  <si>
    <t>ENSDARG00000040730</t>
  </si>
  <si>
    <t>wdr75</t>
  </si>
  <si>
    <t>WD repeat domain 75 [Source:ZFIN;Acc:ZDB-GENE-030616-5]</t>
  </si>
  <si>
    <t>ENSDARG00000073961</t>
  </si>
  <si>
    <t>CYSTM1</t>
  </si>
  <si>
    <t>si:ch211-160j14.2 [Source:ZFIN;Acc:ZDB-GENE-091118-113]</t>
  </si>
  <si>
    <t>ENSDARG00000075504</t>
  </si>
  <si>
    <t>DTX3L</t>
  </si>
  <si>
    <t>si:dkey-40c23.2 [Source:ZFIN;Acc:ZDB-GENE-030131-5958]</t>
  </si>
  <si>
    <t>ENSDARG00000097564</t>
  </si>
  <si>
    <t>si:ch73-190f9.4</t>
  </si>
  <si>
    <t>si:ch73-190f9.4 [Source:ZFIN;Acc:ZDB-GENE-131122-94]</t>
  </si>
  <si>
    <t>ENSDARG00000094840</t>
  </si>
  <si>
    <t>si:dkey-21e2.13</t>
  </si>
  <si>
    <t>si:dkey-21e2.13 [Source:ZFIN;Acc:ZDB-GENE-050208-379]</t>
  </si>
  <si>
    <t>ENSDARG00000033418</t>
  </si>
  <si>
    <t>gpatch1</t>
  </si>
  <si>
    <t>G patch domain containing 1 [Source:ZFIN;Acc:ZDB-GENE-040914-65]</t>
  </si>
  <si>
    <t>ENSDARG00000099294</t>
  </si>
  <si>
    <t>FKBP15</t>
  </si>
  <si>
    <t>FKBP15.1</t>
  </si>
  <si>
    <t>si:ch73-199g24.2 [Source:ZFIN;Acc:ZDB-GENE-081105-181]</t>
  </si>
  <si>
    <t>ENSDARG00000026348</t>
  </si>
  <si>
    <t>csad</t>
  </si>
  <si>
    <t>cysteine sulfinic acid decarboxylase [Source:ZFIN;Acc:ZDB-GENE-041114-36]</t>
  </si>
  <si>
    <t>ENSDARG00000034897</t>
  </si>
  <si>
    <t>rps10</t>
  </si>
  <si>
    <t>ribosomal protein S10 [Source:ZFIN;Acc:ZDB-GENE-040426-1481]</t>
  </si>
  <si>
    <t>ENSDARG00000052641</t>
  </si>
  <si>
    <t>kpna3</t>
  </si>
  <si>
    <t>karyopherin alpha 3 (importin alpha 4) [Source:ZFIN;Acc:ZDB-GENE-030616-541]</t>
  </si>
  <si>
    <t>ENSDARG00000005451</t>
  </si>
  <si>
    <t>gdi2</t>
  </si>
  <si>
    <t>GDP dissociation inhibitor 2 [Source:ZFIN;Acc:ZDB-GENE-030131-2485]</t>
  </si>
  <si>
    <t>ENSDARG00000016357</t>
  </si>
  <si>
    <t>fmo5</t>
  </si>
  <si>
    <t>flavin containing monooxygenase 5 [Source:ZFIN;Acc:ZDB-GENE-030131-6606]</t>
  </si>
  <si>
    <t>ENSDARG00000060500</t>
  </si>
  <si>
    <t>l2hgdh</t>
  </si>
  <si>
    <t>L-2-hydroxyglutarate dehydrogenase [Source:ZFIN;Acc:ZDB-GENE-090319-6]</t>
  </si>
  <si>
    <t>ENSDARG00000045804</t>
  </si>
  <si>
    <t>abhd2b</t>
  </si>
  <si>
    <t>abhydrolase domain containing 2b [Source:ZFIN;Acc:ZDB-GENE-061027-74]</t>
  </si>
  <si>
    <t>ENSDARG00000094518</t>
  </si>
  <si>
    <t>si:ch211-125e6.8</t>
  </si>
  <si>
    <t>si:ch211-125e6.8 [Source:ZFIN;Acc:ZDB-GENE-070912-42]</t>
  </si>
  <si>
    <t>ENSDARG00000093745</t>
  </si>
  <si>
    <t>htr1aa</t>
  </si>
  <si>
    <t>5-hydroxytryptamine (serotonin) receptor 1A a [Source:ZFIN;Acc:ZDB-GENE-071203-1]</t>
  </si>
  <si>
    <t>ENSDARG00000103318</t>
  </si>
  <si>
    <t>mrpl3</t>
  </si>
  <si>
    <t>mitochondrial ribosomal protein L3 [Source:ZFIN;Acc:ZDB-GENE-030131-8227]</t>
  </si>
  <si>
    <t>ENSDARG00000045172</t>
  </si>
  <si>
    <t>minpp1b</t>
  </si>
  <si>
    <t>multiple inositol-polyphosphate phosphatase 1b [Source:ZFIN;Acc:ZDB-GENE-040426-888]</t>
  </si>
  <si>
    <t>ENSDARG00000004415</t>
  </si>
  <si>
    <t>tcf7l2</t>
  </si>
  <si>
    <t>transcription factor 7-like 2 (T-cell specific, HMG-box) [Source:ZFIN;Acc:ZDB-GENE-991110-8]</t>
  </si>
  <si>
    <t>ENSDARG00000038566</t>
  </si>
  <si>
    <t>gnptg</t>
  </si>
  <si>
    <t>N-acetylglucosamine-1-phosphate transferase, gamma subunit [Source:ZFIN;Acc:ZDB-GENE-040625-18]</t>
  </si>
  <si>
    <t>ENSDARG00000099985</t>
  </si>
  <si>
    <t>cyr61l2</t>
  </si>
  <si>
    <t>cysteine-rich, angiogenic inducer, 61 like 2 [Source:ZFIN;Acc:ZDB-GENE-060404-5]</t>
  </si>
  <si>
    <t>ENSDARG00000063580</t>
  </si>
  <si>
    <t>si:ch1073-219n12.1</t>
  </si>
  <si>
    <t>si:ch1073-219n12.1 [Source:ZFIN;Acc:ZDB-GENE-091204-412]</t>
  </si>
  <si>
    <t>ENSDARG00000103980</t>
  </si>
  <si>
    <t>ets2</t>
  </si>
  <si>
    <t>v-ets avian erythroblastosis virus E26 oncogene homolog 2 [Source:ZFIN;Acc:ZDB-GENE-050522-552]</t>
  </si>
  <si>
    <t>ENSDARG00000061174</t>
  </si>
  <si>
    <t>znf740b</t>
  </si>
  <si>
    <t>zinc finger protein 740b [Source:ZFIN;Acc:ZDB-GENE-060929-660]</t>
  </si>
  <si>
    <t>ENSDARG00000070844</t>
  </si>
  <si>
    <t>gamt</t>
  </si>
  <si>
    <t>guanidinoacetate N-methyltransferase [Source:ZFIN;Acc:ZDB-GENE-051030-97]</t>
  </si>
  <si>
    <t>ENSDARG00000039328</t>
  </si>
  <si>
    <t>ccndbp1</t>
  </si>
  <si>
    <t>cyclin D-type binding-protein 1 [Source:ZFIN;Acc:ZDB-GENE-070410-17]</t>
  </si>
  <si>
    <t>ENSDARG00000038567</t>
  </si>
  <si>
    <t>tsr3</t>
  </si>
  <si>
    <t>TSR3, 20S rRNA accumulation, homolog (S. cerevisiae) [Source:ZFIN;Acc:ZDB-GENE-040718-63]</t>
  </si>
  <si>
    <t>ENSDARG00000039299</t>
  </si>
  <si>
    <t>rdh14a</t>
  </si>
  <si>
    <t>retinol dehydrogenase 14a (all-trans/9-cis/11-cis) [Source:ZFIN;Acc:ZDB-GENE-041010-124]</t>
  </si>
  <si>
    <t>ENSDARG00000091847</t>
  </si>
  <si>
    <t>si:ch211-181d7.1</t>
  </si>
  <si>
    <t>si:ch211-181d7.1.1</t>
  </si>
  <si>
    <t>si:ch211-181d7.1 [Source:ZFIN;Acc:ZDB-GENE-121214-14]</t>
  </si>
  <si>
    <t>ENSDARG00000099694</t>
  </si>
  <si>
    <t>neurl1b</t>
  </si>
  <si>
    <t>neuralized E3 ubiquitin protein ligase 1B [Source:ZFIN;Acc:ZDB-GENE-050522-102]</t>
  </si>
  <si>
    <t>ENSDARG00000090478</t>
  </si>
  <si>
    <t>tmem238b</t>
  </si>
  <si>
    <t>transmembrane protein 238b [Source:ZFIN;Acc:ZDB-GENE-160113-39]</t>
  </si>
  <si>
    <t>ENSDARG00000098051</t>
  </si>
  <si>
    <t>opn6b</t>
  </si>
  <si>
    <t>opsin 6, group member b [Source:ZFIN;Acc:ZDB-GENE-030616-402]</t>
  </si>
  <si>
    <t>ENSDARG00000079542</t>
  </si>
  <si>
    <t>stard13a</t>
  </si>
  <si>
    <t>StAR-related lipid transfer (START) domain containing 13a [Source:ZFIN;Acc:ZDB-GENE-091116-18]</t>
  </si>
  <si>
    <t>ENSDARG00000008936</t>
  </si>
  <si>
    <t>sec11a</t>
  </si>
  <si>
    <t>SEC11 homolog A, signal peptidase complex subunit [Source:ZFIN;Acc:ZDB-GENE-040718-227]</t>
  </si>
  <si>
    <t>ENSDARG00000006494</t>
  </si>
  <si>
    <t>asb7</t>
  </si>
  <si>
    <t>ankyrin repeat and SOCS box containing 7 [Source:ZFIN;Acc:ZDB-GENE-040426-2429]</t>
  </si>
  <si>
    <t>ENSDARG00000068192</t>
  </si>
  <si>
    <t>taf4a</t>
  </si>
  <si>
    <t>TAF4A RNA polymerase II, TATA box binding protein (TBP)-associated factor [Source:ZFIN;Acc:ZDB-GENE-131127-579]</t>
  </si>
  <si>
    <t>ENSDARG00000076060</t>
  </si>
  <si>
    <t>diaph2</t>
  </si>
  <si>
    <t>diaphanous-related formin 2 [Source:ZFIN;Acc:ZDB-GENE-090115-1]</t>
  </si>
  <si>
    <t>ENSDARG00000075509</t>
  </si>
  <si>
    <t>phf12b</t>
  </si>
  <si>
    <t>PHD finger protein 12b [Source:ZFIN;Acc:ZDB-GENE-110628-2]</t>
  </si>
  <si>
    <t>ENSDARG00000098591</t>
  </si>
  <si>
    <t>tubb2b</t>
  </si>
  <si>
    <t>tubulin, beta 2b [Source:ZFIN;Acc:ZDB-GENE-030131-722]</t>
  </si>
  <si>
    <t>ENSDARG00000015199</t>
  </si>
  <si>
    <t>cblb</t>
  </si>
  <si>
    <t>Cbl proto-oncogene B, E3 ubiquitin protein ligase [Source:ZFIN;Acc:ZDB-GENE-030616-417]</t>
  </si>
  <si>
    <t>ENSDARG00000031302</t>
  </si>
  <si>
    <t>smap1</t>
  </si>
  <si>
    <t>small ArfGAP 1 [Source:ZFIN;Acc:ZDB-GENE-060920-2]</t>
  </si>
  <si>
    <t>ENSDARG00000018266</t>
  </si>
  <si>
    <t>mthfd1a</t>
  </si>
  <si>
    <t>methylenetetrahydrofolate dehydrogenase (NADP+ dependent) 1a, methenyltetrahydrofolate cyclohydrolase, formyltetrahydrofolate synthetase [Source:ZFIN;Acc:ZDB-GENE-041001-127]</t>
  </si>
  <si>
    <t>ENSDARG00000033916</t>
  </si>
  <si>
    <t>si:ch211-243j20.2</t>
  </si>
  <si>
    <t>si:ch211-243j20.2 [Source:ZFIN;Acc:ZDB-GENE-041014-345]</t>
  </si>
  <si>
    <t>ENSDARG00000020606</t>
  </si>
  <si>
    <t>nfe2</t>
  </si>
  <si>
    <t>nuclear factor, erythroid 2 [Source:ZFIN;Acc:ZDB-GENE-030124-1]</t>
  </si>
  <si>
    <t>ENSDARG00000093143</t>
  </si>
  <si>
    <t>znf1010</t>
  </si>
  <si>
    <t>zinc finger protein 1010 [Source:ZFIN;Acc:ZDB-GENE-131120-161]</t>
  </si>
  <si>
    <t>ENSDARG00000099160</t>
  </si>
  <si>
    <t>si:dkey-10g2.5</t>
  </si>
  <si>
    <t>si:dkey-10g2.5 [Source:ZFIN;Acc:ZDB-GENE-060531-69]</t>
  </si>
  <si>
    <t>ENSDARG00000014050</t>
  </si>
  <si>
    <t>ngfb</t>
  </si>
  <si>
    <t>nerve growth factor b (beta polypeptide) [Source:ZFIN;Acc:ZDB-GENE-000629-2]</t>
  </si>
  <si>
    <t>ENSDARG00000077631</t>
  </si>
  <si>
    <t>si:ch73-353p21.5</t>
  </si>
  <si>
    <t>si:ch73-353p21.5 [Source:ZFIN;Acc:ZDB-GENE-091204-446]</t>
  </si>
  <si>
    <t>ENSDARG00000079328</t>
  </si>
  <si>
    <t>PGBD4.2</t>
  </si>
  <si>
    <t>si:ch73-353p21.4 [Source:ZFIN;Acc:ZDB-GENE-091204-417]</t>
  </si>
  <si>
    <t>ENSDARG00000069543</t>
  </si>
  <si>
    <t>galt</t>
  </si>
  <si>
    <t>galactose-1-phosphate uridylyltransferase [Source:ZFIN;Acc:ZDB-GENE-070112-172]</t>
  </si>
  <si>
    <t>ENSDARG00000061187</t>
  </si>
  <si>
    <t>cbx5</t>
  </si>
  <si>
    <t>chromobox homolog 5 (HP1 alpha homolog, Drosophila) [Source:ZFIN;Acc:ZDB-GENE-030131-5553]</t>
  </si>
  <si>
    <t>ENSDARG00000004363</t>
  </si>
  <si>
    <t>lhfp</t>
  </si>
  <si>
    <t>lipoma HMGIC fusion partner [Source:ZFIN;Acc:ZDB-GENE-041212-82]</t>
  </si>
  <si>
    <t>ENSDARG00000075380</t>
  </si>
  <si>
    <t>kri1</t>
  </si>
  <si>
    <t>KRI1 homolog [Source:ZFIN;Acc:ZDB-GENE-040915-3]</t>
  </si>
  <si>
    <t>ENSDARG00000075382</t>
  </si>
  <si>
    <t>slc9a6b</t>
  </si>
  <si>
    <t>solute carrier family 9, subfamily A (NHE6, cation proton antiporter 6), member 6b [Source:ZFIN;Acc:ZDB-GENE-080226-2]</t>
  </si>
  <si>
    <t>ENSDARG00000058022</t>
  </si>
  <si>
    <t>ormdl2</t>
  </si>
  <si>
    <t>ORMDL sphingolipid biosynthesis regulator 2 [Source:ZFIN;Acc:ZDB-GENE-060331-113]</t>
  </si>
  <si>
    <t>ENSDARG00000097694</t>
  </si>
  <si>
    <t>si:dkey-193d10.9</t>
  </si>
  <si>
    <t>si:dkey-193d10.9 [Source:ZFIN;Acc:ZDB-GENE-131122-24]</t>
  </si>
  <si>
    <t>ENSDARG00000069548</t>
  </si>
  <si>
    <t>zgc:162780</t>
  </si>
  <si>
    <t>zgc:162780 [Source:ZFIN;Acc:ZDB-GENE-070410-92]</t>
  </si>
  <si>
    <t>ENSDARG00000059794</t>
  </si>
  <si>
    <t>kdm6al</t>
  </si>
  <si>
    <t>lysine (K)-specific demethylase 6A, like [Source:ZFIN;Acc:ZDB-GENE-070112-2002]</t>
  </si>
  <si>
    <t>ENSDARG00000102778</t>
  </si>
  <si>
    <t>fgf17</t>
  </si>
  <si>
    <t>fibroblast growth factor 17 [Source:ZFIN;Acc:ZDB-GENE-040621-1]</t>
  </si>
  <si>
    <t>ENSDARG00000093640</t>
  </si>
  <si>
    <t>ugt5a2</t>
  </si>
  <si>
    <t>UDP glucuronosyltransferase 5 family, polypeptide A2 [Source:ZFIN;Acc:ZDB-GENE-061103-373]</t>
  </si>
  <si>
    <t>ENSDARG00000071152</t>
  </si>
  <si>
    <t>pick1</t>
  </si>
  <si>
    <t>protein interacting with prkca 1 [Source:ZFIN;Acc:ZDB-GENE-061013-283]</t>
  </si>
  <si>
    <t>ENSDARG00000053468</t>
  </si>
  <si>
    <t>adam10a</t>
  </si>
  <si>
    <t>ADAM metallopeptidase domain 10a [Source:ZFIN;Acc:ZDB-GENE-040917-2]</t>
  </si>
  <si>
    <t>ENSDARG00000028899</t>
  </si>
  <si>
    <t>tekt4</t>
  </si>
  <si>
    <t>tektin 4 [Source:ZFIN;Acc:ZDB-GENE-070410-98]</t>
  </si>
  <si>
    <t>ENSDARG00000015860</t>
  </si>
  <si>
    <t>mtmr9</t>
  </si>
  <si>
    <t>myotubularin related protein 9 [Source:ZFIN;Acc:ZDB-GENE-040724-223]</t>
  </si>
  <si>
    <t>ENSDARG00000008014</t>
  </si>
  <si>
    <t>nudt17</t>
  </si>
  <si>
    <t>nudix (nucleoside diphosphate linked moiety X)-type motif 17 [Source:ZFIN;Acc:ZDB-GENE-050913-50]</t>
  </si>
  <si>
    <t>ENSDARG00000013415</t>
  </si>
  <si>
    <t>lmna</t>
  </si>
  <si>
    <t>lamin A [Source:ZFIN;Acc:ZDB-GENE-020424-3]</t>
  </si>
  <si>
    <t>ENSDARG00000059015</t>
  </si>
  <si>
    <t>lim2.2</t>
  </si>
  <si>
    <t>lens intrinsic membrane protein 2.2 [Source:ZFIN;Acc:ZDB-GENE-060124-1]</t>
  </si>
  <si>
    <t>ENSDARG00000016479</t>
  </si>
  <si>
    <t>ugt5a1</t>
  </si>
  <si>
    <t>UDP glucuronosyltransferase 5 family, polypeptide A1 [Source:ZFIN;Acc:ZDB-GENE-051120-60]</t>
  </si>
  <si>
    <t>ENSDARG00000087229</t>
  </si>
  <si>
    <t>exoc7</t>
  </si>
  <si>
    <t>exocyst complex component 7 [Source:ZFIN;Acc:ZDB-GENE-040426-2752]</t>
  </si>
  <si>
    <t>ENSDARG00000021838</t>
  </si>
  <si>
    <t>rps23</t>
  </si>
  <si>
    <t>ribosomal protein S23 [Source:ZFIN;Acc:ZDB-GENE-080220-50]</t>
  </si>
  <si>
    <t>ENSDARG00000014673</t>
  </si>
  <si>
    <t>fzd9b</t>
  </si>
  <si>
    <t>frizzled class receptor 9b [Source:ZFIN;Acc:ZDB-GENE-000906-4]</t>
  </si>
  <si>
    <t>ENSDARG00000069313</t>
  </si>
  <si>
    <t>oxa1l</t>
  </si>
  <si>
    <t>oxidase (cytochrome c) assembly 1-like [Source:ZFIN;Acc:ZDB-GENE-071004-49]</t>
  </si>
  <si>
    <t>ENSDARG00000004325</t>
  </si>
  <si>
    <t>casp9</t>
  </si>
  <si>
    <t>caspase 9, apoptosis-related cysteine peptidase [Source:ZFIN;Acc:ZDB-GENE-030825-5]</t>
  </si>
  <si>
    <t>ENSDARG00000006240</t>
  </si>
  <si>
    <t>slc27a1a</t>
  </si>
  <si>
    <t>solute carrier family 27 (fatty acid transporter), member 1a [Source:ZFIN;Acc:ZDB-GENE-050320-112]</t>
  </si>
  <si>
    <t>ENSDARG00000100154</t>
  </si>
  <si>
    <t>si:ch73-104f13.3</t>
  </si>
  <si>
    <t>si:ch73-104f13.3 [Source:ZFIN;Acc:ZDB-GENE-141216-495]</t>
  </si>
  <si>
    <t>ENSDARG00000070775</t>
  </si>
  <si>
    <t>cyp2x9</t>
  </si>
  <si>
    <t>cytochrome P450, family 2, subfamily X, polypeptide 9 [Source:ZFIN;Acc:ZDB-GENE-061027-109]</t>
  </si>
  <si>
    <t>ENSDARG00000039754</t>
  </si>
  <si>
    <t>xpc</t>
  </si>
  <si>
    <t>xeroderma pigmentosum, complementation group C [Source:ZFIN;Acc:ZDB-GENE-030131-8461]</t>
  </si>
  <si>
    <t>ENSDARG00000079125</t>
  </si>
  <si>
    <t>sowahab</t>
  </si>
  <si>
    <t>sosondowah ankyrin repeat domain family member Ab [Source:ZFIN;Acc:ZDB-GENE-100910-4]</t>
  </si>
  <si>
    <t>ENSDARG00000079020</t>
  </si>
  <si>
    <t>gcfc2</t>
  </si>
  <si>
    <t>GC-rich sequence DNA-binding factor 2 [Source:ZFIN;Acc:ZDB-GENE-080204-19]</t>
  </si>
  <si>
    <t>ENSDARG00000054154</t>
  </si>
  <si>
    <t>bms1</t>
  </si>
  <si>
    <t>BMS1 ribosome biogenesis factor [Source:ZFIN;Acc:ZDB-GENE-060720-2]</t>
  </si>
  <si>
    <t>ENSDARG00000039063</t>
  </si>
  <si>
    <t>PGBD4.3</t>
  </si>
  <si>
    <t>si:dkey-194g4.1 [Source:ZFIN;Acc:ZDB-GENE-141215-40]</t>
  </si>
  <si>
    <t>ENSDARG00000032103</t>
  </si>
  <si>
    <t>mapk6</t>
  </si>
  <si>
    <t>mitogen-activated protein kinase 6 [Source:ZFIN;Acc:ZDB-GENE-050420-7]</t>
  </si>
  <si>
    <t>ENSDARG00000003017</t>
  </si>
  <si>
    <t>zgc:55512</t>
  </si>
  <si>
    <t>zgc:55512 [Source:ZFIN;Acc:ZDB-GENE-030131-4195]</t>
  </si>
  <si>
    <t>ENSDARG00000102452</t>
  </si>
  <si>
    <t>eif3ha</t>
  </si>
  <si>
    <t>eukaryotic translation initiation factor 3, subunit H, a [Source:ZFIN;Acc:ZDB-GENE-040808-19]</t>
  </si>
  <si>
    <t>ENSDARG00000026611</t>
  </si>
  <si>
    <t>socs3b</t>
  </si>
  <si>
    <t>suppressor of cytokine signaling 3b [Source:ZFIN;Acc:ZDB-GENE-040426-2528]</t>
  </si>
  <si>
    <t>ENSDARG00000086879</t>
  </si>
  <si>
    <t>lins1</t>
  </si>
  <si>
    <t>lines homolog 1 [Source:ZFIN;Acc:ZDB-GENE-101019-1]</t>
  </si>
  <si>
    <t>ENSDARG00000095396</t>
  </si>
  <si>
    <t>si:ch73-383o19.2</t>
  </si>
  <si>
    <t>si:ch73-383o19.2 [Source:ZFIN;Acc:ZDB-GENE-090313-162]</t>
  </si>
  <si>
    <t>ENSDARG00000097513</t>
  </si>
  <si>
    <t>si:ch211-84k18.3</t>
  </si>
  <si>
    <t>si:ch211-84k18.3 [Source:ZFIN;Acc:ZDB-GENE-131121-100]</t>
  </si>
  <si>
    <t>ENSDARG00000020544</t>
  </si>
  <si>
    <t>rem1</t>
  </si>
  <si>
    <t>RAS (RAD and GEM)-like GTP-binding 1 [Source:ZFIN;Acc:ZDB-GENE-040317-1]</t>
  </si>
  <si>
    <t>ENSDARG00000054723</t>
  </si>
  <si>
    <t>si:ch211-242b18.1</t>
  </si>
  <si>
    <t>si:ch211-242b18.1 [Source:ZFIN;Acc:ZDB-GENE-030131-1518]</t>
  </si>
  <si>
    <t>ENSDARG00000075314</t>
  </si>
  <si>
    <t>zgc:174906</t>
  </si>
  <si>
    <t>zgc:174906 [Source:ZFIN;Acc:ZDB-GENE-030131-6125]</t>
  </si>
  <si>
    <t>ENSDARG00000058522</t>
  </si>
  <si>
    <t>shq1</t>
  </si>
  <si>
    <t>SHQ1, H/ACA ribonucleoprotein assembly factor [Source:ZFIN;Acc:ZDB-GENE-070112-1412]</t>
  </si>
  <si>
    <t>ENSDARG00000004576</t>
  </si>
  <si>
    <t>plk4</t>
  </si>
  <si>
    <t>polo-like kinase 4 (Drosophila) [Source:ZFIN;Acc:ZDB-GENE-030619-14]</t>
  </si>
  <si>
    <t>ENSDARG00000013295</t>
  </si>
  <si>
    <t>slc2a3a</t>
  </si>
  <si>
    <t>solute carrier family 2 (facilitated glucose transporter), member 3a [Source:ZFIN;Acc:ZDB-GENE-040718-390]</t>
  </si>
  <si>
    <t>ENSDARG00000054224</t>
  </si>
  <si>
    <t>ipo11</t>
  </si>
  <si>
    <t>importin 11 [Source:ZFIN;Acc:ZDB-GENE-040711-1]</t>
  </si>
  <si>
    <t>ENSDARG00000013729</t>
  </si>
  <si>
    <t>srsf6a</t>
  </si>
  <si>
    <t>serine/arginine-rich splicing factor 6a [Source:ZFIN;Acc:ZDB-GENE-040426-2824]</t>
  </si>
  <si>
    <t>ENSDARG00000078592</t>
  </si>
  <si>
    <t>nomo</t>
  </si>
  <si>
    <t>nodal modulator [Source:ZFIN;Acc:ZDB-GENE-040826-3]</t>
  </si>
  <si>
    <t>ENSDARG00000036675</t>
  </si>
  <si>
    <t>hnrnpa1b</t>
  </si>
  <si>
    <t>heterogeneous nuclear ribonucleoprotein A1b [Source:ZFIN;Acc:ZDB-GENE-030912-14]</t>
  </si>
  <si>
    <t>ENSDARG00000056099</t>
  </si>
  <si>
    <t>gtf2h5</t>
  </si>
  <si>
    <t>general transcription factor IIH, polypeptide 5 [Source:ZFIN;Acc:ZDB-GENE-041001-144]</t>
  </si>
  <si>
    <t>ENSDARG00000013776</t>
  </si>
  <si>
    <t>thop1</t>
  </si>
  <si>
    <t>thimet oligopeptidase 1 [Source:ZFIN;Acc:ZDB-GENE-040718-47]</t>
  </si>
  <si>
    <t>ENSDARG00000096904</t>
  </si>
  <si>
    <t>si:dkeyp-100a5.4</t>
  </si>
  <si>
    <t>si:dkeyp-100a5.4 [Source:ZFIN;Acc:ZDB-GENE-131122-37]</t>
  </si>
  <si>
    <t>ENSDARG00000083189</t>
  </si>
  <si>
    <t>arhgap19</t>
  </si>
  <si>
    <t>Rho GTPase activating protein 19 [Source:ZFIN;Acc:ZDB-GENE-100922-157]</t>
  </si>
  <si>
    <t>ENSDARG00000044567</t>
  </si>
  <si>
    <t>ttc1</t>
  </si>
  <si>
    <t>tetratricopeptide repeat domain 1 [Source:ZFIN;Acc:ZDB-GENE-041114-80]</t>
  </si>
  <si>
    <t>ENSDARG00000011079</t>
  </si>
  <si>
    <t>wdr3</t>
  </si>
  <si>
    <t>WD repeat domain 3 [Source:ZFIN;Acc:ZDB-GENE-030131-9830]</t>
  </si>
  <si>
    <t>ENSDARG00000059866</t>
  </si>
  <si>
    <t>cactin</t>
  </si>
  <si>
    <t>cactin [Source:ZFIN;Acc:ZDB-GENE-060503-322]</t>
  </si>
  <si>
    <t>ENSDARG00000029019</t>
  </si>
  <si>
    <t>epb41b</t>
  </si>
  <si>
    <t>erythrocyte membrane protein band 4.1b [Source:ZFIN;Acc:ZDB-GENE-030130-1]</t>
  </si>
  <si>
    <t>ENSDARG00000100119</t>
  </si>
  <si>
    <t>caskb</t>
  </si>
  <si>
    <t>calcium/calmodulin-dependent serine protein kinase b [Source:ZFIN;Acc:ZDB-GENE-030131-4473]</t>
  </si>
  <si>
    <t>ENSDARG00000075017</t>
  </si>
  <si>
    <t>polr2m</t>
  </si>
  <si>
    <t>polymerase (RNA) II (DNA directed) polypeptide M [Source:ZFIN;Acc:ZDB-GENE-041111-91]</t>
  </si>
  <si>
    <t>ENSDARG00000075526</t>
  </si>
  <si>
    <t>pwwp2a</t>
  </si>
  <si>
    <t>PWWP domain containing 2A [Source:ZFIN;Acc:ZDB-GENE-131120-4]</t>
  </si>
  <si>
    <t>ENSDARG00000045877</t>
  </si>
  <si>
    <t>ube2nb</t>
  </si>
  <si>
    <t>ubiquitin-conjugating enzyme E2Nb [Source:ZFIN;Acc:ZDB-GENE-040426-1291]</t>
  </si>
  <si>
    <t>ENSDARG00000041515</t>
  </si>
  <si>
    <t>rasal1b</t>
  </si>
  <si>
    <t>RAS protein activator like 1b (GAP1 like) [Source:ZFIN;Acc:ZDB-GENE-141212-314]</t>
  </si>
  <si>
    <t>ENSDARG00000061699</t>
  </si>
  <si>
    <t>sipa1l3</t>
  </si>
  <si>
    <t>signal-induced proliferation-associated 1 like 3 [Source:ZFIN;Acc:ZDB-GENE-050420-109]</t>
  </si>
  <si>
    <t>ENSDARG00000077812</t>
  </si>
  <si>
    <t>slc5a3b</t>
  </si>
  <si>
    <t>solute carrier family 5 (sodium/myo-inositol cotransporter), member 3b [Source:ZFIN;Acc:ZDB-GENE-070912-43]</t>
  </si>
  <si>
    <t>ENSDARG00000095750</t>
  </si>
  <si>
    <t>FDXACB1</t>
  </si>
  <si>
    <t>si:dkey-71l1.3 [Source:ZFIN;Acc:ZDB-GENE-030131-8403]</t>
  </si>
  <si>
    <t>ENSDARG00000010516</t>
  </si>
  <si>
    <t>rpl21</t>
  </si>
  <si>
    <t>ribosomal protein L21 [Source:ZFIN;Acc:ZDB-GENE-030131-8512]</t>
  </si>
  <si>
    <t>ENSDARG00000020201</t>
  </si>
  <si>
    <t>cdc73</t>
  </si>
  <si>
    <t>cell division cycle 73, Paf1/RNA polymerase II complex component, homolog (S. cerevisiae) [Source:ZFIN;Acc:ZDB-GENE-040426-1309]</t>
  </si>
  <si>
    <t>ENSDARG00000099397</t>
  </si>
  <si>
    <t>si:cabz01080295.1</t>
  </si>
  <si>
    <t>si:cabz01080295.1 [Source:ZFIN;Acc:ZDB-GENE-160114-19]</t>
  </si>
  <si>
    <t>ENSDARG00000071487</t>
  </si>
  <si>
    <t>zgc:152948</t>
  </si>
  <si>
    <t>zgc:152948 [Source:ZFIN;Acc:ZDB-GENE-060929-364]</t>
  </si>
  <si>
    <t>ENSDARG00000088619</t>
  </si>
  <si>
    <t>REXO4</t>
  </si>
  <si>
    <t>si:ch73-209e20.4 [Source:ZFIN;Acc:ZDB-GENE-120215-216]</t>
  </si>
  <si>
    <t>ENSDARG00000030753</t>
  </si>
  <si>
    <t>prrg4</t>
  </si>
  <si>
    <t>proline rich Gla (G-carboxyglutamic acid) 4 (transmembrane) [Source:ZFIN;Acc:ZDB-GENE-050417-112]</t>
  </si>
  <si>
    <t>ENSDARG00000011564</t>
  </si>
  <si>
    <t>sfpq</t>
  </si>
  <si>
    <t>splicing factor proline/glutamine-rich [Source:ZFIN;Acc:ZDB-GENE-040426-2452]</t>
  </si>
  <si>
    <t>ENSDARG00000092875</t>
  </si>
  <si>
    <t>si:dkey-264b2.3</t>
  </si>
  <si>
    <t>si:dkey-264b2.3 [Source:ZFIN;Acc:ZDB-GENE-070912-485]</t>
  </si>
  <si>
    <t>ENSDARG00000101465</t>
  </si>
  <si>
    <t>orc2</t>
  </si>
  <si>
    <t>origin recognition complex, subunit 2 [Source:ZFIN;Acc:ZDB-GENE-061013-682]</t>
  </si>
  <si>
    <t>ENSDARG00000005774</t>
  </si>
  <si>
    <t>ddx3b</t>
  </si>
  <si>
    <t>DEAD (Asp-Glu-Ala-Asp) box helicase 3b [Source:ZFIN;Acc:ZDB-GENE-980526-150]</t>
  </si>
  <si>
    <t>ENSDARG00000103020</t>
  </si>
  <si>
    <t>PECAM1</t>
  </si>
  <si>
    <t>si:dkey-237i9.8 [Source:ZFIN;Acc:ZDB-GENE-120215-145]</t>
  </si>
  <si>
    <t>ENSDARG00000061974</t>
  </si>
  <si>
    <t>grhl2b</t>
  </si>
  <si>
    <t>grainyhead-like transcription factor 2b [Source:ZFIN;Acc:ZDB-GENE-060503-719]</t>
  </si>
  <si>
    <t>ENSDARG00000070786</t>
  </si>
  <si>
    <t>znf770</t>
  </si>
  <si>
    <t>zinc finger protein 770 [Source:ZFIN;Acc:ZDB-GENE-030131-1505]</t>
  </si>
  <si>
    <t>ENSDARG00000036279</t>
  </si>
  <si>
    <t>lamc1</t>
  </si>
  <si>
    <t>laminin, gamma 1 [Source:ZFIN;Acc:ZDB-GENE-021226-3]</t>
  </si>
  <si>
    <t>ENSDARG00000079530</t>
  </si>
  <si>
    <t>si:dkey-17m8.1</t>
  </si>
  <si>
    <t>si:dkey-17m8.1 [Source:ZFIN;Acc:ZDB-GENE-110411-225]</t>
  </si>
  <si>
    <t>ENSDARG00000041493</t>
  </si>
  <si>
    <t>ipo4</t>
  </si>
  <si>
    <t>importin 4 [Source:ZFIN;Acc:ZDB-GENE-041014-307]</t>
  </si>
  <si>
    <t>ENSDARG00000058089</t>
  </si>
  <si>
    <t>rprd2a</t>
  </si>
  <si>
    <t>regulation of nuclear pre-mRNA domain containing 2a [Source:ZFIN;Acc:ZDB-GENE-030131-6641]</t>
  </si>
  <si>
    <t>ENSDARG00000033738</t>
  </si>
  <si>
    <t>zgc:153867</t>
  </si>
  <si>
    <t>zgc:153867 [Source:ZFIN;Acc:ZDB-GENE-030131-9170]</t>
  </si>
  <si>
    <t>ENSDARG00000071551</t>
  </si>
  <si>
    <t>xrcc6</t>
  </si>
  <si>
    <t>X-ray repair complementing defective repair in Chinese hamster cells 6 [Source:ZFIN;Acc:ZDB-GENE-030131-6420]</t>
  </si>
  <si>
    <t>ENSDARG00000073792</t>
  </si>
  <si>
    <t>man1b1a</t>
  </si>
  <si>
    <t>mannosidase, alpha, class 1B, member 1a [Source:ZFIN;Acc:ZDB-GENE-091116-34]</t>
  </si>
  <si>
    <t>ENSDARG00000019746</t>
  </si>
  <si>
    <t>rfng</t>
  </si>
  <si>
    <t>RFNG O-fucosylpeptide 3-beta-N-acetylglucosaminyltransferase [Source:ZFIN;Acc:ZDB-GENE-030131-5418]</t>
  </si>
  <si>
    <t>ENSDARG00000062553</t>
  </si>
  <si>
    <t>bach1a</t>
  </si>
  <si>
    <t>BTB and CNC homology 1, basic leucine zipper transcription factor 1 a [Source:ZFIN;Acc:ZDB-GENE-060421-7601]</t>
  </si>
  <si>
    <t>ENSDARG00000068621</t>
  </si>
  <si>
    <t>si:ch211-181d7.3</t>
  </si>
  <si>
    <t>si:ch211-181d7.3 [Source:ZFIN;Acc:ZDB-GENE-121214-30]</t>
  </si>
  <si>
    <t>ENSDARG00000020929</t>
  </si>
  <si>
    <t>fam49ba</t>
  </si>
  <si>
    <t>family with sequence similarity 49, member Ba [Source:ZFIN;Acc:ZDB-GENE-030131-9537]</t>
  </si>
  <si>
    <t>ENSDARG00000010553</t>
  </si>
  <si>
    <t>mmgt1</t>
  </si>
  <si>
    <t>membrane magnesium transporter 1 [Source:ZFIN;Acc:ZDB-GENE-040801-65]</t>
  </si>
  <si>
    <t>ENSDARG00000104649</t>
  </si>
  <si>
    <t>DTX3L.1</t>
  </si>
  <si>
    <t>si:dkey-40c23.3 [Source:ZFIN;Acc:ZDB-GENE-131126-78]</t>
  </si>
  <si>
    <t>ENSDARG00000040620</t>
  </si>
  <si>
    <t>psmg1</t>
  </si>
  <si>
    <t>proteasome (prosome, macropain) assembly chaperone 1 [Source:ZFIN;Acc:ZDB-GENE-040718-469]</t>
  </si>
  <si>
    <t>ENSDARG00000039882</t>
  </si>
  <si>
    <t>ap3s2</t>
  </si>
  <si>
    <t>adaptor-related protein complex 3, sigma 2 subunit [Source:ZFIN;Acc:ZDB-GENE-040718-274]</t>
  </si>
  <si>
    <t>ENSDARG00000060885</t>
  </si>
  <si>
    <t>znf592</t>
  </si>
  <si>
    <t>zinc finger protein 592 [Source:ZFIN;Acc:ZDB-GENE-030131-9613]</t>
  </si>
  <si>
    <t>ENSDARG00000069540</t>
  </si>
  <si>
    <t>si:dkey-30c15.2</t>
  </si>
  <si>
    <t>si:dkey-30c15.2 [Source:ZFIN;Acc:ZDB-GENE-060503-543]</t>
  </si>
  <si>
    <t>ENSDARG00000004561</t>
  </si>
  <si>
    <t>prkcg</t>
  </si>
  <si>
    <t>protein kinase C, gamma [Source:ZFIN;Acc:ZDB-GENE-090206-1]</t>
  </si>
  <si>
    <t>ENSDARG00000023840</t>
  </si>
  <si>
    <t>pfkfb2a</t>
  </si>
  <si>
    <t>6-phosphofructo-2-kinase/fructose-2,6-biphosphatase 2a [Source:ZFIN;Acc:ZDB-GENE-040426-966]</t>
  </si>
  <si>
    <t>ENSDARG00000074501</t>
  </si>
  <si>
    <t>tnip2</t>
  </si>
  <si>
    <t>TNFAIP3 interacting protein 2 [Source:ZFIN;Acc:ZDB-GENE-120913-2]</t>
  </si>
  <si>
    <t>ENSDARG00000062469</t>
  </si>
  <si>
    <t>hipk3a</t>
  </si>
  <si>
    <t>homeodomain interacting protein kinase 3a [Source:ZFIN;Acc:ZDB-GENE-061207-54]</t>
  </si>
  <si>
    <t>ENSDARG00000054191</t>
  </si>
  <si>
    <t>pgk1</t>
  </si>
  <si>
    <t>phosphoglycerate kinase 1 [Source:ZFIN;Acc:ZDB-GENE-040426-2711]</t>
  </si>
  <si>
    <t>ENSDARG00000078854</t>
  </si>
  <si>
    <t>tusc3</t>
  </si>
  <si>
    <t>tumor suppressor candidate 3 [Source:ZFIN;Acc:ZDB-GENE-050522-381]</t>
  </si>
  <si>
    <t>ENSDARG00000013990</t>
  </si>
  <si>
    <t>ube2q2</t>
  </si>
  <si>
    <t>ubiquitin-conjugating enzyme E2Q family member 2 [Source:ZFIN;Acc:ZDB-GENE-040426-1919]</t>
  </si>
  <si>
    <t>ENSDARG00000069661</t>
  </si>
  <si>
    <t>si:dkey-121j17.6</t>
  </si>
  <si>
    <t>si:dkey-121j17.6 [Source:ZFIN;Acc:ZDB-GENE-121214-361]</t>
  </si>
  <si>
    <t>ENSDARG00000097808</t>
  </si>
  <si>
    <t>si:dkey-77f5.4</t>
  </si>
  <si>
    <t>si:dkey-77f5.4 [Source:ZFIN;Acc:ZDB-GENE-131121-70]</t>
  </si>
  <si>
    <t>ENSDARG00000009209</t>
  </si>
  <si>
    <t>slc9a6a</t>
  </si>
  <si>
    <t>solute carrier family 9, subfamily A (NHE6, cation proton antiporter 6), member 6a [Source:ZFIN;Acc:ZDB-GENE-070424-104]</t>
  </si>
  <si>
    <t>ENSDARG00000007204</t>
  </si>
  <si>
    <t>si:ch211-195b21.5</t>
  </si>
  <si>
    <t>si:ch211-195b21.5 [Source:ZFIN;Acc:ZDB-GENE-030131-954]</t>
  </si>
  <si>
    <t>ENSDARG00000010655</t>
  </si>
  <si>
    <t>ppm1k</t>
  </si>
  <si>
    <t>protein phosphatase, Mg2+/Mn2+ dependent, 1K [Source:ZFIN;Acc:ZDB-GENE-050306-8]</t>
  </si>
  <si>
    <t>ENSDARG00000007186</t>
  </si>
  <si>
    <t>ppp1r8a</t>
  </si>
  <si>
    <t>protein phosphatase 1, regulatory subunit 8a [Source:ZFIN;Acc:ZDB-GENE-060503-681]</t>
  </si>
  <si>
    <t>ENSDARG00000069150</t>
  </si>
  <si>
    <t>rit1</t>
  </si>
  <si>
    <t>Ras-like without CAAX 1 [Source:ZFIN;Acc:ZDB-GENE-070912-329]</t>
  </si>
  <si>
    <t>ENSDARG00000074041</t>
  </si>
  <si>
    <t>abca5</t>
  </si>
  <si>
    <t>ATP-binding cassette, sub-family A (ABC1), member 5 [Source:ZFIN;Acc:ZDB-GENE-050517-5]</t>
  </si>
  <si>
    <t>ENSDARG00000024846</t>
  </si>
  <si>
    <t>cops8</t>
  </si>
  <si>
    <t>COP9 signalosome subunit 8 [Source:ZFIN;Acc:ZDB-GENE-040426-982]</t>
  </si>
  <si>
    <t>ENSDARG00000092829</t>
  </si>
  <si>
    <t>si:dkeyp-73c8.3</t>
  </si>
  <si>
    <t>si:dkeyp-73c8.3 [Source:ZFIN;Acc:ZDB-GENE-060503-844]</t>
  </si>
  <si>
    <t>ENSDARG00000032431</t>
  </si>
  <si>
    <t>mpv17</t>
  </si>
  <si>
    <t>MpV17 mitochondrial inner membrane protein [Source:ZFIN;Acc:ZDB-GENE-040426-1168]</t>
  </si>
  <si>
    <t>ENSDARG00000024314</t>
  </si>
  <si>
    <t>herpud1</t>
  </si>
  <si>
    <t>homocysteine-inducible, endoplasmic reticulum stress-inducible, ubiquitin-like domain member 1 [Source:ZFIN;Acc:ZDB-GENE-050913-47]</t>
  </si>
  <si>
    <t>ENSDARG00000038123</t>
  </si>
  <si>
    <t>myl9a</t>
  </si>
  <si>
    <t>myosin, light chain 9a, regulatory [Source:ZFIN;Acc:ZDB-GENE-041010-120]</t>
  </si>
  <si>
    <t>ENSDARG00000095193</t>
  </si>
  <si>
    <t>si:dkey-23c22.7</t>
  </si>
  <si>
    <t>si:dkey-23c22.7 [Source:ZFIN;Acc:ZDB-GENE-081105-139]</t>
  </si>
  <si>
    <t>ENSDARG00000086112</t>
  </si>
  <si>
    <t>CKAP2</t>
  </si>
  <si>
    <t>si:ch211-266i6.3 [Source:ZFIN;Acc:ZDB-GENE-030131-5420]</t>
  </si>
  <si>
    <t>ENSDARG00000062593</t>
  </si>
  <si>
    <t>stox1</t>
  </si>
  <si>
    <t>storkhead box 1 [Source:ZFIN;Acc:ZDB-GENE-030925-2]</t>
  </si>
  <si>
    <t>ENSDARG00000068258</t>
  </si>
  <si>
    <t>lrch4</t>
  </si>
  <si>
    <t>leucine-rich repeats and calponin homology (CH) domain containing 4 [Source:ZFIN;Acc:ZDB-GENE-060503-749]</t>
  </si>
  <si>
    <t>ENSDARG00000076225</t>
  </si>
  <si>
    <t>tha1</t>
  </si>
  <si>
    <t>threonine aldolase 1 [Source:ZFIN;Acc:ZDB-GENE-040704-14]</t>
  </si>
  <si>
    <t>ENSDARG00000068991</t>
  </si>
  <si>
    <t>TNFRSF14</t>
  </si>
  <si>
    <t>si:dkey-23c22.6 [Source:ZFIN;Acc:ZDB-GENE-081105-99]</t>
  </si>
  <si>
    <t>ENSDARG00000075891</t>
  </si>
  <si>
    <t>sall1b</t>
  </si>
  <si>
    <t>spalt-like transcription factor 1b [Source:ZFIN;Acc:ZDB-GENE-020228-3]</t>
  </si>
  <si>
    <t>ENSDARG00000045019</t>
  </si>
  <si>
    <t>aamp</t>
  </si>
  <si>
    <t>angio-associated, migratory cell protein [Source:ZFIN;Acc:ZDB-GENE-040426-2370]</t>
  </si>
  <si>
    <t>ENSDARG00000031299</t>
  </si>
  <si>
    <t>dhrs11b</t>
  </si>
  <si>
    <t>dehydrogenase/reductase (SDR family) member 11b [Source:ZFIN;Acc:ZDB-GENE-040625-155]</t>
  </si>
  <si>
    <t>ENSDARG00000104230</t>
  </si>
  <si>
    <t>sec23a</t>
  </si>
  <si>
    <t>Sec23 homolog A, COPII coat complex component [Source:ZFIN;Acc:ZDB-GENE-040426-2823]</t>
  </si>
  <si>
    <t>ENSDARG00000092381</t>
  </si>
  <si>
    <t>si:dkey-23c22.9</t>
  </si>
  <si>
    <t>si:dkey-23c22.9 [Source:ZFIN;Acc:ZDB-GENE-081105-36]</t>
  </si>
  <si>
    <t>ENSDARG00000074624</t>
  </si>
  <si>
    <t>si:ch211-198a12.6</t>
  </si>
  <si>
    <t>si:ch211-198a12.6 [Source:ZFIN;Acc:ZDB-GENE-030131-1683]</t>
  </si>
  <si>
    <t>ENSDARG00000077260</t>
  </si>
  <si>
    <t>si:dkey-28d5.13</t>
  </si>
  <si>
    <t>si:dkey-28d5.13 [Source:ZFIN;Acc:ZDB-GENE-060503-636]</t>
  </si>
  <si>
    <t>ENSDARG00000091628</t>
  </si>
  <si>
    <t>cspp1b</t>
  </si>
  <si>
    <t>centrosome and spindle pole associated protein 1b [Source:ZFIN;Acc:ZDB-GENE-070912-619]</t>
  </si>
  <si>
    <t>ENSDARG00000004141</t>
  </si>
  <si>
    <t>zgc:92630</t>
  </si>
  <si>
    <t>zgc:92630 [Source:ZFIN;Acc:ZDB-GENE-040718-449]</t>
  </si>
  <si>
    <t>ENSDARG00000103988</t>
  </si>
  <si>
    <t>tmem8c</t>
  </si>
  <si>
    <t>transmembrane protein 8C [Source:ZFIN;Acc:ZDB-GENE-040625-66]</t>
  </si>
  <si>
    <t>ENSDARG00000071671</t>
  </si>
  <si>
    <t>nudt22</t>
  </si>
  <si>
    <t>nudix (nucleoside diphosphate linked moiety X)-type motif 22 [Source:ZFIN;Acc:ZDB-GENE-041010-171]</t>
  </si>
  <si>
    <t>ENSDARG00000012776</t>
  </si>
  <si>
    <t>smarca1</t>
  </si>
  <si>
    <t>SWI/SNF related, matrix associated, actin dependent regulator of chromatin, subfamily a, member 1 [Source:ZFIN;Acc:ZDB-GENE-070705-296]</t>
  </si>
  <si>
    <t>ENSDARG00000005057</t>
  </si>
  <si>
    <t>dimt1l</t>
  </si>
  <si>
    <t>DIM1 dimethyladenosine transferase 1-like (S. cerevisiae) [Source:ZFIN;Acc:ZDB-GENE-040801-75]</t>
  </si>
  <si>
    <t>ENSDARG00000068969</t>
  </si>
  <si>
    <t>zgc:153759</t>
  </si>
  <si>
    <t>zgc:153759 [Source:ZFIN;Acc:ZDB-GENE-060825-148]</t>
  </si>
  <si>
    <t>ENSDARG00000053446</t>
  </si>
  <si>
    <t>sub1a</t>
  </si>
  <si>
    <t>SUB1 homolog, transcriptional regulator a [Source:ZFIN;Acc:ZDB-GENE-050522-151]</t>
  </si>
  <si>
    <t>ENSDARG00000099405</t>
  </si>
  <si>
    <t>si:ch1073-288h17.2</t>
  </si>
  <si>
    <t>si:ch1073-288h17.2 [Source:ZFIN;Acc:ZDB-GENE-131121-285]</t>
  </si>
  <si>
    <t>ENSDARG00000089232</t>
  </si>
  <si>
    <t>prr14</t>
  </si>
  <si>
    <t>proline rich 14 [Source:ZFIN;Acc:ZDB-GENE-030131-3785]</t>
  </si>
  <si>
    <t>ENSDARG00000055868</t>
  </si>
  <si>
    <t>rsl1d1</t>
  </si>
  <si>
    <t>ribosomal L1 domain containing 1 [Source:ZFIN;Acc:ZDB-GENE-130603-67]</t>
  </si>
  <si>
    <t>ENSDARG00000012932</t>
  </si>
  <si>
    <t>mat2b</t>
  </si>
  <si>
    <t>methionine adenosyltransferase II, beta [Source:ZFIN;Acc:ZDB-GENE-030131-786]</t>
  </si>
  <si>
    <t>ENSDARG00000101074</t>
  </si>
  <si>
    <t>glud1b</t>
  </si>
  <si>
    <t>glutamate dehydrogenase 1b [Source:ZFIN;Acc:ZDB-GENE-030828-1]</t>
  </si>
  <si>
    <t>ENSDARG00000087331</t>
  </si>
  <si>
    <t>si:dkey-77f5.3</t>
  </si>
  <si>
    <t>si:dkey-77f5.3 [Source:ZFIN;Acc:ZDB-GENE-030131-5102]</t>
  </si>
  <si>
    <t>ENSDARG00000055737</t>
  </si>
  <si>
    <t>ube3a</t>
  </si>
  <si>
    <t>ubiquitin protein ligase E3A [Source:ZFIN;Acc:ZDB-GENE-041114-190]</t>
  </si>
  <si>
    <t>ENSDARG00000098191</t>
  </si>
  <si>
    <t>si:dkey-16l2.20</t>
  </si>
  <si>
    <t>si:dkey-16l2.20 [Source:ZFIN;Acc:ZDB-GENE-141212-380]</t>
  </si>
  <si>
    <t>ENSDARG00000012848</t>
  </si>
  <si>
    <t>arih2</t>
  </si>
  <si>
    <t>ariadne homolog 2 (Drosophila) [Source:ZFIN;Acc:ZDB-GENE-040426-2158]</t>
  </si>
  <si>
    <t>ENSDARG00000071211</t>
  </si>
  <si>
    <t>zgc:112255</t>
  </si>
  <si>
    <t>zgc:112255 [Source:ZFIN;Acc:ZDB-GENE-050522-57]</t>
  </si>
  <si>
    <t>ENSDARG00000013522</t>
  </si>
  <si>
    <t>pck1</t>
  </si>
  <si>
    <t>phosphoenolpyruvate carboxykinase 1 (soluble) [Source:ZFIN;Acc:ZDB-GENE-030909-11]</t>
  </si>
  <si>
    <t>ENSDARG00000035508</t>
  </si>
  <si>
    <t>barhl1a</t>
  </si>
  <si>
    <t>BarH-like homeobox 1a [Source:ZFIN;Acc:ZDB-GENE-050417-212]</t>
  </si>
  <si>
    <t>ENSDARG00000056704</t>
  </si>
  <si>
    <t>RAMP1</t>
  </si>
  <si>
    <t>zgc:91818 [Source:ZFIN;Acc:ZDB-GENE-040718-446]</t>
  </si>
  <si>
    <t>ENSDARG00000059006</t>
  </si>
  <si>
    <t>otud5a</t>
  </si>
  <si>
    <t>OTU deubiquitinase 5a [Source:ZFIN;Acc:ZDB-GENE-030616-61]</t>
  </si>
  <si>
    <t>ENSDARG00000099383</t>
  </si>
  <si>
    <t>dnajb1a</t>
  </si>
  <si>
    <t>DnaJ (Hsp40) homolog, subfamily B, member 1a [Source:ZFIN;Acc:ZDB-GENE-040801-90]</t>
  </si>
  <si>
    <t>ENSDARG00000012072</t>
  </si>
  <si>
    <t>atp5s</t>
  </si>
  <si>
    <t>ATP synthase, H+ transporting, mitochondrial F0 complex, subunit s [Source:ZFIN;Acc:ZDB-GENE-040426-959]</t>
  </si>
  <si>
    <t>ENSDARG00000030844</t>
  </si>
  <si>
    <t>klf11a</t>
  </si>
  <si>
    <t>Kruppel-like factor 11a [Source:ZFIN;Acc:ZDB-GENE-030131-3568]</t>
  </si>
  <si>
    <t>ENSDARG00000071212</t>
  </si>
  <si>
    <t>p3h1</t>
  </si>
  <si>
    <t>prolyl 3-hydroxylase 1 [Source:ZFIN;Acc:ZDB-GENE-031010-35]</t>
  </si>
  <si>
    <t>ENSDARG00000093211</t>
  </si>
  <si>
    <t>si:dkey-253e1.1</t>
  </si>
  <si>
    <t>si:dkey-253e1.1 [Source:ZFIN;Acc:ZDB-GENE-100922-211]</t>
  </si>
  <si>
    <t>ENSDARG00000035507</t>
  </si>
  <si>
    <t>ddx31</t>
  </si>
  <si>
    <t>DEAD (Asp-Glu-Ala-Asp) box polypeptide 31 [Source:ZFIN;Acc:ZDB-GENE-030131-3973]</t>
  </si>
  <si>
    <t>ENSDARG00000100504</t>
  </si>
  <si>
    <t>ppp1r27b</t>
  </si>
  <si>
    <t>protein phosphatase 1, regulatory subunit 27b [Source:ZFIN;Acc:ZDB-GENE-051023-5]</t>
  </si>
  <si>
    <t>ENSDARG00000023040</t>
  </si>
  <si>
    <t>zbtb1</t>
  </si>
  <si>
    <t>zinc finger and BTB domain containing 1 [Source:ZFIN;Acc:ZDB-GENE-041001-126]</t>
  </si>
  <si>
    <t>ENSDARG00000035559</t>
  </si>
  <si>
    <t>tp53</t>
  </si>
  <si>
    <t>tumor protein p53 [Source:ZFIN;Acc:ZDB-GENE-990415-270]</t>
  </si>
  <si>
    <t>ENSDARG00000097528</t>
  </si>
  <si>
    <t>si:dkey-7j14.5</t>
  </si>
  <si>
    <t>si:dkey-7j14.5 [Source:ZFIN;Acc:ZDB-GENE-030131-8110]</t>
  </si>
  <si>
    <t>ENSDARG00000099664</t>
  </si>
  <si>
    <t>sep15</t>
  </si>
  <si>
    <t>selenoprotein 15 [Source:ZFIN;Acc:ZDB-GENE-030327-1]</t>
  </si>
  <si>
    <t>ENSDARG00000103457</t>
  </si>
  <si>
    <t>spg20b</t>
  </si>
  <si>
    <t>spastic paraplegia 20b (Troyer syndrome) [Source:ZFIN;Acc:ZDB-GENE-060825-146]</t>
  </si>
  <si>
    <t>ENSDARG00000027078</t>
  </si>
  <si>
    <t>cnppd1</t>
  </si>
  <si>
    <t>cyclin Pas1/PHO80 domain containing 1 [Source:ZFIN;Acc:ZDB-GENE-030131-6808]</t>
  </si>
  <si>
    <t>ENSDARG00000025478</t>
  </si>
  <si>
    <t>gipr</t>
  </si>
  <si>
    <t>gastric inhibitory polypeptide receptor [Source:ZFIN;Acc:ZDB-GENE-050516-4]</t>
  </si>
  <si>
    <t>ENSDARG00000002607</t>
  </si>
  <si>
    <t>unm_sa1614</t>
  </si>
  <si>
    <t>un-named sa1614 [Source:ZFIN;Acc:ZDB-GENE-120411-1]</t>
  </si>
  <si>
    <t>ENSDARG00000103199</t>
  </si>
  <si>
    <t>si:dkey-247k7.2</t>
  </si>
  <si>
    <t>si:dkey-247k7.2 [Source:ZFIN;Acc:ZDB-GENE-031118-45]</t>
  </si>
  <si>
    <t>ENSDARG00000031715</t>
  </si>
  <si>
    <t>lyn</t>
  </si>
  <si>
    <t>LYN proto-oncogene, Src family tyrosine kinase [Source:ZFIN;Acc:ZDB-GENE-040912-7]</t>
  </si>
  <si>
    <t>ENSDARG00000019529</t>
  </si>
  <si>
    <t>parp1</t>
  </si>
  <si>
    <t>poly (ADP-ribose) polymerase 1 [Source:ZFIN;Acc:ZDB-GENE-030131-3955]</t>
  </si>
  <si>
    <t>ENSDARG00000026531</t>
  </si>
  <si>
    <t>alcama</t>
  </si>
  <si>
    <t>activated leukocyte cell adhesion molecule a [Source:ZFIN;Acc:ZDB-GENE-990415-30]</t>
  </si>
  <si>
    <t>ENSDARG00000042521</t>
  </si>
  <si>
    <t>SLC25A5</t>
  </si>
  <si>
    <t>si:dkey-251i10.1 [Source:ZFIN;Acc:ZDB-GENE-060531-122]</t>
  </si>
  <si>
    <t>ENSDARG00000099954</t>
  </si>
  <si>
    <t>plekhm1</t>
  </si>
  <si>
    <t>pleckstrin homology domain containing, family M (with RUN domain) member 1 [Source:ZFIN;Acc:ZDB-GENE-030131-2752]</t>
  </si>
  <si>
    <t>ENSDARG00000101578</t>
  </si>
  <si>
    <t>e2f4</t>
  </si>
  <si>
    <t>E2F transcription factor 4 [Source:ZFIN;Acc:ZDB-GENE-040426-2773]</t>
  </si>
  <si>
    <t>ENSDARG00000078541</t>
  </si>
  <si>
    <t>cers3a</t>
  </si>
  <si>
    <t>ceramide synthase 3a [Source:ZFIN;Acc:ZDB-GENE-130320-1]</t>
  </si>
  <si>
    <t>ENSDARG00000094500</t>
  </si>
  <si>
    <t>si:ch211-238e22.4</t>
  </si>
  <si>
    <t>si:ch211-238e22.4 [Source:ZFIN;Acc:ZDB-GENE-030131-3632]</t>
  </si>
  <si>
    <t>ENSDARG00000030687</t>
  </si>
  <si>
    <t>phka2</t>
  </si>
  <si>
    <t>phosphorylase kinase, alpha 2 (liver) [Source:ZFIN;Acc:ZDB-GENE-130422-1]</t>
  </si>
  <si>
    <t>ENSDARG00000039390</t>
  </si>
  <si>
    <t>sdhaf4</t>
  </si>
  <si>
    <t>succinate dehydrogenase complex assembly factor 4 [Source:ZFIN;Acc:ZDB-GENE-040724-116]</t>
  </si>
  <si>
    <t>ENSDARG00000010571</t>
  </si>
  <si>
    <t>ezh2</t>
  </si>
  <si>
    <t>enhancer of zeste 2 polycomb repressive complex 2 subunit [Source:ZFIN;Acc:ZDB-GENE-041111-259]</t>
  </si>
  <si>
    <t>ENSDARG00000007744</t>
  </si>
  <si>
    <t>tsr1</t>
  </si>
  <si>
    <t>TSR1, 20S rRNA accumulation, homolog (S. cerevisiae) [Source:ZFIN;Acc:ZDB-GENE-030131-3762]</t>
  </si>
  <si>
    <t>ENSDARG00000032885</t>
  </si>
  <si>
    <t>si:ch211-226m7.4</t>
  </si>
  <si>
    <t>si:ch211-226m7.4 [Source:ZFIN;Acc:ZDB-GENE-080919-1]</t>
  </si>
  <si>
    <t>ENSDARG00000019742</t>
  </si>
  <si>
    <t>tlr4ba</t>
  </si>
  <si>
    <t>toll-like receptor 4b, duplicate a [Source:ZFIN;Acc:ZDB-GENE-040219-8]</t>
  </si>
  <si>
    <t>ENSDARG00000006786</t>
  </si>
  <si>
    <t>copz2</t>
  </si>
  <si>
    <t>coatomer protein complex, subunit zeta 2 [Source:ZFIN;Acc:ZDB-GENE-000406-5]</t>
  </si>
  <si>
    <t>ENSDARG00000077410</t>
  </si>
  <si>
    <t>myo9b</t>
  </si>
  <si>
    <t>myosin IXb [Source:ZFIN;Acc:ZDB-GENE-030131-938]</t>
  </si>
  <si>
    <t>ENSDARG00000096290</t>
  </si>
  <si>
    <t>si:dkeyp-15g8.5</t>
  </si>
  <si>
    <t>si:dkeyp-15g8.5 [Source:ZFIN;Acc:ZDB-GENE-120215-208]</t>
  </si>
  <si>
    <t>ENSDARG00000045802</t>
  </si>
  <si>
    <t>hapln3</t>
  </si>
  <si>
    <t>hyaluronan and proteoglycan link protein 3 [Source:ZFIN;Acc:ZDB-GENE-040426-2089]</t>
  </si>
  <si>
    <t>ENSDARG00000056121</t>
  </si>
  <si>
    <t>serac1</t>
  </si>
  <si>
    <t>serine active site containing 1 [Source:ZFIN;Acc:ZDB-GENE-040616-1]</t>
  </si>
  <si>
    <t>ENSDARG00000009585</t>
  </si>
  <si>
    <t>papola</t>
  </si>
  <si>
    <t>poly(A) polymerase alpha [Source:ZFIN;Acc:ZDB-GENE-030131-3507]</t>
  </si>
  <si>
    <t>ENSDARG00000057782</t>
  </si>
  <si>
    <t>baz2ba</t>
  </si>
  <si>
    <t>bromodomain adjacent to zinc finger domain, 2Ba [Source:ZFIN;Acc:ZDB-GENE-070615-37]</t>
  </si>
  <si>
    <t>ENSDARG00000006092</t>
  </si>
  <si>
    <t>rad21a</t>
  </si>
  <si>
    <t>RAD21 cohesin complex component a [Source:ZFIN;Acc:ZDB-GENE-030131-994]</t>
  </si>
  <si>
    <t>ENSDARG00000105322</t>
  </si>
  <si>
    <t>klhdc7a</t>
  </si>
  <si>
    <t>kelch domain containing 7A [Source:ZFIN;Acc:ZDB-GENE-160114-44]</t>
  </si>
  <si>
    <t>ENSDARG00000018973</t>
  </si>
  <si>
    <t>clptm1</t>
  </si>
  <si>
    <t>cleft lip and palate associated transmembrane protein 1 [Source:ZFIN;Acc:ZDB-GENE-040801-265]</t>
  </si>
  <si>
    <t>ENSDARG00000104285</t>
  </si>
  <si>
    <t>zgc:63733</t>
  </si>
  <si>
    <t>zgc:63733 [Source:ZFIN;Acc:ZDB-GENE-040426-1249]</t>
  </si>
  <si>
    <t>ENSDARG00000068257</t>
  </si>
  <si>
    <t>kcne4</t>
  </si>
  <si>
    <t>potassium voltage-gated channel, Isk-related family, member 4 [Source:ZFIN;Acc:ZDB-GENE-050419-163]</t>
  </si>
  <si>
    <t>ENSDARG00000019644</t>
  </si>
  <si>
    <t>ldhba</t>
  </si>
  <si>
    <t>lactate dehydrogenase Ba [Source:ZFIN;Acc:ZDB-GENE-991026-6]</t>
  </si>
  <si>
    <t>ENSDARG00000015252</t>
  </si>
  <si>
    <t>st3gal3b</t>
  </si>
  <si>
    <t>ST3 beta-galactoside alpha-2,3-sialyltransferase 3b [Source:ZFIN;Acc:ZDB-GENE-050411-13]</t>
  </si>
  <si>
    <t>ENSDARG00000013397</t>
  </si>
  <si>
    <t>bnip2</t>
  </si>
  <si>
    <t>BCL2/adenovirus E1B interacting protein 2 [Source:ZFIN;Acc:ZDB-GENE-040109-6]</t>
  </si>
  <si>
    <t>ENSDARG00000010400</t>
  </si>
  <si>
    <t>lrrfip2</t>
  </si>
  <si>
    <t>leucine rich repeat (in FLII) interacting protein 2 [Source:ZFIN;Acc:ZDB-GENE-030131-7781]</t>
  </si>
  <si>
    <t>ENSDARG00000042259</t>
  </si>
  <si>
    <t>tgfbr1b</t>
  </si>
  <si>
    <t>transforming growth factor, beta receptor 1 b [Source:ZFIN;Acc:ZDB-GENE-091027-1]</t>
  </si>
  <si>
    <t>ENSDARG00000074750</t>
  </si>
  <si>
    <t>qser1</t>
  </si>
  <si>
    <t>glutamine and serine rich 1 [Source:ZFIN;Acc:ZDB-GENE-030131-2978]</t>
  </si>
  <si>
    <t>ENSDARG00000090253</t>
  </si>
  <si>
    <t>zgc:113223</t>
  </si>
  <si>
    <t>zgc:113223 [Source:ZFIN;Acc:ZDB-GENE-050320-127]</t>
  </si>
  <si>
    <t>ENSDARG00000045660</t>
  </si>
  <si>
    <t>hic1l</t>
  </si>
  <si>
    <t>hypermethylated in cancer 1 like [Source:ZFIN;Acc:ZDB-GENE-030620-1]</t>
  </si>
  <si>
    <t>ENSDARG00000078106</t>
  </si>
  <si>
    <t>ocrl</t>
  </si>
  <si>
    <t>oculocerebrorenal syndrome of Lowe [Source:ZFIN;Acc:ZDB-GENE-061110-61]</t>
  </si>
  <si>
    <t>ENSDARG00000055357</t>
  </si>
  <si>
    <t>leo1</t>
  </si>
  <si>
    <t>LEO1 homolog, Paf1/RNA polymerase II complex component [Source:ZFIN;Acc:ZDB-GENE-040426-2435]</t>
  </si>
  <si>
    <t>ENSDARG00000070164</t>
  </si>
  <si>
    <t>ubr2</t>
  </si>
  <si>
    <t>ubiquitin protein ligase E3 component n-recognin 2 [Source:ZFIN;Acc:ZDB-GENE-081107-29]</t>
  </si>
  <si>
    <t>ENSDARG00000088165</t>
  </si>
  <si>
    <t>si:dkey-206f10.5</t>
  </si>
  <si>
    <t>si:dkey-206f10.5 [Source:ZFIN;Acc:ZDB-GENE-041014-79]</t>
  </si>
  <si>
    <t>ENSDARG00000003829</t>
  </si>
  <si>
    <t>galnt2</t>
  </si>
  <si>
    <t>UDP-N-acetyl-alpha-D-galactosamine:polypeptide N-acetylgalactosaminyltransferase 2 [Source:ZFIN;Acc:ZDB-GENE-041111-110]</t>
  </si>
  <si>
    <t>ENSDARG00000096037</t>
  </si>
  <si>
    <t>si:ch211-214j24.14</t>
  </si>
  <si>
    <t>si:ch211-214j24.14 [Source:ZFIN;Acc:ZDB-GENE-110914-226]</t>
  </si>
  <si>
    <t>ENSDARG00000100515</t>
  </si>
  <si>
    <t>dusp1</t>
  </si>
  <si>
    <t>dual specificity phosphatase 1 [Source:ZFIN;Acc:ZDB-GENE-040426-2018]</t>
  </si>
  <si>
    <t>ENSDARG00000053544</t>
  </si>
  <si>
    <t>hspa4l</t>
  </si>
  <si>
    <t>heat shock protein 4 like [Source:ZFIN;Acc:ZDB-GENE-030131-2412]</t>
  </si>
  <si>
    <t>ENSDARG00000077474</t>
  </si>
  <si>
    <t>PLA2R1</t>
  </si>
  <si>
    <t>si:ch211-153g16.3 [Source:ZFIN;Acc:ZDB-GENE-141216-34]</t>
  </si>
  <si>
    <t>ENSDARG00000070567</t>
  </si>
  <si>
    <t>cadpsb</t>
  </si>
  <si>
    <t>Ca2+-dependent activator protein for secretion b [Source:ZFIN;Acc:ZDB-GENE-110621-2]</t>
  </si>
  <si>
    <t>ENSDARG00000055223</t>
  </si>
  <si>
    <t>ablim2</t>
  </si>
  <si>
    <t>actin binding LIM protein family, member 2 [Source:ZFIN;Acc:ZDB-GENE-100316-5]</t>
  </si>
  <si>
    <t>ENSDARG00000036457</t>
  </si>
  <si>
    <t>cacng6a</t>
  </si>
  <si>
    <t>calcium channel, voltage-dependent, gamma subunit 6a [Source:ZFIN;Acc:ZDB-GENE-060503-440]</t>
  </si>
  <si>
    <t>ENSDARG00000098689</t>
  </si>
  <si>
    <t>ptpn23b</t>
  </si>
  <si>
    <t>protein tyrosine phosphatase, non-receptor type 23, b [Source:ZFIN;Acc:ZDB-GENE-060503-179]</t>
  </si>
  <si>
    <t>ENSDARG00000056294</t>
  </si>
  <si>
    <t>SBK1</t>
  </si>
  <si>
    <t>si:ch211-183d21.3 [Source:ZFIN;Acc:ZDB-GENE-091118-114]</t>
  </si>
  <si>
    <t>ENSDARG00000104035</t>
  </si>
  <si>
    <t>TTC16</t>
  </si>
  <si>
    <t>si:ch211-272f14.2 [Source:ZFIN;Acc:ZDB-GENE-141219-15]</t>
  </si>
  <si>
    <t>ENSDARG00000104846</t>
  </si>
  <si>
    <t>atg10</t>
  </si>
  <si>
    <t>ATG10 autophagy related 10 homolog (S. cerevisiae) [Source:ZFIN;Acc:ZDB-GENE-051030-72]</t>
  </si>
  <si>
    <t>ENSDARG00000075222</t>
  </si>
  <si>
    <t>amer2</t>
  </si>
  <si>
    <t>APC membrane recruitment protein 2 [Source:ZFIN;Acc:ZDB-GENE-070719-5]</t>
  </si>
  <si>
    <t>ENSDARG00000103522</t>
  </si>
  <si>
    <t>GRAMD3</t>
  </si>
  <si>
    <t>si:zfos-943e10.1 [Source:ZFIN;Acc:ZDB-GENE-030131-5694]</t>
  </si>
  <si>
    <t>ENSDARG00000031044</t>
  </si>
  <si>
    <t>lipg</t>
  </si>
  <si>
    <t>lipase, endothelial [Source:ZFIN;Acc:ZDB-GENE-040426-699]</t>
  </si>
  <si>
    <t>ENSDARG00000019116</t>
  </si>
  <si>
    <t>ing1</t>
  </si>
  <si>
    <t>inhibitor of growth family, member 1 [Source:ZFIN;Acc:ZDB-GENE-060421-4388]</t>
  </si>
  <si>
    <t>ENSDARG00000088639</t>
  </si>
  <si>
    <t>cdca9</t>
  </si>
  <si>
    <t>cell division cycle associated 9 [Source:ZFIN;Acc:ZDB-GENE-090706-4]</t>
  </si>
  <si>
    <t>ENSDARG00000093957</t>
  </si>
  <si>
    <t>si:dkey-251i10.2</t>
  </si>
  <si>
    <t>si:dkey-251i10.2 [Source:ZFIN;Acc:ZDB-GENE-050506-102]</t>
  </si>
  <si>
    <t>ENSDARG00000039265</t>
  </si>
  <si>
    <t>arhgap4a</t>
  </si>
  <si>
    <t>Rho GTPase activating protein 4a [Source:ZFIN;Acc:ZDB-GENE-040426-1229]</t>
  </si>
  <si>
    <t>ENSDARG00000060849</t>
  </si>
  <si>
    <t>dlgap4a</t>
  </si>
  <si>
    <t>discs, large (Drosophila) homolog-associated protein 4a [Source:ZFIN;Acc:ZDB-GENE-080219-51]</t>
  </si>
  <si>
    <t>ENSDARG00000043323</t>
  </si>
  <si>
    <t>lnx1</t>
  </si>
  <si>
    <t>ligand of numb-protein X 1 [Source:ZFIN;Acc:ZDB-GENE-030131-9439]</t>
  </si>
  <si>
    <t>ENSDARG00000012840</t>
  </si>
  <si>
    <t>alg9</t>
  </si>
  <si>
    <t>ALG9, alpha-1,2-mannosyltransferase [Source:ZFIN;Acc:ZDB-GENE-040426-1270]</t>
  </si>
  <si>
    <t>ENSDARG00000035990</t>
  </si>
  <si>
    <t>cited4a</t>
  </si>
  <si>
    <t>Cbp/p300-interacting transactivator, with Glu/Asp-rich carboxy-terminal domain, 4a [Source:ZFIN;Acc:ZDB-GENE-030131-7661]</t>
  </si>
  <si>
    <t>ENSDARG00000099478</t>
  </si>
  <si>
    <t>hs2st1a</t>
  </si>
  <si>
    <t>heparan sulfate 2-O-sulfotransferase 1a [Source:ZFIN;Acc:ZDB-GENE-070112-2312]</t>
  </si>
  <si>
    <t>ENSDARG00000006981</t>
  </si>
  <si>
    <t>ccdc113</t>
  </si>
  <si>
    <t>coiled-coil domain containing 113 [Source:ZFIN;Acc:ZDB-GENE-041010-163]</t>
  </si>
  <si>
    <t>ENSDARG00000103600</t>
  </si>
  <si>
    <t>st8sia4</t>
  </si>
  <si>
    <t>ST8 alpha-N-acetyl-neuraminide alpha-2,8-sialyltransferase 4 [Source:ZFIN;Acc:ZDB-GENE-060322-10]</t>
  </si>
  <si>
    <t>ENSDARG00000074675</t>
  </si>
  <si>
    <t>pan2</t>
  </si>
  <si>
    <t>PAN2 poly(A) specific ribonuclease subunit homolog (S. cerevisiae) [Source:ZFIN;Acc:ZDB-GENE-030131-3113]</t>
  </si>
  <si>
    <t>ENSDARG00000057101</t>
  </si>
  <si>
    <t>rnf180</t>
  </si>
  <si>
    <t>ring finger protein 180 [Source:ZFIN;Acc:ZDB-GENE-040426-1620]</t>
  </si>
  <si>
    <t>ENSDARG00000062401</t>
  </si>
  <si>
    <t>znf319</t>
  </si>
  <si>
    <t>zinc finger protein 319 [Source:ZFIN;Acc:ZDB-GENE-090406-2]</t>
  </si>
  <si>
    <t>ENSDARG00000093622</t>
  </si>
  <si>
    <t>spc24</t>
  </si>
  <si>
    <t>SPC24, NDC80 kinetochore complex component, homolog (S. cerevisiae) [Source:ZFIN;Acc:ZDB-GENE-050522-456]</t>
  </si>
  <si>
    <t>ENSDARG00000042489</t>
  </si>
  <si>
    <t>prkrira</t>
  </si>
  <si>
    <t>protein-kinase, interferon-inducible double stranded RNA dependent inhibitor, repressor of (P58 repressor) a [Source:ZFIN;Acc:ZDB-GENE-040426-2045]</t>
  </si>
  <si>
    <t>ENSDARG00000104487</t>
  </si>
  <si>
    <t>mthfs</t>
  </si>
  <si>
    <t>5,10-methenyltetrahydrofolate synthetase (5-formyltetrahydrofolate cyclo-ligase) [Source:ZFIN;Acc:ZDB-GENE-130103-5]</t>
  </si>
  <si>
    <t>ENSDARG00000103528</t>
  </si>
  <si>
    <t>si:ch73-209e20.6</t>
  </si>
  <si>
    <t>si:ch73-209e20.6 [Source:ZFIN;Acc:ZDB-GENE-120215-114]</t>
  </si>
  <si>
    <t>ENSDARG00000100170</t>
  </si>
  <si>
    <t>pam</t>
  </si>
  <si>
    <t>peptidylglycine alpha-amidating monooxygenase [Source:ZFIN;Acc:ZDB-GENE-090313-384]</t>
  </si>
  <si>
    <t>ENSDARG00000088315</t>
  </si>
  <si>
    <t>si:ch211-103f14.3</t>
  </si>
  <si>
    <t>si:ch211-103f14.3 [Source:ZFIN;Acc:ZDB-GENE-110411-160]</t>
  </si>
  <si>
    <t>ENSDARG00000042128</t>
  </si>
  <si>
    <t>pacsin1b</t>
  </si>
  <si>
    <t>protein kinase C and casein kinase substrate in neurons 1b [Source:ZFIN;Acc:ZDB-GENE-050913-35]</t>
  </si>
  <si>
    <t>ENSDARG00000060569</t>
  </si>
  <si>
    <t>tmem229b</t>
  </si>
  <si>
    <t>transmembrane protein 229B [Source:ZFIN;Acc:ZDB-GENE-060929-1154]</t>
  </si>
  <si>
    <t>ENSDARG00000104169</t>
  </si>
  <si>
    <t>ZNF638</t>
  </si>
  <si>
    <t>si:ch211-212k18.4 [Source:ZFIN;Acc:ZDB-GENE-141216-265]</t>
  </si>
  <si>
    <t>ENSDARG00000015392</t>
  </si>
  <si>
    <t>dhx15</t>
  </si>
  <si>
    <t>DEAH (Asp-Glu-Ala-His) box helicase 15 [Source:ZFIN;Acc:ZDB-GENE-030131-650]</t>
  </si>
  <si>
    <t>ENSDARG00000105116</t>
  </si>
  <si>
    <t>p4hb</t>
  </si>
  <si>
    <t>prolyl 4-hydroxylase, beta polypeptide [Source:ZFIN;Acc:ZDB-GENE-080610-1]</t>
  </si>
  <si>
    <t>ENSDARG00000079255</t>
  </si>
  <si>
    <t>zgc:174935</t>
  </si>
  <si>
    <t>zgc:174935 [Source:ZFIN;Acc:ZDB-GENE-080204-78]</t>
  </si>
  <si>
    <t>ENSDARG00000013128</t>
  </si>
  <si>
    <t>pdk1</t>
  </si>
  <si>
    <t>pyruvate dehydrogenase kinase, isozyme 1 [Source:ZFIN;Acc:ZDB-GENE-091204-402]</t>
  </si>
  <si>
    <t>ENSDARG00000053113</t>
  </si>
  <si>
    <t>ly75</t>
  </si>
  <si>
    <t>lymphocyte antigen 75 [Source:ZFIN;Acc:ZDB-GENE-050309-166]</t>
  </si>
  <si>
    <t>ENSDARG00000053918</t>
  </si>
  <si>
    <t>srfa</t>
  </si>
  <si>
    <t>serum response factor a [Source:ZFIN;Acc:ZDB-GENE-990714-29]</t>
  </si>
  <si>
    <t>ENSDARG00000092448</t>
  </si>
  <si>
    <t>si:dkey-220o10.1</t>
  </si>
  <si>
    <t>si:dkey-220o10.1 [Source:ZFIN;Acc:ZDB-GENE-060531-108]</t>
  </si>
  <si>
    <t>ENSDARG00000076182</t>
  </si>
  <si>
    <t>stat1b</t>
  </si>
  <si>
    <t>signal transducer and activator of transcription 1b [Source:ZFIN;Acc:ZDB-GENE-030616-23]</t>
  </si>
  <si>
    <t>ENSDARG00000061986</t>
  </si>
  <si>
    <t>tbc1d2b</t>
  </si>
  <si>
    <t>TBC1 domain family, member 2B [Source:ZFIN;Acc:ZDB-GENE-100922-148]</t>
  </si>
  <si>
    <t>ENSDARG00000097530</t>
  </si>
  <si>
    <t>XKR5</t>
  </si>
  <si>
    <t>X-linked Kx blood group related 5 [Source:HGNC Symbol;Acc:HGNC:20782]</t>
  </si>
  <si>
    <t>ENSDARG00000070012</t>
  </si>
  <si>
    <t>sesn2</t>
  </si>
  <si>
    <t>sestrin 2 [Source:ZFIN;Acc:ZDB-GENE-070108-1]</t>
  </si>
  <si>
    <t>ENSDARG00000043242</t>
  </si>
  <si>
    <t>si:dkey-222f2.1</t>
  </si>
  <si>
    <t>si:dkey-222f2.1 [Source:ZFIN;Acc:ZDB-GENE-050208-726]</t>
  </si>
  <si>
    <t>ENSDARG00000079698</t>
  </si>
  <si>
    <t>asb13a.1</t>
  </si>
  <si>
    <t>ankyrin repeat and SOCS box containing 13a, tandem duplicate 1 [Source:ZFIN;Acc:ZDB-GENE-040718-261]</t>
  </si>
  <si>
    <t>ENSDARG00000062823</t>
  </si>
  <si>
    <t>pi4kab</t>
  </si>
  <si>
    <t>phosphatidylinositol 4-kinase, catalytic, alpha b [Source:ZFIN;Acc:ZDB-GENE-080220-34]</t>
  </si>
  <si>
    <t>ENSDARG00000096832</t>
  </si>
  <si>
    <t>si:dkey-183k8.1</t>
  </si>
  <si>
    <t>si:dkey-183k8.1 [Source:ZFIN;Acc:ZDB-GENE-131127-638]</t>
  </si>
  <si>
    <t>ENSDARG00000015931</t>
  </si>
  <si>
    <t>SNAP91</t>
  </si>
  <si>
    <t>si:ch211-214j24.9 [Source:ZFIN;Acc:ZDB-GENE-041210-81]</t>
  </si>
  <si>
    <t>ENSDARG00000078215</t>
  </si>
  <si>
    <t>rbsn</t>
  </si>
  <si>
    <t>rabenosyn, RAB effector [Source:ZFIN;Acc:ZDB-GENE-100525-1]</t>
  </si>
  <si>
    <t>ENSDARG00000057075</t>
  </si>
  <si>
    <t>lamtor3</t>
  </si>
  <si>
    <t>late endosomal/lysosomal adaptor, MAPK and MTOR activator 3 [Source:ZFIN;Acc:ZDB-GENE-050522-345]</t>
  </si>
  <si>
    <t>ENSDARG00000008100</t>
  </si>
  <si>
    <t>slc7a10a</t>
  </si>
  <si>
    <t>solute carrier family 7 (neutral amino acid transporter light chain, asc system), member 10a [Source:ZFIN;Acc:ZDB-GENE-080116-1]</t>
  </si>
  <si>
    <t>ENSDARG00000097527</t>
  </si>
  <si>
    <t>si:ch73-56d11.3</t>
  </si>
  <si>
    <t>si:ch73-56d11.3 [Source:ZFIN;Acc:ZDB-GENE-131126-22]</t>
  </si>
  <si>
    <t>ENSDARG00000001788</t>
  </si>
  <si>
    <t>atp5o</t>
  </si>
  <si>
    <t>ATP synthase, H+ transporting, mitochondrial F1 complex, O subunit [Source:ZFIN;Acc:ZDB-GENE-050522-147]</t>
  </si>
  <si>
    <t>ENSDARG00000044191</t>
  </si>
  <si>
    <t>gxylt2</t>
  </si>
  <si>
    <t>glucoside xylosyltransferase 2 [Source:ZFIN;Acc:ZDB-GENE-070424-64]</t>
  </si>
  <si>
    <t>ENSDARG00000028507</t>
  </si>
  <si>
    <t>itgb4</t>
  </si>
  <si>
    <t>integrin, beta 4 [Source:ZFIN;Acc:ZDB-GENE-030131-7209]</t>
  </si>
  <si>
    <t>ENSDARG00000098313</t>
  </si>
  <si>
    <t>nadka</t>
  </si>
  <si>
    <t>NAD kinase a [Source:ZFIN;Acc:ZDB-GENE-050417-39]</t>
  </si>
  <si>
    <t>ENSDARG00000017329</t>
  </si>
  <si>
    <t>cdkl1</t>
  </si>
  <si>
    <t>cyclin-dependent kinase-like 1 (CDC2-related kinase) [Source:ZFIN;Acc:ZDB-GENE-040808-34]</t>
  </si>
  <si>
    <t>ENSDARG00000055524</t>
  </si>
  <si>
    <t>rnf7</t>
  </si>
  <si>
    <t>ring finger protein 7 [Source:ZFIN;Acc:ZDB-GENE-050220-12]</t>
  </si>
  <si>
    <t>ENSDARG00000070029</t>
  </si>
  <si>
    <t>ehhadh</t>
  </si>
  <si>
    <t>enoyl-CoA, hydratase/3-hydroxyacyl CoA dehydrogenase [Source:ZFIN;Acc:ZDB-GENE-040426-2581]</t>
  </si>
  <si>
    <t>ENSDARG00000101688</t>
  </si>
  <si>
    <t>si:dkey-207l24.2</t>
  </si>
  <si>
    <t>si:dkey-207l24.2 [Source:ZFIN;Acc:ZDB-GENE-131125-92]</t>
  </si>
  <si>
    <t>ENSDARG00000026165</t>
  </si>
  <si>
    <t>col11a1a</t>
  </si>
  <si>
    <t>collagen, type XI, alpha 1a [Source:ZFIN;Acc:ZDB-GENE-070209-167]</t>
  </si>
  <si>
    <t>ENSDARG00000002872</t>
  </si>
  <si>
    <t>zgc:113210</t>
  </si>
  <si>
    <t>zgc:113210 [Source:ZFIN;Acc:ZDB-GENE-050320-83]</t>
  </si>
  <si>
    <t>ENSDARG00000095322</t>
  </si>
  <si>
    <t>fkbpl</t>
  </si>
  <si>
    <t>FK506 binding protein like [Source:ZFIN;Acc:ZDB-GENE-030131-4744]</t>
  </si>
  <si>
    <t>ENSDARG00000057497</t>
  </si>
  <si>
    <t>stk35l</t>
  </si>
  <si>
    <t>serine/threonine kinase 35, like [Source:ZFIN;Acc:ZDB-GENE-041212-52]</t>
  </si>
  <si>
    <t>ENSDARG00000041991</t>
  </si>
  <si>
    <t>rrp9</t>
  </si>
  <si>
    <t>ribosomal RNA processing 9, small subunit (SSU) processome component, homolog (yeast) [Source:ZFIN;Acc:ZDB-GENE-060427-1]</t>
  </si>
  <si>
    <t>ENSDARG00000006900</t>
  </si>
  <si>
    <t>impdh2</t>
  </si>
  <si>
    <t>IMP (inosine 5'-monophosphate) dehydrogenase 2 [Source:ZFIN;Acc:ZDB-GENE-030114-5]</t>
  </si>
  <si>
    <t>ENSDARG00000054252</t>
  </si>
  <si>
    <t>taar18d</t>
  </si>
  <si>
    <t>trace amine associated receptor 18d [Source:ZFIN;Acc:ZDB-GENE-060413-12]</t>
  </si>
  <si>
    <t>ENSDARG00000045850</t>
  </si>
  <si>
    <t>ccdc167</t>
  </si>
  <si>
    <t>coiled-coil domain containing 167 [Source:ZFIN;Acc:ZDB-GENE-041210-79]</t>
  </si>
  <si>
    <t>ENSDARG00000091657</t>
  </si>
  <si>
    <t>vrk1.1</t>
  </si>
  <si>
    <t>ENSDARG00000070472</t>
  </si>
  <si>
    <t>ARF5</t>
  </si>
  <si>
    <t>zgc:77650 [Source:ZFIN;Acc:ZDB-GENE-030131-6151]</t>
  </si>
  <si>
    <t>ENSDARG00000079378</t>
  </si>
  <si>
    <t>phldb1b</t>
  </si>
  <si>
    <t>pleckstrin homology-like domain, family B, member 1b [Source:ZFIN;Acc:ZDB-GENE-121114-8]</t>
  </si>
  <si>
    <t>ENSDARG00000016429</t>
  </si>
  <si>
    <t>farp2</t>
  </si>
  <si>
    <t>FERM, RhoGEF and pleckstrin domain protein 2 [Source:ZFIN;Acc:ZDB-GENE-030131-2993]</t>
  </si>
  <si>
    <t>ENSDARG00000060471</t>
  </si>
  <si>
    <t>gcnt3</t>
  </si>
  <si>
    <t>glucosaminyl (N-acetyl) transferase 3, mucin type [Source:ZFIN;Acc:ZDB-GENE-110411-253]</t>
  </si>
  <si>
    <t>ENSDARG00000095879</t>
  </si>
  <si>
    <t>wdr46</t>
  </si>
  <si>
    <t>WD repeat domain 46 [Source:ZFIN;Acc:ZDB-GENE-040426-1264]</t>
  </si>
  <si>
    <t>ENSDARG00000021208</t>
  </si>
  <si>
    <t>serpind1</t>
  </si>
  <si>
    <t>serpin peptidase inhibitor, clade D (heparin cofactor), member 1 [Source:ZFIN;Acc:ZDB-GENE-030711-2]</t>
  </si>
  <si>
    <t>ENSDARG00000038237</t>
  </si>
  <si>
    <t>tbc1d12a</t>
  </si>
  <si>
    <t>TBC1 domain family, member 12a [Source:ZFIN;Acc:ZDB-GENE-030131-3920]</t>
  </si>
  <si>
    <t>ENSDARG00000056672</t>
  </si>
  <si>
    <t>abcb8</t>
  </si>
  <si>
    <t>ATP-binding cassette, sub-family B (MDR/TAP), member 8 [Source:ZFIN;Acc:ZDB-GENE-050410-6]</t>
  </si>
  <si>
    <t>ENSDARG00000008735</t>
  </si>
  <si>
    <t>atp6ap2</t>
  </si>
  <si>
    <t>ATPase, H+ transporting, lysosomal accessory protein 2 [Source:ZFIN;Acc:ZDB-GENE-040426-1960]</t>
  </si>
  <si>
    <t>ENSDARG00000061691</t>
  </si>
  <si>
    <t>qpctla</t>
  </si>
  <si>
    <t>glutaminyl-peptide cyclotransferase-like a [Source:ZFIN;Acc:ZDB-GENE-030131-1441]</t>
  </si>
  <si>
    <t>ENSDARG00000098574</t>
  </si>
  <si>
    <t>srsf11</t>
  </si>
  <si>
    <t>serine/arginine-rich splicing factor 11 [Source:ZFIN;Acc:ZDB-GENE-030131-605]</t>
  </si>
  <si>
    <t>ENSDARG00000063525</t>
  </si>
  <si>
    <t>adpgk</t>
  </si>
  <si>
    <t>ADP-dependent glucokinase [Source:ZFIN;Acc:ZDB-GENE-061103-421]</t>
  </si>
  <si>
    <t>ENSDARG00000070846</t>
  </si>
  <si>
    <t>dazap1</t>
  </si>
  <si>
    <t>DAZ associated protein 1 [Source:ZFIN;Acc:ZDB-GENE-070212-1]</t>
  </si>
  <si>
    <t>ENSDARG00000035914</t>
  </si>
  <si>
    <t>tmem167a</t>
  </si>
  <si>
    <t>transmembrane protein 167A [Source:ZFIN;Acc:ZDB-GENE-050320-29]</t>
  </si>
  <si>
    <t>ENSDARG00000007912</t>
  </si>
  <si>
    <t>si:ch211-196i2.1</t>
  </si>
  <si>
    <t>si:ch211-196i2.1 [Source:ZFIN;Acc:ZDB-GENE-091204-150]</t>
  </si>
  <si>
    <t>ENSDARG00000017537</t>
  </si>
  <si>
    <t>prkag3a</t>
  </si>
  <si>
    <t>protein kinase, AMP-activated, gamma 3a non-catalytic subunit [Source:ZFIN;Acc:ZDB-GENE-091204-419]</t>
  </si>
  <si>
    <t>ENSDARG00000017119</t>
  </si>
  <si>
    <t>vps37a</t>
  </si>
  <si>
    <t>vacuolar protein sorting 37A [Source:ZFIN;Acc:ZDB-GENE-030131-8312]</t>
  </si>
  <si>
    <t>ENSDARG00000006577</t>
  </si>
  <si>
    <t>nadka.1</t>
  </si>
  <si>
    <t>ENSDARG00000020956</t>
  </si>
  <si>
    <t>pck2</t>
  </si>
  <si>
    <t>phosphoenolpyruvate carboxykinase 2 (mitochondrial) [Source:ZFIN;Acc:ZDB-GENE-040426-2266]</t>
  </si>
  <si>
    <t>ENSDARG00000054199</t>
  </si>
  <si>
    <t>mthfd2l</t>
  </si>
  <si>
    <t>methylenetetrahydrofolate dehydrogenase (NADP+ dependent) 2-like [Source:ZFIN;Acc:ZDB-GENE-030131-5707]</t>
  </si>
  <si>
    <t>ENSDARG00000057100</t>
  </si>
  <si>
    <t>zwilch</t>
  </si>
  <si>
    <t>zwilch kinetochore protein [Source:ZFIN;Acc:ZDB-GENE-050420-101]</t>
  </si>
  <si>
    <t>ENSDARG00000061835</t>
  </si>
  <si>
    <t>zpld1a</t>
  </si>
  <si>
    <t>zona pellucida-like domain containing 1a [Source:ZFIN;Acc:ZDB-GENE-110411-81]</t>
  </si>
  <si>
    <t>ENSDARG00000070386</t>
  </si>
  <si>
    <t>krtcap2</t>
  </si>
  <si>
    <t>keratinocyte associated protein 2 [Source:ZFIN;Acc:ZDB-GENE-060825-91]</t>
  </si>
  <si>
    <t>ENSDARG00000086408</t>
  </si>
  <si>
    <t>si:ch211-226h8.13</t>
  </si>
  <si>
    <t>si:ch211-226h8.13 [Source:ZFIN;Acc:ZDB-GENE-050208-550]</t>
  </si>
  <si>
    <t>ENSDARG00000075621</t>
  </si>
  <si>
    <t>birc5a</t>
  </si>
  <si>
    <t>baculoviral IAP repeat containing 5a [Source:ZFIN;Acc:ZDB-GENE-030826-1]</t>
  </si>
  <si>
    <t>ENSDARG00000102820</t>
  </si>
  <si>
    <t>cib2</t>
  </si>
  <si>
    <t>calcium and integrin binding family member 2 [Source:ZFIN;Acc:ZDB-GENE-040426-1663]</t>
  </si>
  <si>
    <t>ENSDARG00000002745</t>
  </si>
  <si>
    <t>tdh</t>
  </si>
  <si>
    <t>L-threonine dehydrogenase [Source:ZFIN;Acc:ZDB-GENE-040426-2379]</t>
  </si>
  <si>
    <t>ENSDARG00000074346</t>
  </si>
  <si>
    <t>l3mbtl1b</t>
  </si>
  <si>
    <t>l(3)mbt-like 1b (Drosophila) [Source:ZFIN;Acc:ZDB-GENE-100922-38]</t>
  </si>
  <si>
    <t>ENSDARG00000100021</t>
  </si>
  <si>
    <t>hrasls</t>
  </si>
  <si>
    <t>HRAS-like suppressor [Source:ZFIN;Acc:ZDB-GENE-040718-330]</t>
  </si>
  <si>
    <t>ENSDARG00000013307</t>
  </si>
  <si>
    <t>rpl19</t>
  </si>
  <si>
    <t>ribosomal protein L19 [Source:ZFIN;Acc:ZDB-GENE-040426-2290]</t>
  </si>
  <si>
    <t>ENSDARG00000078778</t>
  </si>
  <si>
    <t>lrch1</t>
  </si>
  <si>
    <t>leucine-rich repeats and calponin homology (CH) domain containing 1 [Source:ZFIN;Acc:ZDB-GENE-030131-1783]</t>
  </si>
  <si>
    <t>ENSDARG00000075917</t>
  </si>
  <si>
    <t>cfap74</t>
  </si>
  <si>
    <t>cilia and flagella associated protein 74 [Source:ZFIN;Acc:ZDB-GENE-081104-480]</t>
  </si>
  <si>
    <t>ENSDARG00000007743</t>
  </si>
  <si>
    <t>il15l</t>
  </si>
  <si>
    <t>il15l.1</t>
  </si>
  <si>
    <t>interleukin 15, like [Source:ZFIN;Acc:ZDB-GENE-041111-173]</t>
  </si>
  <si>
    <t>ENSDARG00000003841</t>
  </si>
  <si>
    <t>usb1</t>
  </si>
  <si>
    <t>U6 snRNA biogenesis 1 [Source:ZFIN;Acc:ZDB-GENE-040801-197]</t>
  </si>
  <si>
    <t>ENSDARG00000077357</t>
  </si>
  <si>
    <t>LRRC61</t>
  </si>
  <si>
    <t>si:dkey-200j6.2 [Source:ZFIN;Acc:ZDB-GENE-110913-65]</t>
  </si>
  <si>
    <t>ENSDARG00000007807</t>
  </si>
  <si>
    <t>cyth3a</t>
  </si>
  <si>
    <t>cytohesin 3a [Source:ZFIN;Acc:ZDB-GENE-120612-1]</t>
  </si>
  <si>
    <t>ENSDARG00000100097</t>
  </si>
  <si>
    <t>mafgb</t>
  </si>
  <si>
    <t>v-maf avian musculoaponeurotic fibrosarcoma oncogene homolog Gb [Source:ZFIN;Acc:ZDB-GENE-040426-2403]</t>
  </si>
  <si>
    <t>ENSDARG00000105394</t>
  </si>
  <si>
    <t>gemin6</t>
  </si>
  <si>
    <t>gem (nuclear organelle) associated protein 6 [Source:ZFIN;Acc:ZDB-GENE-090218-1]</t>
  </si>
  <si>
    <t>ENSDARG00000068966</t>
  </si>
  <si>
    <t>si:ch211-261n11.7</t>
  </si>
  <si>
    <t>si:ch211-261n11.7 [Source:ZFIN;Acc:ZDB-GENE-081105-144]</t>
  </si>
  <si>
    <t>ENSDARG00000035823</t>
  </si>
  <si>
    <t>zmym4</t>
  </si>
  <si>
    <t>zinc finger, MYM-type 4 [Source:ZFIN;Acc:ZDB-GENE-030131-5459]</t>
  </si>
  <si>
    <t>ENSDARG00000104130</t>
  </si>
  <si>
    <t>rbm26</t>
  </si>
  <si>
    <t>RNA binding motif protein 26 [Source:ZFIN;Acc:ZDB-GENE-050706-50]</t>
  </si>
  <si>
    <t>ENSDARG00000011418</t>
  </si>
  <si>
    <t>sigmar1</t>
  </si>
  <si>
    <t>sigma non-opioid intracellular receptor 1 [Source:ZFIN;Acc:ZDB-GENE-040426-1006]</t>
  </si>
  <si>
    <t>ENSDARG00000103831</t>
  </si>
  <si>
    <t>ankrd13c</t>
  </si>
  <si>
    <t>ankyrin repeat domain 13C [Source:ZFIN;Acc:ZDB-GENE-030131-3892]</t>
  </si>
  <si>
    <t>ENSDARG00000035622</t>
  </si>
  <si>
    <t>xbp1</t>
  </si>
  <si>
    <t>X-box binding protein 1 [Source:ZFIN;Acc:ZDB-GENE-011210-2]</t>
  </si>
  <si>
    <t>ENSDARG00000006434</t>
  </si>
  <si>
    <t>polr1e</t>
  </si>
  <si>
    <t>polymerase (RNA) I polypeptide E [Source:ZFIN;Acc:ZDB-GENE-050522-251]</t>
  </si>
  <si>
    <t>ENSDARG00000053716</t>
  </si>
  <si>
    <t>NAIF1.1</t>
  </si>
  <si>
    <t>zgc:153990 [Source:ZFIN;Acc:ZDB-GENE-061013-144]</t>
  </si>
  <si>
    <t>ENSDARG00000042520</t>
  </si>
  <si>
    <t>UTP14C</t>
  </si>
  <si>
    <t>si:dkey-251i10.3 [Source:ZFIN;Acc:ZDB-GENE-060526-271]</t>
  </si>
  <si>
    <t>ENSDARG00000043275</t>
  </si>
  <si>
    <t>mgmt</t>
  </si>
  <si>
    <t>O-6-methylguanine-DNA methyltransferase [Source:ZFIN;Acc:ZDB-GENE-120614-1]</t>
  </si>
  <si>
    <t>ENSDARG00000100047</t>
  </si>
  <si>
    <t>ergic1</t>
  </si>
  <si>
    <t>endoplasmic reticulum-golgi intermediate compartment 1 [Source:ZFIN;Acc:ZDB-GENE-050913-75]</t>
  </si>
  <si>
    <t>ENSDARG00000071548</t>
  </si>
  <si>
    <t>josd1</t>
  </si>
  <si>
    <t>Josephin domain containing 1 [Source:ZFIN;Acc:ZDB-GENE-060929-260]</t>
  </si>
  <si>
    <t>ENSDARG00000104992</t>
  </si>
  <si>
    <t>epgn</t>
  </si>
  <si>
    <t>epithelial mitogen homolog (mouse) [Source:ZFIN;Acc:ZDB-GENE-100426-1]</t>
  </si>
  <si>
    <t>ENSDARG00000020467</t>
  </si>
  <si>
    <t>safb</t>
  </si>
  <si>
    <t>scaffold attachment factor B [Source:ZFIN;Acc:ZDB-GENE-030131-698]</t>
  </si>
  <si>
    <t>ENSDARG00000088908</t>
  </si>
  <si>
    <t>si:ch73-281f12.3</t>
  </si>
  <si>
    <t>si:ch73-281f12.3 [Source:ZFIN;Acc:ZDB-GENE-131122-19]</t>
  </si>
  <si>
    <t>ENSDARG00000059001</t>
  </si>
  <si>
    <t>pim2</t>
  </si>
  <si>
    <t>Pim-2 proto-oncogene, serine/threonine kinase [Source:ZFIN;Acc:ZDB-GENE-000831-6]</t>
  </si>
  <si>
    <t>ENSDARG00000011334</t>
  </si>
  <si>
    <t>ncaldb</t>
  </si>
  <si>
    <t>neurocalcin delta b [Source:ZFIN;Acc:ZDB-GENE-040808-37]</t>
  </si>
  <si>
    <t>ENSDARG00000006408</t>
  </si>
  <si>
    <t>hmgb3b</t>
  </si>
  <si>
    <t>high mobility group box 3b [Source:ZFIN;Acc:ZDB-GENE-050417-290]</t>
  </si>
  <si>
    <t>ENSDARG00000099379</t>
  </si>
  <si>
    <t>ppp4r1l</t>
  </si>
  <si>
    <t>protein phosphatase 4, regulatory subunit 1-like [Source:ZFIN;Acc:ZDB-GENE-121022-4]</t>
  </si>
  <si>
    <t>ENSDARG00000098359</t>
  </si>
  <si>
    <t>il17rd</t>
  </si>
  <si>
    <t>interleukin 17 receptor D [Source:ZFIN;Acc:ZDB-GENE-020320-5]</t>
  </si>
  <si>
    <t>ENSDARG00000098639</t>
  </si>
  <si>
    <t>pycr1b</t>
  </si>
  <si>
    <t>pyrroline-5-carboxylate reductase 1b [Source:ZFIN;Acc:ZDB-GENE-050522-26]</t>
  </si>
  <si>
    <t>ENSDARG00000005425</t>
  </si>
  <si>
    <t>wdfy1</t>
  </si>
  <si>
    <t>WD repeat and FYVE domain containing 1 [Source:ZFIN;Acc:ZDB-GENE-041024-4]</t>
  </si>
  <si>
    <t>ENSDARG00000015805</t>
  </si>
  <si>
    <t>cgnl1</t>
  </si>
  <si>
    <t>cingulin-like 1 [Source:ZFIN;Acc:ZDB-GENE-071009-2]</t>
  </si>
  <si>
    <t>ENSDARG00000090871</t>
  </si>
  <si>
    <t>si:dkey-210j14.4</t>
  </si>
  <si>
    <t>si:dkey-210j14.4 [Source:ZFIN;Acc:ZDB-GENE-131121-333]</t>
  </si>
  <si>
    <t>ENSDARG00000089418</t>
  </si>
  <si>
    <t>si:dkey-164f24.2</t>
  </si>
  <si>
    <t>si:dkey-164f24.2 [Source:ZFIN;Acc:ZDB-GENE-030131-7035]</t>
  </si>
  <si>
    <t>ENSDARG00000103619</t>
  </si>
  <si>
    <t>si:ch73-238c9.1</t>
  </si>
  <si>
    <t>si:ch73-238c9.1 [Source:ZFIN;Acc:ZDB-GENE-131121-81]</t>
  </si>
  <si>
    <t>ENSDARG00000015144</t>
  </si>
  <si>
    <t>sh2d4bb</t>
  </si>
  <si>
    <t>SH2 domain containing 4Bb [Source:ZFIN;Acc:ZDB-GENE-130531-42]</t>
  </si>
  <si>
    <t>ENSDARG00000002571</t>
  </si>
  <si>
    <t>tmod2</t>
  </si>
  <si>
    <t>tropomodulin 2 [Source:ZFIN;Acc:ZDB-GENE-040912-185]</t>
  </si>
  <si>
    <t>ENSDARG00000014230</t>
  </si>
  <si>
    <t>dlst</t>
  </si>
  <si>
    <t>dihydrolipoamide S-succinyltransferase [Source:ZFIN;Acc:ZDB-GENE-030326-1]</t>
  </si>
  <si>
    <t>ENSDARG00000010732</t>
  </si>
  <si>
    <t>xrcc4</t>
  </si>
  <si>
    <t>X-ray repair complementing defective repair in Chinese hamster cells 4 [Source:ZFIN;Acc:ZDB-GENE-040426-1755]</t>
  </si>
  <si>
    <t>ENSDARG00000079391</t>
  </si>
  <si>
    <t>mrpl42</t>
  </si>
  <si>
    <t>mitochondrial ribosomal protein L42 [Source:ZFIN;Acc:ZDB-GENE-101014-1]</t>
  </si>
  <si>
    <t>ENSDARG00000011652</t>
  </si>
  <si>
    <t>si:zfos-979f1.2</t>
  </si>
  <si>
    <t>si:zfos-979f1.2 [Source:ZFIN;Acc:ZDB-GENE-091204-441]</t>
  </si>
  <si>
    <t>ENSDARG00000101309</t>
  </si>
  <si>
    <t>CCP110</t>
  </si>
  <si>
    <t>si:ch73-100l22.3 [Source:ZFIN;Acc:ZDB-GENE-141222-74]</t>
  </si>
  <si>
    <t>ENSDARG00000040991</t>
  </si>
  <si>
    <t>cttnbp2</t>
  </si>
  <si>
    <t>cortactin binding protein 2 [Source:ZFIN;Acc:ZDB-GENE-030131-8134]</t>
  </si>
  <si>
    <t>ENSDARG00000045342</t>
  </si>
  <si>
    <t>si:ch211-140b10.6</t>
  </si>
  <si>
    <t>si:ch211-140b10.6 [Source:ZFIN;Acc:ZDB-GENE-091204-382]</t>
  </si>
  <si>
    <t>ENSDARG00000054609</t>
  </si>
  <si>
    <t>slco2b1</t>
  </si>
  <si>
    <t>solute carrier organic anion transporter family, member 2B1 [Source:ZFIN;Acc:ZDB-GENE-051023-6]</t>
  </si>
  <si>
    <t>ENSDARG00000031814</t>
  </si>
  <si>
    <t>dhrs13b</t>
  </si>
  <si>
    <t>dehydrogenase/reductase (SDR family) member 13b [Source:ZFIN;Acc:ZDB-GENE-040801-253]</t>
  </si>
  <si>
    <t>ENSDARG00000037350</t>
  </si>
  <si>
    <t>rpl9</t>
  </si>
  <si>
    <t>ribosomal protein L9 [Source:ZFIN;Acc:ZDB-GENE-030131-8646]</t>
  </si>
  <si>
    <t>ENSDARG00000058381</t>
  </si>
  <si>
    <t>zgc:171775</t>
  </si>
  <si>
    <t>zgc:171775 [Source:ZFIN;Acc:ZDB-GENE-030131-4309]</t>
  </si>
  <si>
    <t>ENSDARG00000057255</t>
  </si>
  <si>
    <t>emc1</t>
  </si>
  <si>
    <t>ER membrane protein complex subunit 1 [Source:ZFIN;Acc:ZDB-GENE-060810-98]</t>
  </si>
  <si>
    <t>ENSDARG00000058094</t>
  </si>
  <si>
    <t>ciarta</t>
  </si>
  <si>
    <t>circadian associated repressor of transcription a [Source:ZFIN;Acc:ZDB-GENE-030131-7016]</t>
  </si>
  <si>
    <t>ENSDARG00000008568</t>
  </si>
  <si>
    <t>slc25a24</t>
  </si>
  <si>
    <t>solute carrier family 25 (mitochondrial carrier; phosphate carrier), member 24 [Source:ZFIN;Acc:ZDB-GENE-040912-183]</t>
  </si>
  <si>
    <t>ENSDARG00000008946</t>
  </si>
  <si>
    <t>ccdc127b</t>
  </si>
  <si>
    <t>coiled-coil domain containing 127b [Source:ZFIN;Acc:ZDB-GENE-060503-656]</t>
  </si>
  <si>
    <t>ENSDARG00000037158</t>
  </si>
  <si>
    <t>rcc1</t>
  </si>
  <si>
    <t>regulator of chromosome condensation 1 [Source:ZFIN;Acc:ZDB-GENE-040426-2216]</t>
  </si>
  <si>
    <t>ENSDARG00000012866</t>
  </si>
  <si>
    <t>picalma</t>
  </si>
  <si>
    <t>phosphatidylinositol binding clathrin assembly protein a [Source:ZFIN;Acc:ZDB-GENE-040426-761]</t>
  </si>
  <si>
    <t>ENSDARG00000095796</t>
  </si>
  <si>
    <t>si:dkey-87o1.2</t>
  </si>
  <si>
    <t>si:dkey-87o1.2 [Source:ZFIN;Acc:ZDB-GENE-110411-217]</t>
  </si>
  <si>
    <t>ENSDARG00000003462</t>
  </si>
  <si>
    <t>fech</t>
  </si>
  <si>
    <t>ferrochelatase [Source:ZFIN;Acc:ZDB-GENE-000928-1]</t>
  </si>
  <si>
    <t>ENSDARG00000040666</t>
  </si>
  <si>
    <t>nifk</t>
  </si>
  <si>
    <t>nucleolar protein interacting with the FHA domain of MKI67 [Source:ZFIN;Acc:ZDB-GENE-021231-4]</t>
  </si>
  <si>
    <t>ENSDARG00000012513</t>
  </si>
  <si>
    <t>sdcbp2</t>
  </si>
  <si>
    <t>syndecan binding protein (syntenin) 2 [Source:ZFIN;Acc:ZDB-GENE-030131-3727]</t>
  </si>
  <si>
    <t>ENSDARG00000030700</t>
  </si>
  <si>
    <t>ctps1a</t>
  </si>
  <si>
    <t>CTP synthase 1a [Source:ZFIN;Acc:ZDB-GENE-030131-808]</t>
  </si>
  <si>
    <t>ENSDARG00000042458</t>
  </si>
  <si>
    <t>rfc4</t>
  </si>
  <si>
    <t>replication factor C (activator 1) 4 [Source:ZFIN;Acc:ZDB-GENE-040824-3]</t>
  </si>
  <si>
    <t>ENSDARG00000058606</t>
  </si>
  <si>
    <t>sik1</t>
  </si>
  <si>
    <t>salt-inducible kinase 1 [Source:ZFIN;Acc:ZDB-GENE-030131-9446]</t>
  </si>
  <si>
    <t>ENSDARG00000041306</t>
  </si>
  <si>
    <t>mrps25</t>
  </si>
  <si>
    <t>mitochondrial ribosomal protein S25 [Source:ZFIN;Acc:ZDB-GENE-050417-52]</t>
  </si>
  <si>
    <t>ENSDARG00000095556</t>
  </si>
  <si>
    <t>si:dkey-238c7.12</t>
  </si>
  <si>
    <t>si:dkey-238c7.12 [Source:ZFIN;Acc:ZDB-GENE-030131-8330]</t>
  </si>
  <si>
    <t>ENSDARG00000102630</t>
  </si>
  <si>
    <t>zgc:56628</t>
  </si>
  <si>
    <t>zgc:56628 [Source:ZFIN;Acc:ZDB-GENE-040426-1099]</t>
  </si>
  <si>
    <t>ENSDARG00000042477</t>
  </si>
  <si>
    <t>nr2c2</t>
  </si>
  <si>
    <t>nuclear receptor subfamily 2, group C, member 2 [Source:ZFIN;Acc:ZDB-GENE-080403-8]</t>
  </si>
  <si>
    <t>ENSDARG00000041896</t>
  </si>
  <si>
    <t>dnajc5ga</t>
  </si>
  <si>
    <t>DnaJ (Hsp40) homolog, subfamily C, member 5 gamma a [Source:ZFIN;Acc:ZDB-GENE-030131-1583]</t>
  </si>
  <si>
    <t>ENSDARG00000039616</t>
  </si>
  <si>
    <t>cenpk</t>
  </si>
  <si>
    <t>centromere protein K [Source:ZFIN;Acc:ZDB-GENE-090313-204]</t>
  </si>
  <si>
    <t>ENSDARG00000074396</t>
  </si>
  <si>
    <t>fscn2b</t>
  </si>
  <si>
    <t>fascin actin-bundling protein 2b, retinal [Source:ZFIN;Acc:ZDB-GENE-040426-1740]</t>
  </si>
  <si>
    <t>ENSDARG00000095510</t>
  </si>
  <si>
    <t>si:ch211-10d23.5</t>
  </si>
  <si>
    <t>si:ch211-10d23.5 [Source:ZFIN;Acc:ZDB-GENE-090313-10]</t>
  </si>
  <si>
    <t>ENSDARG00000101750</t>
  </si>
  <si>
    <t>si:ch211-196p9.1</t>
  </si>
  <si>
    <t>si:ch211-196p9.1 [Source:ZFIN;Acc:ZDB-GENE-141216-207]</t>
  </si>
  <si>
    <t>ENSDARG00000029353</t>
  </si>
  <si>
    <t>serpine2</t>
  </si>
  <si>
    <t>serpin peptidase inhibitor, clade E (nexin, plasminogen activator inhibitor type 1), member 2 [Source:ZFIN;Acc:ZDB-GENE-040426-848]</t>
  </si>
  <si>
    <t>ENSDARG00000078805</t>
  </si>
  <si>
    <t>ap5b1</t>
  </si>
  <si>
    <t>adaptor-related protein complex 5, beta 1 subunit [Source:ZFIN;Acc:ZDB-GENE-131121-204]</t>
  </si>
  <si>
    <t>ENSDARG00000098118</t>
  </si>
  <si>
    <t>trappc10</t>
  </si>
  <si>
    <t>trafficking protein particle complex 10 [Source:ZFIN;Acc:ZDB-GENE-131115-1]</t>
  </si>
  <si>
    <t>ENSDARG00000045465</t>
  </si>
  <si>
    <t>lancl2</t>
  </si>
  <si>
    <t>LanC lantibiotic synthetase component C-like 2 (bacterial) [Source:ZFIN;Acc:ZDB-GENE-070209-191]</t>
  </si>
  <si>
    <t>ENSDARG00000089296</t>
  </si>
  <si>
    <t>si:dkey-240n22.6</t>
  </si>
  <si>
    <t>si:dkey-240n22.6 [Source:ZFIN;Acc:ZDB-GENE-070705-411]</t>
  </si>
  <si>
    <t>ENSDARG00000069795</t>
  </si>
  <si>
    <t>zgc:154058</t>
  </si>
  <si>
    <t>zgc:154058 [Source:ZFIN;Acc:ZDB-GENE-060929-48]</t>
  </si>
  <si>
    <t>ENSDARG00000031049</t>
  </si>
  <si>
    <t>igsf21a</t>
  </si>
  <si>
    <t>immunoglobin superfamily, member 21a [Source:ZFIN;Acc:ZDB-GENE-050809-118]</t>
  </si>
  <si>
    <t>ENSDARG00000030933</t>
  </si>
  <si>
    <t>ksr1b</t>
  </si>
  <si>
    <t>kinase suppressor of ras 1b [Source:ZFIN;Acc:ZDB-GENE-040724-45]</t>
  </si>
  <si>
    <t>ENSDARG00000003217</t>
  </si>
  <si>
    <t>urb2</t>
  </si>
  <si>
    <t>URB2 ribosome biogenesis 2 homolog (S. cerevisiae) [Source:ZFIN;Acc:ZDB-GENE-030131-2621]</t>
  </si>
  <si>
    <t>ENSDARG00000095013</t>
  </si>
  <si>
    <t>si:dkey-240n22.3</t>
  </si>
  <si>
    <t>si:dkey-240n22.3 [Source:ZFIN;Acc:ZDB-GENE-070705-409]</t>
  </si>
  <si>
    <t>ENSDARG00000077926</t>
  </si>
  <si>
    <t>si:dkey-48p11.3</t>
  </si>
  <si>
    <t>si:dkey-48p11.3 [Source:ZFIN;Acc:ZDB-GENE-100427-1]</t>
  </si>
  <si>
    <t>ENSDARG00000061804</t>
  </si>
  <si>
    <t>si:ch211-194e15.5</t>
  </si>
  <si>
    <t>si:ch211-194e15.5 [Source:ZFIN;Acc:ZDB-GENE-060503-393]</t>
  </si>
  <si>
    <t>ENSDARG00000074843</t>
  </si>
  <si>
    <t>phldb2b</t>
  </si>
  <si>
    <t>pleckstrin homology-like domain, family B, member 2b [Source:ZFIN;Acc:ZDB-GENE-030131-3235]</t>
  </si>
  <si>
    <t>ENSDARG00000094041</t>
  </si>
  <si>
    <t>krt17</t>
  </si>
  <si>
    <t>keratin 17 [Source:ZFIN;Acc:ZDB-GENE-060503-86]</t>
  </si>
  <si>
    <t>ENSDARG00000021265</t>
  </si>
  <si>
    <t>mybpc2b</t>
  </si>
  <si>
    <t>myosin binding protein C, fast type b [Source:ZFIN;Acc:ZDB-GENE-050320-80]</t>
  </si>
  <si>
    <t>ENSDARG00000098082</t>
  </si>
  <si>
    <t>si:ch73-100l22.2</t>
  </si>
  <si>
    <t>si:ch73-100l22.2 [Source:ZFIN;Acc:ZDB-GENE-131127-574]</t>
  </si>
  <si>
    <t>ENSDARG00000019438</t>
  </si>
  <si>
    <t>rnf13</t>
  </si>
  <si>
    <t>ring finger protein 13 [Source:ZFIN;Acc:ZDB-GENE-040426-772]</t>
  </si>
  <si>
    <t>ENSDARG00000100503</t>
  </si>
  <si>
    <t>sos1</t>
  </si>
  <si>
    <t>son of sevenless homolog 1 (Drosophila) [Source:ZFIN;Acc:ZDB-GENE-070209-128]</t>
  </si>
  <si>
    <t>ENSDARG00000054619</t>
  </si>
  <si>
    <t>fras1</t>
  </si>
  <si>
    <t>Fraser extracellular matrix complex subunit 1 [Source:ZFIN;Acc:ZDB-GENE-060526-68]</t>
  </si>
  <si>
    <t>ENSDARG00000099793</t>
  </si>
  <si>
    <t>cspg5b</t>
  </si>
  <si>
    <t>chondroitin sulfate proteoglycan 5b [Source:ZFIN;Acc:ZDB-GENE-060503-368]</t>
  </si>
  <si>
    <t>ENSDARG00000096712</t>
  </si>
  <si>
    <t>si:dkey-193p11.2</t>
  </si>
  <si>
    <t>si:dkey-193p11.2 [Source:ZFIN;Acc:ZDB-GENE-030131-8407]</t>
  </si>
  <si>
    <t>ENSDARG00000028475</t>
  </si>
  <si>
    <t>lin9</t>
  </si>
  <si>
    <t>lin-9 DREAM MuvB core complex component [Source:ZFIN;Acc:ZDB-GENE-030131-1747]</t>
  </si>
  <si>
    <t>ENSDARG00000058302</t>
  </si>
  <si>
    <t>sh3bgrl</t>
  </si>
  <si>
    <t>SH3 domain binding glutamate-rich protein like [Source:ZFIN;Acc:ZDB-GENE-040426-1376]</t>
  </si>
  <si>
    <t>ENSDARG00000101341</t>
  </si>
  <si>
    <t>si:ch211-262i1.6</t>
  </si>
  <si>
    <t>si:ch211-262i1.6 [Source:ZFIN;Acc:ZDB-GENE-030131-6242]</t>
  </si>
  <si>
    <t>ENSDARG00000089901</t>
  </si>
  <si>
    <t>TNFRSF14.1</t>
  </si>
  <si>
    <t>si:ch211-261n11.8 [Source:ZFIN;Acc:ZDB-GENE-081105-75]</t>
  </si>
  <si>
    <t>ENSDARG00000092947</t>
  </si>
  <si>
    <t>cyt1</t>
  </si>
  <si>
    <t>type I cytokeratin, enveloping layer [Source:ZFIN;Acc:ZDB-GENE-991008-6]</t>
  </si>
  <si>
    <t>ENSDARG00000025615</t>
  </si>
  <si>
    <t>prr15la</t>
  </si>
  <si>
    <t>proline rich 15-like a [Source:ZFIN;Acc:ZDB-GENE-040801-218]</t>
  </si>
  <si>
    <t>ENSDARG00000075269</t>
  </si>
  <si>
    <t>si:dkey-20i10.7</t>
  </si>
  <si>
    <t>si:dkey-20i10.7 [Source:ZFIN;Acc:ZDB-GENE-090313-232]</t>
  </si>
  <si>
    <t>ENSDARG00000075785</t>
  </si>
  <si>
    <t>HERC5</t>
  </si>
  <si>
    <t>si:ch73-190m4.1 [Source:ZFIN;Acc:ZDB-GENE-090311-56]</t>
  </si>
  <si>
    <t>ENSDARG00000007436</t>
  </si>
  <si>
    <t>avpr2aa</t>
  </si>
  <si>
    <t>arginine vasopressin receptor 2a, duplicate a [Source:ZFIN;Acc:ZDB-GENE-090313-344]</t>
  </si>
  <si>
    <t>ENSDARG00000093392</t>
  </si>
  <si>
    <t>si:ch211-261n11.9</t>
  </si>
  <si>
    <t>si:ch211-261n11.9 [Source:ZFIN;Acc:ZDB-GENE-081104-204]</t>
  </si>
  <si>
    <t>ENSDARG00000074225</t>
  </si>
  <si>
    <t>si:ch211-269e2.1</t>
  </si>
  <si>
    <t>si:ch211-269e2.1 [Source:ZFIN;Acc:ZDB-GENE-070912-267]</t>
  </si>
  <si>
    <t>ENSDARG00000103610</t>
  </si>
  <si>
    <t>actr8</t>
  </si>
  <si>
    <t>ARP8 actin-related protein 8 homolog (yeast) [Source:ZFIN;Acc:ZDB-GENE-030131-5065]</t>
  </si>
  <si>
    <t>ENSDARG00000100481</t>
  </si>
  <si>
    <t>smg6</t>
  </si>
  <si>
    <t>SMG6 nonsense mediated mRNA decay factor [Source:ZFIN;Acc:ZDB-GENE-081107-52]</t>
  </si>
  <si>
    <t>ENSDARG00000053447</t>
  </si>
  <si>
    <t>ppp4r2b</t>
  </si>
  <si>
    <t>protein phosphatase 4, regulatory subunit 2b [Source:ZFIN;Acc:ZDB-GENE-030131-3008]</t>
  </si>
  <si>
    <t>ENSDARG00000062085</t>
  </si>
  <si>
    <t>tkfc</t>
  </si>
  <si>
    <t>triokinase/FMN cyclase [Source:ZFIN;Acc:ZDB-GENE-060929-652]</t>
  </si>
  <si>
    <t>ENSDARG00000068602</t>
  </si>
  <si>
    <t>dalrd3</t>
  </si>
  <si>
    <t>DALR anticodon binding domain containing 3 [Source:ZFIN;Acc:ZDB-GENE-061103-415]</t>
  </si>
  <si>
    <t>ENSDARG00000080009</t>
  </si>
  <si>
    <t>bahcc1</t>
  </si>
  <si>
    <t>BAH domain and coiled-coil containing 1 [Source:ZFIN;Acc:ZDB-GENE-100716-2]</t>
  </si>
  <si>
    <t>ENSDARG00000076602</t>
  </si>
  <si>
    <t>prss16</t>
  </si>
  <si>
    <t>protease, serine, 16 (thymus) [Source:ZFIN;Acc:ZDB-GENE-070112-732]</t>
  </si>
  <si>
    <t>ENSDARG00000004232</t>
  </si>
  <si>
    <t>dlb</t>
  </si>
  <si>
    <t>deltaB [Source:ZFIN;Acc:ZDB-GENE-980526-114]</t>
  </si>
  <si>
    <t>ENSDARG00000011661</t>
  </si>
  <si>
    <t>twf1b</t>
  </si>
  <si>
    <t>twinfilin actin-binding protein 1b [Source:ZFIN;Acc:ZDB-GENE-040711-3]</t>
  </si>
  <si>
    <t>ENSDARG00000104278</t>
  </si>
  <si>
    <t>slc2a8</t>
  </si>
  <si>
    <t>solute carrier family 2 (facilitated glucose transporter), member 8 [Source:ZFIN;Acc:ZDB-GENE-030829-25]</t>
  </si>
  <si>
    <t>ENSDARG00000089951</t>
  </si>
  <si>
    <t>si:dkey-210j14.5</t>
  </si>
  <si>
    <t>si:dkey-210j14.5 [Source:ZFIN;Acc:ZDB-GENE-131127-341]</t>
  </si>
  <si>
    <t>ENSDARG00000100121</t>
  </si>
  <si>
    <t>si:dkey-21c1.8</t>
  </si>
  <si>
    <t>si:dkey-21c1.8 [Source:ZFIN;Acc:ZDB-GENE-141216-126]</t>
  </si>
  <si>
    <t>ENSDARG00000069696</t>
  </si>
  <si>
    <t>LRIF1</t>
  </si>
  <si>
    <t>si:ch211-261n11.5 [Source:ZFIN;Acc:ZDB-GENE-081104-202]</t>
  </si>
  <si>
    <t>ENSDARG00000036832</t>
  </si>
  <si>
    <t>cyt1l</t>
  </si>
  <si>
    <t>type I cytokeratin, enveloping layer, like [Source:ZFIN;Acc:ZDB-GENE-061026-4]</t>
  </si>
  <si>
    <t>ENSDARG00000045636</t>
  </si>
  <si>
    <t>rbl2</t>
  </si>
  <si>
    <t>retinoblastoma-like 2 (p130) [Source:ZFIN;Acc:ZDB-GENE-061109-2]</t>
  </si>
  <si>
    <t>ENSDARG00000100823</t>
  </si>
  <si>
    <t>selk</t>
  </si>
  <si>
    <t>selenoprotein K [Source:ZFIN;Acc:ZDB-GENE-040912-131]</t>
  </si>
  <si>
    <t>ENSDARG00000015807</t>
  </si>
  <si>
    <t>rab22a</t>
  </si>
  <si>
    <t>RAB22A, member RAS oncogene family [Source:ZFIN;Acc:ZDB-GENE-041114-161]</t>
  </si>
  <si>
    <t>ENSDARG00000074111</t>
  </si>
  <si>
    <t>bcdin3d</t>
  </si>
  <si>
    <t>BCDIN3 domain containing [Source:ZFIN;Acc:ZDB-GENE-050208-327]</t>
  </si>
  <si>
    <t>ENSDARG00000003952</t>
  </si>
  <si>
    <t>pfn2</t>
  </si>
  <si>
    <t>profilin 2 [Source:ZFIN;Acc:ZDB-GENE-040115-4]</t>
  </si>
  <si>
    <t>ENSDARG00000044573</t>
  </si>
  <si>
    <t>cdc42</t>
  </si>
  <si>
    <t>cell division cycle 42 [Source:ZFIN;Acc:ZDB-GENE-030131-8783]</t>
  </si>
  <si>
    <t>ENSDARG00000094719</t>
  </si>
  <si>
    <t>si:dkeyp-1h4.9</t>
  </si>
  <si>
    <t>si:dkeyp-1h4.9 [Source:ZFIN;Acc:ZDB-GENE-030131-8538]</t>
  </si>
  <si>
    <t>ENSDARG00000075100</t>
  </si>
  <si>
    <t>neo1b</t>
  </si>
  <si>
    <t>neogenin 1b [Source:ZFIN;Acc:ZDB-GENE-131121-320]</t>
  </si>
  <si>
    <t>ENSDARG00000076425</t>
  </si>
  <si>
    <t>lrrc29</t>
  </si>
  <si>
    <t>leucine rich repeat containing 29 [Source:ZFIN;Acc:ZDB-GENE-030131-7165]</t>
  </si>
  <si>
    <t>ENSDARG00000070028</t>
  </si>
  <si>
    <t>tmem41aa</t>
  </si>
  <si>
    <t>transmembrane protein 41aa [Source:ZFIN;Acc:ZDB-GENE-050522-53]</t>
  </si>
  <si>
    <t>ENSDARG00000012275</t>
  </si>
  <si>
    <t>katnal2</t>
  </si>
  <si>
    <t>katanin p60 subunit A-like 2 [Source:ZFIN;Acc:ZDB-GENE-051113-156]</t>
  </si>
  <si>
    <t>ENSDARG00000069147</t>
  </si>
  <si>
    <t>pex11b</t>
  </si>
  <si>
    <t>peroxisomal biogenesis factor 11 beta [Source:ZFIN;Acc:ZDB-GENE-060825-289]</t>
  </si>
  <si>
    <t>ENSDARG00000063354</t>
  </si>
  <si>
    <t>abtb1</t>
  </si>
  <si>
    <t>ankyrin repeat and BTB (POZ) domain containing 1 [Source:ZFIN;Acc:ZDB-GENE-141212-241]</t>
  </si>
  <si>
    <t>ENSDARG00000038141</t>
  </si>
  <si>
    <t>atf4b</t>
  </si>
  <si>
    <t>activating transcription factor 4b [Source:ZFIN;Acc:ZDB-GENE-070928-23]</t>
  </si>
  <si>
    <t>ENSDARG00000029058</t>
  </si>
  <si>
    <t>rbbp4</t>
  </si>
  <si>
    <t>retinoblastoma binding protein 4 [Source:ZFIN;Acc:ZDB-GENE-030131-445]</t>
  </si>
  <si>
    <t>ENSDARG00000076265</t>
  </si>
  <si>
    <t>ano8a</t>
  </si>
  <si>
    <t>anoctamin 8a [Source:ZFIN;Acc:ZDB-GENE-070912-583]</t>
  </si>
  <si>
    <t>ENSDARG00000030278</t>
  </si>
  <si>
    <t>idh3a</t>
  </si>
  <si>
    <t>isocitrate dehydrogenase 3 (NAD+) alpha [Source:ZFIN;Acc:ZDB-GENE-040426-1007]</t>
  </si>
  <si>
    <t>ENSDARG00000071005</t>
  </si>
  <si>
    <t>ppp1r3ca</t>
  </si>
  <si>
    <t>protein phosphatase 1, regulatory subunit 3Ca [Source:ZFIN;Acc:ZDB-GENE-040718-70]</t>
  </si>
  <si>
    <t>ENSDARG00000041839</t>
  </si>
  <si>
    <t>tsc22d2</t>
  </si>
  <si>
    <t>TSC22 domain family 2 [Source:ZFIN;Acc:ZDB-GENE-031001-12]</t>
  </si>
  <si>
    <t>ENSDARG00000092954</t>
  </si>
  <si>
    <t>mrpl34</t>
  </si>
  <si>
    <t>mitochondrial ribosomal protein L34 [Source:ZFIN;Acc:ZDB-GENE-070912-582]</t>
  </si>
  <si>
    <t>ENSDARG00000102546</t>
  </si>
  <si>
    <t>cdk11b</t>
  </si>
  <si>
    <t>cyclin-dependent kinase 11B [Source:ZFIN;Acc:ZDB-GENE-041212-74]</t>
  </si>
  <si>
    <t>ENSDARG00000102531</t>
  </si>
  <si>
    <t>anapc11</t>
  </si>
  <si>
    <t>APC11 anaphase promoting complex subunit 11 homolog (yeast) [Source:ZFIN;Acc:ZDB-GENE-061013-383]</t>
  </si>
  <si>
    <t>ENSDARG00000039892</t>
  </si>
  <si>
    <t>gnpnat1</t>
  </si>
  <si>
    <t>glucosamine-phosphate N-acetyltransferase 1 [Source:ZFIN;Acc:ZDB-GENE-050522-450]</t>
  </si>
  <si>
    <t>ENSDARG00000028937</t>
  </si>
  <si>
    <t>taf1b</t>
  </si>
  <si>
    <t>TATA box binding protein (Tbp)-associated factor, RNA polymerase I, B [Source:ZFIN;Acc:ZDB-GENE-041008-2]</t>
  </si>
  <si>
    <t>ENSDARG00000036834</t>
  </si>
  <si>
    <t>krt92</t>
  </si>
  <si>
    <t>keratin 92 [Source:ZFIN;Acc:ZDB-GENE-050417-363]</t>
  </si>
  <si>
    <t>ENSDARG00000042492</t>
  </si>
  <si>
    <t>si:dkey-250d21.1</t>
  </si>
  <si>
    <t>si:dkey-250d21.1 [Source:ZFIN;Acc:ZDB-GENE-030131-8276]</t>
  </si>
  <si>
    <t>ENSDARG00000052866</t>
  </si>
  <si>
    <t>htt</t>
  </si>
  <si>
    <t>huntingtin [Source:ZFIN;Acc:ZDB-GENE-990415-131]</t>
  </si>
  <si>
    <t>ENSDARG00000038615</t>
  </si>
  <si>
    <t>tmem55ba</t>
  </si>
  <si>
    <t>transmembrane protein 55Ba [Source:ZFIN;Acc:ZDB-GENE-051113-312]</t>
  </si>
  <si>
    <t>ENSDARG00000025254</t>
  </si>
  <si>
    <t>s100a10b</t>
  </si>
  <si>
    <t>S100 calcium binding protein A10b [Source:ZFIN;Acc:ZDB-GENE-040426-1937]</t>
  </si>
  <si>
    <t>ENSDARG00000079382</t>
  </si>
  <si>
    <t>hdx</t>
  </si>
  <si>
    <t>highly divergent homeobox [Source:ZFIN;Acc:ZDB-GENE-140106-165]</t>
  </si>
  <si>
    <t>ENSDARG00000104462</t>
  </si>
  <si>
    <t>SLC35E2</t>
  </si>
  <si>
    <t>si:ch73-236j9.2 [Source:ZFIN;Acc:ZDB-GENE-131127-309]</t>
  </si>
  <si>
    <t>ENSDARG00000010779</t>
  </si>
  <si>
    <t>tlk2</t>
  </si>
  <si>
    <t>tousled-like kinase 2 [Source:ZFIN;Acc:ZDB-GENE-060623-36]</t>
  </si>
  <si>
    <t>ENSDARG00000014577</t>
  </si>
  <si>
    <t>rhpn2</t>
  </si>
  <si>
    <t>rhophilin, Rho GTPase binding protein 2 [Source:ZFIN;Acc:ZDB-GENE-030131-9927]</t>
  </si>
  <si>
    <t>ENSDARG00000088493</t>
  </si>
  <si>
    <t>si:ch211-149k12.3</t>
  </si>
  <si>
    <t>si:ch211-149k12.3 [Source:ZFIN;Acc:ZDB-GENE-131127-504]</t>
  </si>
  <si>
    <t>ENSDARG00000013457</t>
  </si>
  <si>
    <t>skiv2l2</t>
  </si>
  <si>
    <t>superkiller viralicidic activity 2-like 2 [Source:ZFIN;Acc:ZDB-GENE-040426-2854]</t>
  </si>
  <si>
    <t>ENSDARG00000078075</t>
  </si>
  <si>
    <t>zgc:101577</t>
  </si>
  <si>
    <t>zgc:101577 [Source:ZFIN;Acc:ZDB-GENE-050320-117]</t>
  </si>
  <si>
    <t>ENSDARG00000055857</t>
  </si>
  <si>
    <t>dopey2</t>
  </si>
  <si>
    <t>dopey family member 2 [Source:ZFIN;Acc:ZDB-GENE-040426-1195]</t>
  </si>
  <si>
    <t>ENSDARG00000053074</t>
  </si>
  <si>
    <t>gipc3</t>
  </si>
  <si>
    <t>GIPC PDZ domain containing family, member 3 [Source:ZFIN;Acc:ZDB-GENE-060616-326]</t>
  </si>
  <si>
    <t>ENSDARG00000036830</t>
  </si>
  <si>
    <t>krt91</t>
  </si>
  <si>
    <t>keratin 91 [Source:ZFIN;Acc:ZDB-GENE-040801-181]</t>
  </si>
  <si>
    <t>ENSDARG00000002538</t>
  </si>
  <si>
    <t>smu1a</t>
  </si>
  <si>
    <t>smu-1 suppressor of mec-8 and unc-52 homolog a (C. elegans) [Source:ZFIN;Acc:ZDB-GENE-040426-916]</t>
  </si>
  <si>
    <t>ENSDARG00000074773</t>
  </si>
  <si>
    <t>si:dkey-110g7.8</t>
  </si>
  <si>
    <t>si:dkey-110g7.8 [Source:ZFIN;Acc:ZDB-GENE-131121-280]</t>
  </si>
  <si>
    <t>ENSDARG00000104664</t>
  </si>
  <si>
    <t>dclk1b</t>
  </si>
  <si>
    <t>doublecortin-like kinase 1b [Source:ZFIN;Acc:ZDB-GENE-080516-7]</t>
  </si>
  <si>
    <t>ENSDARG00000095580</t>
  </si>
  <si>
    <t>si:ch211-67e16.11</t>
  </si>
  <si>
    <t>si:ch211-67e16.11 [Source:ZFIN;Acc:ZDB-GENE-030131-7044]</t>
  </si>
  <si>
    <t>ENSDARG00000070849</t>
  </si>
  <si>
    <t>rps15</t>
  </si>
  <si>
    <t>ribosomal protein S15 [Source:ZFIN;Acc:ZDB-GENE-030131-9092]</t>
  </si>
  <si>
    <t>ENSDARG00000042724</t>
  </si>
  <si>
    <t>supt5h</t>
  </si>
  <si>
    <t>SPT5 homolog, DSIF elongation factor subunit [Source:ZFIN;Acc:ZDB-GENE-001207-1]</t>
  </si>
  <si>
    <t>ENSDARG00000004378</t>
  </si>
  <si>
    <t>yrk</t>
  </si>
  <si>
    <t>Yes-related kinase [Source:ZFIN;Acc:ZDB-GENE-030131-9517]</t>
  </si>
  <si>
    <t>ENSDARG00000098919</t>
  </si>
  <si>
    <t>smarcc1b</t>
  </si>
  <si>
    <t>SWI/SNF related, matrix associated, actin dependent regulator of chromatin, subfamily c, member 1b [Source:ZFIN;Acc:ZDB-GENE-060503-273]</t>
  </si>
  <si>
    <t>ENSDARG00000104833</t>
  </si>
  <si>
    <t>si:ch211-79h15.3</t>
  </si>
  <si>
    <t>si:ch211-79h15.3 [Source:ZFIN;Acc:ZDB-GENE-141212-390]</t>
  </si>
  <si>
    <t>ENSDARG00000062477</t>
  </si>
  <si>
    <t>kiaa1549la</t>
  </si>
  <si>
    <t>KIAA1549-like a [Source:ZFIN;Acc:ZDB-GENE-061207-55]</t>
  </si>
  <si>
    <t>ENSDARG00000070705</t>
  </si>
  <si>
    <t>zgc:64022</t>
  </si>
  <si>
    <t>zgc:64022 [Source:ZFIN;Acc:ZDB-GENE-040426-1340]</t>
  </si>
  <si>
    <t>ENSDARG00000036855</t>
  </si>
  <si>
    <t>plagx</t>
  </si>
  <si>
    <t>pleiomorphic adenoma gene X [Source:ZFIN;Acc:ZDB-GENE-030131-839]</t>
  </si>
  <si>
    <t>ENSDARG00000053381</t>
  </si>
  <si>
    <t>PLPP1</t>
  </si>
  <si>
    <t>si:ch73-96j23.1 [Source:ZFIN;Acc:ZDB-GENE-141219-44]</t>
  </si>
  <si>
    <t>ENSDARG00000041689</t>
  </si>
  <si>
    <t>usf1</t>
  </si>
  <si>
    <t>upstream transcription factor 1 [Source:ZFIN;Acc:ZDB-GENE-040426-1072]</t>
  </si>
  <si>
    <t>ENSDARG00000039272</t>
  </si>
  <si>
    <t>pls1</t>
  </si>
  <si>
    <t>plastin 1 (I isoform) [Source:ZFIN;Acc:ZDB-GENE-030131-6205]</t>
  </si>
  <si>
    <t>ENSDARG00000034375</t>
  </si>
  <si>
    <t>chst11</t>
  </si>
  <si>
    <t>carbohydrate (chondroitin 4) sulfotransferase 11 [Source:ZFIN;Acc:ZDB-GENE-040315-1]</t>
  </si>
  <si>
    <t>ENSDARG00000021891</t>
  </si>
  <si>
    <t>ZBTB7B</t>
  </si>
  <si>
    <t>zgc:63489 [Source:ZFIN;Acc:ZDB-GENE-040426-1134]</t>
  </si>
  <si>
    <t>ENSDARG00000032380</t>
  </si>
  <si>
    <t>ompb</t>
  </si>
  <si>
    <t>olfactory marker protein b [Source:ZFIN;Acc:ZDB-GENE-030103-1]</t>
  </si>
  <si>
    <t>ENSDARG00000103165</t>
  </si>
  <si>
    <t>si:ch211-147g21.5</t>
  </si>
  <si>
    <t>si:ch211-147g21.5 [Source:ZFIN;Acc:ZDB-GENE-141211-30]</t>
  </si>
  <si>
    <t>ENSDARG00000070145</t>
  </si>
  <si>
    <t>magi1a</t>
  </si>
  <si>
    <t>membrane associated guanylate kinase, WW and PDZ domain containing 1a [Source:ZFIN;Acc:ZDB-GENE-081105-13]</t>
  </si>
  <si>
    <t>ENSDARG00000042151</t>
  </si>
  <si>
    <t>skia</t>
  </si>
  <si>
    <t>v-ski avian sarcoma viral oncogene homolog a [Source:ZFIN;Acc:ZDB-GENE-990715-9]</t>
  </si>
  <si>
    <t>ENSDARG00000058127</t>
  </si>
  <si>
    <t>hcfc2</t>
  </si>
  <si>
    <t>host cell factor C2 [Source:ZFIN;Acc:ZDB-GENE-050417-203]</t>
  </si>
  <si>
    <t>ENSDARG00000091079</t>
  </si>
  <si>
    <t>MALSU1</t>
  </si>
  <si>
    <t>si:zfos-1192g2.3 [Source:ZFIN;Acc:ZDB-GENE-030131-4956]</t>
  </si>
  <si>
    <t>ENSDARG00000052728</t>
  </si>
  <si>
    <t>sltm</t>
  </si>
  <si>
    <t>SAFB-like, transcription modulator [Source:ZFIN;Acc:ZDB-GENE-040426-2647]</t>
  </si>
  <si>
    <t>ENSDARG00000093019</t>
  </si>
  <si>
    <t>si:dkey-83k24.5</t>
  </si>
  <si>
    <t>si:dkey-83k24.5 [Source:ZFIN;Acc:ZDB-GENE-081104-440]</t>
  </si>
  <si>
    <t>ENSDARG00000056481</t>
  </si>
  <si>
    <t>vat1</t>
  </si>
  <si>
    <t>vesicle amine transport 1 [Source:ZFIN;Acc:ZDB-GENE-030616-178]</t>
  </si>
  <si>
    <t>ENSDARG00000070800</t>
  </si>
  <si>
    <t>zgc:109744</t>
  </si>
  <si>
    <t>zgc:109744 [Source:ZFIN;Acc:ZDB-GENE-050809-146]</t>
  </si>
  <si>
    <t>ENSDARG00000091771</t>
  </si>
  <si>
    <t>lysmd2</t>
  </si>
  <si>
    <t>LysM, putative peptidoglycan-binding, domain containing 2 [Source:ZFIN;Acc:ZDB-GENE-040801-250]</t>
  </si>
  <si>
    <t>ENSDARG00000008472</t>
  </si>
  <si>
    <t>apex2</t>
  </si>
  <si>
    <t>APEX nuclease (apurinic/apyrimidinic endonuclease) 2 [Source:ZFIN;Acc:ZDB-GENE-040426-835]</t>
  </si>
  <si>
    <t>ENSDARG00000016154</t>
  </si>
  <si>
    <t>zfp36l1a</t>
  </si>
  <si>
    <t>zinc finger protein 36, C3H type-like 1a [Source:ZFIN;Acc:ZDB-GENE-030131-9860]</t>
  </si>
  <si>
    <t>ENSDARG00000035023</t>
  </si>
  <si>
    <t>kiaa0907</t>
  </si>
  <si>
    <t>KIAA0907 protein [Source:ZFIN;Acc:ZDB-GENE-030131-405]</t>
  </si>
  <si>
    <t>ENSDARG00000077081</t>
  </si>
  <si>
    <t>slc38a10</t>
  </si>
  <si>
    <t>solute carrier family 38, member 10 [Source:ZFIN;Acc:ZDB-GENE-050309-21]</t>
  </si>
  <si>
    <t>ENSDARG00000055383</t>
  </si>
  <si>
    <t>zgc:66160</t>
  </si>
  <si>
    <t>zgc:66160 [Source:ZFIN;Acc:ZDB-GENE-030131-5510]</t>
  </si>
  <si>
    <t>ENSDARG00000102035</t>
  </si>
  <si>
    <t>SLC52A2</t>
  </si>
  <si>
    <t>ENSDARG00000008105</t>
  </si>
  <si>
    <t>mettl2a</t>
  </si>
  <si>
    <t>methyltransferase like 2A [Source:ZFIN;Acc:ZDB-GENE-050417-462]</t>
  </si>
  <si>
    <t>ENSDARG00000015611</t>
  </si>
  <si>
    <t>rasl11b</t>
  </si>
  <si>
    <t>RAS-like, family 11, member B [Source:ZFIN;Acc:ZDB-GENE-040426-793]</t>
  </si>
  <si>
    <t>ENSDARG00000104687</t>
  </si>
  <si>
    <t>slc16a9b</t>
  </si>
  <si>
    <t>solute carrier family 16, member 9b [Source:ZFIN;Acc:ZDB-GENE-040801-69]</t>
  </si>
  <si>
    <t>ENSDARG00000040005</t>
  </si>
  <si>
    <t>scfd2</t>
  </si>
  <si>
    <t>sec1 family domain containing 2 [Source:ZFIN;Acc:ZDB-GENE-050320-143]</t>
  </si>
  <si>
    <t>ENSDARG00000039185</t>
  </si>
  <si>
    <t>nfyba</t>
  </si>
  <si>
    <t>nuclear transcription factor Y, beta a [Source:ZFIN;Acc:ZDB-GENE-050417-13]</t>
  </si>
  <si>
    <t>ENSDARG00000078752</t>
  </si>
  <si>
    <t>rubcn</t>
  </si>
  <si>
    <t>RUN domain and cysteine-rich domain containing, Beclin 1-interacting protein [Source:ZFIN;Acc:ZDB-GENE-100922-142]</t>
  </si>
  <si>
    <t>ENSDARG00000097879</t>
  </si>
  <si>
    <t>si:dkey-37f18.3</t>
  </si>
  <si>
    <t>si:dkey-37f18.3 [Source:ZFIN;Acc:ZDB-GENE-131120-40]</t>
  </si>
  <si>
    <t>ENSDARG00000061368</t>
  </si>
  <si>
    <t>klf13</t>
  </si>
  <si>
    <t>Kruppel-like factor 13 [Source:ZFIN;Acc:ZDB-GENE-060929-1274]</t>
  </si>
  <si>
    <t>ENSDARG00000034215</t>
  </si>
  <si>
    <t>rab42a</t>
  </si>
  <si>
    <t>RAB42, member RAS oncogene family a [Source:ZFIN;Acc:ZDB-GENE-040426-1983]</t>
  </si>
  <si>
    <t>ENSDARG00000098443</t>
  </si>
  <si>
    <t>zfand6</t>
  </si>
  <si>
    <t>zinc finger, AN1-type domain 6 [Source:ZFIN;Acc:ZDB-GENE-030131-8405]</t>
  </si>
  <si>
    <t>ENSDARG00000073881</t>
  </si>
  <si>
    <t>slc41a2b</t>
  </si>
  <si>
    <t>solute carrier family 41 (magnesium transporter), member 2b [Source:ZFIN;Acc:ZDB-GENE-100427-2]</t>
  </si>
  <si>
    <t>ENSDARG00000058990</t>
  </si>
  <si>
    <t>slc35a2</t>
  </si>
  <si>
    <t>solute carrier family 35 (UDP-galactose transporter), member 2 [Source:ZFIN;Acc:ZDB-GENE-030616-62]</t>
  </si>
  <si>
    <t>ENSDARG00000022160</t>
  </si>
  <si>
    <t>ttc23</t>
  </si>
  <si>
    <t>tetratricopeptide repeat domain 23 [Source:ZFIN;Acc:ZDB-GENE-050419-126]</t>
  </si>
  <si>
    <t>ENSDARG00000043514</t>
  </si>
  <si>
    <t>si:dkey-239i20.4</t>
  </si>
  <si>
    <t>si:dkey-239i20.4 [Source:ZFIN;Acc:ZDB-GENE-030131-2644]</t>
  </si>
  <si>
    <t>ENSDARG00000059919</t>
  </si>
  <si>
    <t>zgc:162613</t>
  </si>
  <si>
    <t>zgc:162613 [Source:ZFIN;Acc:ZDB-GENE-070410-89]</t>
  </si>
  <si>
    <t>ENSDARG00000043608</t>
  </si>
  <si>
    <t>eif4ebp1</t>
  </si>
  <si>
    <t>eukaryotic translation initiation factor 4E binding protein 1 [Source:ZFIN;Acc:ZDB-GENE-030131-2332]</t>
  </si>
  <si>
    <t>ENSDARG00000035987</t>
  </si>
  <si>
    <t>psmg2</t>
  </si>
  <si>
    <t>proteasome (prosome, macropain) assembly chaperone 2 [Source:ZFIN;Acc:ZDB-GENE-040426-1972]</t>
  </si>
  <si>
    <t>ENSDARG00000040224</t>
  </si>
  <si>
    <t>krcp</t>
  </si>
  <si>
    <t>kelch repeat-containing protein [Source:ZFIN;Acc:ZDB-GENE-030131-2126]</t>
  </si>
  <si>
    <t>ENSDARG00000038709</t>
  </si>
  <si>
    <t>MYADM</t>
  </si>
  <si>
    <t>MYADM.1</t>
  </si>
  <si>
    <t>si:dkeyp-66d1.7 [Source:ZFIN;Acc:ZDB-GENE-070912-662]</t>
  </si>
  <si>
    <t>ENSDARG00000002193</t>
  </si>
  <si>
    <t>rho</t>
  </si>
  <si>
    <t>rhodopsin [Source:ZFIN;Acc:ZDB-GENE-990415-271]</t>
  </si>
  <si>
    <t>ENSDARG00000055344</t>
  </si>
  <si>
    <t>mipep</t>
  </si>
  <si>
    <t>mitochondrial intermediate peptidase [Source:ZFIN;Acc:ZDB-GENE-060503-662]</t>
  </si>
  <si>
    <t>ENSDARG00000052624</t>
  </si>
  <si>
    <t>spryd7a</t>
  </si>
  <si>
    <t>SPRY domain containing 7a [Source:ZFIN;Acc:ZDB-GENE-040426-2713]</t>
  </si>
  <si>
    <t>ENSDARG00000007691</t>
  </si>
  <si>
    <t>cul1b</t>
  </si>
  <si>
    <t>cullin 1b [Source:ZFIN;Acc:ZDB-GENE-040426-2887]</t>
  </si>
  <si>
    <t>ENSDARG00000040614</t>
  </si>
  <si>
    <t>sestd1</t>
  </si>
  <si>
    <t>SEC14 and spectrin domains 1 [Source:ZFIN;Acc:ZDB-GENE-030801-1]</t>
  </si>
  <si>
    <t>ENSDARG00000044525</t>
  </si>
  <si>
    <t>pparda</t>
  </si>
  <si>
    <t>peroxisome proliferator-activated receptor delta a [Source:ZFIN;Acc:ZDB-GENE-990415-212]</t>
  </si>
  <si>
    <t>ENSDARG00000104125</t>
  </si>
  <si>
    <t>ttc6</t>
  </si>
  <si>
    <t>tetratricopeptide repeat domain 6 [Source:ZFIN;Acc:ZDB-GENE-090429-2]</t>
  </si>
  <si>
    <t>ENSDARG00000005586</t>
  </si>
  <si>
    <t>zbtb20</t>
  </si>
  <si>
    <t>zinc finger and BTB domain containing 20 [Source:ZFIN;Acc:ZDB-GENE-070112-1992]</t>
  </si>
  <si>
    <t>ENSDARG00000022807</t>
  </si>
  <si>
    <t>PITPNC1</t>
  </si>
  <si>
    <t>zgc:101640 [Source:ZFIN;Acc:ZDB-GENE-041114-158]</t>
  </si>
  <si>
    <t>ENSDARG00000062476</t>
  </si>
  <si>
    <t>snapc5</t>
  </si>
  <si>
    <t>small nuclear RNA activating complex, polypeptide 5 [Source:ZFIN;Acc:ZDB-GENE-041111-50]</t>
  </si>
  <si>
    <t>ENSDARG00000010280</t>
  </si>
  <si>
    <t>clasp1a</t>
  </si>
  <si>
    <t>cytoplasmic linker associated protein 1a [Source:ZFIN;Acc:ZDB-GENE-081104-520]</t>
  </si>
  <si>
    <t>ENSDARG00000074758</t>
  </si>
  <si>
    <t>csde1</t>
  </si>
  <si>
    <t>cold shock domain containing E1, RNA-binding [Source:ZFIN;Acc:ZDB-GENE-030131-8623]</t>
  </si>
  <si>
    <t>ENSDARG00000045765</t>
  </si>
  <si>
    <t>asb13a.2</t>
  </si>
  <si>
    <t>ankyrin repeat and SOCS box containing 13a, tandem duplicate 2 [Source:ZFIN;Acc:ZDB-GENE-041210-88]</t>
  </si>
  <si>
    <t>ENSDARG00000104758</t>
  </si>
  <si>
    <t>zgc:194981</t>
  </si>
  <si>
    <t>zgc:194981 [Source:ZFIN;Acc:ZDB-GENE-081022-170]</t>
  </si>
  <si>
    <t>ENSDARG00000055229</t>
  </si>
  <si>
    <t>ncs1a</t>
  </si>
  <si>
    <t>neuronal calcium sensor 1a [Source:ZFIN;Acc:ZDB-GENE-021220-1]</t>
  </si>
  <si>
    <t>ENSDARG00000101181</t>
  </si>
  <si>
    <t>s100w</t>
  </si>
  <si>
    <t>S100 calcium binding protein W [Source:ZFIN;Acc:ZDB-GENE-080407-2]</t>
  </si>
  <si>
    <t>ENSDARG00000102564</t>
  </si>
  <si>
    <t>gfra1b</t>
  </si>
  <si>
    <t>gdnf family receptor alpha 1b [Source:ZFIN;Acc:ZDB-GENE-010226-3]</t>
  </si>
  <si>
    <t>ENSDARG00000014796</t>
  </si>
  <si>
    <t>wnt11r</t>
  </si>
  <si>
    <t>wingless-type MMTV integration site family, member 11, related [Source:ZFIN;Acc:ZDB-GENE-980526-249]</t>
  </si>
  <si>
    <t>ENSDARG00000035821</t>
  </si>
  <si>
    <t>si:ch211-173p18.3</t>
  </si>
  <si>
    <t>si:ch211-173p18.3 [Source:ZFIN;Acc:ZDB-GENE-060503-672]</t>
  </si>
  <si>
    <t>ENSDARG00000070085</t>
  </si>
  <si>
    <t>mettl6</t>
  </si>
  <si>
    <t>methyltransferase like 6 [Source:ZFIN;Acc:ZDB-GENE-040426-926]</t>
  </si>
  <si>
    <t>ENSDARG00000074254</t>
  </si>
  <si>
    <t>abcb6b</t>
  </si>
  <si>
    <t>ATP-binding cassette, sub-family B (MDR/TAP), member 6b [Source:ZFIN;Acc:ZDB-GENE-070912-584]</t>
  </si>
  <si>
    <t>ENSDARG00000041869</t>
  </si>
  <si>
    <t>tnfrsf19</t>
  </si>
  <si>
    <t>tumor necrosis factor receptor superfamily, member 19 [Source:ZFIN;Acc:ZDB-GENE-030131-6760]</t>
  </si>
  <si>
    <t>ENSDARG00000033609</t>
  </si>
  <si>
    <t>map1lc3a</t>
  </si>
  <si>
    <t>microtubule-associated protein 1 light chain 3 alpha [Source:ZFIN;Acc:ZDB-GENE-040426-2232]</t>
  </si>
  <si>
    <t>ENSDARG00000075141</t>
  </si>
  <si>
    <t>gprc5bb</t>
  </si>
  <si>
    <t>G protein-coupled receptor, class C, group 5, member Bb [Source:ZFIN;Acc:ZDB-GENE-090313-75]</t>
  </si>
  <si>
    <t>ENSDARG00000037484</t>
  </si>
  <si>
    <t>tmem192</t>
  </si>
  <si>
    <t>transmembrane protein 192 [Source:ZFIN;Acc:ZDB-GENE-040426-2254]</t>
  </si>
  <si>
    <t>ENSDARG00000021582</t>
  </si>
  <si>
    <t>dynlrb1</t>
  </si>
  <si>
    <t>dynein, light chain, roadblock-type 1 [Source:ZFIN;Acc:ZDB-GENE-040426-989]</t>
  </si>
  <si>
    <t>ENSDARG00000078942</t>
  </si>
  <si>
    <t>enox2</t>
  </si>
  <si>
    <t>ecto-NOX disulfide-thiol exchanger 2 [Source:ZFIN;Acc:ZDB-GENE-140106-157]</t>
  </si>
  <si>
    <t>ENSDARG00000067984</t>
  </si>
  <si>
    <t>gas1b</t>
  </si>
  <si>
    <t>growth arrest-specific 1b [Source:ZFIN;Acc:ZDB-GENE-050302-79]</t>
  </si>
  <si>
    <t>ENSDARG00000093569</t>
  </si>
  <si>
    <t>bckdhbl</t>
  </si>
  <si>
    <t>branched chain keto acid dehydrogenase E1, beta polypeptide, like [Source:ZFIN;Acc:ZDB-GENE-060830-1]</t>
  </si>
  <si>
    <t>ENSDARG00000077301</t>
  </si>
  <si>
    <t>mlf1</t>
  </si>
  <si>
    <t>myeloid leukemia factor 1 [Source:ZFIN;Acc:ZDB-GENE-080917-7]</t>
  </si>
  <si>
    <t>ENSDARG00000010035</t>
  </si>
  <si>
    <t>engase</t>
  </si>
  <si>
    <t>endo-beta-N-acetylglucosaminidase [Source:ZFIN;Acc:ZDB-GENE-070112-1332]</t>
  </si>
  <si>
    <t>ENSDARG00000099220</t>
  </si>
  <si>
    <t>si:dkey-240a24.1</t>
  </si>
  <si>
    <t>si:dkey-240a24.1 [Source:ZFIN;Acc:ZDB-GENE-141216-323]</t>
  </si>
  <si>
    <t>ENSDARG00000031761</t>
  </si>
  <si>
    <t>dab2</t>
  </si>
  <si>
    <t>Dab, mitogen-responsive phosphoprotein, homolog 2 (Drosophila) [Source:ZFIN;Acc:ZDB-GENE-040303-1]</t>
  </si>
  <si>
    <t>ENSDARG00000033551</t>
  </si>
  <si>
    <t>fbxw4</t>
  </si>
  <si>
    <t>F-box and WD repeat domain containing 4 [Source:ZFIN;Acc:ZDB-GENE-000516-1]</t>
  </si>
  <si>
    <t>ENSDARG00000058371</t>
  </si>
  <si>
    <t>krt5</t>
  </si>
  <si>
    <t>keratin 5 [Source:ZFIN;Acc:ZDB-GENE-991110-23]</t>
  </si>
  <si>
    <t>ENSDARG00000077317</t>
  </si>
  <si>
    <t>snx29</t>
  </si>
  <si>
    <t>sorting nexin 29 [Source:ZFIN;Acc:ZDB-GENE-121105-13]</t>
  </si>
  <si>
    <t>ENSDARG00000006266</t>
  </si>
  <si>
    <t>stat1a</t>
  </si>
  <si>
    <t>signal transducer and activator of transcription 1a [Source:ZFIN;Acc:ZDB-GENE-980526-499]</t>
  </si>
  <si>
    <t>ENSDARG00000070704</t>
  </si>
  <si>
    <t>thap7</t>
  </si>
  <si>
    <t>THAP domain containing 7 [Source:ZFIN;Acc:ZDB-GENE-040914-84]</t>
  </si>
  <si>
    <t>ENSDARG00000053387</t>
  </si>
  <si>
    <t>si:ch211-276k2.2</t>
  </si>
  <si>
    <t>si:ch211-276k2.2 [Source:ZFIN;Acc:ZDB-GENE-081105-158]</t>
  </si>
  <si>
    <t>ENSDARG00000070985</t>
  </si>
  <si>
    <t>mrps21</t>
  </si>
  <si>
    <t>mitochondrial ribosomal protein S21 [Source:ZFIN;Acc:ZDB-GENE-070615-13]</t>
  </si>
  <si>
    <t>ENSDARG00000069823</t>
  </si>
  <si>
    <t>proca1</t>
  </si>
  <si>
    <t>protein interacting with cyclin A1 [Source:ZFIN;Acc:ZDB-GENE-110418-1]</t>
  </si>
  <si>
    <t>ENSDARG00000031637</t>
  </si>
  <si>
    <t>pan3</t>
  </si>
  <si>
    <t>PAN3 poly(A) specific ribonuclease subunit homolog (S. cerevisiae) [Source:ZFIN;Acc:ZDB-GENE-070928-13]</t>
  </si>
  <si>
    <t>ENSDARG00000021195</t>
  </si>
  <si>
    <t>st8sia6</t>
  </si>
  <si>
    <t>ST8 alpha-N-acetyl-neuraminide alpha-2,8-sialyltransferase 6 [Source:ZFIN;Acc:ZDB-GENE-060322-9]</t>
  </si>
  <si>
    <t>ENSDARG00000045929</t>
  </si>
  <si>
    <t>oaz2a</t>
  </si>
  <si>
    <t>ornithine decarboxylase antizyme 2a [Source:ZFIN;Acc:ZDB-GENE-121005-1]</t>
  </si>
  <si>
    <t>ENSDARG00000039354</t>
  </si>
  <si>
    <t>ska1</t>
  </si>
  <si>
    <t>spindle and kinetochore associated complex subunit 1 [Source:ZFIN;Acc:ZDB-GENE-040718-334]</t>
  </si>
  <si>
    <t>ENSDARG00000096558</t>
  </si>
  <si>
    <t>si:ch211-80j13.1</t>
  </si>
  <si>
    <t>si:ch211-80j13.1 [Source:ZFIN;Acc:ZDB-GENE-060503-513]</t>
  </si>
  <si>
    <t>ENSDARG00000007791</t>
  </si>
  <si>
    <t>ppp2r1a</t>
  </si>
  <si>
    <t>protein phosphatase 2, regulatory subunit A, alpha [Source:ZFIN;Acc:ZDB-GENE-040426-2700]</t>
  </si>
  <si>
    <t>ENSDARG00000054255</t>
  </si>
  <si>
    <t>tctex1d2</t>
  </si>
  <si>
    <t>Tctex1 domain containing 2 [Source:ZFIN;Acc:ZDB-GENE-081104-219]</t>
  </si>
  <si>
    <t>ENSDARG00000071208</t>
  </si>
  <si>
    <t>wnt4a</t>
  </si>
  <si>
    <t>wingless-type MMTV integration site family, member 4a [Source:ZFIN;Acc:ZDB-GENE-980526-352]</t>
  </si>
  <si>
    <t>ENSDARG00000042728</t>
  </si>
  <si>
    <t>plaa</t>
  </si>
  <si>
    <t>phospholipase A2-activating protein [Source:ZFIN;Acc:ZDB-GENE-030826-13]</t>
  </si>
  <si>
    <t>ENSDARG00000017798</t>
  </si>
  <si>
    <t>bcor</t>
  </si>
  <si>
    <t>BCL6 corepressor [Source:ZFIN;Acc:ZDB-GENE-040408-1]</t>
  </si>
  <si>
    <t>ENSDARG00000061688</t>
  </si>
  <si>
    <t>arvcfb</t>
  </si>
  <si>
    <t>armadillo repeat gene deleted in velocardiofacial syndrome b [Source:ZFIN;Acc:ZDB-GENE-060526-60]</t>
  </si>
  <si>
    <t>ENSDARG00000046098</t>
  </si>
  <si>
    <t>ebp</t>
  </si>
  <si>
    <t>emopamil binding protein (sterol isomerase) [Source:ZFIN;Acc:ZDB-GENE-040718-12]</t>
  </si>
  <si>
    <t>ENSDARG00000079740</t>
  </si>
  <si>
    <t>efna2b</t>
  </si>
  <si>
    <t>ephrin-A2b [Source:ZFIN;Acc:ZDB-GENE-141120-2]</t>
  </si>
  <si>
    <t>ENSDARG00000068122</t>
  </si>
  <si>
    <t>cfap77</t>
  </si>
  <si>
    <t>cilia and flagella associated protein 77 [Source:ZFIN;Acc:ZDB-GENE-060526-106]</t>
  </si>
  <si>
    <t>ENSDARG00000095947</t>
  </si>
  <si>
    <t>adkb</t>
  </si>
  <si>
    <t>adenosine kinase b [Source:ZFIN;Acc:ZDB-GENE-030131-948]</t>
  </si>
  <si>
    <t>ENSDARG00000086288</t>
  </si>
  <si>
    <t>scg3</t>
  </si>
  <si>
    <t>secretogranin III [Source:ZFIN;Acc:ZDB-GENE-040426-1725]</t>
  </si>
  <si>
    <t>ENSDARG00000078571</t>
  </si>
  <si>
    <t>wdr6</t>
  </si>
  <si>
    <t>WD repeat domain 6 [Source:ZFIN;Acc:ZDB-GENE-081104-368]</t>
  </si>
  <si>
    <t>ENSDARG00000018958</t>
  </si>
  <si>
    <t>nrarpb</t>
  </si>
  <si>
    <t>notch-regulated ankyrin repeat protein b [Source:ZFIN;Acc:ZDB-GENE-030515-7]</t>
  </si>
  <si>
    <t>ENSDARG00000035618</t>
  </si>
  <si>
    <t>coq5</t>
  </si>
  <si>
    <t>coenzyme Q5, methyltransferase [Source:ZFIN;Acc:ZDB-GENE-040912-5]</t>
  </si>
  <si>
    <t>ENSDARG00000042005</t>
  </si>
  <si>
    <t>elp3</t>
  </si>
  <si>
    <t>elongator acetyltransferase complex subunit 3 [Source:ZFIN;Acc:ZDB-GENE-050327-35]</t>
  </si>
  <si>
    <t>ENSDARG00000077227</t>
  </si>
  <si>
    <t>fbxl6</t>
  </si>
  <si>
    <t>F-box and leucine-rich repeat protein 6 [Source:ZFIN;Acc:ZDB-GENE-060810-162]</t>
  </si>
  <si>
    <t>ENSDARG00000042539</t>
  </si>
  <si>
    <t>ywhaqa</t>
  </si>
  <si>
    <t>tyrosine 3-monooxygenase/tryptophan 5-monooxygenase activation protein, theta polypeptide a [Source:ZFIN;Acc:ZDB-GENE-040122-5]</t>
  </si>
  <si>
    <t>ENSDARG00000051798</t>
  </si>
  <si>
    <t>brd1b</t>
  </si>
  <si>
    <t>bromodomain containing 1b [Source:ZFIN;Acc:ZDB-GENE-070209-98]</t>
  </si>
  <si>
    <t>ENSDARG00000016319</t>
  </si>
  <si>
    <t>c9</t>
  </si>
  <si>
    <t>complement component 9 [Source:ZFIN;Acc:ZDB-GENE-050522-442]</t>
  </si>
  <si>
    <t>ENSDARG00000019371</t>
  </si>
  <si>
    <t>flt1</t>
  </si>
  <si>
    <t>fms-related tyrosine kinase 1 (vascular endothelial growth factor/vascular permeability factor receptor) [Source:ZFIN;Acc:ZDB-GENE-050407-1]</t>
  </si>
  <si>
    <t>ENSDARG00000021233</t>
  </si>
  <si>
    <t>pgls</t>
  </si>
  <si>
    <t>6-phosphogluconolactonase [Source:ZFIN;Acc:ZDB-GENE-040822-9]</t>
  </si>
  <si>
    <t>ENSDARG00000031763</t>
  </si>
  <si>
    <t>smad6b</t>
  </si>
  <si>
    <t>SMAD family member 6b [Source:ZFIN;Acc:ZDB-GENE-050419-198]</t>
  </si>
  <si>
    <t>ENSDARG00000043665</t>
  </si>
  <si>
    <t>glrx5</t>
  </si>
  <si>
    <t>glutaredoxin 5 homolog (S. cerevisiae) [Source:ZFIN;Acc:ZDB-GENE-040426-1957]</t>
  </si>
  <si>
    <t>ENSDARG00000062573</t>
  </si>
  <si>
    <t>znrf3</t>
  </si>
  <si>
    <t>zinc and ring finger 3 [Source:ZFIN;Acc:ZDB-GENE-070705-263]</t>
  </si>
  <si>
    <t>ENSDARG00000096359</t>
  </si>
  <si>
    <t>eppk1</t>
  </si>
  <si>
    <t>epiplakin 1 [Source:ZFIN;Acc:ZDB-GENE-030416-1]</t>
  </si>
  <si>
    <t>ENSDARG00000055129</t>
  </si>
  <si>
    <t>pim3</t>
  </si>
  <si>
    <t>Pim-3 proto-oncogene, serine/threonine kinase [Source:ZFIN;Acc:ZDB-GENE-050809-111]</t>
  </si>
  <si>
    <t>ENSDARG00000057973</t>
  </si>
  <si>
    <t>dph1</t>
  </si>
  <si>
    <t>diphthamide biosynthesis 1 [Source:ZFIN;Acc:ZDB-GENE-050417-411]</t>
  </si>
  <si>
    <t>ENSDARG00000097342</t>
  </si>
  <si>
    <t>si:ch211-121d13.5</t>
  </si>
  <si>
    <t>si:ch211-121d13.5 [Source:ZFIN;Acc:ZDB-GENE-131127-600]</t>
  </si>
  <si>
    <t>ENSDARG00000093182</t>
  </si>
  <si>
    <t>eif2ak1</t>
  </si>
  <si>
    <t>eukaryotic translation initiation factor 2-alpha kinase 1 [Source:ZFIN;Acc:ZDB-GENE-061013-268]</t>
  </si>
  <si>
    <t>ENSDARG00000097019</t>
  </si>
  <si>
    <t>dhrs13b.1</t>
  </si>
  <si>
    <t>ENSDARG00000061591</t>
  </si>
  <si>
    <t>abcb10</t>
  </si>
  <si>
    <t>ATP-binding cassette, sub-family B (MDR/TAP), member 10 [Source:ZFIN;Acc:ZDB-GENE-040525-2]</t>
  </si>
  <si>
    <t>ENSDARG00000021343</t>
  </si>
  <si>
    <t>wsb1</t>
  </si>
  <si>
    <t>WD repeat and SOCS box containing 1 [Source:ZFIN;Acc:ZDB-GENE-030131-1946]</t>
  </si>
  <si>
    <t>ENSDARG00000070080</t>
  </si>
  <si>
    <t>nbeaa</t>
  </si>
  <si>
    <t>neurobeachin a [Source:ZFIN;Acc:ZDB-GENE-050320-68]</t>
  </si>
  <si>
    <t>ENSDARG00000023648</t>
  </si>
  <si>
    <t>idh3g</t>
  </si>
  <si>
    <t>isocitrate dehydrogenase 3 (NAD+) gamma [Source:ZFIN;Acc:ZDB-GENE-050417-435]</t>
  </si>
  <si>
    <t>ENSDARG00000038543</t>
  </si>
  <si>
    <t>wdr48b</t>
  </si>
  <si>
    <t>WD repeat domain 48b [Source:ZFIN;Acc:ZDB-GENE-030131-6622]</t>
  </si>
  <si>
    <t>ENSDARG00000063270</t>
  </si>
  <si>
    <t>fam134a</t>
  </si>
  <si>
    <t>family with sequence similarity 134, member A [Source:ZFIN;Acc:ZDB-GENE-061215-128]</t>
  </si>
  <si>
    <t>ENSDARG00000041252</t>
  </si>
  <si>
    <t>gemin4</t>
  </si>
  <si>
    <t>gem (nuclear organelle) associated protein 4 [Source:ZFIN;Acc:ZDB-GENE-050522-188]</t>
  </si>
  <si>
    <t>ENSDARG00000077582</t>
  </si>
  <si>
    <t>ank3b</t>
  </si>
  <si>
    <t>ankyrin 3b [Source:ZFIN;Acc:ZDB-GENE-060621-2]</t>
  </si>
  <si>
    <t>ENSDARG00000074796</t>
  </si>
  <si>
    <t>dbf4</t>
  </si>
  <si>
    <t>DBF4 zinc finger [Source:ZFIN;Acc:ZDB-GENE-091020-13]</t>
  </si>
  <si>
    <t>ENSDARG00000077300</t>
  </si>
  <si>
    <t>usp42</t>
  </si>
  <si>
    <t>ubiquitin specific peptidase 42 [Source:ZFIN;Acc:ZDB-GENE-030131-5739]</t>
  </si>
  <si>
    <t>ENSDARG00000051754</t>
  </si>
  <si>
    <t>rpgrip1l</t>
  </si>
  <si>
    <t>RPGRIP1-like [Source:ZFIN;Acc:ZDB-GENE-081104-81]</t>
  </si>
  <si>
    <t>ENSDARG00000019103</t>
  </si>
  <si>
    <t>kdm4ab</t>
  </si>
  <si>
    <t>lysine (K)-specific demethylase 4A, genome duplicate b [Source:ZFIN;Acc:ZDB-GENE-030131-6279]</t>
  </si>
  <si>
    <t>ENSDARG00000096749</t>
  </si>
  <si>
    <t>si:dkey-21c1.6</t>
  </si>
  <si>
    <t>si:dkey-21c1.6 [Source:ZFIN;Acc:ZDB-GENE-031118-158]</t>
  </si>
  <si>
    <t>ENSDARG00000077721</t>
  </si>
  <si>
    <t>knop1</t>
  </si>
  <si>
    <t>lysine-rich nucleolar protein 1 [Source:ZFIN;Acc:ZDB-GENE-090313-76]</t>
  </si>
  <si>
    <t>ENSDARG00000044972</t>
  </si>
  <si>
    <t>bcap31</t>
  </si>
  <si>
    <t>B-cell receptor-associated protein 31 [Source:ZFIN;Acc:ZDB-GENE-030616-63]</t>
  </si>
  <si>
    <t>ENSDARG00000076472</t>
  </si>
  <si>
    <t>ovol1</t>
  </si>
  <si>
    <t>ovo-like zinc finger 1 [Source:ZFIN;Acc:ZDB-GENE-031010-37]</t>
  </si>
  <si>
    <t>ENSDARG00000075007</t>
  </si>
  <si>
    <t>chst2a</t>
  </si>
  <si>
    <t>carbohydrate (N-acetylglucosamine-6-O) sulfotransferase 2a [Source:ZFIN;Acc:ZDB-GENE-060929-40]</t>
  </si>
  <si>
    <t>ENSDARG00000053835</t>
  </si>
  <si>
    <t>plekhh1</t>
  </si>
  <si>
    <t>pleckstrin homology domain containing, family H (with MyTH4 domain) member 1 [Source:ZFIN;Acc:ZDB-GENE-061219-1]</t>
  </si>
  <si>
    <t>ENSDARG00000003927</t>
  </si>
  <si>
    <t>cldn12</t>
  </si>
  <si>
    <t>claudin 12 [Source:ZFIN;Acc:ZDB-GENE-010328-14]</t>
  </si>
  <si>
    <t>ENSDARG00000098344</t>
  </si>
  <si>
    <t>rab18b</t>
  </si>
  <si>
    <t>RAB18B, member RAS oncogene family [Source:ZFIN;Acc:ZDB-GENE-040801-185]</t>
  </si>
  <si>
    <t>ENSDARG00000061436</t>
  </si>
  <si>
    <t>col6a2</t>
  </si>
  <si>
    <t>collagen, type VI, alpha 2 [Source:ZFIN;Acc:ZDB-GENE-070501-7]</t>
  </si>
  <si>
    <t>ENSDARG00000059841</t>
  </si>
  <si>
    <t>exosc1</t>
  </si>
  <si>
    <t>exosome component 1 [Source:ZFIN;Acc:ZDB-GENE-080926-3]</t>
  </si>
  <si>
    <t>ENSDARG00000003973</t>
  </si>
  <si>
    <t>chordc1a</t>
  </si>
  <si>
    <t>cysteine and histidine-rich domain (CHORD) containing 1a [Source:ZFIN;Acc:ZDB-GENE-050626-79]</t>
  </si>
  <si>
    <t>ENSDARG00000097275</t>
  </si>
  <si>
    <t>FCGRT.1</t>
  </si>
  <si>
    <t>si:ch211-147g22.4 [Source:ZFIN;Acc:ZDB-GENE-131121-226]</t>
  </si>
  <si>
    <t>ENSDARG00000100584</t>
  </si>
  <si>
    <t>ccdc40</t>
  </si>
  <si>
    <t>coiled-coil domain containing 40 [Source:ZFIN;Acc:ZDB-GENE-060503-723]</t>
  </si>
  <si>
    <t>ENSDARG00000039605</t>
  </si>
  <si>
    <t>mat1a</t>
  </si>
  <si>
    <t>methionine adenosyltransferase I, alpha [Source:ZFIN;Acc:ZDB-GENE-030131-6127]</t>
  </si>
  <si>
    <t>ENSDARG00000008818</t>
  </si>
  <si>
    <t>hsf1</t>
  </si>
  <si>
    <t>heat shock transcription factor 1 [Source:ZFIN;Acc:ZDB-GENE-000616-16]</t>
  </si>
  <si>
    <t>ENSDARG00000090552</t>
  </si>
  <si>
    <t>si:dkey-7j14.6</t>
  </si>
  <si>
    <t>si:dkey-7j14.6 [Source:ZFIN;Acc:ZDB-GENE-030131-8466]</t>
  </si>
  <si>
    <t>ENSDARG00000011683</t>
  </si>
  <si>
    <t>prtfdc1</t>
  </si>
  <si>
    <t>phosphoribosyl transferase domain containing 1 [Source:ZFIN;Acc:ZDB-GENE-980526-324]</t>
  </si>
  <si>
    <t>ENSDARG00000102138</t>
  </si>
  <si>
    <t>foxa1</t>
  </si>
  <si>
    <t>forkhead box A1 [Source:ZFIN;Acc:ZDB-GENE-990415-78]</t>
  </si>
  <si>
    <t>ENSDARG00000016463</t>
  </si>
  <si>
    <t>trappc6b</t>
  </si>
  <si>
    <t>trafficking protein particle complex 6b [Source:ZFIN;Acc:ZDB-GENE-041010-122]</t>
  </si>
  <si>
    <t>ENSDARG00000042936</t>
  </si>
  <si>
    <t>fam228a</t>
  </si>
  <si>
    <t>family with sequence similarity 228, member A [Source:ZFIN;Acc:ZDB-GENE-041014-83]</t>
  </si>
  <si>
    <t>ENSDARG00000093783</t>
  </si>
  <si>
    <t>si:dkey-70b23.2</t>
  </si>
  <si>
    <t>si:dkey-70b23.2 [Source:ZFIN;Acc:ZDB-GENE-100922-241]</t>
  </si>
  <si>
    <t>ENSDARG00000096830</t>
  </si>
  <si>
    <t>mhc1lja</t>
  </si>
  <si>
    <t>major histocompatibility complex class I LJA [Source:ZFIN;Acc:ZDB-GENE-140820-11]</t>
  </si>
  <si>
    <t>ENSDARG00000068926</t>
  </si>
  <si>
    <t>si:ch211-137a8.2</t>
  </si>
  <si>
    <t>si:ch211-137a8.2 [Source:ZFIN;Acc:ZDB-GENE-061103-172]</t>
  </si>
  <si>
    <t>ENSDARG00000035560</t>
  </si>
  <si>
    <t>capga</t>
  </si>
  <si>
    <t>capping protein (actin filament), gelsolin-like a [Source:ZFIN;Acc:ZDB-GENE-060531-6]</t>
  </si>
  <si>
    <t>ENSDARG00000005092</t>
  </si>
  <si>
    <t>cep89</t>
  </si>
  <si>
    <t>centrosomal protein 89 [Source:ZFIN;Acc:ZDB-GENE-040426-1210]</t>
  </si>
  <si>
    <t>ENSDARG00000086732</t>
  </si>
  <si>
    <t>si:ch211-238p8.24</t>
  </si>
  <si>
    <t>si:ch211-238p8.24 [Source:ZFIN;Acc:ZDB-GENE-091118-22]</t>
  </si>
  <si>
    <t>ENSDARG00000095264</t>
  </si>
  <si>
    <t>si:ch211-238p8.25</t>
  </si>
  <si>
    <t>si:ch211-238p8.25 [Source:ZFIN;Acc:ZDB-GENE-091118-6]</t>
  </si>
  <si>
    <t>ENSDARG00000018904</t>
  </si>
  <si>
    <t>cstf3</t>
  </si>
  <si>
    <t>cleavage stimulation factor, 3' pre-RNA, subunit 3 [Source:ZFIN;Acc:ZDB-GENE-040426-1997]</t>
  </si>
  <si>
    <t>ENSDARG00000098509</t>
  </si>
  <si>
    <t>si:dkey-237i9.6</t>
  </si>
  <si>
    <t>si:dkey-237i9.6 [Source:ZFIN;Acc:ZDB-GENE-060503-818]</t>
  </si>
  <si>
    <t>ENSDARG00000043332</t>
  </si>
  <si>
    <t>prkcz</t>
  </si>
  <si>
    <t>protein kinase C, zeta [Source:ZFIN;Acc:ZDB-GENE-070511-1]</t>
  </si>
  <si>
    <t>ENSDARG00000071198</t>
  </si>
  <si>
    <t>fopnl</t>
  </si>
  <si>
    <t>fgfr1op N-terminal like [Source:ZFIN;Acc:ZDB-GENE-101124-1]</t>
  </si>
  <si>
    <t>ENSDARG00000004580</t>
  </si>
  <si>
    <t>nmnat2</t>
  </si>
  <si>
    <t>nicotinamide nucleotide adenylyltransferase 2 [Source:ZFIN;Acc:ZDB-GENE-030131-8201]</t>
  </si>
  <si>
    <t>ENSDARG00000077116</t>
  </si>
  <si>
    <t>ccnjl</t>
  </si>
  <si>
    <t>cyclin J-like [Source:ZFIN;Acc:ZDB-GENE-030131-9888]</t>
  </si>
  <si>
    <t>ENSDARG00000010946</t>
  </si>
  <si>
    <t>cbsb</t>
  </si>
  <si>
    <t>cystathionine-beta-synthase b [Source:ZFIN;Acc:ZDB-GENE-021030-3]</t>
  </si>
  <si>
    <t>ENSDARG00000009978</t>
  </si>
  <si>
    <t>icn</t>
  </si>
  <si>
    <t>ictacalcin [Source:ZFIN;Acc:ZDB-GENE-030131-8599]</t>
  </si>
  <si>
    <t>ENSDARG00000009745</t>
  </si>
  <si>
    <t>fbxw2</t>
  </si>
  <si>
    <t>F-box and WD repeat domain containing 2 [Source:ZFIN;Acc:ZDB-GENE-050522-303]</t>
  </si>
  <si>
    <t>ENSDARG00000008278</t>
  </si>
  <si>
    <t>rcor2</t>
  </si>
  <si>
    <t>REST corepressor 2 [Source:ZFIN;Acc:ZDB-GENE-040426-1812]</t>
  </si>
  <si>
    <t>ENSDARG00000015921</t>
  </si>
  <si>
    <t>pwp1</t>
  </si>
  <si>
    <t>PWP1 homolog (S. cerevisiae) [Source:ZFIN;Acc:ZDB-GENE-040426-1049]</t>
  </si>
  <si>
    <t>ENSDARG00000028583</t>
  </si>
  <si>
    <t>SLC16A3</t>
  </si>
  <si>
    <t>si:ch211-234h8.7 [Source:ZFIN;Acc:ZDB-GENE-061009-16]</t>
  </si>
  <si>
    <t>ENSDARG00000077073</t>
  </si>
  <si>
    <t>tanc1a</t>
  </si>
  <si>
    <t>tetratricopeptide repeat, ankyrin repeat and coiled-coil containing 1a [Source:ZFIN;Acc:ZDB-GENE-130530-819]</t>
  </si>
  <si>
    <t>ENSDARG00000027140</t>
  </si>
  <si>
    <t>nup160</t>
  </si>
  <si>
    <t>nucleoporin 160 [Source:ZFIN;Acc:ZDB-GENE-040426-1603]</t>
  </si>
  <si>
    <t>ENSDARG00000088171</t>
  </si>
  <si>
    <t>ciartb</t>
  </si>
  <si>
    <t>circadian associated repressor of transcription b [Source:ZFIN;Acc:ZDB-GENE-131127-285]</t>
  </si>
  <si>
    <t>ENSDARG00000102624</t>
  </si>
  <si>
    <t>kif22</t>
  </si>
  <si>
    <t>kinesin family member 22 [Source:ZFIN;Acc:ZDB-GENE-080204-34]</t>
  </si>
  <si>
    <t>ENSDARG00000104658</t>
  </si>
  <si>
    <t>si:dkey-95j14.1</t>
  </si>
  <si>
    <t>si:dkey-95j14.1 [Source:ZFIN;Acc:ZDB-GENE-141222-21]</t>
  </si>
  <si>
    <t>ENSDARG00000035986</t>
  </si>
  <si>
    <t>ptpn2b</t>
  </si>
  <si>
    <t>protein tyrosine phosphatase, non-receptor type 2, b [Source:ZFIN;Acc:ZDB-GENE-030909-8]</t>
  </si>
  <si>
    <t>ENSDARG00000092124</t>
  </si>
  <si>
    <t>cox14</t>
  </si>
  <si>
    <t>COX14 cytochrome c oxidase assembly factor [Source:ZFIN;Acc:ZDB-GENE-060503-626]</t>
  </si>
  <si>
    <t>ENSDARG00000061621</t>
  </si>
  <si>
    <t>them4</t>
  </si>
  <si>
    <t>thioesterase superfamily member 4 [Source:ZFIN;Acc:ZDB-GENE-070112-982]</t>
  </si>
  <si>
    <t>ENSDARG00000035918</t>
  </si>
  <si>
    <t>bzw2</t>
  </si>
  <si>
    <t>basic leucine zipper and W2 domains 2 [Source:ZFIN;Acc:ZDB-GENE-040426-746]</t>
  </si>
  <si>
    <t>ENSDARG00000090181</t>
  </si>
  <si>
    <t>si:dkey-242e21.4</t>
  </si>
  <si>
    <t>si:dkey-242e21.4 [Source:ZFIN;Acc:ZDB-GENE-100921-86]</t>
  </si>
  <si>
    <t>ENSDARG00000101983</t>
  </si>
  <si>
    <t>pkn2</t>
  </si>
  <si>
    <t>protein kinase N2 [Source:ZFIN;Acc:ZDB-GENE-061207-42]</t>
  </si>
  <si>
    <t>ENSDARG00000042116</t>
  </si>
  <si>
    <t>trim35-40</t>
  </si>
  <si>
    <t>tripartite motif containing 35-40 [Source:ZFIN;Acc:ZDB-GENE-030131-6081]</t>
  </si>
  <si>
    <t>ENSDARG00000015856</t>
  </si>
  <si>
    <t>slc25a40</t>
  </si>
  <si>
    <t>solute carrier family 25, member 40 [Source:ZFIN;Acc:ZDB-GENE-040718-52]</t>
  </si>
  <si>
    <t>ENSDARG00000002210</t>
  </si>
  <si>
    <t>stk25a</t>
  </si>
  <si>
    <t>serine/threonine kinase 25a [Source:ZFIN;Acc:ZDB-GENE-041010-92]</t>
  </si>
  <si>
    <t>ENSDARG00000101010</t>
  </si>
  <si>
    <t>hpdl</t>
  </si>
  <si>
    <t>4-hydroxyphenylpyruvate dioxygenase-like [Source:ZFIN;Acc:ZDB-GENE-071004-50]</t>
  </si>
  <si>
    <t>ENSDARG00000006052</t>
  </si>
  <si>
    <t>malt1a</t>
  </si>
  <si>
    <t>MALT1 paracaspase a [Source:ZFIN;Acc:ZDB-GENE-020801-2]</t>
  </si>
  <si>
    <t>ENSDARG00000062060</t>
  </si>
  <si>
    <t>gmeb1</t>
  </si>
  <si>
    <t>glucocorticoid modulatory element binding protein 1 [Source:ZFIN;Acc:ZDB-GENE-060503-35]</t>
  </si>
  <si>
    <t>ENSDARG00000017086</t>
  </si>
  <si>
    <t>asb12a</t>
  </si>
  <si>
    <t>ankyrin repeat and SOCS box-containing 12a [Source:ZFIN;Acc:ZDB-GENE-030131-1647]</t>
  </si>
  <si>
    <t>ENSDARG00000097352</t>
  </si>
  <si>
    <t>si:ch211-147g22.7</t>
  </si>
  <si>
    <t>si:ch211-147g22.7 [Source:ZFIN;Acc:ZDB-GENE-131127-358]</t>
  </si>
  <si>
    <t>ENSDARG00000087636</t>
  </si>
  <si>
    <t>si:dkeyp-86f7.3</t>
  </si>
  <si>
    <t>si:dkeyp-86f7.3 [Source:ZFIN;Acc:ZDB-GENE-030131-1005]</t>
  </si>
  <si>
    <t>ENSDARG00000091835</t>
  </si>
  <si>
    <t>SH2D1B</t>
  </si>
  <si>
    <t>si:ch73-264p11.1 [Source:ZFIN;Acc:ZDB-GENE-120703-35]</t>
  </si>
  <si>
    <t>ENSDARG00000024209</t>
  </si>
  <si>
    <t>wasf2</t>
  </si>
  <si>
    <t>WAS protein family, member 2 [Source:ZFIN;Acc:ZDB-GENE-040426-865]</t>
  </si>
  <si>
    <t>ENSDARG00000003151</t>
  </si>
  <si>
    <t>skp1</t>
  </si>
  <si>
    <t>S-phase kinase-associated protein 1 [Source:ZFIN;Acc:ZDB-GENE-040426-1707]</t>
  </si>
  <si>
    <t>ENSDARG00000103578</t>
  </si>
  <si>
    <t>gtf2b</t>
  </si>
  <si>
    <t>general transcription factor IIB [Source:ZFIN;Acc:ZDB-GENE-030131-3544]</t>
  </si>
  <si>
    <t>ENSDARG00000041895</t>
  </si>
  <si>
    <t>cad</t>
  </si>
  <si>
    <t>carbamoyl-phosphate synthetase 2, aspartate transcarbamylase, and dihydroorotase [Source:ZFIN;Acc:ZDB-GENE-021030-4]</t>
  </si>
  <si>
    <t>ENSDARG00000097827</t>
  </si>
  <si>
    <t>lrp1aa</t>
  </si>
  <si>
    <t>low density lipoprotein receptor-related protein 1Aa [Source:ZFIN;Acc:ZDB-GENE-030131-7889]</t>
  </si>
  <si>
    <t>ENSDARG00000058260</t>
  </si>
  <si>
    <t>zgc:174160</t>
  </si>
  <si>
    <t>zgc:174160 [Source:ZFIN;Acc:ZDB-GENE-030131-6252]</t>
  </si>
  <si>
    <t>ENSDARG00000056649</t>
  </si>
  <si>
    <t>htatsf1</t>
  </si>
  <si>
    <t>HIV-1 Tat specific factor 1 [Source:ZFIN;Acc:ZDB-GENE-040426-1578]</t>
  </si>
  <si>
    <t>ENSDARG00000071406</t>
  </si>
  <si>
    <t>enthd2</t>
  </si>
  <si>
    <t>ENTH domain containing 2 [Source:ZFIN;Acc:ZDB-GENE-100716-1]</t>
  </si>
  <si>
    <t>ENSDARG00000105045</t>
  </si>
  <si>
    <t>bmpr1ab</t>
  </si>
  <si>
    <t>bone morphogenetic protein receptor, type IAb [Source:ZFIN;Acc:ZDB-GENE-040912-150]</t>
  </si>
  <si>
    <t>ENSDARG00000001999</t>
  </si>
  <si>
    <t>adamts18</t>
  </si>
  <si>
    <t>ADAM metallopeptidase with thrombospondin type 1 motif, 18 [Source:ZFIN;Acc:ZDB-GENE-070815-1]</t>
  </si>
  <si>
    <t>ENSDARG00000016156</t>
  </si>
  <si>
    <t>fam53b</t>
  </si>
  <si>
    <t>family with sequence similarity 53, member B [Source:ZFIN;Acc:ZDB-GENE-040426-2495]</t>
  </si>
  <si>
    <t>ENSDARG00000039125</t>
  </si>
  <si>
    <t>map4k5</t>
  </si>
  <si>
    <t>mitogen-activated protein kinase kinase kinase kinase 5 [Source:ZFIN;Acc:ZDB-GENE-030131-6497]</t>
  </si>
  <si>
    <t>ENSDARG00000054748</t>
  </si>
  <si>
    <t>cuedc1b</t>
  </si>
  <si>
    <t>CUE domain containing 1b [Source:ZFIN;Acc:ZDB-GENE-070424-29]</t>
  </si>
  <si>
    <t>ENSDARG00000099002</t>
  </si>
  <si>
    <t>creb5a</t>
  </si>
  <si>
    <t>cAMP responsive element binding protein 5a [Source:ZFIN;Acc:ZDB-GENE-120827-2]</t>
  </si>
  <si>
    <t>ENSDARG00000035809</t>
  </si>
  <si>
    <t>col1a1b</t>
  </si>
  <si>
    <t>collagen, type I, alpha 1b [Source:ZFIN;Acc:ZDB-GENE-030131-4400]</t>
  </si>
  <si>
    <t>ENSDARG00000075263</t>
  </si>
  <si>
    <t>ankrd1a</t>
  </si>
  <si>
    <t>ankyrin repeat domain 1a (cardiac muscle) [Source:ZFIN;Acc:ZDB-GENE-100405-1]</t>
  </si>
  <si>
    <t>ENSDARG00000003421</t>
  </si>
  <si>
    <t>igf2bp2a</t>
  </si>
  <si>
    <t>insulin-like growth factor 2 mRNA binding protein 2a [Source:ZFIN;Acc:ZDB-GENE-070912-44]</t>
  </si>
  <si>
    <t>ENSDARG00000099577</t>
  </si>
  <si>
    <t>si:dkey-182g1.10</t>
  </si>
  <si>
    <t>si:dkey-182g1.10 [Source:ZFIN;Acc:ZDB-GENE-141216-134]</t>
  </si>
  <si>
    <t>ENSDARG00000058358</t>
  </si>
  <si>
    <t>krt8</t>
  </si>
  <si>
    <t>keratin 8 [Source:ZFIN;Acc:ZDB-GENE-030411-5]</t>
  </si>
  <si>
    <t>ENSDARG00000039381</t>
  </si>
  <si>
    <t>ch25hl1.1</t>
  </si>
  <si>
    <t>cholesterol 25-hydroxylase like 1, tandem duplicate 1 [Source:ZFIN;Acc:ZDB-GENE-030131-8617]</t>
  </si>
  <si>
    <t>ENSDARG00000101760</t>
  </si>
  <si>
    <t>znf1016</t>
  </si>
  <si>
    <t>zinc finger protein 1016 [Source:ZFIN;Acc:ZDB-GENE-110913-76]</t>
  </si>
  <si>
    <t>ENSDARG00000070702</t>
  </si>
  <si>
    <t>s100v2</t>
  </si>
  <si>
    <t>S100 calcium binding protein V2 [Source:ZFIN;Acc:ZDB-GENE-030131-8909]</t>
  </si>
  <si>
    <t>ENSDARG00000057699</t>
  </si>
  <si>
    <t>styx</t>
  </si>
  <si>
    <t>serine/threonine/tyrosine interacting protein [Source:ZFIN;Acc:ZDB-GENE-050522-45]</t>
  </si>
  <si>
    <t>ENSDARG00000057826</t>
  </si>
  <si>
    <t>si:ch73-61d6.3</t>
  </si>
  <si>
    <t>si:ch73-61d6.3 [Source:ZFIN;Acc:ZDB-GENE-091204-109]</t>
  </si>
  <si>
    <t>ENSDARG00000012534</t>
  </si>
  <si>
    <t>slc6a6a</t>
  </si>
  <si>
    <t>solute carrier family 6 (neurotransmitter transporter), member 6a [Source:ZFIN;Acc:ZDB-GENE-081104-1]</t>
  </si>
  <si>
    <t>ENSDARG00000042000</t>
  </si>
  <si>
    <t>si:ch211-63o20.7</t>
  </si>
  <si>
    <t>si:ch211-63o20.7 [Source:ZFIN;Acc:ZDB-GENE-041001-194]</t>
  </si>
  <si>
    <t>ENSDARG00000104942</t>
  </si>
  <si>
    <t>si:dkeyp-82b4.3</t>
  </si>
  <si>
    <t>si:dkeyp-82b4.3 [Source:ZFIN;Acc:ZDB-GENE-110913-166]</t>
  </si>
  <si>
    <t>ENSDARG00000076547</t>
  </si>
  <si>
    <t>si:ch211-221f10.2</t>
  </si>
  <si>
    <t>si:ch211-221f10.2 [Source:ZFIN;Acc:ZDB-GENE-140106-124]</t>
  </si>
  <si>
    <t>ENSDARG00000031214</t>
  </si>
  <si>
    <t>arcn1b</t>
  </si>
  <si>
    <t>archain 1b [Source:ZFIN;Acc:ZDB-GENE-040121-7]</t>
  </si>
  <si>
    <t>ENSDARG00000042004</t>
  </si>
  <si>
    <t>nfya</t>
  </si>
  <si>
    <t>nuclear transcription factor Y, alpha [Source:ZFIN;Acc:ZDB-GENE-010501-1]</t>
  </si>
  <si>
    <t>ENSDARG00000069241</t>
  </si>
  <si>
    <t>ttc32</t>
  </si>
  <si>
    <t>tetratricopeptide repeat domain 32 [Source:ZFIN;Acc:ZDB-GENE-041014-158]</t>
  </si>
  <si>
    <t>ENSDARG00000038064</t>
  </si>
  <si>
    <t>chmp3</t>
  </si>
  <si>
    <t>charged multivesicular body protein 3 [Source:ZFIN;Acc:ZDB-GENE-040426-2600]</t>
  </si>
  <si>
    <t>ENSDARG00000006065</t>
  </si>
  <si>
    <t>znf385b</t>
  </si>
  <si>
    <t>zinc finger protein 385B [Source:ZFIN;Acc:ZDB-GENE-030616-154]</t>
  </si>
  <si>
    <t>ENSDARG00000070425</t>
  </si>
  <si>
    <t>dll4</t>
  </si>
  <si>
    <t>delta-like 4 (Drosophila) [Source:ZFIN;Acc:ZDB-GENE-041014-73]</t>
  </si>
  <si>
    <t>ENSDARG00000096725</t>
  </si>
  <si>
    <t>si:dkey-21c1.1</t>
  </si>
  <si>
    <t>si:dkey-21c1.1 [Source:ZFIN;Acc:ZDB-GENE-130603-45]</t>
  </si>
  <si>
    <t>ENSDARG00000099936</t>
  </si>
  <si>
    <t>nlrc3l</t>
  </si>
  <si>
    <t>NLR family, CARD domain containing 3-like [Source:ZFIN;Acc:ZDB-GENE-121214-346]</t>
  </si>
  <si>
    <t>ENSDARG00000017049</t>
  </si>
  <si>
    <t>adsl</t>
  </si>
  <si>
    <t>adenylosuccinate lyase [Source:ZFIN;Acc:ZDB-GENE-030131-6363]</t>
  </si>
  <si>
    <t>ENSDARG00000012816</t>
  </si>
  <si>
    <t>dia1a</t>
  </si>
  <si>
    <t>deleted in autism 1a [Source:ZFIN;Acc:ZDB-GENE-041114-148]</t>
  </si>
  <si>
    <t>ENSDARG00000068886</t>
  </si>
  <si>
    <t>mrpl14</t>
  </si>
  <si>
    <t>mitochondrial ribosomal protein L14 [Source:ZFIN;Acc:ZDB-GENE-040426-1066]</t>
  </si>
  <si>
    <t>ENSDARG00000071468</t>
  </si>
  <si>
    <t>mrpl54</t>
  </si>
  <si>
    <t>mitochondrial ribosomal protein L54 [Source:ZFIN;Acc:ZDB-GENE-050208-381]</t>
  </si>
  <si>
    <t>ENSDARG00000032324</t>
  </si>
  <si>
    <t>epb41l5</t>
  </si>
  <si>
    <t>erythrocyte membrane protein band 4.1 like 5 [Source:ZFIN;Acc:ZDB-GENE-030616-450]</t>
  </si>
  <si>
    <t>ENSDARG00000006420</t>
  </si>
  <si>
    <t>atrnl1b</t>
  </si>
  <si>
    <t>attractin-like 1b [Source:ZFIN;Acc:ZDB-GENE-030131-8092]</t>
  </si>
  <si>
    <t>ENSDARG00000045540</t>
  </si>
  <si>
    <t>ppp6r2a</t>
  </si>
  <si>
    <t>protein phosphatase 6, regulatory subunit 2a [Source:ZFIN;Acc:ZDB-GENE-030131-5428]</t>
  </si>
  <si>
    <t>ENSDARG00000025404</t>
  </si>
  <si>
    <t>ube2g2</t>
  </si>
  <si>
    <t>ubiquitin-conjugating enzyme E2G 2 (UBC7 homolog, yeast) [Source:ZFIN;Acc:ZDB-GENE-050417-288]</t>
  </si>
  <si>
    <t>ENSDARG00000097992</t>
  </si>
  <si>
    <t>si:ch211-150o23.4</t>
  </si>
  <si>
    <t>si:ch211-150o23.4 [Source:ZFIN;Acc:ZDB-GENE-081107-9]</t>
  </si>
  <si>
    <t>ENSDARG00000010279</t>
  </si>
  <si>
    <t>scamp2</t>
  </si>
  <si>
    <t>secretory carrier membrane protein 2 [Source:ZFIN;Acc:ZDB-GENE-040426-2702]</t>
  </si>
  <si>
    <t>ENSDARG00000076373</t>
  </si>
  <si>
    <t>vopp1</t>
  </si>
  <si>
    <t>vesicular, overexpressed in cancer, prosurvival protein 1 [Source:ZFIN;Acc:ZDB-GENE-091204-64]</t>
  </si>
  <si>
    <t>ENSDARG00000078502</t>
  </si>
  <si>
    <t>si:ch211-150o23.3</t>
  </si>
  <si>
    <t>si:ch211-150o23.3 [Source:ZFIN;Acc:ZDB-GENE-060503-479]</t>
  </si>
  <si>
    <t>ENSDARG00000019496</t>
  </si>
  <si>
    <t>esd</t>
  </si>
  <si>
    <t>esterase D/formylglutathione hydrolase [Source:ZFIN;Acc:ZDB-GENE-050417-328]</t>
  </si>
  <si>
    <t>ENSDARG00000061738</t>
  </si>
  <si>
    <t>march2</t>
  </si>
  <si>
    <t>membrane-associated ring finger (C3HC4) 2 [Source:ZFIN;Acc:ZDB-GENE-050208-777]</t>
  </si>
  <si>
    <t>ENSDARG00000043646</t>
  </si>
  <si>
    <t>slc6a8</t>
  </si>
  <si>
    <t>solute carrier family 6 (neurotransmitter transporter), member 8 [Source:ZFIN;Acc:ZDB-GENE-071024-2]</t>
  </si>
  <si>
    <t>ENSDARG00000041051</t>
  </si>
  <si>
    <t>mid1ip1a</t>
  </si>
  <si>
    <t>MID1 interacting protein 1a [Source:ZFIN;Acc:ZDB-GENE-990415-81]</t>
  </si>
  <si>
    <t>ENSDARG00000094729</t>
  </si>
  <si>
    <t>apela</t>
  </si>
  <si>
    <t>apelin receptor early endogenous ligand [Source:ZFIN;Acc:ZDB-GENE-090313-116]</t>
  </si>
  <si>
    <t>ENSDARG00000086911</t>
  </si>
  <si>
    <t>si:dkey-100n23.5</t>
  </si>
  <si>
    <t>si:dkey-100n23.5 [Source:ZFIN;Acc:ZDB-GENE-070912-347]</t>
  </si>
  <si>
    <t>ENSDARG00000100563</t>
  </si>
  <si>
    <t>si:dkey-277i15.2</t>
  </si>
  <si>
    <t>si:dkey-277i15.2 [Source:ZFIN;Acc:ZDB-GENE-141216-203]</t>
  </si>
  <si>
    <t>ENSDARG00000060481</t>
  </si>
  <si>
    <t>atl1</t>
  </si>
  <si>
    <t>atlastin GTPase 1 [Source:ZFIN;Acc:ZDB-GENE-030131-8003]</t>
  </si>
  <si>
    <t>ENSDARG00000037501</t>
  </si>
  <si>
    <t>aasdhppt</t>
  </si>
  <si>
    <t>aminoadipate-semialdehyde dehydrogenase-phosphopantetheinyl transferase [Source:ZFIN;Acc:ZDB-GENE-050913-36]</t>
  </si>
  <si>
    <t>ENSDARG00000076972</t>
  </si>
  <si>
    <t>si:dkey-208k22.3</t>
  </si>
  <si>
    <t>si:dkey-208k22.3 [Source:ZFIN;Acc:ZDB-GENE-070912-432]</t>
  </si>
  <si>
    <t>ENSDARG00000093093</t>
  </si>
  <si>
    <t>adam17b</t>
  </si>
  <si>
    <t>ADAM metallopeptidase domain 17b [Source:ZFIN;Acc:ZDB-GENE-041001-199]</t>
  </si>
  <si>
    <t>ENSDARG00000055514</t>
  </si>
  <si>
    <t>icn2</t>
  </si>
  <si>
    <t>ictacalcin 2 [Source:ZFIN;Acc:ZDB-GENE-070822-9]</t>
  </si>
  <si>
    <t>ENSDARG00000045343</t>
  </si>
  <si>
    <t>usp46</t>
  </si>
  <si>
    <t>ubiquitin specific peptidase 46 [Source:ZFIN;Acc:ZDB-GENE-070705-213]</t>
  </si>
  <si>
    <t>ENSDARG00000103712</t>
  </si>
  <si>
    <t>plpp7</t>
  </si>
  <si>
    <t>phospholipid phosphatase 7 (inactive) [Source:ZFIN;Acc:ZDB-GENE-040426-1822]</t>
  </si>
  <si>
    <t>ENSDARG00000068370</t>
  </si>
  <si>
    <t>ralgps1</t>
  </si>
  <si>
    <t>Ral GEF with PH domain and SH3 binding motif 1 [Source:ZFIN;Acc:ZDB-GENE-070720-16]</t>
  </si>
  <si>
    <t>ENSDARG00000062579</t>
  </si>
  <si>
    <t>kremen1</t>
  </si>
  <si>
    <t>kringle containing transmembrane protein 1 [Source:ZFIN;Acc:ZDB-GENE-070705-262]</t>
  </si>
  <si>
    <t>ENSDARG00000061030</t>
  </si>
  <si>
    <t>vezf1b</t>
  </si>
  <si>
    <t>vascular endothelial zinc finger 1b [Source:ZFIN;Acc:ZDB-GENE-060825-121]</t>
  </si>
  <si>
    <t>ENSDARG00000073665</t>
  </si>
  <si>
    <t>rasa1b</t>
  </si>
  <si>
    <t>RAS p21 protein activator (GTPase activating protein) 1b [Source:ZFIN;Acc:ZDB-GENE-090311-50]</t>
  </si>
  <si>
    <t>ENSDARG00000060767</t>
  </si>
  <si>
    <t>smg7</t>
  </si>
  <si>
    <t>SMG7 nonsense mediated mRNA decay factor [Source:ZFIN;Acc:ZDB-GENE-030131-9122]</t>
  </si>
  <si>
    <t>ENSDARG00000089602</t>
  </si>
  <si>
    <t>si:dkey-217f16.1</t>
  </si>
  <si>
    <t>si:dkey-217f16.1 [Source:ZFIN;Acc:ZDB-GENE-091116-95]</t>
  </si>
  <si>
    <t>ENSDARG00000079416</t>
  </si>
  <si>
    <t>zgc:174895</t>
  </si>
  <si>
    <t>zgc:174895 [Source:ZFIN;Acc:ZDB-GENE-070928-41]</t>
  </si>
  <si>
    <t>ENSDARG00000045608</t>
  </si>
  <si>
    <t>fam19a5b</t>
  </si>
  <si>
    <t>family with sequence similarity 19 (chemokine (C-C motif)-like), member A5b [Source:ZFIN;Acc:ZDB-GENE-131127-365]</t>
  </si>
  <si>
    <t>ENSDARG00000075673</t>
  </si>
  <si>
    <t>arhgap21b</t>
  </si>
  <si>
    <t>Rho GTPase activating protein 21b [Source:ZFIN;Acc:ZDB-GENE-030131-4944]</t>
  </si>
  <si>
    <t>ENSDARG00000093487</t>
  </si>
  <si>
    <t>si:dkey-217f16.2</t>
  </si>
  <si>
    <t>si:dkey-217f16.2 [Source:ZFIN;Acc:ZDB-GENE-091118-55]</t>
  </si>
  <si>
    <t>ENSDARG00000032765</t>
  </si>
  <si>
    <t>net1</t>
  </si>
  <si>
    <t>neuroepithelial cell transforming 1 [Source:ZFIN;Acc:ZDB-GENE-041121-18]</t>
  </si>
  <si>
    <t>ENSDARG00000018040</t>
  </si>
  <si>
    <t>msantd4</t>
  </si>
  <si>
    <t>Myb/SANT-like DNA-binding domain containing 4 with coiled-coils [Source:ZFIN;Acc:ZDB-GENE-121023-2]</t>
  </si>
  <si>
    <t>ENSDARG00000042660</t>
  </si>
  <si>
    <t>fam32a</t>
  </si>
  <si>
    <t>family with sequence similarity 32, member A [Source:ZFIN;Acc:ZDB-GENE-040704-44]</t>
  </si>
  <si>
    <t>ENSDARG00000018882</t>
  </si>
  <si>
    <t>jak2b</t>
  </si>
  <si>
    <t>Janus kinase 2b [Source:ZFIN;Acc:ZDB-GENE-980526-123]</t>
  </si>
  <si>
    <t>ENSDARG00000076483</t>
  </si>
  <si>
    <t>zgc:198241</t>
  </si>
  <si>
    <t>zgc:198241 [Source:ZFIN;Acc:ZDB-GENE-080303-14]</t>
  </si>
  <si>
    <t>ENSDARG00000025421</t>
  </si>
  <si>
    <t>tdrd3</t>
  </si>
  <si>
    <t>tudor domain containing 3 [Source:ZFIN;Acc:ZDB-GENE-040426-19]</t>
  </si>
  <si>
    <t>ENSDARG00000087461</t>
  </si>
  <si>
    <t>ATP5J2</t>
  </si>
  <si>
    <t>si:dkey-21c1.4 [Source:ZFIN;Acc:ZDB-GENE-130603-44]</t>
  </si>
  <si>
    <t>ENSDARG00000102565</t>
  </si>
  <si>
    <t>vasnb</t>
  </si>
  <si>
    <t>vasorin b [Source:ZFIN;Acc:ZDB-GENE-110714-1]</t>
  </si>
  <si>
    <t>ENSDARG00000011239</t>
  </si>
  <si>
    <t>ppp1r14aa</t>
  </si>
  <si>
    <t>protein phosphatase 1, regulatory (inhibitor) subunit 14Aa [Source:ZFIN;Acc:ZDB-GENE-050417-413]</t>
  </si>
  <si>
    <t>ENSDARG00000003938</t>
  </si>
  <si>
    <t>rpa1</t>
  </si>
  <si>
    <t>replication protein A1 [Source:ZFIN;Acc:ZDB-GENE-030912-3]</t>
  </si>
  <si>
    <t>ENSDARG00000045628</t>
  </si>
  <si>
    <t>rab34a</t>
  </si>
  <si>
    <t>RAB34, member RAS oncogene family a [Source:ZFIN;Acc:ZDB-GENE-041010-197]</t>
  </si>
  <si>
    <t>ENSDARG00000089435</t>
  </si>
  <si>
    <t>macf1b</t>
  </si>
  <si>
    <t>microtubule-actin crosslinking factor 1 b [Source:ZFIN;Acc:ZDB-GENE-100922-36]</t>
  </si>
  <si>
    <t>ENSDARG00000024195</t>
  </si>
  <si>
    <t>znf395b</t>
  </si>
  <si>
    <t>zinc finger protein 395b [Source:ZFIN;Acc:ZDB-GENE-041001-193]</t>
  </si>
  <si>
    <t>ENSDARG00000062352</t>
  </si>
  <si>
    <t>sema4ab</t>
  </si>
  <si>
    <t>sema domain, immunoglobulin domain (Ig), transmembrane domain (TM) and short cytoplasmic domain, (semaphorin) 4Ab [Source:ZFIN;Acc:ZDB-GENE-060503-363]</t>
  </si>
  <si>
    <t>ENSDARG00000014366</t>
  </si>
  <si>
    <t>luc7l3</t>
  </si>
  <si>
    <t>LUC7-like 3 pre-mRNA splicing factor [Source:ZFIN;Acc:ZDB-GENE-060616-375]</t>
  </si>
  <si>
    <t>ENSDARG00000011693</t>
  </si>
  <si>
    <t>ttc36</t>
  </si>
  <si>
    <t>tetratricopeptide repeat domain 36 [Source:ZFIN;Acc:ZDB-GENE-041114-87]</t>
  </si>
  <si>
    <t>ENSDARG00000095388</t>
  </si>
  <si>
    <t>si:ch211-42i9.5</t>
  </si>
  <si>
    <t>si:ch211-42i9.5 [Source:ZFIN;Acc:ZDB-GENE-030131-3146]</t>
  </si>
  <si>
    <t>ENSDARG00000018980</t>
  </si>
  <si>
    <t>zgc:91890</t>
  </si>
  <si>
    <t>zgc:91890 [Source:ZFIN;Acc:ZDB-GENE-040704-21]</t>
  </si>
  <si>
    <t>ENSDARG00000037154</t>
  </si>
  <si>
    <t>hivep3b</t>
  </si>
  <si>
    <t>human immunodeficiency virus type I enhancer binding protein 3b [Source:ZFIN;Acc:ZDB-GENE-100922-42]</t>
  </si>
  <si>
    <t>ENSDARG00000104845</t>
  </si>
  <si>
    <t>mipol1</t>
  </si>
  <si>
    <t>mirror-image polydactyly 1 [Source:ZFIN;Acc:ZDB-GENE-030131-41]</t>
  </si>
  <si>
    <t>ENSDARG00000019302</t>
  </si>
  <si>
    <t>mid1ip1b</t>
  </si>
  <si>
    <t>MID1 interacting protein 1b [Source:ZFIN;Acc:ZDB-GENE-040426-1720]</t>
  </si>
  <si>
    <t>ENSDARG00000052091</t>
  </si>
  <si>
    <t>rbpjb</t>
  </si>
  <si>
    <t>recombination signal binding protein for immunoglobulin kappa J region b [Source:ZFIN;Acc:ZDB-GENE-070319-1]</t>
  </si>
  <si>
    <t>ENSDARG00000014854</t>
  </si>
  <si>
    <t>reep1</t>
  </si>
  <si>
    <t>receptor accessory protein 1 [Source:ZFIN;Acc:ZDB-GENE-110411-267]</t>
  </si>
  <si>
    <t>ENSDARG00000057378</t>
  </si>
  <si>
    <t>fam213aa</t>
  </si>
  <si>
    <t>family with sequence similarity 213, member Aa [Source:ZFIN;Acc:ZDB-GENE-030131-2459]</t>
  </si>
  <si>
    <t>ENSDARG00000000779</t>
  </si>
  <si>
    <t>scfd1</t>
  </si>
  <si>
    <t>sec1 family domain containing 1 [Source:ZFIN;Acc:ZDB-GENE-030116-3]</t>
  </si>
  <si>
    <t>ENSDARG00000063310</t>
  </si>
  <si>
    <t>oxr1b</t>
  </si>
  <si>
    <t>oxidation resistance 1b [Source:ZFIN;Acc:ZDB-GENE-030131-2438]</t>
  </si>
  <si>
    <t>ENSDARG00000016977</t>
  </si>
  <si>
    <t>snx27b</t>
  </si>
  <si>
    <t>sorting nexin family member 27b [Source:ZFIN;Acc:ZDB-GENE-040426-1529]</t>
  </si>
  <si>
    <t>ENSDARG00000087299</t>
  </si>
  <si>
    <t>armc9</t>
  </si>
  <si>
    <t>armadillo repeat containing 9 [Source:ZFIN;Acc:ZDB-GENE-100922-67]</t>
  </si>
  <si>
    <t>ENSDARG00000069326</t>
  </si>
  <si>
    <t>mus81</t>
  </si>
  <si>
    <t>MUS81 structure-specific endonuclease subunit [Source:ZFIN;Acc:ZDB-GENE-040426-2923]</t>
  </si>
  <si>
    <t>ENSDARG00000098288</t>
  </si>
  <si>
    <t>tax1bp1a</t>
  </si>
  <si>
    <t>Tax1 (human T-cell leukemia virus type I) binding protein 1a [Source:ZFIN;Acc:ZDB-GENE-060503-587]</t>
  </si>
  <si>
    <t>ENSDARG00000086034</t>
  </si>
  <si>
    <t>pvrl1b</t>
  </si>
  <si>
    <t>poliovirus receptor-related 1b [Source:ZFIN;Acc:ZDB-GENE-090224-2]</t>
  </si>
  <si>
    <t>ENSDARG00000059773</t>
  </si>
  <si>
    <t>SRCIN1.1</t>
  </si>
  <si>
    <t>si:ch211-278a6.1 [Source:ZFIN;Acc:ZDB-GENE-060503-699]</t>
  </si>
  <si>
    <t>ENSDARG00000094530</t>
  </si>
  <si>
    <t>si:dkey-109j17.4</t>
  </si>
  <si>
    <t>si:dkey-109j17.4 [Source:ZFIN;Acc:ZDB-GENE-090311-11]</t>
  </si>
  <si>
    <t>ENSDARG00000073999</t>
  </si>
  <si>
    <t>tapt1a</t>
  </si>
  <si>
    <t>transmembrane anterior posterior transformation 1a [Source:ZFIN;Acc:ZDB-GENE-131017-2]</t>
  </si>
  <si>
    <t>ENSDARG00000078748</t>
  </si>
  <si>
    <t>si:ch211-137a8.4</t>
  </si>
  <si>
    <t>si:ch211-137a8.4 [Source:ZFIN;Acc:ZDB-GENE-030131-3742]</t>
  </si>
  <si>
    <t>ENSDARG00000078386</t>
  </si>
  <si>
    <t>dync1i2a</t>
  </si>
  <si>
    <t>dynein, cytoplasmic 1, intermediate chain 2a [Source:ZFIN;Acc:ZDB-GENE-060929-1086]</t>
  </si>
  <si>
    <t>ENSDARG00000070426</t>
  </si>
  <si>
    <t>chac1</t>
  </si>
  <si>
    <t>ChaC, cation transport regulator homolog 1 (E. coli) [Source:ZFIN;Acc:ZDB-GENE-030131-1957]</t>
  </si>
  <si>
    <t>ENSDARG00000045145</t>
  </si>
  <si>
    <t>shisa9a</t>
  </si>
  <si>
    <t>shisa family member 9a [Source:ZFIN;Acc:ZDB-GENE-050320-78]</t>
  </si>
  <si>
    <t>ENSDARG00000096327</t>
  </si>
  <si>
    <t>cd164l2</t>
  </si>
  <si>
    <t>CD164 sialomucin-like 2 [Source:ZFIN;Acc:ZDB-GENE-120215-174]</t>
  </si>
  <si>
    <t>ENSDARG00000094694</t>
  </si>
  <si>
    <t>si:dkey-222f2.6</t>
  </si>
  <si>
    <t>si:dkey-222f2.6 [Source:ZFIN;Acc:ZDB-GENE-061106-3]</t>
  </si>
  <si>
    <t>ENSDARG00000002365</t>
  </si>
  <si>
    <t>cers5</t>
  </si>
  <si>
    <t>ceramide synthase 5 [Source:ZFIN;Acc:ZDB-GENE-030131-1740]</t>
  </si>
  <si>
    <t>ENSDARG00000018404</t>
  </si>
  <si>
    <t>krt18</t>
  </si>
  <si>
    <t>keratin 18 [Source:ZFIN;Acc:ZDB-GENE-030411-6]</t>
  </si>
  <si>
    <t>ENSDARG00000091821</t>
  </si>
  <si>
    <t>smc6</t>
  </si>
  <si>
    <t>structural maintenance of chromosomes 6 [Source:ZFIN;Acc:ZDB-GENE-110303-1]</t>
  </si>
  <si>
    <t>ENSDARG00000041394</t>
  </si>
  <si>
    <t>dnajb1b</t>
  </si>
  <si>
    <t>DnaJ (Hsp40) homolog, subfamily B, member 1b [Source:ZFIN;Acc:ZDB-GENE-030131-5455]</t>
  </si>
  <si>
    <t>ENSDARG00000016089</t>
  </si>
  <si>
    <t>gltscr1l</t>
  </si>
  <si>
    <t>GLTSCR1-like [Source:ZFIN;Acc:ZDB-GENE-100716-3]</t>
  </si>
  <si>
    <t>ENSDARG00000077519</t>
  </si>
  <si>
    <t>si:dkeyp-13d11.2</t>
  </si>
  <si>
    <t>si:dkeyp-13d11.2 [Source:ZFIN;Acc:ZDB-GENE-090311-21]</t>
  </si>
  <si>
    <t>ENSDARG00000038489</t>
  </si>
  <si>
    <t>b3gnt7</t>
  </si>
  <si>
    <t>UDP-GlcNAc:betaGal beta-1,3-N-acetylglucosaminyltransferase 7 [Source:ZFIN;Acc:ZDB-GENE-021210-4]</t>
  </si>
  <si>
    <t>ENSDARG00000055120</t>
  </si>
  <si>
    <t>ctsba</t>
  </si>
  <si>
    <t>cathepsin Ba [Source:ZFIN;Acc:ZDB-GENE-040426-2650]</t>
  </si>
  <si>
    <t>ENSDARG00000076004</t>
  </si>
  <si>
    <t>ppp2r3b</t>
  </si>
  <si>
    <t>protein phosphatase 2, regulatory subunit B'', beta [Source:ZFIN;Acc:ZDB-GENE-070912-268]</t>
  </si>
  <si>
    <t>ENSDARG00000070589</t>
  </si>
  <si>
    <t>mrpl35</t>
  </si>
  <si>
    <t>mitochondrial ribosomal protein L35 [Source:ZFIN;Acc:ZDB-GENE-060929-1082]</t>
  </si>
  <si>
    <t>ENSDARG00000037487</t>
  </si>
  <si>
    <t>march1</t>
  </si>
  <si>
    <t>membrane-associated ring finger (C3HC4) 1 [Source:ZFIN;Acc:ZDB-GENE-081112-1]</t>
  </si>
  <si>
    <t>ENSDARG00000075855</t>
  </si>
  <si>
    <t>adgre10</t>
  </si>
  <si>
    <t>adhesion G protein-coupled receptor E10 [Source:ZFIN;Acc:ZDB-GENE-090313-152]</t>
  </si>
  <si>
    <t>ENSDARG00000009950</t>
  </si>
  <si>
    <t>edf1</t>
  </si>
  <si>
    <t>endothelial differentiation-related factor 1 [Source:ZFIN;Acc:ZDB-GENE-040426-1710]</t>
  </si>
  <si>
    <t>ENSDARG00000105184</t>
  </si>
  <si>
    <t>nbeab</t>
  </si>
  <si>
    <t>neurobeachin b [Source:ZFIN;Acc:ZDB-GENE-120329-2]</t>
  </si>
  <si>
    <t>ENSDARG00000029431</t>
  </si>
  <si>
    <t>PRR5L</t>
  </si>
  <si>
    <t>si:ch211-147k10.5 [Source:ZFIN;Acc:ZDB-GENE-120411-9]</t>
  </si>
  <si>
    <t>ENSDARG00000023203</t>
  </si>
  <si>
    <t>mhc1lda</t>
  </si>
  <si>
    <t>major histocompatibility complex class I LDA [Source:ZFIN;Acc:ZDB-GENE-140820-5]</t>
  </si>
  <si>
    <t>ENSDARG00000043527</t>
  </si>
  <si>
    <t>plpp6</t>
  </si>
  <si>
    <t>phospholipid phosphatase 6 [Source:ZFIN;Acc:ZDB-GENE-040724-247]</t>
  </si>
  <si>
    <t>ENSDARG00000008075</t>
  </si>
  <si>
    <t>illr4</t>
  </si>
  <si>
    <t>immune-related, lectin-like receptor 4 [Source:ZFIN;Acc:ZDB-GENE-050311-5]</t>
  </si>
  <si>
    <t>ENSDARG00000023815</t>
  </si>
  <si>
    <t>uvrag</t>
  </si>
  <si>
    <t>UV radiation resistance associated gene [Source:ZFIN;Acc:ZDB-GENE-040426-924]</t>
  </si>
  <si>
    <t>ENSDARG00000073909</t>
  </si>
  <si>
    <t>ppip5k1b</t>
  </si>
  <si>
    <t>diphosphoinositol pentakisphosphate kinase 1b [Source:ZFIN;Acc:ZDB-GENE-100426-5]</t>
  </si>
  <si>
    <t>ENSDARG00000068365</t>
  </si>
  <si>
    <t>lmx1bb</t>
  </si>
  <si>
    <t>LIM homeobox transcription factor 1, beta b [Source:ZFIN;Acc:ZDB-GENE-050114-2]</t>
  </si>
  <si>
    <t>ENSDARG00000102883</t>
  </si>
  <si>
    <t>sptbn1</t>
  </si>
  <si>
    <t>spectrin, beta, non-erythrocytic 1 [Source:ZFIN;Acc:ZDB-GENE-031006-3]</t>
  </si>
  <si>
    <t>ENSDARG00000040186</t>
  </si>
  <si>
    <t>fam210a</t>
  </si>
  <si>
    <t>family with sequence similarity 210, member A [Source:ZFIN;Acc:ZDB-GENE-050306-43]</t>
  </si>
  <si>
    <t>ENSDARG00000013950</t>
  </si>
  <si>
    <t>pdf</t>
  </si>
  <si>
    <t>peptide deformylase (mitochondrial) [Source:ZFIN;Acc:ZDB-GENE-050913-42]</t>
  </si>
  <si>
    <t>ENSDARG00000008068</t>
  </si>
  <si>
    <t>tma16</t>
  </si>
  <si>
    <t>translation machinery associated 16 homolog [Source:ZFIN;Acc:ZDB-GENE-050522-20]</t>
  </si>
  <si>
    <t>ENSDARG00000016048</t>
  </si>
  <si>
    <t>gpat3</t>
  </si>
  <si>
    <t>glycerol-3-phosphate acyltransferase 3 [Source:ZFIN;Acc:ZDB-GENE-040718-436]</t>
  </si>
  <si>
    <t>ENSDARG00000028542</t>
  </si>
  <si>
    <t>si:ch211-114c12.2</t>
  </si>
  <si>
    <t>si:ch211-114c12.2 [Source:ZFIN;Acc:ZDB-GENE-030131-8522]</t>
  </si>
  <si>
    <t>ENSDARG00000052702</t>
  </si>
  <si>
    <t>capn1a</t>
  </si>
  <si>
    <t>calpain 1, (mu/I) large subunit a [Source:ZFIN;Acc:ZDB-GENE-040426-1263]</t>
  </si>
  <si>
    <t>ENSDARG00000077245</t>
  </si>
  <si>
    <t>si:dkey-225n22.4</t>
  </si>
  <si>
    <t>si:dkey-225n22.4 [Source:ZFIN;Acc:ZDB-GENE-120709-30]</t>
  </si>
  <si>
    <t>ENSDARG00000088713</t>
  </si>
  <si>
    <t>si:ch211-226h8.14</t>
  </si>
  <si>
    <t>si:ch211-226h8.14 [Source:ZFIN;Acc:ZDB-GENE-050208-470]</t>
  </si>
  <si>
    <t>ENSDARG00000068814</t>
  </si>
  <si>
    <t>spata2l</t>
  </si>
  <si>
    <t>spermatogenesis associated 2-like [Source:ZFIN;Acc:ZDB-GENE-070705-402]</t>
  </si>
  <si>
    <t>ENSDARG00000018008</t>
  </si>
  <si>
    <t>mdh1b</t>
  </si>
  <si>
    <t>malate dehydrogenase 1B, NAD (soluble) [Source:ZFIN;Acc:ZDB-GENE-060929-384]</t>
  </si>
  <si>
    <t>ENSDARG00000016765</t>
  </si>
  <si>
    <t>scamp3</t>
  </si>
  <si>
    <t>secretory carrier membrane protein 3 [Source:ZFIN;Acc:ZDB-GENE-041114-33]</t>
  </si>
  <si>
    <t>ENSDARG00000090600</t>
  </si>
  <si>
    <t>si:ch211-213a13.1</t>
  </si>
  <si>
    <t>si:ch211-213a13.1 [Source:ZFIN;Acc:ZDB-GENE-050208-471]</t>
  </si>
  <si>
    <t>ENSDARG00000044632</t>
  </si>
  <si>
    <t>myo7ab</t>
  </si>
  <si>
    <t>myosin VIIAb [Source:ZFIN;Acc:ZDB-GENE-091110-4]</t>
  </si>
  <si>
    <t>ENSDARG00000002552</t>
  </si>
  <si>
    <t>mapkapk2a</t>
  </si>
  <si>
    <t>mitogen-activated protein kinase-activated protein kinase 2a [Source:ZFIN;Acc:ZDB-GENE-030131-5532]</t>
  </si>
  <si>
    <t>ENSDARG00000056021</t>
  </si>
  <si>
    <t>sostdc1b</t>
  </si>
  <si>
    <t>sclerostin domain containing 1b [Source:ZFIN;Acc:ZDB-GENE-060503-653]</t>
  </si>
  <si>
    <t>ENSDARG00000075444</t>
  </si>
  <si>
    <t>cgref1</t>
  </si>
  <si>
    <t>cell growth regulator with EF-hand domain 1 [Source:ZFIN;Acc:ZDB-GENE-131121-137]</t>
  </si>
  <si>
    <t>ENSDARG00000045065</t>
  </si>
  <si>
    <t>vti1a</t>
  </si>
  <si>
    <t>vesicle transport through interaction with t-SNAREs 1A [Source:ZFIN;Acc:ZDB-GENE-050809-135]</t>
  </si>
  <si>
    <t>ENSDARG00000099885</t>
  </si>
  <si>
    <t>trim105</t>
  </si>
  <si>
    <t>tripartite motif containing 105 [Source:ZFIN;Acc:ZDB-GENE-060810-140]</t>
  </si>
  <si>
    <t>ENSDARG00000020218</t>
  </si>
  <si>
    <t>amfr</t>
  </si>
  <si>
    <t>autocrine motility factor receptor, E3 ubiquitin protein ligase a [Source:ZFIN;Acc:ZDB-GENE-040426-2190]</t>
  </si>
  <si>
    <t>ENSDARG00000092310</t>
  </si>
  <si>
    <t>si:ch211-199g17.2</t>
  </si>
  <si>
    <t>si:ch211-199g17.2 [Source:ZFIN;Acc:ZDB-GENE-060503-396]</t>
  </si>
  <si>
    <t>ENSDARG00000037353</t>
  </si>
  <si>
    <t>frs2b</t>
  </si>
  <si>
    <t>fibroblast growth factor receptor substrate 2b [Source:ZFIN;Acc:ZDB-GENE-040718-406]</t>
  </si>
  <si>
    <t>ENSDARG00000069269</t>
  </si>
  <si>
    <t>wdr35</t>
  </si>
  <si>
    <t>WD repeat domain 35 [Source:ZFIN;Acc:ZDB-GENE-060810-148]</t>
  </si>
  <si>
    <t>ENSDARG00000095601</t>
  </si>
  <si>
    <t>si:dkeyp-25a3.1</t>
  </si>
  <si>
    <t>si:dkeyp-25a3.1 [Source:ZFIN;Acc:ZDB-GENE-060503-465]</t>
  </si>
  <si>
    <t>ENSDARG00000012389</t>
  </si>
  <si>
    <t>adar</t>
  </si>
  <si>
    <t>adenosine deaminase, RNA-specific [Source:ZFIN;Acc:ZDB-GENE-000616-5]</t>
  </si>
  <si>
    <t>ENSDARG00000033754</t>
  </si>
  <si>
    <t>rbm48</t>
  </si>
  <si>
    <t>RNA binding motif protein 48 [Source:ZFIN;Acc:ZDB-GENE-060328-1]</t>
  </si>
  <si>
    <t>ENSDARG00000092477</t>
  </si>
  <si>
    <t>si:ch211-190k17.31</t>
  </si>
  <si>
    <t>si:ch211-190k17.31 [Source:ZFIN;Acc:ZDB-GENE-070912-169]</t>
  </si>
  <si>
    <t>ENSDARG00000008370</t>
  </si>
  <si>
    <t>csnk1da</t>
  </si>
  <si>
    <t>casein kinase 1, delta a [Source:ZFIN;Acc:ZDB-GENE-030131-825]</t>
  </si>
  <si>
    <t>ENSDARG00000033056</t>
  </si>
  <si>
    <t>zgc:171927</t>
  </si>
  <si>
    <t>zgc:171927 [Source:ZFIN;Acc:ZDB-GENE-070822-21]</t>
  </si>
  <si>
    <t>ENSDARG00000068140</t>
  </si>
  <si>
    <t>si:dkey-24l11.2</t>
  </si>
  <si>
    <t>si:dkey-24l11.2 [Source:ZFIN;Acc:ZDB-GENE-050419-208]</t>
  </si>
  <si>
    <t>ENSDARG00000037647</t>
  </si>
  <si>
    <t>rnf175</t>
  </si>
  <si>
    <t>ring finger protein 175 [Source:ZFIN;Acc:ZDB-GENE-040426-1104]</t>
  </si>
  <si>
    <t>ENSDARG00000061377</t>
  </si>
  <si>
    <t>efcab1</t>
  </si>
  <si>
    <t>EF-hand calcium binding domain 1 [Source:ZFIN;Acc:ZDB-GENE-040914-40]</t>
  </si>
  <si>
    <t>ENSDARG00000045641</t>
  </si>
  <si>
    <t>usp3</t>
  </si>
  <si>
    <t>ubiquitin specific peptidase 3 [Source:ZFIN;Acc:ZDB-GENE-030131-5142]</t>
  </si>
  <si>
    <t>ENSDARG00000055292</t>
  </si>
  <si>
    <t>atg9b</t>
  </si>
  <si>
    <t>autophagy related 9B [Source:ZFIN;Acc:ZDB-GENE-091111-3]</t>
  </si>
  <si>
    <t>ENSDARG00000043511</t>
  </si>
  <si>
    <t>prdx6</t>
  </si>
  <si>
    <t>peroxiredoxin 6 [Source:ZFIN;Acc:ZDB-GENE-040426-1778]</t>
  </si>
  <si>
    <t>ENSDARG00000076360</t>
  </si>
  <si>
    <t>rpl37.1</t>
  </si>
  <si>
    <t>ENSDARG00000006397</t>
  </si>
  <si>
    <t>laptm4a</t>
  </si>
  <si>
    <t>lysosomal protein transmembrane 4 alpha [Source:ZFIN;Acc:ZDB-GENE-030131-1024]</t>
  </si>
  <si>
    <t>ENSDARG00000023532</t>
  </si>
  <si>
    <t>pinx1</t>
  </si>
  <si>
    <t>PIN2/TERF1 interacting, telomerase inhibitor 1 [Source:ZFIN;Acc:ZDB-GENE-030515-2]</t>
  </si>
  <si>
    <t>ENSDARG00000070435</t>
  </si>
  <si>
    <t>vapb</t>
  </si>
  <si>
    <t>VAMP (vesicle-associated membrane protein)-associated protein B and C [Source:ZFIN;Acc:ZDB-GENE-030131-2348]</t>
  </si>
  <si>
    <t>ENSDARG00000026109</t>
  </si>
  <si>
    <t>slc48a1b</t>
  </si>
  <si>
    <t>solute carrier family 48 (heme transporter), member 1b [Source:ZFIN;Acc:ZDB-GENE-030131-8226]</t>
  </si>
  <si>
    <t>ENSDARG00000099430</t>
  </si>
  <si>
    <t>atg16l1</t>
  </si>
  <si>
    <t>ATG16 autophagy related 16-like 1 (S. cerevisiae) [Source:ZFIN;Acc:ZDB-GENE-050417-401]</t>
  </si>
  <si>
    <t>ENSDARG00000058413</t>
  </si>
  <si>
    <t>rnaset2l</t>
  </si>
  <si>
    <t>ribonuclease T2, like [Source:ZFIN;Acc:ZDB-GENE-090819-2]</t>
  </si>
  <si>
    <t>ENSDARG00000103748</t>
  </si>
  <si>
    <t>ovca2</t>
  </si>
  <si>
    <t>ovarian tumor suppressor candidate 2 [Source:ZFIN;Acc:ZDB-GENE-050522-115]</t>
  </si>
  <si>
    <t>ENSDARG00000067916</t>
  </si>
  <si>
    <t>tgs1</t>
  </si>
  <si>
    <t>trimethylguanosine synthase 1 [Source:ZFIN;Acc:ZDB-GENE-070802-2]</t>
  </si>
  <si>
    <t>ENSDARG00000038446</t>
  </si>
  <si>
    <t>nrp2b</t>
  </si>
  <si>
    <t>neuropilin 2b [Source:ZFIN;Acc:ZDB-GENE-040611-3]</t>
  </si>
  <si>
    <t>ENSDARG00000079478</t>
  </si>
  <si>
    <t>mvb12bb</t>
  </si>
  <si>
    <t>multivesicular body subunit 12Bb [Source:ZFIN;Acc:ZDB-GENE-080414-2]</t>
  </si>
  <si>
    <t>ENSDARG00000103962</t>
  </si>
  <si>
    <t>add1</t>
  </si>
  <si>
    <t>adducin 1 (alpha) [Source:ZFIN;Acc:ZDB-GENE-030909-2]</t>
  </si>
  <si>
    <t>ENSDARG00000040085</t>
  </si>
  <si>
    <t>ccsapb</t>
  </si>
  <si>
    <t>centriole, cilia and spindle-associated protein b [Source:ZFIN;Acc:ZDB-GENE-081107-51]</t>
  </si>
  <si>
    <t>ENSDARG00000021141</t>
  </si>
  <si>
    <t>plekhf2</t>
  </si>
  <si>
    <t>pleckstrin homology domain containing, family F (with FYVE domain) member 2 [Source:ZFIN;Acc:ZDB-GENE-040426-884]</t>
  </si>
  <si>
    <t>ENSDARG00000009499</t>
  </si>
  <si>
    <t>syne1a</t>
  </si>
  <si>
    <t>spectrin repeat containing, nuclear envelope 1a [Source:ZFIN;Acc:ZDB-GENE-030131-4172]</t>
  </si>
  <si>
    <t>ENSDARG00000040705</t>
  </si>
  <si>
    <t>glsb</t>
  </si>
  <si>
    <t>glutaminase b [Source:ZFIN;Acc:ZDB-GENE-030616-550]</t>
  </si>
  <si>
    <t>ENSDARG00000036107</t>
  </si>
  <si>
    <t>txnipa</t>
  </si>
  <si>
    <t>thioredoxin interacting protein a [Source:ZFIN;Acc:ZDB-GENE-030804-10]</t>
  </si>
  <si>
    <t>ENSDARG00000031968</t>
  </si>
  <si>
    <t>cpped1</t>
  </si>
  <si>
    <t>calcineurin-like phosphoesterase domain containing 1 [Source:ZFIN;Acc:ZDB-GENE-041114-118]</t>
  </si>
  <si>
    <t>ENSDARG00000075887</t>
  </si>
  <si>
    <t>herc3</t>
  </si>
  <si>
    <t>HECT and RLD domain containing E3 ubiquitin protein ligase 3 [Source:ZFIN;Acc:ZDB-GENE-090313-139]</t>
  </si>
  <si>
    <t>ENSDARG00000008592</t>
  </si>
  <si>
    <t>mtmr8</t>
  </si>
  <si>
    <t>myotubularin related protein 8 [Source:ZFIN;Acc:ZDB-GENE-040426-1016]</t>
  </si>
  <si>
    <t>ENSDARG00000034344</t>
  </si>
  <si>
    <t>pcdh19</t>
  </si>
  <si>
    <t>protocadherin 19 [Source:ZFIN;Acc:ZDB-GENE-030131-4218]</t>
  </si>
  <si>
    <t>ENSDARG00000002710</t>
  </si>
  <si>
    <t>ncl</t>
  </si>
  <si>
    <t>nucleolin [Source:ZFIN;Acc:ZDB-GENE-030131-6986]</t>
  </si>
  <si>
    <t>ENSDARG00000055284</t>
  </si>
  <si>
    <t>afap1</t>
  </si>
  <si>
    <t>actin filament associated protein 1 [Source:ZFIN;Acc:ZDB-GENE-100316-6]</t>
  </si>
  <si>
    <t>ENSDARG00000102848</t>
  </si>
  <si>
    <t>si:ch211-215p11.5</t>
  </si>
  <si>
    <t>si:ch211-215p11.5 [Source:ZFIN;Acc:ZDB-GENE-060531-37]</t>
  </si>
  <si>
    <t>ENSDARG00000060564</t>
  </si>
  <si>
    <t>slc25a21</t>
  </si>
  <si>
    <t>solute carrier family 25 (mitochondrial oxoadipate carrier), member 21 [Source:ZFIN;Acc:ZDB-GENE-060929-664]</t>
  </si>
  <si>
    <t>ENSDARG00000009218</t>
  </si>
  <si>
    <t>mars2</t>
  </si>
  <si>
    <t>methionyl-tRNA synthetase 2, mitochondrial [Source:ZFIN;Acc:ZDB-GENE-111201-1]</t>
  </si>
  <si>
    <t>ENSDARG00000088357</t>
  </si>
  <si>
    <t>acadl</t>
  </si>
  <si>
    <t>acyl-CoA dehydrogenase, long chain [Source:ZFIN;Acc:ZDB-GENE-040426-771]</t>
  </si>
  <si>
    <t>ENSDARG00000099520</t>
  </si>
  <si>
    <t>si:ch73-223f1.5</t>
  </si>
  <si>
    <t>si:ch73-223f1.5 [Source:ZFIN;Acc:ZDB-GENE-141212-154]</t>
  </si>
  <si>
    <t>ENSDARG00000029764</t>
  </si>
  <si>
    <t>mef2ca</t>
  </si>
  <si>
    <t>myocyte enhancer factor 2ca [Source:ZFIN;Acc:ZDB-GENE-980526-253]</t>
  </si>
  <si>
    <t>ENSDARG00000043531</t>
  </si>
  <si>
    <t>jun</t>
  </si>
  <si>
    <t>jun proto-oncogene [Source:ZFIN;Acc:ZDB-GENE-030131-7859]</t>
  </si>
  <si>
    <t>ENSDARG00000103953</t>
  </si>
  <si>
    <t>med12</t>
  </si>
  <si>
    <t>mediator complex subunit 12 [Source:ZFIN;Acc:ZDB-GENE-060125-1]</t>
  </si>
  <si>
    <t>ENSDARG00000091813</t>
  </si>
  <si>
    <t>si:dkey-21a6.5</t>
  </si>
  <si>
    <t>si:dkey-21a6.5 [Source:ZFIN;Acc:ZDB-GENE-131121-257]</t>
  </si>
  <si>
    <t>ENSDARG00000026664</t>
  </si>
  <si>
    <t>uri1</t>
  </si>
  <si>
    <t>URI1, prefoldin-like chaperone [Source:ZFIN;Acc:ZDB-GENE-050913-30]</t>
  </si>
  <si>
    <t>ENSDARG00000019732</t>
  </si>
  <si>
    <t>mtch2</t>
  </si>
  <si>
    <t>mitochondrial carrier homolog 2 [Source:ZFIN;Acc:ZDB-GENE-991008-9]</t>
  </si>
  <si>
    <t>ENSDARG00000053668</t>
  </si>
  <si>
    <t>stag2b</t>
  </si>
  <si>
    <t>stromal antigen 2b [Source:ZFIN;Acc:ZDB-GENE-030131-2785]</t>
  </si>
  <si>
    <t>ENSDARG00000030125</t>
  </si>
  <si>
    <t>sox7</t>
  </si>
  <si>
    <t>SRY (sex determining region Y)-box 7 [Source:ZFIN;Acc:ZDB-GENE-040109-4]</t>
  </si>
  <si>
    <t>ENSDARG00000026630</t>
  </si>
  <si>
    <t>mark3b</t>
  </si>
  <si>
    <t>MAP/microtubule affinity-regulating kinase 3b [Source:ZFIN;Acc:ZDB-GENE-060929-80]</t>
  </si>
  <si>
    <t>ENSDARG00000054096</t>
  </si>
  <si>
    <t>rbm41</t>
  </si>
  <si>
    <t>RNA binding motif protein 41 [Source:ZFIN;Acc:ZDB-GENE-041114-107]</t>
  </si>
  <si>
    <t>ENSDARG00000038518</t>
  </si>
  <si>
    <t>snap29</t>
  </si>
  <si>
    <t>synaptosomal-associated protein 29 [Source:ZFIN;Acc:ZDB-GENE-041111-226]</t>
  </si>
  <si>
    <t>ENSDARG00000053652</t>
  </si>
  <si>
    <t>ndufaf6</t>
  </si>
  <si>
    <t>NADH dehydrogenase (ubiquinone) complex I, assembly factor 6 [Source:ZFIN;Acc:ZDB-GENE-100112-1]</t>
  </si>
  <si>
    <t>ENSDARG00000077252</t>
  </si>
  <si>
    <t>si:rp71-36a1.5.1</t>
  </si>
  <si>
    <t>ENSDARG00000042894</t>
  </si>
  <si>
    <t>tyms</t>
  </si>
  <si>
    <t>thymidylate synthetase [Source:ZFIN;Acc:ZDB-GENE-040426-59]</t>
  </si>
  <si>
    <t>ENSDARG00000010423</t>
  </si>
  <si>
    <t>npsn</t>
  </si>
  <si>
    <t>nephrosin [Source:ZFIN;Acc:ZDB-GENE-040420-2]</t>
  </si>
  <si>
    <t>ENSDARG00000036109</t>
  </si>
  <si>
    <t>mtx1b</t>
  </si>
  <si>
    <t>metaxin 1b [Source:ZFIN;Acc:ZDB-GENE-021210-1]</t>
  </si>
  <si>
    <t>ENSDARG00000042667</t>
  </si>
  <si>
    <t>klf2a</t>
  </si>
  <si>
    <t>Kruppel-like factor 2a [Source:ZFIN;Acc:ZDB-GENE-011109-1]</t>
  </si>
  <si>
    <t>ENSDARG00000027423</t>
  </si>
  <si>
    <t>igf1ra</t>
  </si>
  <si>
    <t>insulin-like growth factor 1a receptor [Source:ZFIN;Acc:ZDB-GENE-020503-1]</t>
  </si>
  <si>
    <t>ENSDARG00000051713</t>
  </si>
  <si>
    <t>mhc1lga</t>
  </si>
  <si>
    <t>major histocompatibility complex class I LGA [Source:ZFIN;Acc:ZDB-GENE-140820-8]</t>
  </si>
  <si>
    <t>ENSDARG00000022918</t>
  </si>
  <si>
    <t>tbcc</t>
  </si>
  <si>
    <t>tubulin folding cofactor C [Source:ZFIN;Acc:ZDB-GENE-041008-103]</t>
  </si>
  <si>
    <t>ENSDARG00000010625</t>
  </si>
  <si>
    <t>clic2</t>
  </si>
  <si>
    <t>chloride intracellular channel 2 [Source:ZFIN;Acc:ZDB-GENE-040718-299]</t>
  </si>
  <si>
    <t>ENSDARG00000052912</t>
  </si>
  <si>
    <t>si:dkey-57n24.6</t>
  </si>
  <si>
    <t>si:dkey-57n24.6 [Source:ZFIN;Acc:ZDB-GENE-130530-641]</t>
  </si>
  <si>
    <t>ENSDARG00000036820</t>
  </si>
  <si>
    <t>mgll</t>
  </si>
  <si>
    <t>monoglyceride lipase [Source:ZFIN;Acc:ZDB-GENE-031006-9]</t>
  </si>
  <si>
    <t>ENSDARG00000019579</t>
  </si>
  <si>
    <t>ldb2a</t>
  </si>
  <si>
    <t>LIM domain binding 2a [Source:ZFIN;Acc:ZDB-GENE-990415-136]</t>
  </si>
  <si>
    <t>ENSDARG00000025302</t>
  </si>
  <si>
    <t>dixdc1a</t>
  </si>
  <si>
    <t>DIX domain containing 1a [Source:ZFIN;Acc:ZDB-GENE-030721-2]</t>
  </si>
  <si>
    <t>ENSDARG00000099617</t>
  </si>
  <si>
    <t>sdr39u1</t>
  </si>
  <si>
    <t>short chain dehydrogenase/reductase family 39U, member 1 [Source:ZFIN;Acc:ZDB-GENE-060929-104]</t>
  </si>
  <si>
    <t>ENSDARG00000087394</t>
  </si>
  <si>
    <t>tshz3a</t>
  </si>
  <si>
    <t>teashirt zinc finger homeobox 3a [Source:ZFIN;Acc:ZDB-GENE-100322-1]</t>
  </si>
  <si>
    <t>ENSDARG00000014008</t>
  </si>
  <si>
    <t>cwc22</t>
  </si>
  <si>
    <t>CWC22 spliceosome-associated protein homolog (S. cerevisiae) [Source:ZFIN;Acc:ZDB-GENE-060929-452]</t>
  </si>
  <si>
    <t>ENSDARG00000004714</t>
  </si>
  <si>
    <t>tcf12</t>
  </si>
  <si>
    <t>transcription factor 12 [Source:ZFIN;Acc:ZDB-GENE-040516-11]</t>
  </si>
  <si>
    <t>ENSDARG00000045331</t>
  </si>
  <si>
    <t>pkp4</t>
  </si>
  <si>
    <t>plakophilin 4 [Source:ZFIN;Acc:ZDB-GENE-120411-14]</t>
  </si>
  <si>
    <t>ENSDARG00000079253</t>
  </si>
  <si>
    <t>plch1</t>
  </si>
  <si>
    <t>phospholipase C, eta 1 [Source:ZFIN;Acc:ZDB-GENE-060503-398]</t>
  </si>
  <si>
    <t>ENSDARG00000098569</t>
  </si>
  <si>
    <t>si:ch211-215p11.4</t>
  </si>
  <si>
    <t>si:ch211-215p11.4 [Source:ZFIN;Acc:ZDB-GENE-060531-36]</t>
  </si>
  <si>
    <t>ENSDARG00000040338</t>
  </si>
  <si>
    <t>hvcn1</t>
  </si>
  <si>
    <t>hydrogen voltage-gated channel 1 [Source:ZFIN;Acc:ZDB-GENE-040718-36]</t>
  </si>
  <si>
    <t>ENSDARG00000094316</t>
  </si>
  <si>
    <t>si:rp71-80o10.4</t>
  </si>
  <si>
    <t>si:rp71-80o10.4 [Source:ZFIN;Acc:ZDB-GENE-090313-413]</t>
  </si>
  <si>
    <t>ENSDARG00000024204</t>
  </si>
  <si>
    <t>mcm3</t>
  </si>
  <si>
    <t>minichromosome maintenance complex component 3 [Source:ZFIN;Acc:ZDB-GENE-020419-4]</t>
  </si>
  <si>
    <t>ENSDARG00000074967</t>
  </si>
  <si>
    <t>TMEM87A</t>
  </si>
  <si>
    <t>zgc:162698 [Source:ZFIN;Acc:ZDB-GENE-041111-185]</t>
  </si>
  <si>
    <t>ENSDARG00000076609</t>
  </si>
  <si>
    <t>si:ch211-199g17.9</t>
  </si>
  <si>
    <t>si:ch211-199g17.9 [Source:ZFIN;Acc:ZDB-GENE-120214-17]</t>
  </si>
  <si>
    <t>ENSDARG00000071009</t>
  </si>
  <si>
    <t>kif20ba</t>
  </si>
  <si>
    <t>kinesin family member 20Ba [Source:ZFIN;Acc:ZDB-GENE-041111-213]</t>
  </si>
  <si>
    <t>ENSDARG00000033184</t>
  </si>
  <si>
    <t>prkar2aa</t>
  </si>
  <si>
    <t>protein kinase, cAMP-dependent, regulatory, type II, alpha A [Source:ZFIN;Acc:ZDB-GENE-030131-1007]</t>
  </si>
  <si>
    <t>ENSDARG00000005315</t>
  </si>
  <si>
    <t>celf1</t>
  </si>
  <si>
    <t>cugbp, Elav-like family member 1 [Source:ZFIN;Acc:ZDB-GENE-000501-1]</t>
  </si>
  <si>
    <t>ENSDARG00000098671</t>
  </si>
  <si>
    <t>prelid1a</t>
  </si>
  <si>
    <t>PRELI domain containing 1a [Source:ZFIN;Acc:ZDB-GENE-040426-1341]</t>
  </si>
  <si>
    <t>ENSDARG00000023151</t>
  </si>
  <si>
    <t>ucp1</t>
  </si>
  <si>
    <t>uncoupling protein 1 [Source:ZFIN;Acc:ZDB-GENE-010503-1]</t>
  </si>
  <si>
    <t>ENSDARG00000090286</t>
  </si>
  <si>
    <t>serpina1</t>
  </si>
  <si>
    <t>serpin peptidase inhibitor, clade A (alpha-1 antiproteinase, antitrypsin), member 1 [Source:ZFIN;Acc:ZDB-GENE-030131-1421]</t>
  </si>
  <si>
    <t>ENSDARG00000070600</t>
  </si>
  <si>
    <t>DYRK3</t>
  </si>
  <si>
    <t>zgc:172180 [Source:ZFIN;Acc:ZDB-GENE-080219-31]</t>
  </si>
  <si>
    <t>ENSDARG00000041976</t>
  </si>
  <si>
    <t>il17a/f3</t>
  </si>
  <si>
    <t>interleukin 17a/f3 [Source:ZFIN;Acc:ZDB-GENE-041001-192]</t>
  </si>
  <si>
    <t>ENSDARG00000003307</t>
  </si>
  <si>
    <t>stx16</t>
  </si>
  <si>
    <t>syntaxin 16 [Source:ZFIN;Acc:ZDB-GENE-060810-113]</t>
  </si>
  <si>
    <t>ENSDARG00000057652</t>
  </si>
  <si>
    <t>dbpb</t>
  </si>
  <si>
    <t>D site albumin promoter binding protein b [Source:ZFIN;Acc:ZDB-GENE-100922-6]</t>
  </si>
  <si>
    <t>ENSDARG00000043502</t>
  </si>
  <si>
    <t>ccdc124</t>
  </si>
  <si>
    <t>coiled-coil domain containing 124 [Source:ZFIN;Acc:ZDB-GENE-040426-1483]</t>
  </si>
  <si>
    <t>ENSDARG00000073721</t>
  </si>
  <si>
    <t>smarcad1b</t>
  </si>
  <si>
    <t>SWI/SNF-related, matrix-associated actin-dependent regulator of chromatin, subfamily a, containing DEAD/H box 1 b [Source:ZFIN;Acc:ZDB-GENE-091113-61]</t>
  </si>
  <si>
    <t>ENSDARG00000097766</t>
  </si>
  <si>
    <t>mhc1lia</t>
  </si>
  <si>
    <t>major histocompatibility complex class I LIA [Source:ZFIN;Acc:ZDB-GENE-140820-10]</t>
  </si>
  <si>
    <t>ENSDARG00000078083</t>
  </si>
  <si>
    <t>armc5</t>
  </si>
  <si>
    <t>armadillo repeat containing 5 [Source:ZFIN;Acc:ZDB-GENE-030131-7382]</t>
  </si>
  <si>
    <t>ENSDARG00000043536</t>
  </si>
  <si>
    <t>si:dkey-86e18.1</t>
  </si>
  <si>
    <t>si:dkey-86e18.1 [Source:ZFIN;Acc:ZDB-GENE-041014-18]</t>
  </si>
  <si>
    <t>ENSDARG00000010132</t>
  </si>
  <si>
    <t>dacha</t>
  </si>
  <si>
    <t>dachshund a [Source:ZFIN;Acc:ZDB-GENE-020402-3]</t>
  </si>
  <si>
    <t>ENSDARG00000092746</t>
  </si>
  <si>
    <t>si:ch211-150o23.2</t>
  </si>
  <si>
    <t>si:ch211-150o23.2 [Source:ZFIN;Acc:ZDB-GENE-060503-386]</t>
  </si>
  <si>
    <t>ENSDARG00000014536</t>
  </si>
  <si>
    <t>pfdn1</t>
  </si>
  <si>
    <t>prefoldin subunit 1 [Source:ZFIN;Acc:ZDB-GENE-050306-50]</t>
  </si>
  <si>
    <t>ENSDARG00000098350</t>
  </si>
  <si>
    <t>mxd3</t>
  </si>
  <si>
    <t>MAX dimerization protein 3 [Source:ZFIN;Acc:ZDB-GENE-040426-1588]</t>
  </si>
  <si>
    <t>ENSDARG00000052376</t>
  </si>
  <si>
    <t>b3gnt2a</t>
  </si>
  <si>
    <t>UDP-GlcNAc:betaGal beta-1,3-N-acetylglucosaminyltransferase 2a [Source:ZFIN;Acc:ZDB-GENE-090312-192]</t>
  </si>
  <si>
    <t>ENSDARG00000056550</t>
  </si>
  <si>
    <t>tango2</t>
  </si>
  <si>
    <t>transport and golgi organization 2 homolog (Drosophila) [Source:ZFIN;Acc:ZDB-GENE-040808-42]</t>
  </si>
  <si>
    <t>ENSDARG00000034105</t>
  </si>
  <si>
    <t>mtus1b</t>
  </si>
  <si>
    <t>microtubule associated tumor suppressor 1b [Source:ZFIN;Acc:ZDB-GENE-070619-5]</t>
  </si>
  <si>
    <t>ENSDARG00000096247</t>
  </si>
  <si>
    <t>si:ch211-1k7.1</t>
  </si>
  <si>
    <t>si:ch211-1k7.1 [Source:ZFIN;Acc:ZDB-GENE-120214-8]</t>
  </si>
  <si>
    <t>ENSDARG00000037889</t>
  </si>
  <si>
    <t>wnt9b</t>
  </si>
  <si>
    <t>wingless-type MMTV integration site family, member 9B [Source:ZFIN;Acc:ZDB-GENE-080201-1]</t>
  </si>
  <si>
    <t>ENSDARG00000089362</t>
  </si>
  <si>
    <t>grn1</t>
  </si>
  <si>
    <t>granulin 1 [Source:ZFIN;Acc:ZDB-GENE-060103-1]</t>
  </si>
  <si>
    <t>ENSDARG00000031246</t>
  </si>
  <si>
    <t>hbegfb</t>
  </si>
  <si>
    <t>heparin-binding EGF-like growth factor b [Source:ZFIN;Acc:ZDB-GENE-070820-6]</t>
  </si>
  <si>
    <t>ENSDARG00000101669</t>
  </si>
  <si>
    <t>elmod2</t>
  </si>
  <si>
    <t>ELMO/CED-12 domain containing 2 [Source:ZFIN;Acc:ZDB-GENE-060824-2]</t>
  </si>
  <si>
    <t>ENSDARG00000051729</t>
  </si>
  <si>
    <t>nfatc3b</t>
  </si>
  <si>
    <t>nuclear factor of activated T-cells, cytoplasmic, calcineurin-dependent 3b [Source:ZFIN;Acc:ZDB-GENE-100922-25]</t>
  </si>
  <si>
    <t>ENSDARG00000053425</t>
  </si>
  <si>
    <t>serinc2l</t>
  </si>
  <si>
    <t>serine incorporator 2, like [Source:ZFIN;Acc:ZDB-GENE-100921-58]</t>
  </si>
  <si>
    <t>ENSDARG00000037196</t>
  </si>
  <si>
    <t>ARID5B</t>
  </si>
  <si>
    <t>si:dkey-247f17.3 [Source:ZFIN;Acc:ZDB-GENE-121214-272]</t>
  </si>
  <si>
    <t>ENSDARG00000094670</t>
  </si>
  <si>
    <t>si:dkey-270e21.7</t>
  </si>
  <si>
    <t>si:dkey-270e21.7 [Source:ZFIN;Acc:ZDB-GENE-050208-798]</t>
  </si>
  <si>
    <t>ENSDARG00000014763</t>
  </si>
  <si>
    <t>arf2a</t>
  </si>
  <si>
    <t>ADP-ribosylation factor 2a [Source:ZFIN;Acc:ZDB-GENE-040122-4]</t>
  </si>
  <si>
    <t>ENSDARG00000063370</t>
  </si>
  <si>
    <t>sgk2a</t>
  </si>
  <si>
    <t>serum/glucocorticoid regulated kinase 2a [Source:ZFIN;Acc:ZDB-GENE-030131-9632]</t>
  </si>
  <si>
    <t>ENSDARG00000093841</t>
  </si>
  <si>
    <t>si:ch211-12h2.6</t>
  </si>
  <si>
    <t>si:ch211-12h2.6 [Source:ZFIN;Acc:ZDB-GENE-091117-31]</t>
  </si>
  <si>
    <t>ENSDARG00000007141</t>
  </si>
  <si>
    <t>psmc3</t>
  </si>
  <si>
    <t>proteasome 26S subunit, ATPase 3 [Source:ZFIN;Acc:ZDB-GENE-030131-666]</t>
  </si>
  <si>
    <t>ENSDARG00000093483</t>
  </si>
  <si>
    <t>si:dkey-284e7.2</t>
  </si>
  <si>
    <t>si:dkey-284e7.2 [Source:ZFIN;Acc:ZDB-GENE-070912-501]</t>
  </si>
  <si>
    <t>ENSDARG00000024744</t>
  </si>
  <si>
    <t>dpp6b</t>
  </si>
  <si>
    <t>dipeptidyl-peptidase 6b [Source:ZFIN;Acc:ZDB-GENE-070705-88]</t>
  </si>
  <si>
    <t>ENSDARG00000058969</t>
  </si>
  <si>
    <t>cntnap2a</t>
  </si>
  <si>
    <t>contactin associated protein-like 2a [Source:ZFIN;Acc:ZDB-GENE-120328-3]</t>
  </si>
  <si>
    <t>ENSDARG00000104042</t>
  </si>
  <si>
    <t>b4galt4</t>
  </si>
  <si>
    <t>UDP-Gal:betaGlcNAc beta 1,4- galactosyltransferase, polypeptide 4 [Source:ZFIN;Acc:ZDB-GENE-041114-103]</t>
  </si>
  <si>
    <t>ENSDARG00000086247</t>
  </si>
  <si>
    <t>zgc:171781</t>
  </si>
  <si>
    <t>zgc:171781 [Source:ZFIN;Acc:ZDB-GENE-080305-9]</t>
  </si>
  <si>
    <t>ENSDARG00000103697</t>
  </si>
  <si>
    <t>arnt2</t>
  </si>
  <si>
    <t>aryl-hydrocarbon receptor nuclear translocator 2 [Source:ZFIN;Acc:ZDB-GENE-001207-3]</t>
  </si>
  <si>
    <t>ENSDARG00000088932</t>
  </si>
  <si>
    <t>si:dkey-240e12.6</t>
  </si>
  <si>
    <t>si:dkey-240e12.6 [Source:ZFIN;Acc:ZDB-GENE-050208-367]</t>
  </si>
  <si>
    <t>ENSDARG00000014161</t>
  </si>
  <si>
    <t>ercc4</t>
  </si>
  <si>
    <t>excision repair cross-complementation group 4 [Source:ZFIN;Acc:ZDB-GENE-030131-5533]</t>
  </si>
  <si>
    <t>ENSDARG00000013615</t>
  </si>
  <si>
    <t>pbx3b</t>
  </si>
  <si>
    <t>pre-B-cell leukemia homeobox 3b [Source:ZFIN;Acc:ZDB-GENE-000405-3]</t>
  </si>
  <si>
    <t>ENSDARG00000006316</t>
  </si>
  <si>
    <t>rpl23a</t>
  </si>
  <si>
    <t>ribosomal protein L23a [Source:ZFIN;Acc:ZDB-GENE-030131-7479]</t>
  </si>
  <si>
    <t>ENSDARG00000095991</t>
  </si>
  <si>
    <t>si:ch211-199c19.4</t>
  </si>
  <si>
    <t>si:ch211-199c19.4 [Source:ZFIN;Acc:ZDB-GENE-110914-221]</t>
  </si>
  <si>
    <t>ENSDARG00000036818</t>
  </si>
  <si>
    <t>hyal3</t>
  </si>
  <si>
    <t>hyaluronoglucosaminidase 3 [Source:ZFIN;Acc:ZDB-GENE-081104-366]</t>
  </si>
  <si>
    <t>ENSDARG00000031203</t>
  </si>
  <si>
    <t>commd1</t>
  </si>
  <si>
    <t>copper metabolism (Murr1) domain containing 1 [Source:ZFIN;Acc:ZDB-GENE-060512-329]</t>
  </si>
  <si>
    <t>ENSDARG00000077571</t>
  </si>
  <si>
    <t>zgc:174862</t>
  </si>
  <si>
    <t>zgc:174862 [Source:ZFIN;Acc:ZDB-GENE-080303-29]</t>
  </si>
  <si>
    <t>ENSDARG00000029402</t>
  </si>
  <si>
    <t>sort1a</t>
  </si>
  <si>
    <t>sortilin 1a [Source:ZFIN;Acc:ZDB-GENE-040426-2329]</t>
  </si>
  <si>
    <t>ENSDARG00000030786</t>
  </si>
  <si>
    <t>mpi</t>
  </si>
  <si>
    <t>mannose phosphate isomerase [Source:ZFIN;Acc:ZDB-GENE-050904-6]</t>
  </si>
  <si>
    <t>ENSDARG00000057374</t>
  </si>
  <si>
    <t>sfxn3</t>
  </si>
  <si>
    <t>sideroflexin 3 [Source:ZFIN;Acc:ZDB-GENE-070112-2092]</t>
  </si>
  <si>
    <t>ENSDARG00000045928</t>
  </si>
  <si>
    <t>psma4</t>
  </si>
  <si>
    <t>proteasome subunit alpha 4 [Source:ZFIN;Acc:ZDB-GENE-040426-1932]</t>
  </si>
  <si>
    <t>ENSDARG00000052455</t>
  </si>
  <si>
    <t>porcnl</t>
  </si>
  <si>
    <t>porcupine homolog like [Source:ZFIN;Acc:ZDB-GENE-030131-5931]</t>
  </si>
  <si>
    <t>ENSDARG00000093773</t>
  </si>
  <si>
    <t>si:ch1073-296i8.2</t>
  </si>
  <si>
    <t>si:ch1073-296i8.2 [Source:ZFIN;Acc:ZDB-GENE-110411-9]</t>
  </si>
  <si>
    <t>ENSDARG00000067752</t>
  </si>
  <si>
    <t>pigl</t>
  </si>
  <si>
    <t>phosphatidylinositol glycan anchor biosynthesis, class L [Source:ZFIN;Acc:ZDB-GENE-050506-60]</t>
  </si>
  <si>
    <t>ENSDARG00000103370</t>
  </si>
  <si>
    <t>lrrc8da</t>
  </si>
  <si>
    <t>leucine rich repeat containing 8 family, member Da [Source:ZFIN;Acc:ZDB-GENE-061009-26]</t>
  </si>
  <si>
    <t>ENSDARG00000070074</t>
  </si>
  <si>
    <t>lrp8</t>
  </si>
  <si>
    <t>low density lipoprotein receptor-related protein 8, apolipoprotein e receptor [Source:ZFIN;Acc:ZDB-GENE-050506-134]</t>
  </si>
  <si>
    <t>ENSDARG00000004672</t>
  </si>
  <si>
    <t>ptk2ab</t>
  </si>
  <si>
    <t>protein tyrosine kinase 2ab [Source:ZFIN;Acc:ZDB-GENE-020114-1]</t>
  </si>
  <si>
    <t>ENSDARG00000035797</t>
  </si>
  <si>
    <t>si:dkey-17m8.2</t>
  </si>
  <si>
    <t>si:dkey-17m8.2 [Source:ZFIN;Acc:ZDB-GENE-110411-234]</t>
  </si>
  <si>
    <t>ENSDARG00000076074</t>
  </si>
  <si>
    <t>dda1</t>
  </si>
  <si>
    <t>DET1 and DDB1 associated 1 [Source:ZFIN;Acc:ZDB-GENE-040426-2137]</t>
  </si>
  <si>
    <t>ENSDARG00000078504</t>
  </si>
  <si>
    <t>si:ch73-60h1.1</t>
  </si>
  <si>
    <t>si:ch73-60h1.1 [Source:ZFIN;Acc:ZDB-GENE-140106-152]</t>
  </si>
  <si>
    <t>ENSDARG00000070601</t>
  </si>
  <si>
    <t>RASSF5</t>
  </si>
  <si>
    <t>si:dkey-85p17.3 [Source:ZFIN;Acc:ZDB-GENE-141219-8]</t>
  </si>
  <si>
    <t>ENSDARG00000058806</t>
  </si>
  <si>
    <t>apoa1bp</t>
  </si>
  <si>
    <t>apolipoprotein A-I binding protein [Source:ZFIN;Acc:ZDB-GENE-040718-362]</t>
  </si>
  <si>
    <t>ENSDARG00000079618</t>
  </si>
  <si>
    <t>sik2a</t>
  </si>
  <si>
    <t>salt-inducible kinase 2a [Source:ZFIN;Acc:ZDB-GENE-070705-451]</t>
  </si>
  <si>
    <t>ENSDARG00000004447</t>
  </si>
  <si>
    <t>aplnr2</t>
  </si>
  <si>
    <t>apelin receptor 2 [Source:ZFIN;Acc:ZDB-GENE-030131-4347]</t>
  </si>
  <si>
    <t>ENSDARG00000045847</t>
  </si>
  <si>
    <t>si:ch211-214j24.10</t>
  </si>
  <si>
    <t>si:ch211-214j24.10 [Source:ZFIN;Acc:ZDB-GENE-030131-6301]</t>
  </si>
  <si>
    <t>ENSDARG00000033182</t>
  </si>
  <si>
    <t>arl4ab</t>
  </si>
  <si>
    <t>ADP-ribosylation factor-like 4ab [Source:ZFIN;Acc:ZDB-GENE-030219-167]</t>
  </si>
  <si>
    <t>ENSDARG00000036180</t>
  </si>
  <si>
    <t>ccnb2</t>
  </si>
  <si>
    <t>cyclin B2 [Source:ZFIN;Acc:ZDB-GENE-030429-12]</t>
  </si>
  <si>
    <t>ENSDARG00000098277</t>
  </si>
  <si>
    <t>si:dkey-174e10.3</t>
  </si>
  <si>
    <t>si:dkey-174e10.3 [Source:ZFIN;Acc:ZDB-GENE-141216-49]</t>
  </si>
  <si>
    <t>ENSDARG00000042827</t>
  </si>
  <si>
    <t>adoa</t>
  </si>
  <si>
    <t>2-aminoethanethiol (cysteamine) dioxygenase a [Source:ZFIN;Acc:ZDB-GENE-041212-62]</t>
  </si>
  <si>
    <t>ENSDARG00000015385</t>
  </si>
  <si>
    <t>ndufs3</t>
  </si>
  <si>
    <t>NADH dehydrogenase (ubiquinone) Fe-S protein 3, (NADH-coenzyme Q reductase) [Source:ZFIN;Acc:ZDB-GENE-050417-274]</t>
  </si>
  <si>
    <t>ENSDARG00000022832</t>
  </si>
  <si>
    <t>bnip4</t>
  </si>
  <si>
    <t>BCL2/adenovirus E1B interacting protein 4 [Source:ZFIN;Acc:ZDB-GENE-051113-212]</t>
  </si>
  <si>
    <t>ENSDARG00000012244</t>
  </si>
  <si>
    <t>ube2e3</t>
  </si>
  <si>
    <t>ubiquitin-conjugating enzyme E2E 3 (UBC4/5 homolog, yeast) [Source:ZFIN;Acc:ZDB-GENE-030131-408]</t>
  </si>
  <si>
    <t>ENSDARG00000070228</t>
  </si>
  <si>
    <t>cdk6</t>
  </si>
  <si>
    <t>cyclin-dependent kinase 6 [Source:ZFIN;Acc:ZDB-GENE-060503-786]</t>
  </si>
  <si>
    <t>ENSDARG00000024299</t>
  </si>
  <si>
    <t>c1qtnf4</t>
  </si>
  <si>
    <t>C1q and tumor necrosis factor related protein 4 [Source:ZFIN;Acc:ZDB-GENE-050417-198]</t>
  </si>
  <si>
    <t>ENSDARG00000040582</t>
  </si>
  <si>
    <t>c18h3orf33</t>
  </si>
  <si>
    <t>c18h3orf33 homolog (H. sapiens) [Source:ZFIN;Acc:ZDB-GENE-061121-2]</t>
  </si>
  <si>
    <t>ENSDARG00000042826</t>
  </si>
  <si>
    <t>egr2b</t>
  </si>
  <si>
    <t>early growth response 2b [Source:ZFIN;Acc:ZDB-GENE-980526-283]</t>
  </si>
  <si>
    <t>ENSDARG00000013860</t>
  </si>
  <si>
    <t>ptpmt1</t>
  </si>
  <si>
    <t>protein tyrosine phosphatase, mitochondrial 1 [Source:ZFIN;Acc:ZDB-GENE-070112-272]</t>
  </si>
  <si>
    <t>ENSDARG00000070584</t>
  </si>
  <si>
    <t>clic5b</t>
  </si>
  <si>
    <t>chloride intracellular channel 5b [Source:ZFIN;Acc:ZDB-GENE-040426-2542]</t>
  </si>
  <si>
    <t>ENSDARG00000043339</t>
  </si>
  <si>
    <t>fam175a</t>
  </si>
  <si>
    <t>family with sequence similarity 175, member A [Source:ZFIN;Acc:ZDB-GENE-041010-70]</t>
  </si>
  <si>
    <t>ENSDARG00000053728</t>
  </si>
  <si>
    <t>ttll3</t>
  </si>
  <si>
    <t>tubulin tyrosine ligase-like family, member 3 [Source:ZFIN;Acc:ZDB-GENE-060616-182]</t>
  </si>
  <si>
    <t>ENSDARG00000069624</t>
  </si>
  <si>
    <t>mrps18c</t>
  </si>
  <si>
    <t>mitochondrial ribosomal protein S18C [Source:ZFIN;Acc:ZDB-GENE-060503-609]</t>
  </si>
  <si>
    <t>ENSDARG00000102184</t>
  </si>
  <si>
    <t>mib1</t>
  </si>
  <si>
    <t>mindbomb E3 ubiquitin protein ligase 1 [Source:ZFIN;Acc:ZDB-GENE-030404-2]</t>
  </si>
  <si>
    <t>ENSDARG00000028943</t>
  </si>
  <si>
    <t>mtss1la</t>
  </si>
  <si>
    <t>metastasis suppressor 1-like a [Source:ZFIN;Acc:ZDB-GENE-030219-89]</t>
  </si>
  <si>
    <t>ENSDARG00000025108</t>
  </si>
  <si>
    <t>magixa</t>
  </si>
  <si>
    <t>MAGI family member, X-linked a [Source:ZFIN;Acc:ZDB-GENE-060503-115]</t>
  </si>
  <si>
    <t>ENSDARG00000019753</t>
  </si>
  <si>
    <t>kcnn3</t>
  </si>
  <si>
    <t>potassium intermediate/small conductance calcium-activated channel, subfamily N, member 3 [Source:ZFIN;Acc:ZDB-GENE-100921-56]</t>
  </si>
  <si>
    <t>ENSDARG00000010862</t>
  </si>
  <si>
    <t>amt</t>
  </si>
  <si>
    <t>aminomethyltransferase [Source:ZFIN;Acc:ZDB-GENE-041010-114]</t>
  </si>
  <si>
    <t>ENSDARG00000009871</t>
  </si>
  <si>
    <t>snrpc</t>
  </si>
  <si>
    <t>small nuclear ribonucleoprotein polypeptide C [Source:ZFIN;Acc:ZDB-GENE-020419-26]</t>
  </si>
  <si>
    <t>ENSDARG00000057855</t>
  </si>
  <si>
    <t>mrps31</t>
  </si>
  <si>
    <t>mitochondrial ribosomal protein S31 [Source:ZFIN;Acc:ZDB-GENE-030131-3715]</t>
  </si>
  <si>
    <t>ENSDARG00000020086</t>
  </si>
  <si>
    <t>nuak1a</t>
  </si>
  <si>
    <t>NUAK family, SNF1-like kinase, 1a [Source:ZFIN;Acc:ZDB-GENE-041210-122]</t>
  </si>
  <si>
    <t>ENSDARG00000060830</t>
  </si>
  <si>
    <t>fam83hb</t>
  </si>
  <si>
    <t>family with sequence similarity 83, member Hb [Source:ZFIN;Acc:ZDB-GENE-030131-6729]</t>
  </si>
  <si>
    <t>ENSDARG00000056885</t>
  </si>
  <si>
    <t>per1a</t>
  </si>
  <si>
    <t>period circadian clock 1a [Source:ZFIN;Acc:ZDB-GENE-011220-1]</t>
  </si>
  <si>
    <t>ENSDARG00000005551</t>
  </si>
  <si>
    <t>hnrnph1l</t>
  </si>
  <si>
    <t>heterogeneous nuclear ribonucleoprotein H1, like [Source:ZFIN;Acc:ZDB-GENE-030131-275]</t>
  </si>
  <si>
    <t>ENSDARG00000027649</t>
  </si>
  <si>
    <t>cpsf3</t>
  </si>
  <si>
    <t>cleavage and polyadenylation specific factor 3 [Source:ZFIN;Acc:ZDB-GENE-030131-3275]</t>
  </si>
  <si>
    <t>ENSDARG00000077572</t>
  </si>
  <si>
    <t>si:ch211-193k19.2</t>
  </si>
  <si>
    <t>si:ch211-193k19.2 [Source:ZFIN;Acc:ZDB-GENE-060503-203]</t>
  </si>
  <si>
    <t>ENSDARG00000019144</t>
  </si>
  <si>
    <t>rab4a</t>
  </si>
  <si>
    <t>RAB4a, member RAS oncogene family [Source:ZFIN;Acc:ZDB-GENE-040525-1]</t>
  </si>
  <si>
    <t>ENSDARG00000015325</t>
  </si>
  <si>
    <t>u2af1</t>
  </si>
  <si>
    <t>U2 small nuclear RNA auxiliary factor 1 [Source:ZFIN;Acc:ZDB-GENE-020419-1]</t>
  </si>
  <si>
    <t>ENSDARG00000038378</t>
  </si>
  <si>
    <t>sagb</t>
  </si>
  <si>
    <t>S-antigen; retina and pineal gland (arrestin) b [Source:ZFIN;Acc:ZDB-GENE-050913-98]</t>
  </si>
  <si>
    <t>ENSDARG00000076974</t>
  </si>
  <si>
    <t>pdzd7a</t>
  </si>
  <si>
    <t>PDZ domain containing 7a [Source:ZFIN;Acc:ZDB-GENE-090313-191]</t>
  </si>
  <si>
    <t>ENSDARG00000023591</t>
  </si>
  <si>
    <t>nrbf2b</t>
  </si>
  <si>
    <t>nuclear receptor binding factor 2b [Source:ZFIN;Acc:ZDB-GENE-040718-357]</t>
  </si>
  <si>
    <t>ENSDARG00000075721</t>
  </si>
  <si>
    <t>zdhhc6</t>
  </si>
  <si>
    <t>zinc finger, DHHC-type containing 6 [Source:ZFIN;Acc:ZDB-GENE-030131-3189]</t>
  </si>
  <si>
    <t>ENSDARG00000078654</t>
  </si>
  <si>
    <t>tpx2</t>
  </si>
  <si>
    <t>TPX2, microtubule-associated, homolog (Xenopus laevis) [Source:ZFIN;Acc:ZDB-GENE-030131-9652]</t>
  </si>
  <si>
    <t>ENSDARG00000056152</t>
  </si>
  <si>
    <t>fam3c</t>
  </si>
  <si>
    <t>family with sequence similarity 3, member C [Source:ZFIN;Acc:ZDB-GENE-030131-6137]</t>
  </si>
  <si>
    <t>ENSDARG00000079250</t>
  </si>
  <si>
    <t>zbtb5</t>
  </si>
  <si>
    <t>zinc finger and BTB domain containing 5 [Source:ZFIN;Acc:ZDB-GENE-090313-117]</t>
  </si>
  <si>
    <t>ENSDARG00000007315</t>
  </si>
  <si>
    <t>tmpoa</t>
  </si>
  <si>
    <t>thymopoietin a [Source:ZFIN;Acc:ZDB-GENE-030131-6003]</t>
  </si>
  <si>
    <t>ENSDARG00000101361</t>
  </si>
  <si>
    <t>znf644a</t>
  </si>
  <si>
    <t>zinc finger protein 644a [Source:ZFIN;Acc:ZDB-GENE-030131-6244]</t>
  </si>
  <si>
    <t>ENSDARG00000042282</t>
  </si>
  <si>
    <t>itga6a</t>
  </si>
  <si>
    <t>integrin, alpha 6a [Source:ZFIN;Acc:ZDB-GENE-050309-23]</t>
  </si>
  <si>
    <t>ENSDARG00000101695</t>
  </si>
  <si>
    <t>si:dkey-26m3.3</t>
  </si>
  <si>
    <t>si:dkey-26m3.3 [Source:ZFIN;Acc:ZDB-GENE-070705-445]</t>
  </si>
  <si>
    <t>ENSDARG00000079818</t>
  </si>
  <si>
    <t>helq</t>
  </si>
  <si>
    <t>helicase, POLQ-like [Source:ZFIN;Acc:ZDB-GENE-060503-421]</t>
  </si>
  <si>
    <t>ENSDARG00000100524</t>
  </si>
  <si>
    <t>abca3b</t>
  </si>
  <si>
    <t>ATP-binding cassette, sub-family A (ABC1), member 3b [Source:ZFIN;Acc:ZDB-GENE-050517-2]</t>
  </si>
  <si>
    <t>ENSDARG00000097612</t>
  </si>
  <si>
    <t>si:dkey-24l11.2.1</t>
  </si>
  <si>
    <t>ENSDARG00000059233</t>
  </si>
  <si>
    <t>runx2b</t>
  </si>
  <si>
    <t>runt-related transcription factor 2b [Source:ZFIN;Acc:ZDB-GENE-040629-4]</t>
  </si>
  <si>
    <t>ENSDARG00000101808</t>
  </si>
  <si>
    <t>si:ch211-271b14.1</t>
  </si>
  <si>
    <t>si:ch211-271b14.1 [Source:ZFIN;Acc:ZDB-GENE-141212-386]</t>
  </si>
  <si>
    <t>ENSDARG00000011801</t>
  </si>
  <si>
    <t>wars2</t>
  </si>
  <si>
    <t>tryptophanyl tRNA synthetase 2, mitochondrial [Source:ZFIN;Acc:ZDB-GENE-050306-26]</t>
  </si>
  <si>
    <t>ENSDARG00000018840</t>
  </si>
  <si>
    <t>trpc4apa</t>
  </si>
  <si>
    <t>transient receptor potential cation channel, subfamily C, member 4 associated protein a [Source:ZFIN;Acc:ZDB-GENE-000330-3]</t>
  </si>
  <si>
    <t>ENSDARG00000061383</t>
  </si>
  <si>
    <t>serpinf2b</t>
  </si>
  <si>
    <t>serpin peptidase inhibitor, clade F (alpha-2 antiplasmin, pigment epithelium derived factor), member 2b [Source:ZFIN;Acc:ZDB-GENE-061215-114]</t>
  </si>
  <si>
    <t>ENSDARG00000063634</t>
  </si>
  <si>
    <t>hpse</t>
  </si>
  <si>
    <t>heparanase [Source:ZFIN;Acc:ZDB-GENE-041111-200]</t>
  </si>
  <si>
    <t>ENSDARG00000071240</t>
  </si>
  <si>
    <t>aars2</t>
  </si>
  <si>
    <t>alanyl-tRNA synthetase 2, mitochondrial (putative) [Source:ZFIN;Acc:ZDB-GENE-041008-213]</t>
  </si>
  <si>
    <t>ENSDARG00000075672</t>
  </si>
  <si>
    <t>pms2</t>
  </si>
  <si>
    <t>PMS1 homolog 2, mismatch repair system component [Source:ZFIN;Acc:ZDB-GENE-030131-686]</t>
  </si>
  <si>
    <t>ENSDARG00000071197</t>
  </si>
  <si>
    <t>usp40</t>
  </si>
  <si>
    <t>ubiquitin specific peptidase 40 [Source:ZFIN;Acc:ZDB-GENE-060518-5]</t>
  </si>
  <si>
    <t>ENSDARG00000036811</t>
  </si>
  <si>
    <t>ifrd2</t>
  </si>
  <si>
    <t>interferon-related developmental regulator 2 [Source:ZFIN;Acc:ZDB-GENE-040801-140]</t>
  </si>
  <si>
    <t>ENSDARG00000002391</t>
  </si>
  <si>
    <t>tlcd1</t>
  </si>
  <si>
    <t>TLC domain containing 1 [Source:ZFIN;Acc:ZDB-GENE-041010-173]</t>
  </si>
  <si>
    <t>ENSDARG00000029931</t>
  </si>
  <si>
    <t>atp13a1</t>
  </si>
  <si>
    <t>ATPase type 13A1 [Source:ZFIN;Acc:ZDB-GENE-040426-2804]</t>
  </si>
  <si>
    <t>ENSDARG00000060501</t>
  </si>
  <si>
    <t>dpcd</t>
  </si>
  <si>
    <t>deleted in primary ciliary dyskinesia homolog (mouse) [Source:ZFIN;Acc:ZDB-GENE-060825-166]</t>
  </si>
  <si>
    <t>ENSDARG00000057419</t>
  </si>
  <si>
    <t>slc44a5b</t>
  </si>
  <si>
    <t>solute carrier family 44, member 5b [Source:ZFIN;Acc:ZDB-GENE-081105-4]</t>
  </si>
  <si>
    <t>ENSDARG00000017606</t>
  </si>
  <si>
    <t>sys1</t>
  </si>
  <si>
    <t>Sys1 golgi trafficking protein [Source:ZFIN;Acc:ZDB-GENE-030131-8283]</t>
  </si>
  <si>
    <t>ENSDARG00000019135</t>
  </si>
  <si>
    <t>ankef1a</t>
  </si>
  <si>
    <t>ankyrin repeat and EF-hand domain containing 1a [Source:ZFIN;Acc:ZDB-GENE-041001-196]</t>
  </si>
  <si>
    <t>ENSDARG00000074597</t>
  </si>
  <si>
    <t>lzts2a</t>
  </si>
  <si>
    <t>leucine zipper, putative tumor suppressor 2a [Source:ZFIN;Acc:ZDB-GENE-090313-276]</t>
  </si>
  <si>
    <t>ENSDARG00000034753</t>
  </si>
  <si>
    <t>tspan3a</t>
  </si>
  <si>
    <t>tetraspanin 3a [Source:ZFIN;Acc:ZDB-GENE-030131-7787]</t>
  </si>
  <si>
    <t>ENSDARG00000039613</t>
  </si>
  <si>
    <t>poll</t>
  </si>
  <si>
    <t>polymerase (DNA directed), lambda [Source:ZFIN;Acc:ZDB-GENE-040426-2712]</t>
  </si>
  <si>
    <t>ENSDARG00000035949</t>
  </si>
  <si>
    <t>tmem106bb</t>
  </si>
  <si>
    <t>transmembrane protein 106Bb [Source:ZFIN;Acc:ZDB-GENE-050913-37]</t>
  </si>
  <si>
    <t>ENSDARG00000097973</t>
  </si>
  <si>
    <t>si:ch1073-190k2.1</t>
  </si>
  <si>
    <t>si:ch1073-190k2.1 [Source:ZFIN;Acc:ZDB-GENE-131127-449]</t>
  </si>
  <si>
    <t>ENSDARG00000007172</t>
  </si>
  <si>
    <t>plxna3</t>
  </si>
  <si>
    <t>plexin A3 [Source:ZFIN;Acc:ZDB-GENE-070613-1]</t>
  </si>
  <si>
    <t>ENSDARG00000014849</t>
  </si>
  <si>
    <t>pih1d2</t>
  </si>
  <si>
    <t>PIH1 domain containing 2 [Source:ZFIN;Acc:ZDB-GENE-041212-54]</t>
  </si>
  <si>
    <t>ENSDARG00000097740</t>
  </si>
  <si>
    <t>tceb2</t>
  </si>
  <si>
    <t>transcription elongation factor B (SIII), polypeptide 2 [Source:ZFIN;Acc:ZDB-GENE-020415-1]</t>
  </si>
  <si>
    <t>ENSDARG00000020085</t>
  </si>
  <si>
    <t>slc33a1</t>
  </si>
  <si>
    <t>solute carrier family 33 (acetyl-CoA transporter), member 1 [Source:ZFIN;Acc:ZDB-GENE-040426-1241]</t>
  </si>
  <si>
    <t>ENSDARG00000035660</t>
  </si>
  <si>
    <t>si:ch211-193k19.1</t>
  </si>
  <si>
    <t>si:ch211-193k19.1 [Source:ZFIN;Acc:ZDB-GENE-060503-110]</t>
  </si>
  <si>
    <t>ENSDARG00000041085</t>
  </si>
  <si>
    <t>arpin</t>
  </si>
  <si>
    <t>zgc:112432 [Source:ZFIN;Acc:ZDB-GENE-050417-304]</t>
  </si>
  <si>
    <t>ENSDARG00000022995</t>
  </si>
  <si>
    <t>clic4</t>
  </si>
  <si>
    <t>chloride intracellular channel 4 [Source:ZFIN;Acc:ZDB-GENE-030326-3]</t>
  </si>
  <si>
    <t>ENSDARG00000044601</t>
  </si>
  <si>
    <t>rtn4a</t>
  </si>
  <si>
    <t>reticulon 4a [Source:ZFIN;Acc:ZDB-GENE-030710-1]</t>
  </si>
  <si>
    <t>ENSDARG00000013863</t>
  </si>
  <si>
    <t>fam133b</t>
  </si>
  <si>
    <t>family with sequence similarity 133, member B [Source:ZFIN;Acc:ZDB-GENE-060503-229]</t>
  </si>
  <si>
    <t>ENSDARG00000096714</t>
  </si>
  <si>
    <t>si:dkey-66i24.7</t>
  </si>
  <si>
    <t>si:dkey-66i24.7 [Source:ZFIN;Acc:ZDB-GENE-130603-106]</t>
  </si>
  <si>
    <t>ENSDARG00000001939</t>
  </si>
  <si>
    <t>b3gat3</t>
  </si>
  <si>
    <t>beta-1,3-glucuronyltransferase 3 (glucuronosyltransferase I) [Source:ZFIN;Acc:ZDB-GENE-020419-3]</t>
  </si>
  <si>
    <t>ENSDARG00000037980</t>
  </si>
  <si>
    <t>tceb2.1</t>
  </si>
  <si>
    <t>ENSDARG00000088307</t>
  </si>
  <si>
    <t>mkl2a</t>
  </si>
  <si>
    <t>MKL/myocardin-like 2a [Source:ZFIN;Acc:ZDB-GENE-130531-36]</t>
  </si>
  <si>
    <t>ENSDARG00000045524</t>
  </si>
  <si>
    <t>lamb1b</t>
  </si>
  <si>
    <t>laminin, beta 1b [Source:ZFIN;Acc:ZDB-GENE-041210-197]</t>
  </si>
  <si>
    <t>ENSDARG00000005356</t>
  </si>
  <si>
    <t>tyro3</t>
  </si>
  <si>
    <t>TYRO3 protein tyrosine kinase [Source:ZFIN;Acc:ZDB-GENE-990714-13]</t>
  </si>
  <si>
    <t>ENSDARG00000056235</t>
  </si>
  <si>
    <t>smndc1</t>
  </si>
  <si>
    <t>survival motor neuron domain containing 1 [Source:ZFIN;Acc:ZDB-GENE-030131-614]</t>
  </si>
  <si>
    <t>ENSDARG00000009549</t>
  </si>
  <si>
    <t>ubr4</t>
  </si>
  <si>
    <t>ubiquitin protein ligase E3 component n-recognin 4 [Source:ZFIN;Acc:ZDB-GENE-090313-341]</t>
  </si>
  <si>
    <t>ENSDARG00000096147</t>
  </si>
  <si>
    <t>si:dkey-146n1.4</t>
  </si>
  <si>
    <t>si:dkey-146n1.4 [Source:ZFIN;Acc:ZDB-GENE-110914-201]</t>
  </si>
  <si>
    <t>ENSDARG00000055999</t>
  </si>
  <si>
    <t>BRD8</t>
  </si>
  <si>
    <t>si:ch211-59d17.3 [Source:ZFIN;Acc:ZDB-GENE-091113-54]</t>
  </si>
  <si>
    <t>ENSDARG00000079355</t>
  </si>
  <si>
    <t>flrt2</t>
  </si>
  <si>
    <t>fibronectin leucine rich transmembrane protein 2 [Source:ZFIN;Acc:ZDB-GENE-070705-267]</t>
  </si>
  <si>
    <t>ENSDARG00000007975</t>
  </si>
  <si>
    <t>fth1b</t>
  </si>
  <si>
    <t>ferritin, heavy polypeptide 1b [Source:ZFIN;Acc:ZDB-GENE-040912-30]</t>
  </si>
  <si>
    <t>ENSDARG00000088885</t>
  </si>
  <si>
    <t>si:ch1073-340i21.3</t>
  </si>
  <si>
    <t>si:ch1073-340i21.3 [Source:ZFIN;Acc:ZDB-GENE-030131-199]</t>
  </si>
  <si>
    <t>ENSDARG00000060554</t>
  </si>
  <si>
    <t>mut</t>
  </si>
  <si>
    <t>methylmalonyl CoA mutase [Source:ZFIN;Acc:ZDB-GENE-010430-3]</t>
  </si>
  <si>
    <t>ENSDARG00000073710</t>
  </si>
  <si>
    <t>usp7</t>
  </si>
  <si>
    <t>ubiquitin specific peptidase 7 (herpes virus-associated) [Source:ZFIN;Acc:ZDB-GENE-030131-3656]</t>
  </si>
  <si>
    <t>ENSDARG00000096990</t>
  </si>
  <si>
    <t>si:ch1073-340i21.2</t>
  </si>
  <si>
    <t>si:ch1073-340i21.2 [Source:ZFIN;Acc:ZDB-GENE-131121-430]</t>
  </si>
  <si>
    <t>ENSDARG00000003845</t>
  </si>
  <si>
    <t>chm</t>
  </si>
  <si>
    <t>choroideremia (Rab escort protein 1) [Source:ZFIN;Acc:ZDB-GENE-030318-2]</t>
  </si>
  <si>
    <t>ENSDARG00000000161</t>
  </si>
  <si>
    <t>itsn2a</t>
  </si>
  <si>
    <t>intersectin 2a [Source:ZFIN;Acc:ZDB-GENE-041014-84]</t>
  </si>
  <si>
    <t>ENSDARG00000052615</t>
  </si>
  <si>
    <t>tnmd</t>
  </si>
  <si>
    <t>tenomodulin [Source:ZFIN;Acc:ZDB-GENE-080220-31]</t>
  </si>
  <si>
    <t>ENSDARG00000093491</t>
  </si>
  <si>
    <t>si:dkey-78l4.8</t>
  </si>
  <si>
    <t>si:dkey-78l4.8 [Source:ZFIN;Acc:ZDB-GENE-060503-270]</t>
  </si>
  <si>
    <t>ENSDARG00000034555</t>
  </si>
  <si>
    <t>pard3bb</t>
  </si>
  <si>
    <t>par-3 family cell polarity regulator beta b [Source:ZFIN;Acc:ZDB-GENE-070912-290]</t>
  </si>
  <si>
    <t>ENSDARG00000053260</t>
  </si>
  <si>
    <t>zgc:113090</t>
  </si>
  <si>
    <t>zgc:113090 [Source:ZFIN;Acc:ZDB-GENE-050522-532]</t>
  </si>
  <si>
    <t>ENSDARG00000020609</t>
  </si>
  <si>
    <t>snap25a</t>
  </si>
  <si>
    <t>synaptosomal-associated protein, 25a [Source:ZFIN;Acc:ZDB-GENE-980526-468]</t>
  </si>
  <si>
    <t>ENSDARG00000095152</t>
  </si>
  <si>
    <t>PKIB</t>
  </si>
  <si>
    <t>si:ch211-255i3.4 [Source:ZFIN;Acc:ZDB-GENE-100922-237]</t>
  </si>
  <si>
    <t>ENSDARG00000070675</t>
  </si>
  <si>
    <t>fam3a</t>
  </si>
  <si>
    <t>family with sequence similarity 3, member A [Source:ZFIN;Acc:ZDB-GENE-040426-1772]</t>
  </si>
  <si>
    <t>ENSDARG00000096496</t>
  </si>
  <si>
    <t>si:dkey-261e22.5</t>
  </si>
  <si>
    <t>si:dkey-261e22.5 [Source:ZFIN;Acc:ZDB-GENE-120709-87]</t>
  </si>
  <si>
    <t>ENSDARG00000071418</t>
  </si>
  <si>
    <t>gbx1</t>
  </si>
  <si>
    <t>gastrulation brain homeobox 1 [Source:ZFIN;Acc:ZDB-GENE-020117-2]</t>
  </si>
  <si>
    <t>ENSDARG00000074031</t>
  </si>
  <si>
    <t>fastkd2</t>
  </si>
  <si>
    <t>FAST kinase domains 2 [Source:ZFIN;Acc:ZDB-GENE-090313-7]</t>
  </si>
  <si>
    <t>ENSDARG00000041870</t>
  </si>
  <si>
    <t>ift172</t>
  </si>
  <si>
    <t>intraflagellar transport 172 [Source:ZFIN;Acc:ZDB-GENE-040827-1]</t>
  </si>
  <si>
    <t>ENSDARG00000016350</t>
  </si>
  <si>
    <t>cap1</t>
  </si>
  <si>
    <t>CAP, adenylate cyclase-associated protein 1 (yeast) [Source:ZFIN;Acc:ZDB-GENE-030131-6459]</t>
  </si>
  <si>
    <t>ENSDARG00000079293</t>
  </si>
  <si>
    <t>gdpd4b</t>
  </si>
  <si>
    <t>glycerophosphodiester phosphodiesterase domain containing 4b [Source:ZFIN;Acc:ZDB-GENE-050309-133]</t>
  </si>
  <si>
    <t>ENSDARG00000077607</t>
  </si>
  <si>
    <t>dus2</t>
  </si>
  <si>
    <t>dihydrouridine synthase 2 [Source:ZFIN;Acc:ZDB-GENE-100922-233]</t>
  </si>
  <si>
    <t>ENSDARG00000012871</t>
  </si>
  <si>
    <t>npepl1</t>
  </si>
  <si>
    <t>aminopeptidase-like 1 [Source:ZFIN;Acc:ZDB-GENE-050417-177]</t>
  </si>
  <si>
    <t>ENSDARG00000020759</t>
  </si>
  <si>
    <t>ef1</t>
  </si>
  <si>
    <t>E74-like factor 1 (ets domain transcription factor) [Source:ZFIN;Acc:ZDB-GENE-980526-335]</t>
  </si>
  <si>
    <t>ENSDARG00000098771</t>
  </si>
  <si>
    <t>cbx8b</t>
  </si>
  <si>
    <t>chromobox homolog 8b [Source:ZFIN;Acc:ZDB-GENE-050522-325]</t>
  </si>
  <si>
    <t>ENSDARG00000041503</t>
  </si>
  <si>
    <t>med4</t>
  </si>
  <si>
    <t>mediator complex subunit 4 [Source:ZFIN;Acc:ZDB-GENE-050417-438]</t>
  </si>
  <si>
    <t>ENSDARG00000011825</t>
  </si>
  <si>
    <t>cetn3</t>
  </si>
  <si>
    <t>centrin 3 [Source:ZFIN;Acc:ZDB-GENE-050522-152]</t>
  </si>
  <si>
    <t>ENSDARG00000019001</t>
  </si>
  <si>
    <t>ak7a</t>
  </si>
  <si>
    <t>adenylate kinase 7a [Source:ZFIN;Acc:ZDB-GENE-040724-122]</t>
  </si>
  <si>
    <t>ENSDARG00000001313</t>
  </si>
  <si>
    <t>g2e3</t>
  </si>
  <si>
    <t>G2/M-phase specific E3 ubiquitin protein ligase [Source:ZFIN;Acc:ZDB-GENE-030616-400]</t>
  </si>
  <si>
    <t>ENSDARG00000041505</t>
  </si>
  <si>
    <t>itm2bb</t>
  </si>
  <si>
    <t>integral membrane protein 2Bb [Source:ZFIN;Acc:ZDB-GENE-040426-2139]</t>
  </si>
  <si>
    <t>ENSDARG00000097635</t>
  </si>
  <si>
    <t>wu:fb18f06</t>
  </si>
  <si>
    <t>wu:fb18f06 [Source:ZFIN;Acc:ZDB-GENE-030131-261]</t>
  </si>
  <si>
    <t>ENSDARG00000079702</t>
  </si>
  <si>
    <t>wdr81</t>
  </si>
  <si>
    <t>WD repeat domain 81 [Source:ZFIN;Acc:ZDB-GENE-030131-3389]</t>
  </si>
  <si>
    <t>ENSDARG00000033987</t>
  </si>
  <si>
    <t>rsrc1</t>
  </si>
  <si>
    <t>arginine/serine-rich coiled-coil 1 [Source:ZFIN;Acc:ZDB-GENE-040426-2374]</t>
  </si>
  <si>
    <t>ENSDARG00000021555</t>
  </si>
  <si>
    <t>park2</t>
  </si>
  <si>
    <t>parkin RBR E3 ubiquitin protein ligase [Source:ZFIN;Acc:ZDB-GENE-050417-109]</t>
  </si>
  <si>
    <t>ENSDARG00000037556</t>
  </si>
  <si>
    <t>st3gal5</t>
  </si>
  <si>
    <t>ST3 beta-galactoside alpha-2,3-sialyltransferase 5 [Source:ZFIN;Acc:ZDB-GENE-060322-1]</t>
  </si>
  <si>
    <t>ENSDARG00000061797</t>
  </si>
  <si>
    <t>zgc:154006</t>
  </si>
  <si>
    <t>zgc:154006 [Source:ZFIN;Acc:ZDB-GENE-061013-134]</t>
  </si>
  <si>
    <t>ENSDARG00000033655</t>
  </si>
  <si>
    <t>stmn1b</t>
  </si>
  <si>
    <t>stathmin 1b [Source:ZFIN;Acc:ZDB-GENE-050417-397]</t>
  </si>
  <si>
    <t>ENSDARG00000034771</t>
  </si>
  <si>
    <t>rab13</t>
  </si>
  <si>
    <t>RAB13, member RAS oncogene family [Source:ZFIN;Acc:ZDB-GENE-030826-30]</t>
  </si>
  <si>
    <t>ENSDARG00000055475</t>
  </si>
  <si>
    <t>rps27.2</t>
  </si>
  <si>
    <t>ribosomal protein S27, isoform 2 [Source:ZFIN;Acc:ZDB-GENE-040426-1735]</t>
  </si>
  <si>
    <t>ENSDARG00000003607</t>
  </si>
  <si>
    <t>nr2f6a</t>
  </si>
  <si>
    <t>nuclear receptor subfamily 2, group F, member 6a [Source:ZFIN;Acc:ZDB-GENE-030131-4362]</t>
  </si>
  <si>
    <t>ENSDARG00000061544</t>
  </si>
  <si>
    <t>ano6</t>
  </si>
  <si>
    <t>anoctamin 6 [Source:ZFIN;Acc:ZDB-GENE-081104-64]</t>
  </si>
  <si>
    <t>ENSDARG00000038040</t>
  </si>
  <si>
    <t>tpk1</t>
  </si>
  <si>
    <t>thiamin pyrophosphokinase 1 [Source:ZFIN;Acc:ZDB-GENE-041010-176]</t>
  </si>
  <si>
    <t>ENSDARG00000035018</t>
  </si>
  <si>
    <t>thy1</t>
  </si>
  <si>
    <t>Thy-1 cell surface antigen [Source:ZFIN;Acc:ZDB-GENE-030131-8561]</t>
  </si>
  <si>
    <t>ENSDARG00000070606</t>
  </si>
  <si>
    <t>ikbke</t>
  </si>
  <si>
    <t>inhibitor of kappa light polypeptide gene enhancer in B-cells, kinase epsilon [Source:ZFIN;Acc:ZDB-GENE-040718-251]</t>
  </si>
  <si>
    <t>ENSDARG00000090183</t>
  </si>
  <si>
    <t>gapvd1</t>
  </si>
  <si>
    <t>GTPase activating protein and VPS9 domains 1 [Source:ZFIN;Acc:ZDB-GENE-040718-117]</t>
  </si>
  <si>
    <t>ENSDARG00000061654</t>
  </si>
  <si>
    <t>wwc3</t>
  </si>
  <si>
    <t>WWC family member 3 [Source:ZFIN;Acc:ZDB-GENE-070209-229]</t>
  </si>
  <si>
    <t>ENSDARG00000068227</t>
  </si>
  <si>
    <t>tmem150aa</t>
  </si>
  <si>
    <t>transmembrane protein 150Aa [Source:ZFIN;Acc:ZDB-GENE-060825-321]</t>
  </si>
  <si>
    <t>ENSDARG00000017439</t>
  </si>
  <si>
    <t>eif4ba</t>
  </si>
  <si>
    <t>eukaryotic translation initiation factor 4Ba [Source:ZFIN;Acc:ZDB-GENE-060629-1]</t>
  </si>
  <si>
    <t>ENSDARG00000025904</t>
  </si>
  <si>
    <t>tecrb</t>
  </si>
  <si>
    <t>trans-2,3-enoyl-CoA reductase b [Source:ZFIN;Acc:ZDB-GENE-030131-5154]</t>
  </si>
  <si>
    <t>ENSDARG00000058800</t>
  </si>
  <si>
    <t>rab25a</t>
  </si>
  <si>
    <t>RAB25, member RAS oncogene family a [Source:ZFIN;Acc:ZDB-GENE-041212-69]</t>
  </si>
  <si>
    <t>ENSDARG00000018637</t>
  </si>
  <si>
    <t>sec61g</t>
  </si>
  <si>
    <t>Sec61 translocon gamma subunit [Source:ZFIN;Acc:ZDB-GENE-040718-203]</t>
  </si>
  <si>
    <t>ENSDARG00000021611</t>
  </si>
  <si>
    <t>im:7152756</t>
  </si>
  <si>
    <t>im:7152756 [Source:ZFIN;Acc:ZDB-GENE-050309-232]</t>
  </si>
  <si>
    <t>ENSDARG00000041072</t>
  </si>
  <si>
    <t>mier1a</t>
  </si>
  <si>
    <t>mesoderm induction early response 1a, transcriptional regulator [Source:ZFIN;Acc:ZDB-GENE-030131-409]</t>
  </si>
  <si>
    <t>ENSDARG00000002362</t>
  </si>
  <si>
    <t>ubald1a</t>
  </si>
  <si>
    <t>UBA-like domain containing 1a [Source:ZFIN;Acc:ZDB-GENE-040718-191]</t>
  </si>
  <si>
    <t>ENSDARG00000036670</t>
  </si>
  <si>
    <t>aplnrb</t>
  </si>
  <si>
    <t>apelin receptor b [Source:ZFIN;Acc:ZDB-GENE-050913-90]</t>
  </si>
  <si>
    <t>ENSDARG00000036028</t>
  </si>
  <si>
    <t>arrdc3b</t>
  </si>
  <si>
    <t>arrestin domain containing 3b [Source:ZFIN;Acc:ZDB-GENE-040912-182]</t>
  </si>
  <si>
    <t>ENSDARG00000010601</t>
  </si>
  <si>
    <t>mtmr10</t>
  </si>
  <si>
    <t>myotubularin related protein 10 [Source:ZFIN;Acc:ZDB-GENE-061103-52]</t>
  </si>
  <si>
    <t>ENSDARG00000056145</t>
  </si>
  <si>
    <t>si:dkey-159a18.1</t>
  </si>
  <si>
    <t>si:dkey-159a18.1 [Source:ZFIN;Acc:ZDB-GENE-041210-204]</t>
  </si>
  <si>
    <t>ENSDARG00000052625</t>
  </si>
  <si>
    <t>fkbp1b</t>
  </si>
  <si>
    <t>FK506 binding protein 1b [Source:ZFIN;Acc:ZDB-GENE-040426-1785]</t>
  </si>
  <si>
    <t>ENSDARG00000094204</t>
  </si>
  <si>
    <t>ikbkap</t>
  </si>
  <si>
    <t>inhibitor of kappa light polypeptide gene enhancer in B-cells, kinase complex-associated protein [Source:ZFIN;Acc:ZDB-GENE-071116-7]</t>
  </si>
  <si>
    <t>ENSDARG00000038475</t>
  </si>
  <si>
    <t>acy1</t>
  </si>
  <si>
    <t>aminoacylase 1 [Source:ZFIN;Acc:ZDB-GENE-040426-755]</t>
  </si>
  <si>
    <t>ENSDARG00000052150</t>
  </si>
  <si>
    <t>pbx4</t>
  </si>
  <si>
    <t>pre-B-cell leukemia transcription factor 4 [Source:ZFIN;Acc:ZDB-GENE-000201-18]</t>
  </si>
  <si>
    <t>ENSDARG00000058452</t>
  </si>
  <si>
    <t>abhd17c</t>
  </si>
  <si>
    <t>abhydrolase domain containing 17C [Source:ZFIN;Acc:ZDB-GENE-040426-714]</t>
  </si>
  <si>
    <t>ENSDARG00000090097</t>
  </si>
  <si>
    <t>si:ch211-255i3.5</t>
  </si>
  <si>
    <t>si:ch211-255i3.5 [Source:ZFIN;Acc:ZDB-GENE-100922-145]</t>
  </si>
  <si>
    <t>ENSDARG00000014939</t>
  </si>
  <si>
    <t>KCNN2</t>
  </si>
  <si>
    <t>si:dkey-76p7.5 [Source:ZFIN;Acc:ZDB-GENE-091116-41]</t>
  </si>
  <si>
    <t>ENSDARG00000006196</t>
  </si>
  <si>
    <t>sav1</t>
  </si>
  <si>
    <t>salvador family WW domain containing protein 1 [Source:ZFIN;Acc:ZDB-GENE-040912-28]</t>
  </si>
  <si>
    <t>ENSDARG00000045846</t>
  </si>
  <si>
    <t>osgep</t>
  </si>
  <si>
    <t>O-sialoglycoprotein endopeptidase [Source:ZFIN;Acc:ZDB-GENE-030131-7880]</t>
  </si>
  <si>
    <t>ENSDARG00000005448</t>
  </si>
  <si>
    <t>mtfmt</t>
  </si>
  <si>
    <t>mitochondrial methionyl-tRNA formyltransferase [Source:ZFIN;Acc:ZDB-GENE-060929-120]</t>
  </si>
  <si>
    <t>ENSDARG00000079939</t>
  </si>
  <si>
    <t>jmjd1cb</t>
  </si>
  <si>
    <t>jumonji domain containing 1Cb [Source:ZFIN;Acc:ZDB-GENE-121214-344]</t>
  </si>
  <si>
    <t>ENSDARG00000016483</t>
  </si>
  <si>
    <t>baiap2l2a</t>
  </si>
  <si>
    <t>BAI1-associated protein 2-like 2a [Source:ZFIN;Acc:ZDB-GENE-040108-10]</t>
  </si>
  <si>
    <t>ENSDARG00000026634</t>
  </si>
  <si>
    <t>ehmt1b</t>
  </si>
  <si>
    <t>euchromatic histone-lysine N-methyltransferase 1b [Source:ZFIN;Acc:ZDB-GENE-080515-3]</t>
  </si>
  <si>
    <t>ENSDARG00000086739</t>
  </si>
  <si>
    <t>SLC17A3</t>
  </si>
  <si>
    <t>si:ch1073-513e17.1 [Source:ZFIN;Acc:ZDB-GENE-030131-7188]</t>
  </si>
  <si>
    <t>ENSDARG00000029751</t>
  </si>
  <si>
    <t>wbp1lb</t>
  </si>
  <si>
    <t>WW domain binding protein 1-like b [Source:ZFIN;Acc:ZDB-GENE-050522-112]</t>
  </si>
  <si>
    <t>ENSDARG00000039980</t>
  </si>
  <si>
    <t>ppt1</t>
  </si>
  <si>
    <t>palmitoyl-protein thioesterase 1 (ceroid-lipofuscinosis, neuronal 1, infantile) [Source:ZFIN;Acc:ZDB-GENE-040426-2653]</t>
  </si>
  <si>
    <t>ENSDARG00000058699</t>
  </si>
  <si>
    <t>tmeff2b</t>
  </si>
  <si>
    <t>transmembrane protein with EGF-like and two follistatin-like domains 2b [Source:ZFIN;Acc:ZDB-GENE-101001-4]</t>
  </si>
  <si>
    <t>ENSDARG00000003526</t>
  </si>
  <si>
    <t>psma5</t>
  </si>
  <si>
    <t>proteasome subunit alpha 5 [Source:ZFIN;Acc:ZDB-GENE-040625-96]</t>
  </si>
  <si>
    <t>ENSDARG00000037192</t>
  </si>
  <si>
    <t>zgc:113364</t>
  </si>
  <si>
    <t>zgc:113364 [Source:ZFIN;Acc:ZDB-GENE-050410-5]</t>
  </si>
  <si>
    <t>ENSDARG00000071196</t>
  </si>
  <si>
    <t>sdprb</t>
  </si>
  <si>
    <t>serum deprivation response b [Source:ZFIN;Acc:ZDB-GENE-040912-149]</t>
  </si>
  <si>
    <t>ENSDARG00000055970</t>
  </si>
  <si>
    <t>zgc:136971</t>
  </si>
  <si>
    <t>zgc:136971 [Source:ZFIN;Acc:ZDB-GENE-060421-3674]</t>
  </si>
  <si>
    <t>ENSDARG00000063253</t>
  </si>
  <si>
    <t>hecw2b</t>
  </si>
  <si>
    <t>HECT, C2 and WW domain containing E3 ubiquitin protein ligase 2b [Source:ZFIN;Acc:ZDB-GENE-101001-3]</t>
  </si>
  <si>
    <t>ENSDARG00000101081</t>
  </si>
  <si>
    <t>ptprub</t>
  </si>
  <si>
    <t>protein tyrosine phosphatase, receptor type, U, b [Source:ZFIN;Acc:ZDB-GENE-030131-7036]</t>
  </si>
  <si>
    <t>ENSDARG00000052103</t>
  </si>
  <si>
    <t>dtymk</t>
  </si>
  <si>
    <t>deoxythymidylate kinase (thymidylate kinase) [Source:ZFIN;Acc:ZDB-GENE-990603-11]</t>
  </si>
  <si>
    <t>ENSDARG00000073813</t>
  </si>
  <si>
    <t>scly</t>
  </si>
  <si>
    <t>selenocysteine lyase [Source:ZFIN;Acc:ZDB-GENE-080204-30]</t>
  </si>
  <si>
    <t>ENSDARG00000005210</t>
  </si>
  <si>
    <t>coro2a</t>
  </si>
  <si>
    <t>coronin, actin binding protein, 2A [Source:ZFIN;Acc:ZDB-GENE-030131-2258]</t>
  </si>
  <si>
    <t>ENSDARG00000044235</t>
  </si>
  <si>
    <t>si:dkey-36h5.1</t>
  </si>
  <si>
    <t>si:dkey-36h5.1 [Source:ZFIN;Acc:ZDB-GENE-131127-489]</t>
  </si>
  <si>
    <t>ENSDARG00000023267</t>
  </si>
  <si>
    <t>atad1a</t>
  </si>
  <si>
    <t>ATPase family, AAA domain containing 1a [Source:ZFIN;Acc:ZDB-GENE-030616-593]</t>
  </si>
  <si>
    <t>ENSDARG00000092241</t>
  </si>
  <si>
    <t>znf1009</t>
  </si>
  <si>
    <t>zinc finger protein 1009 [Source:ZFIN;Acc:ZDB-GENE-110914-160]</t>
  </si>
  <si>
    <t>ENSDARG00000040615</t>
  </si>
  <si>
    <t>ilkap</t>
  </si>
  <si>
    <t>integrin-linked kinase-associated serine/threonine phosphatase [Source:ZFIN;Acc:ZDB-GENE-070410-122]</t>
  </si>
  <si>
    <t>ENSDARG00000029239</t>
  </si>
  <si>
    <t>syt9b</t>
  </si>
  <si>
    <t>synaptotagmin IXb [Source:ZFIN;Acc:ZDB-GENE-040822-6]</t>
  </si>
  <si>
    <t>ENSDARG00000052104</t>
  </si>
  <si>
    <t>atg4b</t>
  </si>
  <si>
    <t>autophagy related 4B, cysteine peptidase [Source:ZFIN;Acc:ZDB-GENE-040917-3]</t>
  </si>
  <si>
    <t>ENSDARG00000061365</t>
  </si>
  <si>
    <t>hepacam2</t>
  </si>
  <si>
    <t>HEPACAM family member 2 [Source:ZFIN;Acc:ZDB-GENE-060503-135]</t>
  </si>
  <si>
    <t>ENSDARG00000087717</t>
  </si>
  <si>
    <t>tmprss5</t>
  </si>
  <si>
    <t>transmembrane protease, serine 5 [Source:ZFIN;Acc:ZDB-GENE-131121-184]</t>
  </si>
  <si>
    <t>ENSDARG00000042021</t>
  </si>
  <si>
    <t>mapk12a</t>
  </si>
  <si>
    <t>mitogen-activated protein kinase 12a [Source:ZFIN;Acc:ZDB-GENE-990415-257]</t>
  </si>
  <si>
    <t>ENSDARG00000101236</t>
  </si>
  <si>
    <t>cep83</t>
  </si>
  <si>
    <t>centrosomal protein 83 [Source:ZFIN;Acc:ZDB-GENE-110321-1]</t>
  </si>
  <si>
    <t>ENSDARG00000016528</t>
  </si>
  <si>
    <t>zgc:103511</t>
  </si>
  <si>
    <t>zgc:103511 [Source:ZFIN;Acc:ZDB-GENE-050320-107]</t>
  </si>
  <si>
    <t>ENSDARG00000058700</t>
  </si>
  <si>
    <t>si:dkey-36h5.2</t>
  </si>
  <si>
    <t>si:dkey-36h5.2 [Source:ZFIN;Acc:ZDB-GENE-131126-44]</t>
  </si>
  <si>
    <t>ENSDARG00000024564</t>
  </si>
  <si>
    <t>sccpdhb</t>
  </si>
  <si>
    <t>saccharopine dehydrogenase b [Source:ZFIN;Acc:ZDB-GENE-041010-211]</t>
  </si>
  <si>
    <t>ENSDARG00000035327</t>
  </si>
  <si>
    <t>ckma</t>
  </si>
  <si>
    <t>creatine kinase, muscle a [Source:ZFIN;Acc:ZDB-GENE-980526-109]</t>
  </si>
  <si>
    <t>ENSDARG00000060805</t>
  </si>
  <si>
    <t>map1sa</t>
  </si>
  <si>
    <t>microtubule-associated protein 1Sa [Source:ZFIN;Acc:ZDB-GENE-030131-3982]</t>
  </si>
  <si>
    <t>ENSDARG00000004937</t>
  </si>
  <si>
    <t>skp2</t>
  </si>
  <si>
    <t>S-phase kinase-associated protein 2, E3 ubiquitin protein ligase [Source:ZFIN;Acc:ZDB-GENE-030219-158]</t>
  </si>
  <si>
    <t>ENSDARG00000095241</t>
  </si>
  <si>
    <t>mybl2a</t>
  </si>
  <si>
    <t>v-myb avian myeloblastosis viral oncogene homolog-like 2a [Source:ZFIN;Acc:ZDB-GENE-980526-529]</t>
  </si>
  <si>
    <t>ENSDARG00000044225</t>
  </si>
  <si>
    <t>si:dkey-27b3.2</t>
  </si>
  <si>
    <t>si:dkey-27b3.2 [Source:ZFIN;Acc:ZDB-GENE-091117-10]</t>
  </si>
  <si>
    <t>ENSDARG00000061723</t>
  </si>
  <si>
    <t>tmem64</t>
  </si>
  <si>
    <t>transmembrane protein 64 [Source:ZFIN;Acc:ZDB-GENE-060503-182]</t>
  </si>
  <si>
    <t>ENSDARG00000007217</t>
  </si>
  <si>
    <t>wdr55</t>
  </si>
  <si>
    <t>WD repeat domain 55 [Source:ZFIN;Acc:ZDB-GENE-040924-7]</t>
  </si>
  <si>
    <t>ENSDARG00000060871</t>
  </si>
  <si>
    <t>mctp1b</t>
  </si>
  <si>
    <t>multiple C2 domains, transmembrane 1b [Source:ZFIN;Acc:ZDB-GENE-090313-382]</t>
  </si>
  <si>
    <t>ENSDARG00000036383</t>
  </si>
  <si>
    <t>si:ch73-335m24.5</t>
  </si>
  <si>
    <t>si:ch73-335m24.5 [Source:ZFIN;Acc:ZDB-GENE-100922-39]</t>
  </si>
  <si>
    <t>ENSDARG00000007181</t>
  </si>
  <si>
    <t>nadk2</t>
  </si>
  <si>
    <t>NAD kinase 2, mitochondrial [Source:ZFIN;Acc:ZDB-GENE-040801-202]</t>
  </si>
  <si>
    <t>ENSDARG00000044179</t>
  </si>
  <si>
    <t>rbms2a</t>
  </si>
  <si>
    <t>RNA binding motif, single stranded interacting protein 2a [Source:ZFIN;Acc:ZDB-GENE-030912-2]</t>
  </si>
  <si>
    <t>ENSDARG00000061817</t>
  </si>
  <si>
    <t>kif1aa</t>
  </si>
  <si>
    <t>kinesin family member 1Aa [Source:ZFIN;Acc:ZDB-GENE-100913-3]</t>
  </si>
  <si>
    <t>ENSDARG00000026236</t>
  </si>
  <si>
    <t>zgc:56585</t>
  </si>
  <si>
    <t>zgc:56585 [Source:ZFIN;Acc:ZDB-GENE-040426-1084]</t>
  </si>
  <si>
    <t>ENSDARG00000097588</t>
  </si>
  <si>
    <t>si:dkey-175d9.1</t>
  </si>
  <si>
    <t>si:dkey-175d9.1 [Source:ZFIN;Acc:ZDB-GENE-131121-277]</t>
  </si>
  <si>
    <t>ENSDARG00000002880</t>
  </si>
  <si>
    <t>vps50</t>
  </si>
  <si>
    <t>VPS50 EARP/GARPII complex subunit [Source:ZFIN;Acc:ZDB-GENE-060503-325]</t>
  </si>
  <si>
    <t>ENSDARG00000095717</t>
  </si>
  <si>
    <t>si:dkey-172k15.6</t>
  </si>
  <si>
    <t>si:dkey-172k15.6 [Source:ZFIN;Acc:ZDB-GENE-121214-9]</t>
  </si>
  <si>
    <t>ENSDARG00000007711</t>
  </si>
  <si>
    <t>rab3il1</t>
  </si>
  <si>
    <t>RAB3A interacting protein (rabin3)-like 1 [Source:ZFIN;Acc:ZDB-GENE-110921-5]</t>
  </si>
  <si>
    <t>ENSDARG00000005576</t>
  </si>
  <si>
    <t>mphosph8</t>
  </si>
  <si>
    <t>M-phase phosphoprotein 8 [Source:ZFIN;Acc:ZDB-GENE-050309-191]</t>
  </si>
  <si>
    <t>ENSDARG00000042338</t>
  </si>
  <si>
    <t>lpar2a</t>
  </si>
  <si>
    <t>lysophosphatidic acid receptor 2a [Source:ZFIN;Acc:ZDB-GENE-040801-97]</t>
  </si>
  <si>
    <t>ENSDARG00000098092</t>
  </si>
  <si>
    <t>CABZ01060580.1</t>
  </si>
  <si>
    <t>ENSDARG00000029587</t>
  </si>
  <si>
    <t>msra</t>
  </si>
  <si>
    <t>methionine sulfoxide reductase A [Source:ZFIN;Acc:ZDB-GENE-041014-344]</t>
  </si>
  <si>
    <t>ENSDARG00000035954</t>
  </si>
  <si>
    <t>tdp2b</t>
  </si>
  <si>
    <t>tyrosyl-DNA phosphodiesterase 2b [Source:ZFIN;Acc:ZDB-GENE-050816-1]</t>
  </si>
  <si>
    <t>ENSDARG00000038780</t>
  </si>
  <si>
    <t>ubtfl</t>
  </si>
  <si>
    <t>upstream binding transcription factor, like [Source:ZFIN;Acc:ZDB-GENE-040426-1159]</t>
  </si>
  <si>
    <t>ENSDARG00000104725</t>
  </si>
  <si>
    <t>si:cabz01016011.2</t>
  </si>
  <si>
    <t>si:cabz01016011.2 [Source:ZFIN;Acc:ZDB-GENE-141216-71]</t>
  </si>
  <si>
    <t>ENSDARG00000057854</t>
  </si>
  <si>
    <t>sap18</t>
  </si>
  <si>
    <t>Sin3A-associated protein [Source:ZFIN;Acc:ZDB-GENE-040426-1679]</t>
  </si>
  <si>
    <t>ENSDARG00000037478</t>
  </si>
  <si>
    <t>cdh8</t>
  </si>
  <si>
    <t>cadherin 8 [Source:ZFIN;Acc:ZDB-GENE-130530-597]</t>
  </si>
  <si>
    <t>ENSDARG00000021439</t>
  </si>
  <si>
    <t>ncoa4</t>
  </si>
  <si>
    <t>nuclear receptor coactivator 4 [Source:ZFIN;Acc:ZDB-GENE-040426-689]</t>
  </si>
  <si>
    <t>ENSDARG00000055784</t>
  </si>
  <si>
    <t>ptpn3</t>
  </si>
  <si>
    <t>protein tyrosine phosphatase, non-receptor type 3 [Source:ZFIN;Acc:ZDB-GENE-030131-2934]</t>
  </si>
  <si>
    <t>ENSDARG00000006242</t>
  </si>
  <si>
    <t>ptp4a1</t>
  </si>
  <si>
    <t>protein tyrosine phosphatase type IVA, member 1 [Source:ZFIN;Acc:ZDB-GENE-041121-11]</t>
  </si>
  <si>
    <t>ENSDARG00000102612</t>
  </si>
  <si>
    <t>slc15a4</t>
  </si>
  <si>
    <t>solute carrier family 15 (oligopeptide transporter), member 4 [Source:ZFIN;Acc:ZDB-GENE-040426-1047]</t>
  </si>
  <si>
    <t>ENSDARG00000101190</t>
  </si>
  <si>
    <t>cyp2k8</t>
  </si>
  <si>
    <t>cytochrome P450, family 2, subfamily K, polypeptide 8 [Source:ZFIN;Acc:ZDB-GENE-080721-19]</t>
  </si>
  <si>
    <t>ENSDARG00000021433</t>
  </si>
  <si>
    <t>asmtl</t>
  </si>
  <si>
    <t>acetylserotonin O-methyltransferase-like [Source:ZFIN;Acc:ZDB-GENE-030131-2854]</t>
  </si>
  <si>
    <t>ENSDARG00000040584</t>
  </si>
  <si>
    <t>n6amt2</t>
  </si>
  <si>
    <t>N-6 adenine-specific DNA methyltransferase 2 (putative) [Source:ZFIN;Acc:ZDB-GENE-040426-2551]</t>
  </si>
  <si>
    <t>ENSDARG00000074909</t>
  </si>
  <si>
    <t>dcaf17</t>
  </si>
  <si>
    <t>ddb1 and cul4 associated factor 17 [Source:ZFIN;Acc:ZDB-GENE-071008-1]</t>
  </si>
  <si>
    <t>ENSDARG00000088398</t>
  </si>
  <si>
    <t>tmem107l</t>
  </si>
  <si>
    <t>transmembrane protein 107 like [Source:ZFIN;Acc:ZDB-GENE-090313-269]</t>
  </si>
  <si>
    <t>ENSDARG00000007560</t>
  </si>
  <si>
    <t>sema3bl</t>
  </si>
  <si>
    <t>sema domain, immunoglobulin domain (Ig), short basic domain, secreted, (semaphorin) 3bl [Source:ZFIN;Acc:ZDB-GENE-030131-2956]</t>
  </si>
  <si>
    <t>ENSDARG00000087584</t>
  </si>
  <si>
    <t>si:dkeyp-98a7.9</t>
  </si>
  <si>
    <t>si:dkeyp-98a7.9 [Source:ZFIN;Acc:ZDB-GENE-050208-680]</t>
  </si>
  <si>
    <t>ENSDARG00000101861</t>
  </si>
  <si>
    <t>cyp2k19</t>
  </si>
  <si>
    <t>cytochrome P450, family 2, subfamily k, polypeptide 19 [Source:ZFIN;Acc:ZDB-GENE-091211-1]</t>
  </si>
  <si>
    <t>ENSDARG00000061728</t>
  </si>
  <si>
    <t>acot13</t>
  </si>
  <si>
    <t>acyl-CoA thioesterase 13 [Source:ZFIN;Acc:ZDB-GENE-060503-437]</t>
  </si>
  <si>
    <t>ENSDARG00000077382</t>
  </si>
  <si>
    <t>si:rp71-68n21.12</t>
  </si>
  <si>
    <t>si:rp71-68n21.12 [Source:ZFIN;Acc:ZDB-GENE-081105-169]</t>
  </si>
  <si>
    <t>ENSDARG00000095577</t>
  </si>
  <si>
    <t>cybrd1</t>
  </si>
  <si>
    <t>cytochrome b reductase 1 [Source:ZFIN;Acc:ZDB-GENE-050522-365]</t>
  </si>
  <si>
    <t>ENSDARG00000022845</t>
  </si>
  <si>
    <t>lias</t>
  </si>
  <si>
    <t>lipoic acid synthetase [Source:ZFIN;Acc:ZDB-GENE-040426-1528]</t>
  </si>
  <si>
    <t>ENSDARG00000076435</t>
  </si>
  <si>
    <t>abhd10a</t>
  </si>
  <si>
    <t>abhydrolase domain containing 10a [Source:ZFIN;Acc:ZDB-GENE-060526-144]</t>
  </si>
  <si>
    <t>ENSDARG00000076903</t>
  </si>
  <si>
    <t>bend3</t>
  </si>
  <si>
    <t>BEN domain containing 3 [Source:ZFIN;Acc:ZDB-GENE-090312-181]</t>
  </si>
  <si>
    <t>ENSDARG00000010281</t>
  </si>
  <si>
    <t>xpo4</t>
  </si>
  <si>
    <t>exportin 4 [Source:ZFIN;Acc:ZDB-GENE-030131-3062]</t>
  </si>
  <si>
    <t>ENSDARG00000011672</t>
  </si>
  <si>
    <t>sema3b</t>
  </si>
  <si>
    <t>sema domain, immunoglobulin domain (Ig), short basic domain, secreted, (semaphorin) 3B [Source:ZFIN;Acc:ZDB-GENE-081105-78]</t>
  </si>
  <si>
    <t>ENSDARG00000077614</t>
  </si>
  <si>
    <t>si:ch211-206k20.5</t>
  </si>
  <si>
    <t>si:ch211-206k20.5 [Source:ZFIN;Acc:ZDB-GENE-030131-2912]</t>
  </si>
  <si>
    <t>ENSDARG00000102295</t>
  </si>
  <si>
    <t>dnaja3b</t>
  </si>
  <si>
    <t>DnaJ (Hsp40) homolog, subfamily A, member 3B [Source:ZFIN;Acc:ZDB-GENE-040115-3]</t>
  </si>
  <si>
    <t>ENSDARG00000059231</t>
  </si>
  <si>
    <t>hephl1a</t>
  </si>
  <si>
    <t>hephaestin-like 1a [Source:ZFIN;Acc:ZDB-GENE-070801-4]</t>
  </si>
  <si>
    <t>ENSDARG00000060537</t>
  </si>
  <si>
    <t>atad2b</t>
  </si>
  <si>
    <t>ATPase family, AAA domain containing 2B [Source:ZFIN;Acc:ZDB-GENE-110411-210]</t>
  </si>
  <si>
    <t>ENSDARG00000027234</t>
  </si>
  <si>
    <t>ift88</t>
  </si>
  <si>
    <t>intraflagellar transport 88 homolog [Source:ZFIN;Acc:ZDB-GENE-030131-574]</t>
  </si>
  <si>
    <t>ENSDARG00000070371</t>
  </si>
  <si>
    <t>kat7a</t>
  </si>
  <si>
    <t>K(lysine) acetyltransferase 7a [Source:ZFIN;Acc:ZDB-GENE-060929-168]</t>
  </si>
  <si>
    <t>ENSDARG00000079835</t>
  </si>
  <si>
    <t>man2c1</t>
  </si>
  <si>
    <t>mannosidase, alpha, class 2C, member 1 [Source:ZFIN;Acc:ZDB-GENE-101103-4]</t>
  </si>
  <si>
    <t>ENSDARG00000042759</t>
  </si>
  <si>
    <t>cnstb</t>
  </si>
  <si>
    <t>consortin, connexin sorting protein b [Source:ZFIN;Acc:ZDB-GENE-041001-189]</t>
  </si>
  <si>
    <t>ENSDARG00000018574</t>
  </si>
  <si>
    <t>sf3b4</t>
  </si>
  <si>
    <t>splicing factor 3b, subunit 4 [Source:ZFIN;Acc:ZDB-GENE-020419-22]</t>
  </si>
  <si>
    <t>ENSDARG00000102981</t>
  </si>
  <si>
    <t>cyp2k16</t>
  </si>
  <si>
    <t>cytochrome P450, family 2, subfamily K, polypeptide16 [Source:ZFIN;Acc:ZDB-GENE-041010-37]</t>
  </si>
  <si>
    <t>ENSDARG00000037960</t>
  </si>
  <si>
    <t>lrrc17</t>
  </si>
  <si>
    <t>leucine rich repeat containing 17 [Source:ZFIN;Acc:ZDB-GENE-030131-9774]</t>
  </si>
  <si>
    <t>ENSDARG00000039345</t>
  </si>
  <si>
    <t>drg1</t>
  </si>
  <si>
    <t>developmentally regulated GTP binding protein 1 [Source:ZFIN;Acc:ZDB-GENE-030131-8767]</t>
  </si>
  <si>
    <t>ENSDARG00000094998</t>
  </si>
  <si>
    <t>si:ch73-374a13.1</t>
  </si>
  <si>
    <t>si:ch73-374a13.1 [Source:ZFIN;Acc:ZDB-GENE-100922-139]</t>
  </si>
  <si>
    <t>ENSDARG00000027353</t>
  </si>
  <si>
    <t>zmym2</t>
  </si>
  <si>
    <t>zinc finger, MYM-type 2 [Source:ZFIN;Acc:ZDB-GENE-030131-2408]</t>
  </si>
  <si>
    <t>ENSDARG00000093406</t>
  </si>
  <si>
    <t>zgc:111986</t>
  </si>
  <si>
    <t>zgc:111986 [Source:ZFIN;Acc:ZDB-GENE-050522-304]</t>
  </si>
  <si>
    <t>ENSDARG00000032704</t>
  </si>
  <si>
    <t>qrsl1</t>
  </si>
  <si>
    <t>glutaminyl-tRNA synthase (glutamine-hydrolyzing)-like 1 [Source:ZFIN;Acc:ZDB-GENE-030131-5540]</t>
  </si>
  <si>
    <t>ENSDARG00000032318</t>
  </si>
  <si>
    <t>mfsd6a</t>
  </si>
  <si>
    <t>major facilitator superfamily domain containing 6a [Source:ZFIN;Acc:ZDB-GENE-050208-335]</t>
  </si>
  <si>
    <t>ENSDARG00000031366</t>
  </si>
  <si>
    <t>rtn4ip1</t>
  </si>
  <si>
    <t>reticulon 4 interacting protein 1 [Source:ZFIN;Acc:ZDB-GENE-040426-1314]</t>
  </si>
  <si>
    <t>ENSDARG00000069328</t>
  </si>
  <si>
    <t>si:dkey-12e7.1</t>
  </si>
  <si>
    <t>si:dkey-12e7.1 [Source:ZFIN;Acc:ZDB-GENE-050419-173]</t>
  </si>
  <si>
    <t>ENSDARG00000069917</t>
  </si>
  <si>
    <t>ska3</t>
  </si>
  <si>
    <t>spindle and kinetochore associated complex subunit 3 [Source:ZFIN;Acc:ZDB-GENE-030131-2997]</t>
  </si>
  <si>
    <t>ENSDARG00000004169</t>
  </si>
  <si>
    <t>stmn1a</t>
  </si>
  <si>
    <t>stathmin 1a [Source:ZFIN;Acc:ZDB-GENE-031006-14]</t>
  </si>
  <si>
    <t>ENSDARG00000100072</t>
  </si>
  <si>
    <t>mgrn1a</t>
  </si>
  <si>
    <t>mahogunin, ring finger 1a [Source:ZFIN;Acc:ZDB-GENE-030131-6192]</t>
  </si>
  <si>
    <t>ENSDARG00000031782</t>
  </si>
  <si>
    <t>aim1a</t>
  </si>
  <si>
    <t>absent in melanoma 1a [Source:ZFIN;Acc:ZDB-GENE-041008-100]</t>
  </si>
  <si>
    <t>ENSDARG00000023330</t>
  </si>
  <si>
    <t>anp32b</t>
  </si>
  <si>
    <t>acidic (leucine-rich) nuclear phosphoprotein 32 family, member B [Source:ZFIN;Acc:ZDB-GENE-030131-719]</t>
  </si>
  <si>
    <t>ENSDARG00000004160</t>
  </si>
  <si>
    <t>reep3b</t>
  </si>
  <si>
    <t>receptor accessory protein 3b [Source:ZFIN;Acc:ZDB-GENE-040426-730]</t>
  </si>
  <si>
    <t>ENSDARG00000093452</t>
  </si>
  <si>
    <t>si:rp71-68n21.11</t>
  </si>
  <si>
    <t>si:rp71-68n21.11 [Source:ZFIN;Acc:ZDB-GENE-081104-488]</t>
  </si>
  <si>
    <t>ENSDARG00000102538</t>
  </si>
  <si>
    <t>mccc1</t>
  </si>
  <si>
    <t>methylcrotonoyl-CoA carboxylase 1 (alpha) [Source:ZFIN;Acc:ZDB-GENE-050208-450]</t>
  </si>
  <si>
    <t>ENSDARG00000055505</t>
  </si>
  <si>
    <t>pdgfaa</t>
  </si>
  <si>
    <t>platelet-derived growth factor alpha polypeptide a [Source:ZFIN;Acc:ZDB-GENE-030918-2]</t>
  </si>
  <si>
    <t>ENSDARG00000011885</t>
  </si>
  <si>
    <t>mrpl19</t>
  </si>
  <si>
    <t>mitochondrial ribosomal protein L19 [Source:ZFIN;Acc:ZDB-GENE-040801-55]</t>
  </si>
  <si>
    <t>ENSDARG00000011723</t>
  </si>
  <si>
    <t>zgc:56556</t>
  </si>
  <si>
    <t>zgc:56556 [Source:ZFIN;Acc:ZDB-GENE-040426-1078]</t>
  </si>
  <si>
    <t>ENSDARG00000093476</t>
  </si>
  <si>
    <t>si:dkey-175d9.2</t>
  </si>
  <si>
    <t>si:dkey-175d9.2 [Source:ZFIN;Acc:ZDB-GENE-131119-97]</t>
  </si>
  <si>
    <t>ENSDARG00000069920</t>
  </si>
  <si>
    <t>cox17</t>
  </si>
  <si>
    <t>COX17 cytochrome c oxidase copper chaperone [Source:ZFIN;Acc:ZDB-GENE-040912-91]</t>
  </si>
  <si>
    <t>ENSDARG00000078784</t>
  </si>
  <si>
    <t>mgaa</t>
  </si>
  <si>
    <t>MGA, MAX dimerization protein a [Source:ZFIN;Acc:ZDB-GENE-030603-1]</t>
  </si>
  <si>
    <t>ENSDARG00000055255</t>
  </si>
  <si>
    <t>pitpnm3</t>
  </si>
  <si>
    <t>PITPNM family member 3 [Source:ZFIN;Acc:ZDB-GENE-030131-9216]</t>
  </si>
  <si>
    <t>ENSDARG00000003675</t>
  </si>
  <si>
    <t>cryl1</t>
  </si>
  <si>
    <t>crystallin, lambda 1 [Source:ZFIN;Acc:ZDB-GENE-060810-7]</t>
  </si>
  <si>
    <t>ENSDARG00000041081</t>
  </si>
  <si>
    <t>suv420h1</t>
  </si>
  <si>
    <t>suppressor of variegation 4-20 homolog 1 (Drosophila) [Source:ZFIN;Acc:ZDB-GENE-041114-22]</t>
  </si>
  <si>
    <t>ENSDARG00000105134</t>
  </si>
  <si>
    <t>zdhhc24</t>
  </si>
  <si>
    <t>zinc finger, DHHC-type containing 24 [Source:ZFIN;Acc:ZDB-GENE-040718-8]</t>
  </si>
  <si>
    <t>ENSDARG00000088638</t>
  </si>
  <si>
    <t>si:dkey-188p4.1</t>
  </si>
  <si>
    <t>si:dkey-188p4.1 [Source:ZFIN;Acc:ZDB-GENE-050208-496]</t>
  </si>
  <si>
    <t>ENSDARG00000024575</t>
  </si>
  <si>
    <t>kif26bb</t>
  </si>
  <si>
    <t>kinesin family member 26Bb [Source:ZFIN;Acc:ZDB-GENE-041001-188]</t>
  </si>
  <si>
    <t>ENSDARG00000007485</t>
  </si>
  <si>
    <t>epc2</t>
  </si>
  <si>
    <t>enhancer of polycomb homolog 2 (Drosophila) [Source:ZFIN;Acc:ZDB-GENE-040426-802]</t>
  </si>
  <si>
    <t>ENSDARG00000093606</t>
  </si>
  <si>
    <t>RPS11</t>
  </si>
  <si>
    <t>si:dkey-159f12.2 [Source:ZFIN;Acc:ZDB-GENE-081105-168]</t>
  </si>
  <si>
    <t>ENSDARG00000068575</t>
  </si>
  <si>
    <t>tmem51a</t>
  </si>
  <si>
    <t>transmembrane protein 51a [Source:ZFIN;Acc:ZDB-GENE-061103-481]</t>
  </si>
  <si>
    <t>ENSDARG00000102365</t>
  </si>
  <si>
    <t>tceb3</t>
  </si>
  <si>
    <t>transcription elongation factor B (SIII), polypeptide 3 [Source:ZFIN;Acc:ZDB-GENE-040426-2810]</t>
  </si>
  <si>
    <t>ENSDARG00000037810</t>
  </si>
  <si>
    <t>zgc:112175</t>
  </si>
  <si>
    <t>zgc:112175 [Source:ZFIN;Acc:ZDB-GENE-050417-220]</t>
  </si>
  <si>
    <t>ENSDARG00000060771</t>
  </si>
  <si>
    <t>map7d3</t>
  </si>
  <si>
    <t>MAP7 domain containing 3 [Source:ZFIN;Acc:ZDB-GENE-121129-3]</t>
  </si>
  <si>
    <t>ENSDARG00000078864</t>
  </si>
  <si>
    <t>lats2</t>
  </si>
  <si>
    <t>large tumor suppressor kinase 2 [Source:ZFIN;Acc:ZDB-GENE-050119-6]</t>
  </si>
  <si>
    <t>ENSDARG00000075346</t>
  </si>
  <si>
    <t>tmem129</t>
  </si>
  <si>
    <t>transmembrane protein 129, E3 ubiquitin protein ligase [Source:ZFIN;Acc:ZDB-GENE-040426-2796]</t>
  </si>
  <si>
    <t>ENSDARG00000095739</t>
  </si>
  <si>
    <t>si:ch211-131e11.21</t>
  </si>
  <si>
    <t>si:ch211-131e11.21 [Source:ZFIN;Acc:ZDB-GENE-070912-55]</t>
  </si>
  <si>
    <t>ENSDARG00000019572</t>
  </si>
  <si>
    <t>taf7</t>
  </si>
  <si>
    <t>TAF7 RNA polymerase II, TATA box binding protein (TBP)-associated factor [Source:ZFIN;Acc:ZDB-GENE-020419-18]</t>
  </si>
  <si>
    <t>ENSDARG00000073857</t>
  </si>
  <si>
    <t>klf7a</t>
  </si>
  <si>
    <t>Kruppel-like factor 7a [Source:ZFIN;Acc:ZDB-GENE-050522-276]</t>
  </si>
  <si>
    <t>ENSDARG00000099675</t>
  </si>
  <si>
    <t>kdm4b</t>
  </si>
  <si>
    <t>lysine (K)-specific demethylase 4B [Source:ZFIN;Acc:ZDB-GENE-060503-664]</t>
  </si>
  <si>
    <t>ENSDARG00000070458</t>
  </si>
  <si>
    <t>zgc:153292</t>
  </si>
  <si>
    <t>zgc:153292 [Source:ZFIN;Acc:ZDB-GENE-060929-1098]</t>
  </si>
  <si>
    <t>ENSDARG00000062363</t>
  </si>
  <si>
    <t>phex</t>
  </si>
  <si>
    <t>phosphate regulating endopeptidase homolog, X-linked [Source:ZFIN;Acc:ZDB-GENE-030103-2]</t>
  </si>
  <si>
    <t>ENSDARG00000006832</t>
  </si>
  <si>
    <t>galnt9</t>
  </si>
  <si>
    <t>polypeptide N-acetylgalactosaminyltransferase 9 [Source:ZFIN;Acc:ZDB-GENE-060526-21]</t>
  </si>
  <si>
    <t>ENSDARG00000059365</t>
  </si>
  <si>
    <t>nipal4</t>
  </si>
  <si>
    <t>NIPA-like domain containing 4 [Source:ZFIN;Acc:ZDB-GENE-040718-412]</t>
  </si>
  <si>
    <t>ENSDARG00000030781</t>
  </si>
  <si>
    <t>acads</t>
  </si>
  <si>
    <t>acyl-CoA dehydrogenase, C-2 to C-3 short chain [Source:ZFIN;Acc:ZDB-GENE-040808-64]</t>
  </si>
  <si>
    <t>ENSDARG00000058638</t>
  </si>
  <si>
    <t>si:ch211-71m22.1</t>
  </si>
  <si>
    <t>si:ch211-71m22.1 [Source:ZFIN;Acc:ZDB-GENE-070705-193]</t>
  </si>
  <si>
    <t>ENSDARG00000035957</t>
  </si>
  <si>
    <t>gmnn</t>
  </si>
  <si>
    <t>geminin, DNA replication inhibitor [Source:ZFIN;Acc:ZDB-GENE-030429-30]</t>
  </si>
  <si>
    <t>ENSDARG00000076923</t>
  </si>
  <si>
    <t>kazna</t>
  </si>
  <si>
    <t>kazrin, periplakin interacting protein a [Source:ZFIN;Acc:ZDB-GENE-081105-97]</t>
  </si>
  <si>
    <t>ENSDARG00000029168</t>
  </si>
  <si>
    <t>ppfibp2b</t>
  </si>
  <si>
    <t>PTPRF interacting protein, binding protein 2b (liprin beta 2) [Source:ZFIN;Acc:ZDB-GENE-040718-54]</t>
  </si>
  <si>
    <t>ENSDARG00000027572</t>
  </si>
  <si>
    <t>as3mt</t>
  </si>
  <si>
    <t>arsenite methyltransferase [Source:ZFIN;Acc:ZDB-GENE-060312-15]</t>
  </si>
  <si>
    <t>ENSDARG00000033999</t>
  </si>
  <si>
    <t>cyp26a1</t>
  </si>
  <si>
    <t>cytochrome P450, family 26, subfamily A, polypeptide 1 [Source:ZFIN;Acc:ZDB-GENE-990415-44]</t>
  </si>
  <si>
    <t>ENSDARG00000055307</t>
  </si>
  <si>
    <t>sypl2a</t>
  </si>
  <si>
    <t>synaptophysin-like 2a [Source:ZFIN;Acc:ZDB-GENE-040426-1434]</t>
  </si>
  <si>
    <t>ENSDARG00000070558</t>
  </si>
  <si>
    <t>si:ch211-93g23.2</t>
  </si>
  <si>
    <t>si:ch211-93g23.2 [Source:ZFIN;Acc:ZDB-GENE-090312-164]</t>
  </si>
  <si>
    <t>ENSDARG00000017982</t>
  </si>
  <si>
    <t>cyp39a1</t>
  </si>
  <si>
    <t>cytochrome P450, family 39, subfamily A, polypeptide 1 [Source:ZFIN;Acc:ZDB-GENE-041014-339]</t>
  </si>
  <si>
    <t>ENSDARG00000041400</t>
  </si>
  <si>
    <t>ndufa3</t>
  </si>
  <si>
    <t>NADH dehydrogenase (ubiquinone) 1 alpha subcomplex, 3 [Source:ZFIN;Acc:ZDB-GENE-040801-18]</t>
  </si>
  <si>
    <t>ENSDARG00000019941</t>
  </si>
  <si>
    <t>sgta</t>
  </si>
  <si>
    <t>small glutamine-rich tetratricopeptide repeat (TPR)-containing, alpha [Source:ZFIN;Acc:ZDB-GENE-030131-8811]</t>
  </si>
  <si>
    <t>ENSDARG00000059902</t>
  </si>
  <si>
    <t>vps16</t>
  </si>
  <si>
    <t>vacuolar protein sorting protein 16 [Source:ZFIN;Acc:ZDB-GENE-050809-9]</t>
  </si>
  <si>
    <t>ENSDARG00000087093</t>
  </si>
  <si>
    <t>si:ch211-157c3.4</t>
  </si>
  <si>
    <t>si:ch211-157c3.4 [Source:ZFIN;Acc:ZDB-GENE-030131-8454]</t>
  </si>
  <si>
    <t>ENSDARG00000104547</t>
  </si>
  <si>
    <t>si:dkey-97l20.5</t>
  </si>
  <si>
    <t>si:dkey-97l20.5 [Source:ZFIN;Acc:ZDB-GENE-120709-12]</t>
  </si>
  <si>
    <t>ENSDARG00000045525</t>
  </si>
  <si>
    <t>tmcc3</t>
  </si>
  <si>
    <t>transmembrane and coiled-coil domain family 3 [Source:ZFIN;Acc:ZDB-GENE-030131-1811]</t>
  </si>
  <si>
    <t>ENSDARG00000011466</t>
  </si>
  <si>
    <t>lace1a</t>
  </si>
  <si>
    <t>lactation elevated 1a [Source:ZFIN;Acc:ZDB-GENE-091006-2]</t>
  </si>
  <si>
    <t>ENSDARG00000063030</t>
  </si>
  <si>
    <t>mesdc2</t>
  </si>
  <si>
    <t>mesoderm development candidate 2 [Source:ZFIN;Acc:ZDB-GENE-070112-2142]</t>
  </si>
  <si>
    <t>ENSDARG00000092687</t>
  </si>
  <si>
    <t>si:ch211-130h14.6</t>
  </si>
  <si>
    <t>si:ch211-130h14.6.1</t>
  </si>
  <si>
    <t>si:ch211-130h14.6 [Source:ZFIN;Acc:ZDB-GENE-081028-41]</t>
  </si>
  <si>
    <t>ENSDARG00000090721</t>
  </si>
  <si>
    <t>prdm2a</t>
  </si>
  <si>
    <t>PR domain containing 2, with ZNF domain a [Source:ZFIN;Acc:ZDB-GENE-081104-139]</t>
  </si>
  <si>
    <t>ENSDARG00000021466</t>
  </si>
  <si>
    <t>ireb2</t>
  </si>
  <si>
    <t>iron-responsive element binding protein 2 [Source:ZFIN;Acc:ZDB-GENE-051205-1]</t>
  </si>
  <si>
    <t>ENSDARG00000045481</t>
  </si>
  <si>
    <t>gsap</t>
  </si>
  <si>
    <t>gamma-secretase activating protein [Source:ZFIN;Acc:ZDB-GENE-041210-216]</t>
  </si>
  <si>
    <t>ENSDARG00000103746</t>
  </si>
  <si>
    <t>mapkbp1</t>
  </si>
  <si>
    <t>mitogen-activated protein kinase binding protein 1 [Source:ZFIN;Acc:ZDB-GENE-120207-1]</t>
  </si>
  <si>
    <t>ENSDARG00000028850</t>
  </si>
  <si>
    <t>btr16</t>
  </si>
  <si>
    <t>bloodthirsty-related gene family, member 16 [Source:ZFIN;Acc:ZDB-GENE-060929-1066]</t>
  </si>
  <si>
    <t>ENSDARG00000016011</t>
  </si>
  <si>
    <t>gpcpd1</t>
  </si>
  <si>
    <t>glycerophosphocholine phosphodiesterase 1 [Source:ZFIN;Acc:ZDB-GENE-060503-472]</t>
  </si>
  <si>
    <t>ENSDARG00000019861</t>
  </si>
  <si>
    <t>fgl2a</t>
  </si>
  <si>
    <t>fibrinogen-like 2a [Source:ZFIN;Acc:ZDB-GENE-030131-9506]</t>
  </si>
  <si>
    <t>ENSDARG00000019815</t>
  </si>
  <si>
    <t>fn1a</t>
  </si>
  <si>
    <t>fibronectin 1a [Source:ZFIN;Acc:ZDB-GENE-000426-1]</t>
  </si>
  <si>
    <t>ENSDARG00000060298</t>
  </si>
  <si>
    <t>nin</t>
  </si>
  <si>
    <t>ninein (GSK3B interacting protein) [Source:ZFIN;Acc:ZDB-GENE-070725-1]</t>
  </si>
  <si>
    <t>ENSDARG00000098680</t>
  </si>
  <si>
    <t>si:zfos-2326c3.2</t>
  </si>
  <si>
    <t>si:zfos-2326c3.2 [Source:ZFIN;Acc:ZDB-GENE-091113-25]</t>
  </si>
  <si>
    <t>ENSDARG00000058329</t>
  </si>
  <si>
    <t>si:ch211-247l8.10</t>
  </si>
  <si>
    <t>si:ch211-247l8.10 [Source:ZFIN;Acc:ZDB-GENE-131122-78]</t>
  </si>
  <si>
    <t>ENSDARG00000014463</t>
  </si>
  <si>
    <t>usf1l</t>
  </si>
  <si>
    <t>upstream transcription factor 1, like [Source:ZFIN;Acc:ZDB-GENE-040426-2269]</t>
  </si>
  <si>
    <t>ENSDARG00000002877</t>
  </si>
  <si>
    <t>reps1</t>
  </si>
  <si>
    <t>RALBP1 associated Eps domain containing 1 [Source:ZFIN;Acc:ZDB-GENE-030131-9536]</t>
  </si>
  <si>
    <t>ENSDARG00000102377</t>
  </si>
  <si>
    <t>slc6a16b</t>
  </si>
  <si>
    <t>solute carrier family 6, member 16b [Source:ZFIN;Acc:ZDB-GENE-070424-95]</t>
  </si>
  <si>
    <t>ENSDARG00000079245</t>
  </si>
  <si>
    <t>si:dkey-73p2.2</t>
  </si>
  <si>
    <t>si:dkey-73p2.2 [Source:ZFIN;Acc:ZDB-GENE-131119-50]</t>
  </si>
  <si>
    <t>ENSDARG00000012563</t>
  </si>
  <si>
    <t>pdss2</t>
  </si>
  <si>
    <t>prenyl (decaprenyl) diphosphate synthase, subunit 2 [Source:ZFIN;Acc:ZDB-GENE-040718-43]</t>
  </si>
  <si>
    <t>ENSDARG00000088290</t>
  </si>
  <si>
    <t>foxj1b</t>
  </si>
  <si>
    <t>forkhead box J1b [Source:ZFIN;Acc:ZDB-GENE-041212-76]</t>
  </si>
  <si>
    <t>ENSDARG00000039378</t>
  </si>
  <si>
    <t>rcn2</t>
  </si>
  <si>
    <t>reticulocalbin 2 [Source:ZFIN;Acc:ZDB-GENE-050706-62]</t>
  </si>
  <si>
    <t>ENSDARG00000016481</t>
  </si>
  <si>
    <t>ptpn2a</t>
  </si>
  <si>
    <t>protein tyrosine phosphatase, non-receptor type 2, a [Source:ZFIN;Acc:ZDB-GENE-040426-1196]</t>
  </si>
  <si>
    <t>ENSDARG00000070769</t>
  </si>
  <si>
    <t>foxg1a</t>
  </si>
  <si>
    <t>forkhead box G1a [Source:ZFIN;Acc:ZDB-GENE-990415-267]</t>
  </si>
  <si>
    <t>ENSDARG00000009262</t>
  </si>
  <si>
    <t>FAR2</t>
  </si>
  <si>
    <t>si:dkey-97m3.1 [Source:ZFIN;Acc:ZDB-GENE-060503-367]</t>
  </si>
  <si>
    <t>ENSDARG00000007943</t>
  </si>
  <si>
    <t>gabpb2a</t>
  </si>
  <si>
    <t>GA binding protein transcription factor, beta subunit 2a [Source:ZFIN;Acc:ZDB-GENE-030131-5733]</t>
  </si>
  <si>
    <t>ENSDARG00000016830</t>
  </si>
  <si>
    <t>rimkla</t>
  </si>
  <si>
    <t>ribosomal modification protein rimK-like family member A [Source:ZFIN;Acc:ZDB-GENE-040912-20]</t>
  </si>
  <si>
    <t>ENSDARG00000079017</t>
  </si>
  <si>
    <t>mesdc1</t>
  </si>
  <si>
    <t>mesoderm development candidate 1 [Source:ZFIN;Acc:ZDB-GENE-130103-2]</t>
  </si>
  <si>
    <t>ENSDARG00000068286</t>
  </si>
  <si>
    <t>slc7a4</t>
  </si>
  <si>
    <t>solute carrier family 7, member 4 [Source:ZFIN;Acc:ZDB-GENE-030919-2]</t>
  </si>
  <si>
    <t>ENSDARG00000076143</t>
  </si>
  <si>
    <t>ppip5k1a</t>
  </si>
  <si>
    <t>diphosphoinositol pentakisphosphate kinase 1a [Source:ZFIN;Acc:ZDB-GENE-100426-4]</t>
  </si>
  <si>
    <t>ENSDARG00000093902</t>
  </si>
  <si>
    <t>si:dkey-200f17.3</t>
  </si>
  <si>
    <t>si:dkey-200f17.3 [Source:ZFIN;Acc:ZDB-GENE-141216-196]</t>
  </si>
  <si>
    <t>ENSDARG00000025754</t>
  </si>
  <si>
    <t>ube2f</t>
  </si>
  <si>
    <t>ubiquitin-conjugating enzyme E2F (putative) [Source:ZFIN;Acc:ZDB-GENE-040426-2557]</t>
  </si>
  <si>
    <t>ENSDARG00000037245</t>
  </si>
  <si>
    <t>trmo</t>
  </si>
  <si>
    <t>tRNA methyltransferase O [Source:ZFIN;Acc:ZDB-GENE-051023-15]</t>
  </si>
  <si>
    <t>ENSDARG00000039649</t>
  </si>
  <si>
    <t>mtif3</t>
  </si>
  <si>
    <t>mitochondrial translational initiation factor 3 [Source:ZFIN;Acc:ZDB-GENE-060228-1]</t>
  </si>
  <si>
    <t>ENSDARG00000055070</t>
  </si>
  <si>
    <t>borcs7</t>
  </si>
  <si>
    <t>BLOC-1 related complex subunit 7 [Source:ZFIN;Acc:ZDB-GENE-050913-112]</t>
  </si>
  <si>
    <t>ENSDARG00000027009</t>
  </si>
  <si>
    <t>zgc:85777</t>
  </si>
  <si>
    <t>zgc:85777 [Source:ZFIN;Acc:ZDB-GENE-040426-2210]</t>
  </si>
  <si>
    <t>ENSDARG00000096667</t>
  </si>
  <si>
    <t>si:dkey-25o16.2</t>
  </si>
  <si>
    <t>si:dkey-25o16.2 [Source:ZFIN;Acc:ZDB-GENE-121214-307]</t>
  </si>
  <si>
    <t>ENSDARG00000091266</t>
  </si>
  <si>
    <t>si:ch211-71m22.5</t>
  </si>
  <si>
    <t>si:ch211-71m22.5 [Source:ZFIN;Acc:ZDB-GENE-130531-65]</t>
  </si>
  <si>
    <t>ENSDARG00000091306</t>
  </si>
  <si>
    <t>kcnn1a</t>
  </si>
  <si>
    <t>potassium intermediate/small conductance calcium-activated channel, subfamily N, member 1a [Source:ZFIN;Acc:ZDB-GENE-070912-703]</t>
  </si>
  <si>
    <t>ENSDARG00000041078</t>
  </si>
  <si>
    <t>chka</t>
  </si>
  <si>
    <t>choline kinase alpha [Source:ZFIN;Acc:ZDB-GENE-050208-149]</t>
  </si>
  <si>
    <t>ENSDARG00000055133</t>
  </si>
  <si>
    <t>cenpf</t>
  </si>
  <si>
    <t>centromere protein F [Source:ZFIN;Acc:ZDB-GENE-041111-205]</t>
  </si>
  <si>
    <t>ENSDARG00000058873</t>
  </si>
  <si>
    <t>ptpdc1b</t>
  </si>
  <si>
    <t>protein tyrosine phosphatase domain containing 1b [Source:ZFIN;Acc:ZDB-GENE-090312-138]</t>
  </si>
  <si>
    <t>ENSDARG00000017055</t>
  </si>
  <si>
    <t>zymnd12</t>
  </si>
  <si>
    <t>zinc finger, MYND-type containing 12 [Source:ZFIN;Acc:ZDB-GENE-041114-133]</t>
  </si>
  <si>
    <t>ENSDARG00000058871</t>
  </si>
  <si>
    <t>FBXW12</t>
  </si>
  <si>
    <t>si:ch73-142c19.1 [Source:ZFIN;Acc:ZDB-GENE-090311-15]</t>
  </si>
  <si>
    <t>ENSDARG00000044491</t>
  </si>
  <si>
    <t>kif20a</t>
  </si>
  <si>
    <t>kinesin family member 20A [Source:ZFIN;Acc:ZDB-GENE-050522-252]</t>
  </si>
  <si>
    <t>ENSDARG00000053656</t>
  </si>
  <si>
    <t>lypla2</t>
  </si>
  <si>
    <t>lysophospholipase II [Source:ZFIN;Acc:ZDB-GENE-040426-1715]</t>
  </si>
  <si>
    <t>ENSDARG00000070847</t>
  </si>
  <si>
    <t>trim35-20</t>
  </si>
  <si>
    <t>tripartite motif containing 35-20 [Source:ZFIN;Acc:ZDB-GENE-110920-8]</t>
  </si>
  <si>
    <t>ENSDARG00000095076</t>
  </si>
  <si>
    <t>si:dkey-73p2.3</t>
  </si>
  <si>
    <t>si:dkey-73p2.3 [Source:ZFIN;Acc:ZDB-GENE-131126-12]</t>
  </si>
  <si>
    <t>ENSDARG00000100616</t>
  </si>
  <si>
    <t>si:dkey-47e6.2</t>
  </si>
  <si>
    <t>si:dkey-47e6.2 [Source:ZFIN;Acc:ZDB-GENE-141216-1]</t>
  </si>
  <si>
    <t>ENSDARG00000054253</t>
  </si>
  <si>
    <t>sobpa</t>
  </si>
  <si>
    <t>sine oculis binding protein homolog (Drosophila) a [Source:ZFIN;Acc:ZDB-GENE-090313-313]</t>
  </si>
  <si>
    <t>ENSDARG00000044484</t>
  </si>
  <si>
    <t>cdc23</t>
  </si>
  <si>
    <t>CDC23 (cell division cycle 23, yeast, homolog) [Source:ZFIN;Acc:ZDB-GENE-040426-866]</t>
  </si>
  <si>
    <t>ENSDARG00000036993</t>
  </si>
  <si>
    <t>erbb3b</t>
  </si>
  <si>
    <t>erb-b2 receptor tyrosine kinase 3b [Source:ZFIN;Acc:ZDB-GENE-050107-1]</t>
  </si>
  <si>
    <t>ENSDARG00000034885</t>
  </si>
  <si>
    <t>bet1</t>
  </si>
  <si>
    <t>Bet1 golgi vesicular membrane trafficking protein [Source:ZFIN;Acc:ZDB-GENE-040625-3]</t>
  </si>
  <si>
    <t>ENSDARG00000054251</t>
  </si>
  <si>
    <t>pqlc3</t>
  </si>
  <si>
    <t>PQ loop repeat containing 3 [Source:ZFIN;Acc:ZDB-GENE-040912-40]</t>
  </si>
  <si>
    <t>ENSDARG00000025285</t>
  </si>
  <si>
    <t>panx1a</t>
  </si>
  <si>
    <t>pannexin 1a [Source:ZFIN;Acc:ZDB-GENE-040426-766]</t>
  </si>
  <si>
    <t>ENSDARG00000087102</t>
  </si>
  <si>
    <t>si:ch1073-164k15.3</t>
  </si>
  <si>
    <t>si:ch1073-164k15.3 [Source:ZFIN;Acc:ZDB-GENE-131119-59]</t>
  </si>
  <si>
    <t>ENSDARG00000068572</t>
  </si>
  <si>
    <t>slc16a1b</t>
  </si>
  <si>
    <t>solute carrier family 16 (monocarboxylate transporter), member 1b [Source:ZFIN;Acc:ZDB-GENE-030515-5]</t>
  </si>
  <si>
    <t>ENSDARG00000004735</t>
  </si>
  <si>
    <t>hnrnpub</t>
  </si>
  <si>
    <t>heterogeneous nuclear ribonucleoprotein Ub [Source:ZFIN;Acc:ZDB-GENE-030131-6422]</t>
  </si>
  <si>
    <t>ENSDARG00000074858</t>
  </si>
  <si>
    <t>stard7</t>
  </si>
  <si>
    <t>StAR-related lipid transfer (START) domain containing 7 [Source:ZFIN;Acc:ZDB-GENE-030131-2310]</t>
  </si>
  <si>
    <t>ENSDARG00000035326</t>
  </si>
  <si>
    <t>nccrp1</t>
  </si>
  <si>
    <t>non-specific cytotoxic cell receptor protein 1 [Source:ZFIN;Acc:ZDB-GENE-000210-13]</t>
  </si>
  <si>
    <t>ENSDARG00000033789</t>
  </si>
  <si>
    <t>ndufb7</t>
  </si>
  <si>
    <t>NADH dehydrogenase (ubiquinone) 1 beta subcomplex, 7 [Source:ZFIN;Acc:ZDB-GENE-040426-1886]</t>
  </si>
  <si>
    <t>ENSDARG00000056279</t>
  </si>
  <si>
    <t>ccdc157</t>
  </si>
  <si>
    <t>coiled-coil domain containing 157 [Source:ZFIN;Acc:ZDB-GENE-030616-155]</t>
  </si>
  <si>
    <t>ENSDARG00000061195</t>
  </si>
  <si>
    <t>cnnm2a</t>
  </si>
  <si>
    <t>cyclin and CBS domain divalent metal cation transport mediator 2a [Source:ZFIN;Acc:ZDB-GENE-050208-36]</t>
  </si>
  <si>
    <t>ENSDARG00000091624</t>
  </si>
  <si>
    <t>si:ch73-240m12.1</t>
  </si>
  <si>
    <t>si:ch73-240m12.1 [Source:ZFIN;Acc:ZDB-GENE-141215-33]</t>
  </si>
  <si>
    <t>ENSDARG00000030267</t>
  </si>
  <si>
    <t>gtf3aa</t>
  </si>
  <si>
    <t>general transcription factor IIIAa [Source:ZFIN;Acc:ZDB-GENE-041006-1]</t>
  </si>
  <si>
    <t>ENSDARG00000076500</t>
  </si>
  <si>
    <t>chgb</t>
  </si>
  <si>
    <t>chromogranin B [Source:ZFIN;Acc:ZDB-GENE-070705-268]</t>
  </si>
  <si>
    <t>ENSDARG00000042469</t>
  </si>
  <si>
    <t>ndufa12</t>
  </si>
  <si>
    <t>NADH dehydrogenase (ubiquinone) 1 alpha subcomplex, 12 [Source:ZFIN;Acc:ZDB-GENE-050828-1]</t>
  </si>
  <si>
    <t>ENSDARG00000096689</t>
  </si>
  <si>
    <t>si:dkey-66i24.9</t>
  </si>
  <si>
    <t>si:dkey-66i24.9 [Source:ZFIN;Acc:ZDB-GENE-130531-63]</t>
  </si>
  <si>
    <t>ENSDARG00000045527</t>
  </si>
  <si>
    <t>nr2c1</t>
  </si>
  <si>
    <t>nuclear receptor subfamily 2, group C, member 1 [Source:ZFIN;Acc:ZDB-GENE-041210-198]</t>
  </si>
  <si>
    <t>ENSDARG00000042344</t>
  </si>
  <si>
    <t>trmt6</t>
  </si>
  <si>
    <t>tRNA methyltransferase 6 homolog (S. cerevisiae) [Source:ZFIN;Acc:ZDB-GENE-051120-141]</t>
  </si>
  <si>
    <t>ENSDARG00000097526</t>
  </si>
  <si>
    <t>si:ch73-112l6.6</t>
  </si>
  <si>
    <t>si:ch73-112l6.6 [Source:ZFIN;Acc:ZDB-GENE-131121-439]</t>
  </si>
  <si>
    <t>ENSDARG00000091293</t>
  </si>
  <si>
    <t>dmxl2</t>
  </si>
  <si>
    <t>Dmx-like 2 [Source:ZFIN;Acc:ZDB-GENE-031007-6]</t>
  </si>
  <si>
    <t>ENSDARG00000007405</t>
  </si>
  <si>
    <t>strap</t>
  </si>
  <si>
    <t>serine/threonine kinase receptor associated protein [Source:ZFIN;Acc:ZDB-GENE-040426-1110]</t>
  </si>
  <si>
    <t>ENSDARG00000020278</t>
  </si>
  <si>
    <t>si:dkeyp-120h9.1</t>
  </si>
  <si>
    <t>si:dkeyp-120h9.1 [Source:ZFIN;Acc:ZDB-GENE-070705-534]</t>
  </si>
  <si>
    <t>ENSDARG00000071062</t>
  </si>
  <si>
    <t>hps5</t>
  </si>
  <si>
    <t>Hermansky-Pudlak syndrome 5 [Source:ZFIN;Acc:ZDB-GENE-070410-80]</t>
  </si>
  <si>
    <t>ENSDARG00000097683</t>
  </si>
  <si>
    <t>sptbn5</t>
  </si>
  <si>
    <t>spectrin, beta, non-erythrocytic 5 [Source:ZFIN;Acc:ZDB-GENE-131121-26]</t>
  </si>
  <si>
    <t>ENSDARG00000041887</t>
  </si>
  <si>
    <t>sf3a1</t>
  </si>
  <si>
    <t>splicing factor 3a, subunit 1 [Source:ZFIN;Acc:ZDB-GENE-030616-156]</t>
  </si>
  <si>
    <t>ENSDARG00000011973</t>
  </si>
  <si>
    <t>slc35d1a</t>
  </si>
  <si>
    <t>solute carrier family 35 (UDP-GlcA/UDP-GalNAc transporter), member D1a [Source:ZFIN;Acc:ZDB-GENE-040826-5]</t>
  </si>
  <si>
    <t>ENSDARG00000020007</t>
  </si>
  <si>
    <t>col1a2</t>
  </si>
  <si>
    <t>collagen, type I, alpha 2 [Source:ZFIN;Acc:ZDB-GENE-030131-8415]</t>
  </si>
  <si>
    <t>ENSDARG00000019838</t>
  </si>
  <si>
    <t>ugdh</t>
  </si>
  <si>
    <t>UDP-glucose 6-dehydrogenase [Source:ZFIN;Acc:ZDB-GENE-011022-1]</t>
  </si>
  <si>
    <t>ENSDARG00000042961</t>
  </si>
  <si>
    <t>zgc:100920</t>
  </si>
  <si>
    <t>zgc:100920 [Source:ZFIN;Acc:ZDB-GENE-040801-156]</t>
  </si>
  <si>
    <t>ENSDARG00000041073</t>
  </si>
  <si>
    <t>si:dkey-12e7.4</t>
  </si>
  <si>
    <t>si:dkey-12e7.4 [Source:ZFIN;Acc:ZDB-GENE-050419-83]</t>
  </si>
  <si>
    <t>ENSDARG00000011188</t>
  </si>
  <si>
    <t>acvr2aa</t>
  </si>
  <si>
    <t>activin A receptor, type IIAa [Source:ZFIN;Acc:ZDB-GENE-980526-227]</t>
  </si>
  <si>
    <t>ENSDARG00000090232</t>
  </si>
  <si>
    <t>clpb</t>
  </si>
  <si>
    <t>ClpB homolog, mitochondrial AAA ATPase chaperonin [Source:ZFIN;Acc:ZDB-GENE-150227-1]</t>
  </si>
  <si>
    <t>ENSDARG00000054578</t>
  </si>
  <si>
    <t>arl6ip1</t>
  </si>
  <si>
    <t>ADP-ribosylation factor-like 6 interacting protein 1 [Source:ZFIN;Acc:ZDB-GENE-040426-1087]</t>
  </si>
  <si>
    <t>ENSDARG00000070538</t>
  </si>
  <si>
    <t>hey1</t>
  </si>
  <si>
    <t>hes-related family bHLH transcription factor with YRPW motif 1 [Source:ZFIN;Acc:ZDB-GENE-000607-70]</t>
  </si>
  <si>
    <t>ENSDARG00000052652</t>
  </si>
  <si>
    <t>fermt1</t>
  </si>
  <si>
    <t>fermitin family member 1 [Source:ZFIN;Acc:ZDB-GENE-030131-3264]</t>
  </si>
  <si>
    <t>ENSDARG00000096792</t>
  </si>
  <si>
    <t>si:dkey-66i24.10</t>
  </si>
  <si>
    <t>si:dkey-66i24.10 [Source:ZFIN;Acc:ZDB-GENE-130603-25]</t>
  </si>
  <si>
    <t>ENSDARG00000043285</t>
  </si>
  <si>
    <t>zbtb21</t>
  </si>
  <si>
    <t>zinc finger and BTB domain containing 21 [Source:ZFIN;Acc:ZDB-GENE-050411-7]</t>
  </si>
  <si>
    <t>ENSDARG00000020449</t>
  </si>
  <si>
    <t>yipf3</t>
  </si>
  <si>
    <t>Yip1 domain family, member 3 [Source:ZFIN;Acc:ZDB-GENE-030131-6443]</t>
  </si>
  <si>
    <t>ENSDARG00000093430</t>
  </si>
  <si>
    <t>si:dkeyp-34f6.4</t>
  </si>
  <si>
    <t>si:dkeyp-34f6.4 [Source:ZFIN;Acc:ZDB-GENE-070705-539]</t>
  </si>
  <si>
    <t>ENSDARG00000077101</t>
  </si>
  <si>
    <t>zbtb10</t>
  </si>
  <si>
    <t>zinc finger and BTB domain containing 10 [Source:ZFIN;Acc:ZDB-GENE-030429-10]</t>
  </si>
  <si>
    <t>ENSDARG00000011245</t>
  </si>
  <si>
    <t>esrp1</t>
  </si>
  <si>
    <t>epithelial splicing regulatory protein 1 [Source:ZFIN;Acc:ZDB-GENE-070112-1732]</t>
  </si>
  <si>
    <t>ENSDARG00000044405</t>
  </si>
  <si>
    <t>ttc4</t>
  </si>
  <si>
    <t>tetratricopeptide repeat domain 4 [Source:ZFIN;Acc:ZDB-GENE-040426-1021]</t>
  </si>
  <si>
    <t>ENSDARG00000041430</t>
  </si>
  <si>
    <t>bmp2b</t>
  </si>
  <si>
    <t>bone morphogenetic protein 2b [Source:ZFIN;Acc:ZDB-GENE-980526-474]</t>
  </si>
  <si>
    <t>ENSDARG00000020521</t>
  </si>
  <si>
    <t>exoc6</t>
  </si>
  <si>
    <t>exocyst complex component 6 [Source:ZFIN;Acc:ZDB-GENE-040426-2511]</t>
  </si>
  <si>
    <t>ENSDARG00000088178</t>
  </si>
  <si>
    <t>tp53inp2</t>
  </si>
  <si>
    <t>tumor protein p53 inducible nuclear protein 2 [Source:ZFIN;Acc:ZDB-GENE-120420-1]</t>
  </si>
  <si>
    <t>ENSDARG00000078832</t>
  </si>
  <si>
    <t>si:dkey-73p2.3.1</t>
  </si>
  <si>
    <t>ENSDARG00000051925</t>
  </si>
  <si>
    <t>cyb5r2</t>
  </si>
  <si>
    <t>cytochrome b5 reductase 2 [Source:ZFIN;Acc:ZDB-GENE-060825-83]</t>
  </si>
  <si>
    <t>ENSDARG00000016464</t>
  </si>
  <si>
    <t>CDC42BPA</t>
  </si>
  <si>
    <t>si:ch211-89p3.3 [Source:ZFIN;Acc:ZDB-GENE-041014-372]</t>
  </si>
  <si>
    <t>ENSDARG00000095046</t>
  </si>
  <si>
    <t>pold2</t>
  </si>
  <si>
    <t>polymerase (DNA directed), delta 2, regulatory subunit [Source:ZFIN;Acc:ZDB-GENE-030616-157]</t>
  </si>
  <si>
    <t>ENSDARG00000093463</t>
  </si>
  <si>
    <t>si:ch1073-249f22.1</t>
  </si>
  <si>
    <t>si:ch1073-249f22.1 [Source:ZFIN;Acc:ZDB-GENE-131120-87]</t>
  </si>
  <si>
    <t>ENSDARG00000025147</t>
  </si>
  <si>
    <t>cd63</t>
  </si>
  <si>
    <t>CD63 molecule [Source:ZFIN;Acc:ZDB-GENE-030131-180]</t>
  </si>
  <si>
    <t>ENSDARG00000039399</t>
  </si>
  <si>
    <t>nt5c2a</t>
  </si>
  <si>
    <t>5'-nucleotidase, cytosolic IIa [Source:ZFIN;Acc:ZDB-GENE-030131-3566]</t>
  </si>
  <si>
    <t>ENSDARG00000011555</t>
  </si>
  <si>
    <t>spag7</t>
  </si>
  <si>
    <t>sperm associated antigen 7 [Source:ZFIN;Acc:ZDB-GENE-040426-1632]</t>
  </si>
  <si>
    <t>ENSDARG00000094254</t>
  </si>
  <si>
    <t>si:dkey-14d8.19</t>
  </si>
  <si>
    <t>si:dkey-14d8.19 [Source:ZFIN;Acc:ZDB-GENE-041210-142]</t>
  </si>
  <si>
    <t>ENSDARG00000030641</t>
  </si>
  <si>
    <t>letmd1</t>
  </si>
  <si>
    <t>LETM1 domain containing 1 [Source:ZFIN;Acc:ZDB-GENE-080723-8]</t>
  </si>
  <si>
    <t>ENSDARG00000034700</t>
  </si>
  <si>
    <t>vegfab</t>
  </si>
  <si>
    <t>vascular endothelial growth factor Ab [Source:ZFIN;Acc:ZDB-GENE-030131-4605]</t>
  </si>
  <si>
    <t>ENSDARG00000079659</t>
  </si>
  <si>
    <t>wdr53</t>
  </si>
  <si>
    <t>WD repeat domain 53 [Source:ZFIN;Acc:ZDB-GENE-131121-294]</t>
  </si>
  <si>
    <t>ENSDARG00000010434</t>
  </si>
  <si>
    <t>clu</t>
  </si>
  <si>
    <t>clusterin [Source:ZFIN;Acc:ZDB-GENE-040426-1774]</t>
  </si>
  <si>
    <t>ENSDARG00000016447</t>
  </si>
  <si>
    <t>ythdf1</t>
  </si>
  <si>
    <t>YTH N(6)-methyladenosine RNA binding protein 1 [Source:ZFIN;Acc:ZDB-GENE-040426-2786]</t>
  </si>
  <si>
    <t>ENSDARG00000094975</t>
  </si>
  <si>
    <t>si:ch211-214p16.2</t>
  </si>
  <si>
    <t>si:ch211-214p16.2 [Source:ZFIN;Acc:ZDB-GENE-030616-607]</t>
  </si>
  <si>
    <t>ENSDARG00000095332</t>
  </si>
  <si>
    <t>si:dkey-14d8.1</t>
  </si>
  <si>
    <t>si:dkey-14d8.1 [Source:ZFIN;Acc:ZDB-GENE-041210-86]</t>
  </si>
  <si>
    <t>ENSDARG00000019420</t>
  </si>
  <si>
    <t>etnk1</t>
  </si>
  <si>
    <t>ethanolamine kinase 1 [Source:ZFIN;Acc:ZDB-GENE-030328-21]</t>
  </si>
  <si>
    <t>ENSDARG00000097353</t>
  </si>
  <si>
    <t>si:dkey-14d8.21</t>
  </si>
  <si>
    <t>si:dkey-14d8.21 [Source:ZFIN;Acc:ZDB-GENE-041210-147]</t>
  </si>
  <si>
    <t>ENSDARG00000060768</t>
  </si>
  <si>
    <t>ankib1a</t>
  </si>
  <si>
    <t>ankyrin repeat and IBR domain containing 1a [Source:ZFIN;Acc:ZDB-GENE-060503-156]</t>
  </si>
  <si>
    <t>ENSDARG00000097507</t>
  </si>
  <si>
    <t>si:dkey-14d8.23.1</t>
  </si>
  <si>
    <t>ENSDARG00000017355</t>
  </si>
  <si>
    <t>rsph9</t>
  </si>
  <si>
    <t>radial spoke head 9 homolog [Source:ZFIN;Acc:ZDB-GENE-051120-129]</t>
  </si>
  <si>
    <t>ENSDARG00000020292</t>
  </si>
  <si>
    <t>si:ch211-254n4.3</t>
  </si>
  <si>
    <t>si:ch211-254n4.3 [Source:ZFIN;Acc:ZDB-GENE-081105-89]</t>
  </si>
  <si>
    <t>ENSDARG00000024465</t>
  </si>
  <si>
    <t>mrps18a</t>
  </si>
  <si>
    <t>mitochondrial ribosomal protein S18A [Source:ZFIN;Acc:ZDB-GENE-041210-109]</t>
  </si>
  <si>
    <t>ENSDARG00000045302</t>
  </si>
  <si>
    <t>smpx</t>
  </si>
  <si>
    <t>small muscle protein, X-linked [Source:ZFIN;Acc:ZDB-GENE-040704-24]</t>
  </si>
  <si>
    <t>ENSDARG00000016782</t>
  </si>
  <si>
    <t>huwe1</t>
  </si>
  <si>
    <t>HECT, UBA and WWE domain containing 1 [Source:ZFIN;Acc:ZDB-GENE-081104-387]</t>
  </si>
  <si>
    <t>ENSDARG00000070657</t>
  </si>
  <si>
    <t>pa2g4b</t>
  </si>
  <si>
    <t>proliferation-associated 2G4, b [Source:ZFIN;Acc:ZDB-GENE-030131-2182]</t>
  </si>
  <si>
    <t>ENSDARG00000104222</t>
  </si>
  <si>
    <t>inppl1a</t>
  </si>
  <si>
    <t>inositol polyphosphate phosphatase-like 1a [Source:ZFIN;Acc:ZDB-GENE-030131-3904]</t>
  </si>
  <si>
    <t>ENSDARG00000057577</t>
  </si>
  <si>
    <t>mbtps2</t>
  </si>
  <si>
    <t>membrane-bound transcription factor peptidase, site 2 [Source:ZFIN;Acc:ZDB-GENE-030131-6598]</t>
  </si>
  <si>
    <t>ENSDARG00000045842</t>
  </si>
  <si>
    <t>zgc:113263</t>
  </si>
  <si>
    <t>zgc:113263 [Source:ZFIN;Acc:ZDB-GENE-050306-34]</t>
  </si>
  <si>
    <t>ENSDARG00000095450</t>
  </si>
  <si>
    <t>si:ch211-213i16.2</t>
  </si>
  <si>
    <t>si:ch211-213i16.2 [Source:ZFIN;Acc:ZDB-GENE-041014-185]</t>
  </si>
  <si>
    <t>ENSDARG00000018328</t>
  </si>
  <si>
    <t>rhocb</t>
  </si>
  <si>
    <t>ras homolog family member Cb [Source:ZFIN;Acc:ZDB-GENE-040718-144]</t>
  </si>
  <si>
    <t>ENSDARG00000043287</t>
  </si>
  <si>
    <t>atg101</t>
  </si>
  <si>
    <t>autophagy related 101 [Source:ZFIN;Acc:ZDB-GENE-051030-36]</t>
  </si>
  <si>
    <t>ENSDARG00000090654</t>
  </si>
  <si>
    <t>gak</t>
  </si>
  <si>
    <t>cyclin G associated kinase [Source:ZFIN;Acc:ZDB-GENE-041210-358]</t>
  </si>
  <si>
    <t>ENSDARG00000068919</t>
  </si>
  <si>
    <t>rad51c</t>
  </si>
  <si>
    <t>RAD51 paralog C [Source:ZFIN;Acc:ZDB-GENE-041010-204]</t>
  </si>
  <si>
    <t>ENSDARG00000041433</t>
  </si>
  <si>
    <t>si:dkey-7c18.24</t>
  </si>
  <si>
    <t>si:dkey-7c18.24 [Source:ZFIN;Acc:ZDB-GENE-041014-63]</t>
  </si>
  <si>
    <t>ENSDARG00000093126</t>
  </si>
  <si>
    <t>si:ch73-112l6.1</t>
  </si>
  <si>
    <t>si:ch73-112l6.1 [Source:ZFIN;Acc:ZDB-GENE-091204-14]</t>
  </si>
  <si>
    <t>ENSDARG00000035860</t>
  </si>
  <si>
    <t>rps28</t>
  </si>
  <si>
    <t>ribosomal protein S28 [Source:ZFIN;Acc:ZDB-GENE-030131-2022]</t>
  </si>
  <si>
    <t>ENSDARG00000063411</t>
  </si>
  <si>
    <t>lrrc73</t>
  </si>
  <si>
    <t>leucine rich repeat containing 73 [Source:ZFIN;Acc:ZDB-GENE-111118-2]</t>
  </si>
  <si>
    <t>ENSDARG00000041068</t>
  </si>
  <si>
    <t>got2a</t>
  </si>
  <si>
    <t>glutamic-oxaloacetic transaminase 2a, mitochondrial [Source:ZFIN;Acc:ZDB-GENE-040426-2703]</t>
  </si>
  <si>
    <t>ENSDARG00000027612</t>
  </si>
  <si>
    <t>gatad1</t>
  </si>
  <si>
    <t>GATA zinc finger domain containing 1 [Source:ZFIN;Acc:ZDB-GENE-050629-1]</t>
  </si>
  <si>
    <t>ENSDARG00000023058</t>
  </si>
  <si>
    <t>foxo3a</t>
  </si>
  <si>
    <t>forkhead box O3A [Source:ZFIN;Acc:ZDB-GENE-050116-1]</t>
  </si>
  <si>
    <t>ENSDARG00000097123</t>
  </si>
  <si>
    <t>si:ch73-70c5.2</t>
  </si>
  <si>
    <t>si:ch73-70c5.2 [Source:ZFIN;Acc:ZDB-GENE-131121-313]</t>
  </si>
  <si>
    <t>ENSDARG00000101094</t>
  </si>
  <si>
    <t>ATP11B</t>
  </si>
  <si>
    <t>si:dkey-211e20.10 [Source:ZFIN;Acc:ZDB-GENE-081031-13]</t>
  </si>
  <si>
    <t>ENSDARG00000045843</t>
  </si>
  <si>
    <t>apex1</t>
  </si>
  <si>
    <t>APEX nuclease (multifunctional DNA repair enzyme) 1 [Source:ZFIN;Acc:ZDB-GENE-040426-2761]</t>
  </si>
  <si>
    <t>ENSDARG00000003313</t>
  </si>
  <si>
    <t>EPS8L1</t>
  </si>
  <si>
    <t>si:ch73-70c5.1 [Source:ZFIN;Acc:ZDB-GENE-050506-143]</t>
  </si>
  <si>
    <t>ENSDARG00000052255</t>
  </si>
  <si>
    <t>trim35-3</t>
  </si>
  <si>
    <t>tripartite motif containing 35-3 [Source:ZFIN;Acc:ZDB-GENE-070912-56]</t>
  </si>
  <si>
    <t>ENSDARG00000029724</t>
  </si>
  <si>
    <t>pqbp1</t>
  </si>
  <si>
    <t>polyglutamine binding protein 1 [Source:ZFIN;Acc:ZDB-GENE-030616-158]</t>
  </si>
  <si>
    <t>ENSDARG00000017500</t>
  </si>
  <si>
    <t>rock2a</t>
  </si>
  <si>
    <t>rho-associated, coiled-coil containing protein kinase 2a [Source:ZFIN;Acc:ZDB-GENE-030115-3]</t>
  </si>
  <si>
    <t>ENSDARG00000014646</t>
  </si>
  <si>
    <t>aoc2</t>
  </si>
  <si>
    <t>amine oxidase, copper containing 2 [Source:ZFIN;Acc:ZDB-GENE-050320-133]</t>
  </si>
  <si>
    <t>ENSDARG00000013505</t>
  </si>
  <si>
    <t>ube2kb</t>
  </si>
  <si>
    <t>ubiquitin-conjugating enzyme E2Kb (UBC1 homolog, yeast) [Source:ZFIN;Acc:ZDB-GENE-980605-9]</t>
  </si>
  <si>
    <t>ENSDARG00000005799</t>
  </si>
  <si>
    <t>smim14</t>
  </si>
  <si>
    <t>small integral membrane protein 14 [Source:ZFIN;Acc:ZDB-GENE-040426-22]</t>
  </si>
  <si>
    <t>ENSDARG00000008060</t>
  </si>
  <si>
    <t>scara3</t>
  </si>
  <si>
    <t>scavenger receptor class A, member 3 [Source:ZFIN;Acc:ZDB-GENE-041014-317]</t>
  </si>
  <si>
    <t>ENSDARG00000069958</t>
  </si>
  <si>
    <t>sh2b3</t>
  </si>
  <si>
    <t>SH2B adaptor protein 3 [Source:ZFIN;Acc:ZDB-GENE-041210-359]</t>
  </si>
  <si>
    <t>ENSDARG00000055151</t>
  </si>
  <si>
    <t>smyd2a</t>
  </si>
  <si>
    <t>SET and MYND domain containing 2a [Source:ZFIN;Acc:ZDB-GENE-050320-126]</t>
  </si>
  <si>
    <t>ENSDARG00000103409</t>
  </si>
  <si>
    <t>uhrf1</t>
  </si>
  <si>
    <t>ubiquitin-like with PHD and ring finger domains 1 [Source:ZFIN;Acc:ZDB-GENE-040426-2039]</t>
  </si>
  <si>
    <t>ENSDARG00000105315</t>
  </si>
  <si>
    <t>si:cabz01057506.1</t>
  </si>
  <si>
    <t>si:cabz01057506.1 [Source:ZFIN;Acc:ZDB-GENE-160114-80]</t>
  </si>
  <si>
    <t>ENSDARG00000096554</t>
  </si>
  <si>
    <t>SPAG5</t>
  </si>
  <si>
    <t>si:dkey-25o16.4 [Source:ZFIN;Acc:ZDB-GENE-030131-969]</t>
  </si>
  <si>
    <t>ENSDARG00000058232</t>
  </si>
  <si>
    <t>fbrsl1</t>
  </si>
  <si>
    <t>fibrosin-like 1 [Source:ZFIN;Acc:ZDB-GENE-070705-487]</t>
  </si>
  <si>
    <t>ENSDARG00000103226</t>
  </si>
  <si>
    <t>dhcr7</t>
  </si>
  <si>
    <t>7-dehydrocholesterol reductase [Source:ZFIN;Acc:ZDB-GENE-030912-9]</t>
  </si>
  <si>
    <t>ENSDARG00000102908</t>
  </si>
  <si>
    <t>il16</t>
  </si>
  <si>
    <t>interleukin 16 [Source:ZFIN;Acc:ZDB-GENE-130103-3]</t>
  </si>
  <si>
    <t>ENSDARG00000093591</t>
  </si>
  <si>
    <t>si:ch211-282k23.2</t>
  </si>
  <si>
    <t>si:ch211-282k23.2 [Source:ZFIN;Acc:ZDB-GENE-050420-314]</t>
  </si>
  <si>
    <t>ENSDARG00000019556</t>
  </si>
  <si>
    <t>clcn7</t>
  </si>
  <si>
    <t>chloride channel 7 [Source:ZFIN;Acc:ZDB-GENE-061103-196]</t>
  </si>
  <si>
    <t>ENSDARG00000035741</t>
  </si>
  <si>
    <t>slc25a11</t>
  </si>
  <si>
    <t>solute carrier family 25 (mitochondrial carrier; oxoglutarate carrier), member 11 [Source:ZFIN;Acc:ZDB-GENE-040625-79]</t>
  </si>
  <si>
    <t>ENSDARG00000035546</t>
  </si>
  <si>
    <t>jmjd7</t>
  </si>
  <si>
    <t>jumonji domain containing 7 [Source:ZFIN;Acc:ZDB-GENE-050417-86]</t>
  </si>
  <si>
    <t>ENSDARG00000004866</t>
  </si>
  <si>
    <t>fam63a</t>
  </si>
  <si>
    <t>family with sequence similarity 63, member A [Source:ZFIN;Acc:ZDB-GENE-070717-2]</t>
  </si>
  <si>
    <t>ENSDARG00000029612</t>
  </si>
  <si>
    <t>gpkow</t>
  </si>
  <si>
    <t>G patch domain and KOW motifs [Source:ZFIN;Acc:ZDB-GENE-030616-159]</t>
  </si>
  <si>
    <t>ENSDARG00000032725</t>
  </si>
  <si>
    <t>rps27a</t>
  </si>
  <si>
    <t>ribosomal protein S27a [Source:ZFIN;Acc:ZDB-GENE-030131-10018]</t>
  </si>
  <si>
    <t>ENSDARG00000021753</t>
  </si>
  <si>
    <t>ccdc25</t>
  </si>
  <si>
    <t>coiled-coil domain containing 25 [Source:ZFIN;Acc:ZDB-GENE-040426-1389]</t>
  </si>
  <si>
    <t>ENSDARG00000030949</t>
  </si>
  <si>
    <t>srprb</t>
  </si>
  <si>
    <t>signal recognition particle receptor, B subunit [Source:ZFIN;Acc:ZDB-GENE-040718-311]</t>
  </si>
  <si>
    <t>ENSDARG00000102058</t>
  </si>
  <si>
    <t>si:dkeyp-11e3.1</t>
  </si>
  <si>
    <t>si:dkeyp-11e3.1 [Source:ZFIN;Acc:ZDB-GENE-141222-55]</t>
  </si>
  <si>
    <t>ENSDARG00000098645</t>
  </si>
  <si>
    <t>rgn</t>
  </si>
  <si>
    <t>regucalcin [Source:ZFIN;Acc:ZDB-GENE-040718-68]</t>
  </si>
  <si>
    <t>ENSDARG00000095844</t>
  </si>
  <si>
    <t>si:ch73-334e23.1</t>
  </si>
  <si>
    <t>si:ch73-334e23.1 [Source:ZFIN;Acc:ZDB-GENE-110408-36]</t>
  </si>
  <si>
    <t>ENSDARG00000070913</t>
  </si>
  <si>
    <t>sox2</t>
  </si>
  <si>
    <t>SRY (sex determining region Y)-box 2 [Source:ZFIN;Acc:ZDB-GENE-030909-1]</t>
  </si>
  <si>
    <t>ENSDARG00000010641</t>
  </si>
  <si>
    <t>slc20a1b</t>
  </si>
  <si>
    <t>solute carrier family 20 (phosphate transporter), member 1b [Source:ZFIN;Acc:ZDB-GENE-030131-260]</t>
  </si>
  <si>
    <t>ENSDARG00000036375</t>
  </si>
  <si>
    <t>cyfip2</t>
  </si>
  <si>
    <t>cytoplasmic FMR1 interacting protein 2 [Source:ZFIN;Acc:ZDB-GENE-080724-2]</t>
  </si>
  <si>
    <t>ENSDARG00000010681</t>
  </si>
  <si>
    <t>tjap1</t>
  </si>
  <si>
    <t>tight junction associated protein 1 (peripheral) [Source:ZFIN;Acc:ZDB-GENE-081107-47]</t>
  </si>
  <si>
    <t>ENSDARG00000061177</t>
  </si>
  <si>
    <t>mov10b.1</t>
  </si>
  <si>
    <t>Moloney leukemia virus 10b, tandem duplicate 1 [Source:ZFIN;Acc:ZDB-GENE-030131-9089]</t>
  </si>
  <si>
    <t>ENSDARG00000011533</t>
  </si>
  <si>
    <t>sema6dl</t>
  </si>
  <si>
    <t>sema domain, transmembrane domain (TM), and cytoplasmic domain, (semaphorin) 6D, like [Source:ZFIN;Acc:ZDB-GENE-050417-171]</t>
  </si>
  <si>
    <t>ENSDARG00000092021</t>
  </si>
  <si>
    <t>si:dkey-272j9.1</t>
  </si>
  <si>
    <t>si:dkey-272j9.1 [Source:ZFIN;Acc:ZDB-GENE-070912-492]</t>
  </si>
  <si>
    <t>ENSDARG00000044420</t>
  </si>
  <si>
    <t>dnajc19</t>
  </si>
  <si>
    <t>DnaJ (Hsp40) homolog, subfamily C, member 19 [Source:ZFIN;Acc:ZDB-GENE-040426-1730]</t>
  </si>
  <si>
    <t>ENSDARG00000018618</t>
  </si>
  <si>
    <t>cpsf6</t>
  </si>
  <si>
    <t>cleavage and polyadenylation specific factor 6 [Source:ZFIN;Acc:ZDB-GENE-030131-5277]</t>
  </si>
  <si>
    <t>ENSDARG00000044136</t>
  </si>
  <si>
    <t>rab3gap2</t>
  </si>
  <si>
    <t>RAB3 GTPase activating protein subunit 2 (non-catalytic) [Source:ZFIN;Acc:ZDB-GENE-030616-610]</t>
  </si>
  <si>
    <t>ENSDARG00000045142</t>
  </si>
  <si>
    <t>hbz</t>
  </si>
  <si>
    <t>hemoglobin zeta [Source:ZFIN;Acc:ZDB-GENE-101028-1]</t>
  </si>
  <si>
    <t>ENSDARG00000014685</t>
  </si>
  <si>
    <t>esco2</t>
  </si>
  <si>
    <t>establishment of sister chromatid cohesion N-acetyltransferase 2 [Source:ZFIN;Acc:ZDB-GENE-050913-156]</t>
  </si>
  <si>
    <t>ENSDARG00000045143</t>
  </si>
  <si>
    <t>hbbe2</t>
  </si>
  <si>
    <t>hemoglobin beta embryonic-2 [Source:ZFIN;Acc:ZDB-GENE-040702-1]</t>
  </si>
  <si>
    <t>ENSDARG00000089724</t>
  </si>
  <si>
    <t>cyldb</t>
  </si>
  <si>
    <t>cylindromatosis (turban tumor syndrome), b [Source:ZFIN;Acc:ZDB-GENE-100208-1]</t>
  </si>
  <si>
    <t>ENSDARG00000075347</t>
  </si>
  <si>
    <t>chfr</t>
  </si>
  <si>
    <t>checkpoint with forkhead and ring finger domains, E3 ubiquitin protein ligase [Source:ZFIN;Acc:ZDB-GENE-030131-3522]</t>
  </si>
  <si>
    <t>ENSDARG00000104030</t>
  </si>
  <si>
    <t>taf12</t>
  </si>
  <si>
    <t>TAF12 RNA polymerase II, TATA box binding protein (TBP)-associated factor [Source:ZFIN;Acc:ZDB-GENE-031030-5]</t>
  </si>
  <si>
    <t>ENSDARG00000044134</t>
  </si>
  <si>
    <t>iars2</t>
  </si>
  <si>
    <t>isoleucyl-tRNA synthetase 2, mitochondrial [Source:ZFIN;Acc:ZDB-GENE-030616-608]</t>
  </si>
  <si>
    <t>ENSDARG00000023900</t>
  </si>
  <si>
    <t>casd1</t>
  </si>
  <si>
    <t>CAS1 domain containing 1 [Source:ZFIN;Acc:ZDB-GENE-060503-329]</t>
  </si>
  <si>
    <t>ENSDARG00000054302</t>
  </si>
  <si>
    <t>ehd4</t>
  </si>
  <si>
    <t>EH-domain containing 4 [Source:ZFIN;Acc:ZDB-GENE-060810-22]</t>
  </si>
  <si>
    <t>ENSDARG00000099395</t>
  </si>
  <si>
    <t>cables1</t>
  </si>
  <si>
    <t>Cdk5 and Abl enzyme substrate 1 [Source:ZFIN;Acc:ZDB-GENE-070912-509]</t>
  </si>
  <si>
    <t>ENSDARG00000006899</t>
  </si>
  <si>
    <t>far1</t>
  </si>
  <si>
    <t>fatty acyl CoA reductase 1 [Source:ZFIN;Acc:ZDB-GENE-040426-2908]</t>
  </si>
  <si>
    <t>ENSDARG00000020596</t>
  </si>
  <si>
    <t>fam73a</t>
  </si>
  <si>
    <t>family with sequence similarity 73, member A [Source:ZFIN;Acc:ZDB-GENE-041010-193]</t>
  </si>
  <si>
    <t>ENSDARG00000078140</t>
  </si>
  <si>
    <t>si:dkey-18j18.3</t>
  </si>
  <si>
    <t>si:dkey-18j18.3 [Source:ZFIN;Acc:ZDB-GENE-090313-214]</t>
  </si>
  <si>
    <t>ENSDARG00000029248</t>
  </si>
  <si>
    <t>fubp1</t>
  </si>
  <si>
    <t>far upstream element (FUSE) binding protein 1 [Source:ZFIN;Acc:ZDB-GENE-040426-2159]</t>
  </si>
  <si>
    <t>ENSDARG00000058231</t>
  </si>
  <si>
    <t>nt5c2b</t>
  </si>
  <si>
    <t>5'-nucleotidase, cytosolic IIb [Source:ZFIN;Acc:ZDB-GENE-061013-522]</t>
  </si>
  <si>
    <t>ENSDARG00000062338</t>
  </si>
  <si>
    <t>zeb2a</t>
  </si>
  <si>
    <t>zinc finger E-box binding homeobox 2a [Source:ZFIN;Acc:ZDB-GENE-070912-553]</t>
  </si>
  <si>
    <t>ENSDARG00000044404</t>
  </si>
  <si>
    <t>pars2</t>
  </si>
  <si>
    <t>prolyl-tRNA synthetase 2, mitochondrial (putative) [Source:ZFIN;Acc:ZDB-GENE-030131-4219]</t>
  </si>
  <si>
    <t>ENSDARG00000003207</t>
  </si>
  <si>
    <t>mterf3</t>
  </si>
  <si>
    <t>mitochondrial transcription termination factor 3 [Source:ZFIN;Acc:ZDB-GENE-040718-359]</t>
  </si>
  <si>
    <t>ENSDARG00000056090</t>
  </si>
  <si>
    <t>capza1b</t>
  </si>
  <si>
    <t>capping protein (actin filament) muscle Z-line, alpha 1b [Source:ZFIN;Acc:ZDB-GENE-031002-24]</t>
  </si>
  <si>
    <t>ENSDARG00000077326</t>
  </si>
  <si>
    <t>slc45a4</t>
  </si>
  <si>
    <t>solute carrier family 45, member 4 [Source:ZFIN;Acc:ZDB-GENE-091230-5]</t>
  </si>
  <si>
    <t>ENSDARG00000010137</t>
  </si>
  <si>
    <t>ldb1a</t>
  </si>
  <si>
    <t>LIM domain binding 1a [Source:ZFIN;Acc:ZDB-GENE-990415-138]</t>
  </si>
  <si>
    <t>ENSDARG00000011146</t>
  </si>
  <si>
    <t>uqcrb</t>
  </si>
  <si>
    <t>ubiquinol-cytochrome c reductase binding protein [Source:ZFIN;Acc:ZDB-GENE-050522-542]</t>
  </si>
  <si>
    <t>ENSDARG00000056091</t>
  </si>
  <si>
    <t>cttnbp2nlb</t>
  </si>
  <si>
    <t>CTTNBP2 N-terminal like b [Source:ZFIN;Acc:ZDB-GENE-040724-65]</t>
  </si>
  <si>
    <t>ENSDARG00000021442</t>
  </si>
  <si>
    <t>cdh11</t>
  </si>
  <si>
    <t>cadherin 11, type 2, OB-cadherin (osteoblast) [Source:ZFIN;Acc:ZDB-GENE-980526-170]</t>
  </si>
  <si>
    <t>ENSDARG00000019300</t>
  </si>
  <si>
    <t>ints7</t>
  </si>
  <si>
    <t>integrator complex subunit 7 [Source:ZFIN;Acc:ZDB-GENE-021220-6]</t>
  </si>
  <si>
    <t>ENSDARG00000039400</t>
  </si>
  <si>
    <t>polr1c</t>
  </si>
  <si>
    <t>polymerase (RNA) I polypeptide C [Source:ZFIN;Acc:ZDB-GENE-040426-1495]</t>
  </si>
  <si>
    <t>ENSDARG00000022968</t>
  </si>
  <si>
    <t>fxr1</t>
  </si>
  <si>
    <t>fragile X mental retardation, autosomal homolog 1 [Source:ZFIN;Acc:ZDB-GENE-030131-5431]</t>
  </si>
  <si>
    <t>ENSDARG00000069681</t>
  </si>
  <si>
    <t>pcgf6</t>
  </si>
  <si>
    <t>polycomb group ring finger 6 [Source:ZFIN;Acc:ZDB-GENE-060526-178]</t>
  </si>
  <si>
    <t>ENSDARG00000063258</t>
  </si>
  <si>
    <t>rfx5</t>
  </si>
  <si>
    <t>regulatory factor X, 5 [Source:ZFIN;Acc:ZDB-GENE-070717-3]</t>
  </si>
  <si>
    <t>ENSDARG00000088140</t>
  </si>
  <si>
    <t>hsd17b7</t>
  </si>
  <si>
    <t>hydroxysteroid (17-beta) dehydrogenase 7 [Source:ZFIN;Acc:ZDB-GENE-061013-378]</t>
  </si>
  <si>
    <t>ENSDARG00000054914</t>
  </si>
  <si>
    <t>dgat1b</t>
  </si>
  <si>
    <t>diacylglycerol O-acyltransferase 1b [Source:ZFIN;Acc:ZDB-GENE-040718-158]</t>
  </si>
  <si>
    <t>ENSDARG00000075824</t>
  </si>
  <si>
    <t>si:ch211-79l20.4</t>
  </si>
  <si>
    <t>si:ch211-79l20.4 [Source:ZFIN;Acc:ZDB-GENE-100922-238]</t>
  </si>
  <si>
    <t>ENSDARG00000074242</t>
  </si>
  <si>
    <t>serbp1a</t>
  </si>
  <si>
    <t>SERPINE1 mRNA binding protein 1a [Source:ZFIN;Acc:ZDB-GENE-030131-7389]</t>
  </si>
  <si>
    <t>ENSDARG00000098540</t>
  </si>
  <si>
    <t>ZC3H7B</t>
  </si>
  <si>
    <t>zgc:162198 [Source:ZFIN;Acc:ZDB-GENE-030131-4512]</t>
  </si>
  <si>
    <t>ENSDARG00000092807</t>
  </si>
  <si>
    <t>si:dkey-151g10.6</t>
  </si>
  <si>
    <t>si:dkey-151g10.6 [Source:ZFIN;Acc:ZDB-GENE-030131-7528]</t>
  </si>
  <si>
    <t>ENSDARG00000012138</t>
  </si>
  <si>
    <t>sgce</t>
  </si>
  <si>
    <t>sarcoglycan, epsilon [Source:ZFIN;Acc:ZDB-GENE-030724-1]</t>
  </si>
  <si>
    <t>ENSDARG00000039266</t>
  </si>
  <si>
    <t>rbm25a</t>
  </si>
  <si>
    <t>RNA binding motif protein 25a [Source:ZFIN;Acc:ZDB-GENE-090312-142]</t>
  </si>
  <si>
    <t>ENSDARG00000069208</t>
  </si>
  <si>
    <t>stx7l</t>
  </si>
  <si>
    <t>syntaxin 7-like [Source:ZFIN;Acc:ZDB-GENE-041014-35]</t>
  </si>
  <si>
    <t>ENSDARG00000044400</t>
  </si>
  <si>
    <t>wdr78</t>
  </si>
  <si>
    <t>WD repeat domain 78 [Source:ZFIN;Acc:ZDB-GENE-050522-322]</t>
  </si>
  <si>
    <t>ENSDARG00000011582</t>
  </si>
  <si>
    <t>sox5</t>
  </si>
  <si>
    <t>SRY (sex determining region Y)-box 5 [Source:ZFIN;Acc:ZDB-GENE-000607-13]</t>
  </si>
  <si>
    <t>ENSDARG00000090982</t>
  </si>
  <si>
    <t>slc44a1b</t>
  </si>
  <si>
    <t>solute carrier family 44 (choline transporter), member 1b [Source:ZFIN;Acc:ZDB-GENE-050309-63]</t>
  </si>
  <si>
    <t>ENSDARG00000007108</t>
  </si>
  <si>
    <t>lipia</t>
  </si>
  <si>
    <t>lipase, member Ia [Source:ZFIN;Acc:ZDB-GENE-040801-242]</t>
  </si>
  <si>
    <t>ENSDARG00000007221</t>
  </si>
  <si>
    <t>pbk</t>
  </si>
  <si>
    <t>PDZ binding kinase [Source:ZFIN;Acc:ZDB-GENE-030523-2]</t>
  </si>
  <si>
    <t>ENSDARG00000076247</t>
  </si>
  <si>
    <t>dlk2</t>
  </si>
  <si>
    <t>delta-like 2 homolog (Drosophila) [Source:ZFIN;Acc:ZDB-GENE-081107-4]</t>
  </si>
  <si>
    <t>ENSDARG00000070683</t>
  </si>
  <si>
    <t>dkk3b</t>
  </si>
  <si>
    <t>dickkopf WNT signaling pathway inhibitor 3b [Source:ZFIN;Acc:ZDB-GENE-061207-74]</t>
  </si>
  <si>
    <t>ENSDARG00000090708</t>
  </si>
  <si>
    <t>si:dkey-28g23.6</t>
  </si>
  <si>
    <t>si:dkey-28g23.6 [Source:ZFIN;Acc:ZDB-GENE-131119-80]</t>
  </si>
  <si>
    <t>ENSDARG00000006124</t>
  </si>
  <si>
    <t>kdm5c</t>
  </si>
  <si>
    <t>lysine (K)-specific demethylase 5C [Source:ZFIN;Acc:ZDB-GENE-060810-94]</t>
  </si>
  <si>
    <t>ENSDARG00000036460</t>
  </si>
  <si>
    <t>tmtops3a</t>
  </si>
  <si>
    <t>teleost multiple tissue opsin 3a [Source:ZFIN;Acc:ZDB-GENE-130828-1]</t>
  </si>
  <si>
    <t>ENSDARG00000028173</t>
  </si>
  <si>
    <t>slc4a2a</t>
  </si>
  <si>
    <t>solute carrier family 4 (anion exchanger), member 2a [Source:ZFIN;Acc:ZDB-GENE-051101-2]</t>
  </si>
  <si>
    <t>ENSDARG00000099677</t>
  </si>
  <si>
    <t>bambib</t>
  </si>
  <si>
    <t>BMP and activin membrane-bound inhibitor homolog (Xenopus laevis) b [Source:ZFIN;Acc:ZDB-GENE-040704-30]</t>
  </si>
  <si>
    <t>ENSDARG00000102493</t>
  </si>
  <si>
    <t>ticam1</t>
  </si>
  <si>
    <t>toll-like receptor adaptor molecule 1 [Source:ZFIN;Acc:ZDB-GENE-040219-2]</t>
  </si>
  <si>
    <t>ENSDARG00000023600</t>
  </si>
  <si>
    <t>sh3gl2</t>
  </si>
  <si>
    <t>SH3-domain GRB2-like 2 [Source:ZFIN;Acc:ZDB-GENE-040121-3]</t>
  </si>
  <si>
    <t>ENSDARG00000056101</t>
  </si>
  <si>
    <t>kcnd3</t>
  </si>
  <si>
    <t>potassium voltage-gated channel, Shal-related subfamily, member 3 [Source:ZFIN;Acc:ZDB-GENE-030131-5626]</t>
  </si>
  <si>
    <t>ENSDARG00000035859</t>
  </si>
  <si>
    <t>angptl4</t>
  </si>
  <si>
    <t>angiopoietin-like 4 [Source:ZFIN;Acc:ZDB-GENE-041111-222]</t>
  </si>
  <si>
    <t>ENSDARG00000019222</t>
  </si>
  <si>
    <t>mrpl24</t>
  </si>
  <si>
    <t>mitochondrial ribosomal protein L24 [Source:ZFIN;Acc:ZDB-GENE-040718-98]</t>
  </si>
  <si>
    <t>ENSDARG00000035655</t>
  </si>
  <si>
    <t>rad21b</t>
  </si>
  <si>
    <t>RAD21 cohesin complex component b [Source:ZFIN;Acc:ZDB-GENE-060503-223]</t>
  </si>
  <si>
    <t>ENSDARG00000041304</t>
  </si>
  <si>
    <t>trak1</t>
  </si>
  <si>
    <t>trafficking protein, kinesin binding 1 [Source:ZFIN;Acc:ZDB-GENE-100922-182]</t>
  </si>
  <si>
    <t>ENSDARG00000045482</t>
  </si>
  <si>
    <t>stk38l</t>
  </si>
  <si>
    <t>serine/threonine kinase 38 like [Source:ZFIN;Acc:ZDB-GENE-040426-798]</t>
  </si>
  <si>
    <t>ENSDARG00000078226</t>
  </si>
  <si>
    <t>cdh12a</t>
  </si>
  <si>
    <t>cadherin 12, type 2a (N-cadherin 2) [Source:ZFIN;Acc:ZDB-GENE-070912-673]</t>
  </si>
  <si>
    <t>ENSDARG00000075730</t>
  </si>
  <si>
    <t>dnph1</t>
  </si>
  <si>
    <t>2'-deoxynucleoside 5'-phosphate N-hydrolase 1 [Source:ZFIN;Acc:ZDB-GENE-081107-5]</t>
  </si>
  <si>
    <t>ENSDARG00000093405</t>
  </si>
  <si>
    <t>casp6</t>
  </si>
  <si>
    <t>caspase 6, apoptosis-related cysteine peptidase [Source:ZFIN;Acc:ZDB-GENE-030825-4]</t>
  </si>
  <si>
    <t>ENSDARG00000070545</t>
  </si>
  <si>
    <t>top1l</t>
  </si>
  <si>
    <t>topoisomerase (DNA) I, like [Source:ZFIN;Acc:ZDB-GENE-060616-217]</t>
  </si>
  <si>
    <t>ENSDARG00000070966</t>
  </si>
  <si>
    <t>insl5a</t>
  </si>
  <si>
    <t>insulin-like 5a [Source:ZFIN;Acc:ZDB-GENE-050310-4]</t>
  </si>
  <si>
    <t>ENSDARG00000025608</t>
  </si>
  <si>
    <t>casp6l1</t>
  </si>
  <si>
    <t>caspase 6, apoptosis-related cysteine peptidase, like 1 [Source:ZFIN;Acc:ZDB-GENE-041010-48]</t>
  </si>
  <si>
    <t>ENSDARG00000016815</t>
  </si>
  <si>
    <t>casc1</t>
  </si>
  <si>
    <t>cancer susceptibility candidate 1 [Source:ZFIN;Acc:ZDB-GENE-041210-153]</t>
  </si>
  <si>
    <t>ENSDARG00000079869</t>
  </si>
  <si>
    <t>si:ch211-218o21.4</t>
  </si>
  <si>
    <t>si:ch211-218o21.4 [Source:ZFIN;Acc:ZDB-GENE-081104-178]</t>
  </si>
  <si>
    <t>ENSDARG00000006683</t>
  </si>
  <si>
    <t>arhgef6</t>
  </si>
  <si>
    <t>Rac/Cdc42 guanine nucleotide exchange factor (GEF) 6 [Source:ZFIN;Acc:ZDB-GENE-101013-2]</t>
  </si>
  <si>
    <t>ENSDARG00000061439</t>
  </si>
  <si>
    <t>ugt5c3</t>
  </si>
  <si>
    <t>UDP glucuronosyltransferase 5 family, polypeptide C3 [Source:ZFIN;Acc:ZDB-GENE-050419-23]</t>
  </si>
  <si>
    <t>ENSDARG00000102750</t>
  </si>
  <si>
    <t>cdh1</t>
  </si>
  <si>
    <t>cadherin 1, type 1, E-cadherin (epithelial) [Source:ZFIN;Acc:ZDB-GENE-010606-1]</t>
  </si>
  <si>
    <t>ENSDARG00000031506</t>
  </si>
  <si>
    <t>flvcr2b</t>
  </si>
  <si>
    <t>feline leukemia virus subgroup C cellular receptor family, member 2b [Source:ZFIN;Acc:ZDB-GENE-041210-312]</t>
  </si>
  <si>
    <t>ENSDARG00000054570</t>
  </si>
  <si>
    <t>smg1</t>
  </si>
  <si>
    <t>SMG1 phosphatidylinositol 3-kinase-related kinase [Source:ZFIN;Acc:ZDB-GENE-061013-767]</t>
  </si>
  <si>
    <t>ENSDARG00000017320</t>
  </si>
  <si>
    <t>f11r.1</t>
  </si>
  <si>
    <t>F11 receptor, tandem duplicate 1 [Source:ZFIN;Acc:ZDB-GENE-030131-2416]</t>
  </si>
  <si>
    <t>ENSDARG00000020642</t>
  </si>
  <si>
    <t>gtdc1</t>
  </si>
  <si>
    <t>glycosyltransferase-like domain containing 1 [Source:ZFIN;Acc:ZDB-GENE-050417-8]</t>
  </si>
  <si>
    <t>ENSDARG00000079934</t>
  </si>
  <si>
    <t>zgc:162200</t>
  </si>
  <si>
    <t>zgc:162200 [Source:ZFIN;Acc:ZDB-GENE-030131-2989]</t>
  </si>
  <si>
    <t>ENSDARG00000052565</t>
  </si>
  <si>
    <t>cenpi</t>
  </si>
  <si>
    <t>centromere protein I [Source:ZFIN;Acc:ZDB-GENE-060810-127]</t>
  </si>
  <si>
    <t>ENSDARG00000023002</t>
  </si>
  <si>
    <t>dtl</t>
  </si>
  <si>
    <t>denticleless E3 ubiquitin protein ligase homolog (Drosophila) [Source:ZFIN;Acc:ZDB-GENE-020419-34]</t>
  </si>
  <si>
    <t>ENSDARG00000055158</t>
  </si>
  <si>
    <t>prox1a</t>
  </si>
  <si>
    <t>prospero homeobox 1a [Source:ZFIN;Acc:ZDB-GENE-980526-397]</t>
  </si>
  <si>
    <t>ENSDARG00000004034</t>
  </si>
  <si>
    <t>arhgdig</t>
  </si>
  <si>
    <t>Rho GDP dissociation inhibitor (GDI) gamma [Source:ZFIN;Acc:ZDB-GENE-040426-1493]</t>
  </si>
  <si>
    <t>ENSDARG00000045776</t>
  </si>
  <si>
    <t>cnbpa</t>
  </si>
  <si>
    <t>CCHC-type zinc finger, nucleic acid binding protein a [Source:ZFIN;Acc:ZDB-GENE-030131-5045]</t>
  </si>
  <si>
    <t>ENSDARG00000039123</t>
  </si>
  <si>
    <t>trim9</t>
  </si>
  <si>
    <t>tripartite motif containing 9 [Source:ZFIN;Acc:ZDB-GENE-030131-8043]</t>
  </si>
  <si>
    <t>ENSDARG00000073918</t>
  </si>
  <si>
    <t>rnf41l</t>
  </si>
  <si>
    <t>ring finger protein 41, like [Source:ZFIN;Acc:ZDB-GENE-030131-9441]</t>
  </si>
  <si>
    <t>ENSDARG00000041414</t>
  </si>
  <si>
    <t>bmf2</t>
  </si>
  <si>
    <t>Bcl2 modifying factor 2 [Source:ZFIN;Acc:ZDB-GENE-041210-319]</t>
  </si>
  <si>
    <t>ENSDARG00000039269</t>
  </si>
  <si>
    <t>arg2</t>
  </si>
  <si>
    <t>arginase 2 [Source:ZFIN;Acc:ZDB-GENE-030131-1334]</t>
  </si>
  <si>
    <t>ENSDARG00000063252</t>
  </si>
  <si>
    <t>prcc</t>
  </si>
  <si>
    <t>papillary renal cell carcinoma (translocation-associated) [Source:ZFIN;Acc:ZDB-GENE-070717-1]</t>
  </si>
  <si>
    <t>ENSDARG00000035858</t>
  </si>
  <si>
    <t>cnn2</t>
  </si>
  <si>
    <t>calponin 2 [Source:ZFIN;Acc:ZDB-GENE-030131-542]</t>
  </si>
  <si>
    <t>ENSDARG00000075215</t>
  </si>
  <si>
    <t>vetz</t>
  </si>
  <si>
    <t>vezatin, adherens junctions transmembrane protein [Source:ZFIN;Acc:ZDB-GENE-070705-251]</t>
  </si>
  <si>
    <t>ENSDARG00000022000</t>
  </si>
  <si>
    <t>traf3</t>
  </si>
  <si>
    <t>TNF receptor-associated factor 3 [Source:ZFIN;Acc:ZDB-GENE-040801-257]</t>
  </si>
  <si>
    <t>ENSDARG00000007220</t>
  </si>
  <si>
    <t>ncam1b</t>
  </si>
  <si>
    <t>neural cell adhesion molecule 1b [Source:ZFIN;Acc:ZDB-GENE-010822-2]</t>
  </si>
  <si>
    <t>ENSDARG00000004372</t>
  </si>
  <si>
    <t>fmnl3</t>
  </si>
  <si>
    <t>formin-like 3 [Source:ZFIN;Acc:ZDB-GENE-030131-1571]</t>
  </si>
  <si>
    <t>ENSDARG00000104082</t>
  </si>
  <si>
    <t>trps1</t>
  </si>
  <si>
    <t>trichorhinophalangeal syndrome I [Source:ZFIN;Acc:ZDB-GENE-030131-8404]</t>
  </si>
  <si>
    <t>ENSDARG00000016318</t>
  </si>
  <si>
    <t>med7</t>
  </si>
  <si>
    <t>mediator complex subunit 7 [Source:ZFIN;Acc:ZDB-GENE-030131-4823]</t>
  </si>
  <si>
    <t>ENSDARG00000074435</t>
  </si>
  <si>
    <t>ttc19</t>
  </si>
  <si>
    <t>tetratricopeptide repeat domain 19 [Source:ZFIN;Acc:ZDB-GENE-070912-490]</t>
  </si>
  <si>
    <t>ENSDARG00000104409</t>
  </si>
  <si>
    <t>tnk2b</t>
  </si>
  <si>
    <t>tyrosine kinase, non-receptor, 2b [Source:ZFIN;Acc:ZDB-GENE-110411-165]</t>
  </si>
  <si>
    <t>ENSDARG00000052567</t>
  </si>
  <si>
    <t>tmem35</t>
  </si>
  <si>
    <t>transmembrane protein 35 [Source:ZFIN;Acc:ZDB-GENE-030815-1]</t>
  </si>
  <si>
    <t>ENSDARG00000092134</t>
  </si>
  <si>
    <t>rad54b</t>
  </si>
  <si>
    <t>RAD54 homolog B (S. cerevisiae) [Source:ZFIN;Acc:ZDB-GENE-060810-50]</t>
  </si>
  <si>
    <t>ENSDARG00000105364</t>
  </si>
  <si>
    <t>si:ch73-223f5.1</t>
  </si>
  <si>
    <t>si:ch73-223f5.1 [Source:ZFIN;Acc:ZDB-GENE-160113-94]</t>
  </si>
  <si>
    <t>ENSDARG00000075048</t>
  </si>
  <si>
    <t>lonrf1</t>
  </si>
  <si>
    <t>LON peptidase N-terminal domain and ring finger 1 [Source:ZFIN;Acc:ZDB-GENE-101021-4]</t>
  </si>
  <si>
    <t>ENSDARG00000000837</t>
  </si>
  <si>
    <t>snx9a</t>
  </si>
  <si>
    <t>sorting nexin 9a [Source:ZFIN;Acc:ZDB-GENE-030616-66]</t>
  </si>
  <si>
    <t>ENSDARG00000018002</t>
  </si>
  <si>
    <t>eci1</t>
  </si>
  <si>
    <t>enoyl-CoA delta isomerase 1 [Source:ZFIN;Acc:ZDB-GENE-030131-6033]</t>
  </si>
  <si>
    <t>ENSDARG00000097897</t>
  </si>
  <si>
    <t>sgip1a</t>
  </si>
  <si>
    <t>SH3-domain GRB2-like (endophilin) interacting protein 1a [Source:ZFIN;Acc:ZDB-GENE-131121-25]</t>
  </si>
  <si>
    <t>ENSDARG00000002332</t>
  </si>
  <si>
    <t>frmd6</t>
  </si>
  <si>
    <t>FERM domain containing 6 [Source:ZFIN;Acc:ZDB-GENE-050522-354]</t>
  </si>
  <si>
    <t>ENSDARG00000014428</t>
  </si>
  <si>
    <t>ppp2r5d</t>
  </si>
  <si>
    <t>protein phosphatase 2, regulatory subunit B', delta [Source:ZFIN;Acc:ZDB-GENE-040426-2568]</t>
  </si>
  <si>
    <t>ENSDARG00000045483</t>
  </si>
  <si>
    <t>lrtm2a</t>
  </si>
  <si>
    <t>leucine-rich repeats and transmembrane domains 2a [Source:ZFIN;Acc:ZDB-GENE-041210-218]</t>
  </si>
  <si>
    <t>ENSDARG00000041407</t>
  </si>
  <si>
    <t>rmdn3</t>
  </si>
  <si>
    <t>regulator of microtubule dynamics 3 [Source:ZFIN;Acc:ZDB-GENE-041014-256]</t>
  </si>
  <si>
    <t>ENSDARG00000033345</t>
  </si>
  <si>
    <t>cntln</t>
  </si>
  <si>
    <t>centlein, centrosomal protein [Source:ZFIN;Acc:ZDB-GENE-090313-409]</t>
  </si>
  <si>
    <t>ENSDARG00000039820</t>
  </si>
  <si>
    <t>mea1</t>
  </si>
  <si>
    <t>male-enhanced antigen 1 [Source:ZFIN;Acc:ZDB-GENE-070424-117]</t>
  </si>
  <si>
    <t>ENSDARG00000055722</t>
  </si>
  <si>
    <t>bco2a</t>
  </si>
  <si>
    <t>beta-carotene oxygenase 2a [Source:ZFIN;Acc:ZDB-GENE-030131-8039]</t>
  </si>
  <si>
    <t>ENSDARG00000041402</t>
  </si>
  <si>
    <t>zc3h14</t>
  </si>
  <si>
    <t>zinc finger CCCH-type containing 14 [Source:ZFIN;Acc:ZDB-GENE-041014-257]</t>
  </si>
  <si>
    <t>ENSDARG00000063213</t>
  </si>
  <si>
    <t>mtif2</t>
  </si>
  <si>
    <t>mitochondrial translational initiation factor 2 [Source:ZFIN;Acc:ZDB-GENE-030131-1092]</t>
  </si>
  <si>
    <t>ENSDARG00000097431</t>
  </si>
  <si>
    <t>si:dkey-242n9.2</t>
  </si>
  <si>
    <t>si:dkey-242n9.2 [Source:ZFIN;Acc:ZDB-GENE-131125-20]</t>
  </si>
  <si>
    <t>ENSDARG00000041411</t>
  </si>
  <si>
    <t>rad51</t>
  </si>
  <si>
    <t>RAD51 recombinase [Source:ZFIN;Acc:ZDB-GENE-040426-2286]</t>
  </si>
  <si>
    <t>ENSDARG00000044153</t>
  </si>
  <si>
    <t>ppp1cb</t>
  </si>
  <si>
    <t>protein phosphatase 1, catalytic subunit, beta isozyme [Source:ZFIN;Acc:ZDB-GENE-030616-609]</t>
  </si>
  <si>
    <t>ENSDARG00000044011</t>
  </si>
  <si>
    <t>xkrx</t>
  </si>
  <si>
    <t>XK, Kell blood group complex subunit-related, X-linked [Source:ZFIN;Acc:ZDB-GENE-041114-108]</t>
  </si>
  <si>
    <t>ENSDARG00000105102</t>
  </si>
  <si>
    <t>crsp7</t>
  </si>
  <si>
    <t>cofactor required for Sp1 transcriptional activation, subunit 7 [Source:ZFIN;Acc:ZDB-GENE-040426-2005]</t>
  </si>
  <si>
    <t>ENSDARG00000007149</t>
  </si>
  <si>
    <t>nadl1.2</t>
  </si>
  <si>
    <t>neural adhesion molecule L1.2 [Source:ZFIN;Acc:ZDB-GENE-990415-10]</t>
  </si>
  <si>
    <t>ENSDARG00000041397</t>
  </si>
  <si>
    <t>eif2b2</t>
  </si>
  <si>
    <t>eukaryotic translation initiation factor 2B, subunit 2 beta [Source:ZFIN;Acc:ZDB-GENE-040426-2605]</t>
  </si>
  <si>
    <t>ENSDARG00000039270</t>
  </si>
  <si>
    <t>vti1b</t>
  </si>
  <si>
    <t>vesicle transport through interaction with t-SNAREs 1B [Source:ZFIN;Acc:ZDB-GENE-040426-1148]</t>
  </si>
  <si>
    <t>ENSDARG00000036116</t>
  </si>
  <si>
    <t>eif3hb</t>
  </si>
  <si>
    <t>eukaryotic translation initiation factor 3, subunit H, b [Source:ZFIN;Acc:ZDB-GENE-051030-42]</t>
  </si>
  <si>
    <t>ENSDARG00000035325</t>
  </si>
  <si>
    <t>srsf7a</t>
  </si>
  <si>
    <t>serine/arginine-rich splicing factor 7a [Source:ZFIN;Acc:ZDB-GENE-040426-1798]</t>
  </si>
  <si>
    <t>ENSDARG00000079664</t>
  </si>
  <si>
    <t>DDO</t>
  </si>
  <si>
    <t>zgc:172341 [Source:ZFIN;Acc:ZDB-GENE-080204-116]</t>
  </si>
  <si>
    <t>ENSDARG00000016573</t>
  </si>
  <si>
    <t>mroh1</t>
  </si>
  <si>
    <t>maestro heat-like repeat family member 1 [Source:ZFIN;Acc:ZDB-GENE-090806-2]</t>
  </si>
  <si>
    <t>ENSDARG00000041853</t>
  </si>
  <si>
    <t>rbm39b</t>
  </si>
  <si>
    <t>RNA binding motif protein 39b [Source:ZFIN;Acc:ZDB-GENE-050327-97]</t>
  </si>
  <si>
    <t>ENSDARG00000041317</t>
  </si>
  <si>
    <t>rangap1a</t>
  </si>
  <si>
    <t>RAN GTPase activating protein 1a [Source:ZFIN;Acc:ZDB-GENE-060929-492]</t>
  </si>
  <si>
    <t>ENSDARG00000011166</t>
  </si>
  <si>
    <t>cahz</t>
  </si>
  <si>
    <t>carbonic anhydrase [Source:ZFIN;Acc:ZDB-GENE-980526-39]</t>
  </si>
  <si>
    <t>ENSDARG00000105012</t>
  </si>
  <si>
    <t>utp23</t>
  </si>
  <si>
    <t>UTP23, small subunit (SSU) processome component, homolog (yeast) [Source:ZFIN;Acc:ZDB-GENE-050417-353]</t>
  </si>
  <si>
    <t>ENSDARG00000104929</t>
  </si>
  <si>
    <t>si:ch211-153f2.7</t>
  </si>
  <si>
    <t>si:ch211-153f2.7 [Source:ZFIN;Acc:ZDB-GENE-141216-200]</t>
  </si>
  <si>
    <t>ENSDARG00000098980</t>
  </si>
  <si>
    <t>si:ch211-153f2.3</t>
  </si>
  <si>
    <t>si:ch211-153f2.3 [Source:ZFIN;Acc:ZDB-GENE-081104-135]</t>
  </si>
  <si>
    <t>ENSDARG00000031434</t>
  </si>
  <si>
    <t>rcor1</t>
  </si>
  <si>
    <t>REST corepressor 1 [Source:ZFIN;Acc:ZDB-GENE-050506-79]</t>
  </si>
  <si>
    <t>ENSDARG00000088428</t>
  </si>
  <si>
    <t>si:ch211-189a15.5</t>
  </si>
  <si>
    <t>si:ch211-189a15.5 [Source:ZFIN;Acc:ZDB-GENE-141215-48]</t>
  </si>
  <si>
    <t>ENSDARG00000045874</t>
  </si>
  <si>
    <t>yeats4</t>
  </si>
  <si>
    <t>YEATS domain containing 4 [Source:ZFIN;Acc:ZDB-GENE-040718-252]</t>
  </si>
  <si>
    <t>ENSDARG00000098916</t>
  </si>
  <si>
    <t>krit1</t>
  </si>
  <si>
    <t>KRIT1, ankyrin repeat containing [Source:ZFIN;Acc:ZDB-GENE-030131-555]</t>
  </si>
  <si>
    <t>ENSDARG00000045873</t>
  </si>
  <si>
    <t>frs2a</t>
  </si>
  <si>
    <t>fibroblast growth factor receptor substrate 2a [Source:ZFIN;Acc:ZDB-GENE-060503-462]</t>
  </si>
  <si>
    <t>ENSDARG00000012896</t>
  </si>
  <si>
    <t>anos1a</t>
  </si>
  <si>
    <t>anosmin 1a [Source:ZFIN;Acc:ZDB-GENE-000201-9]</t>
  </si>
  <si>
    <t>ENSDARG00000040131</t>
  </si>
  <si>
    <t>zfyve26</t>
  </si>
  <si>
    <t>zinc finger, FYVE domain containing 26 [Source:ZFIN;Acc:ZDB-GENE-030131-3286]</t>
  </si>
  <si>
    <t>ENSDARG00000038784</t>
  </si>
  <si>
    <t>faim2a</t>
  </si>
  <si>
    <t>Fas apoptotic inhibitory molecule 2a [Source:ZFIN;Acc:ZDB-GENE-050320-88]</t>
  </si>
  <si>
    <t>ENSDARG00000018069</t>
  </si>
  <si>
    <t>rdh12</t>
  </si>
  <si>
    <t>retinol dehydrogenase 12 (all-trans/9-cis/11-cis) [Source:ZFIN;Acc:ZDB-GENE-040718-9]</t>
  </si>
  <si>
    <t>ENSDARG00000055739</t>
  </si>
  <si>
    <t>ribc1</t>
  </si>
  <si>
    <t>RIB43A domain with coiled-coils 1 [Source:ZFIN;Acc:ZDB-GENE-081031-7]</t>
  </si>
  <si>
    <t>ENSDARG00000099972</t>
  </si>
  <si>
    <t>nup153</t>
  </si>
  <si>
    <t>nucleoporin 153 [Source:ZFIN;Acc:ZDB-GENE-030131-4581]</t>
  </si>
  <si>
    <t>ENSDARG00000087574</t>
  </si>
  <si>
    <t>nox1</t>
  </si>
  <si>
    <t>NADPH oxidase 1 [Source:ZFIN;Acc:ZDB-GENE-070404-1]</t>
  </si>
  <si>
    <t>ENSDARG00000079009</t>
  </si>
  <si>
    <t>abca1b</t>
  </si>
  <si>
    <t>ATP-binding cassette, sub-family A (ABC1), member 1B [Source:ZFIN;Acc:ZDB-GENE-030131-9826]</t>
  </si>
  <si>
    <t>ENSDARG00000028804</t>
  </si>
  <si>
    <t>ankrd9</t>
  </si>
  <si>
    <t>ankyrin repeat domain 9 [Source:ZFIN;Acc:ZDB-GENE-041114-3]</t>
  </si>
  <si>
    <t>ENSDARG00000090788</t>
  </si>
  <si>
    <t>cstf2</t>
  </si>
  <si>
    <t>cleavage stimulation factor, 3' pre-RNA, subunit 2 [Source:ZFIN;Acc:ZDB-GENE-031118-2]</t>
  </si>
  <si>
    <t>ENSDARG00000045484</t>
  </si>
  <si>
    <t>dcp1b</t>
  </si>
  <si>
    <t>decapping mRNA 1B [Source:ZFIN;Acc:ZDB-GENE-040819-1]</t>
  </si>
  <si>
    <t>ENSDARG00000012929</t>
  </si>
  <si>
    <t>eif2d</t>
  </si>
  <si>
    <t>eukaryotic translation initiation factor 2D [Source:ZFIN;Acc:ZDB-GENE-040426-1226]</t>
  </si>
  <si>
    <t>ENSDARG00000101322</t>
  </si>
  <si>
    <t>tfr1a</t>
  </si>
  <si>
    <t>transferrin receptor 1a [Source:ZFIN;Acc:ZDB-GENE-041220-1]</t>
  </si>
  <si>
    <t>ENSDARG00000060835</t>
  </si>
  <si>
    <t>tecpr2</t>
  </si>
  <si>
    <t>tectonin beta-propeller repeat containing 2 [Source:ZFIN;Acc:ZDB-GENE-060503-358]</t>
  </si>
  <si>
    <t>ENSDARG00000102114</t>
  </si>
  <si>
    <t>ptdss1b</t>
  </si>
  <si>
    <t>phosphatidylserine synthase 1b [Source:ZFIN;Acc:ZDB-GENE-081031-18]</t>
  </si>
  <si>
    <t>ENSDARG00000095274</t>
  </si>
  <si>
    <t>si:ch211-278p9.2</t>
  </si>
  <si>
    <t>si:ch211-278p9.2 [Source:ZFIN;Acc:ZDB-GENE-081028-37]</t>
  </si>
  <si>
    <t>ENSDARG00000034893</t>
  </si>
  <si>
    <t>rarab</t>
  </si>
  <si>
    <t>retinoic acid receptor, alpha b [Source:ZFIN;Acc:ZDB-GENE-980526-72]</t>
  </si>
  <si>
    <t>ENSDARG00000053646</t>
  </si>
  <si>
    <t>adrb3a</t>
  </si>
  <si>
    <t>adrenoceptor beta 3a [Source:ZFIN;Acc:ZDB-GENE-080917-21]</t>
  </si>
  <si>
    <t>ENSDARG00000054446</t>
  </si>
  <si>
    <t>ccdc43</t>
  </si>
  <si>
    <t>coiled-coil domain containing 43 [Source:ZFIN;Acc:ZDB-GENE-040426-1587]</t>
  </si>
  <si>
    <t>ENSDARG00000102611</t>
  </si>
  <si>
    <t>stmnd1</t>
  </si>
  <si>
    <t>stathmin domain containing 1 [Source:ZFIN;Acc:ZDB-GENE-130201-3]</t>
  </si>
  <si>
    <t>ENSDARG00000076391</t>
  </si>
  <si>
    <t>npm2a</t>
  </si>
  <si>
    <t>nucleophosmin/nucleoplasmin, 2a [Source:ZFIN;Acc:ZDB-GENE-060810-57]</t>
  </si>
  <si>
    <t>ENSDARG00000000796</t>
  </si>
  <si>
    <t>nr4a1</t>
  </si>
  <si>
    <t>nuclear receptor subfamily 4, group A, member 1 [Source:ZFIN;Acc:ZDB-GENE-040704-11]</t>
  </si>
  <si>
    <t>ENSDARG00000025820</t>
  </si>
  <si>
    <t>chek2</t>
  </si>
  <si>
    <t>checkpoint kinase 2 [Source:ZFIN;Acc:ZDB-GENE-030131-8942]</t>
  </si>
  <si>
    <t>ENSDARG00000095464</t>
  </si>
  <si>
    <t>zgc:66350</t>
  </si>
  <si>
    <t>zgc:66350 [Source:ZFIN;Acc:ZDB-GENE-040426-1617]</t>
  </si>
  <si>
    <t>ENSDARG00000055754</t>
  </si>
  <si>
    <t>smc1a</t>
  </si>
  <si>
    <t>structural maintenance of chromosomes 1A [Source:ZFIN;Acc:ZDB-GENE-090506-9]</t>
  </si>
  <si>
    <t>ENSDARG00000102995</t>
  </si>
  <si>
    <t>rbm24a</t>
  </si>
  <si>
    <t>RNA binding motif protein 24a [Source:ZFIN;Acc:ZDB-GENE-040628-1]</t>
  </si>
  <si>
    <t>ENSDARG00000041391</t>
  </si>
  <si>
    <t>tmed10</t>
  </si>
  <si>
    <t>transmembrane p24 trafficking protein 10 [Source:ZFIN;Acc:ZDB-GENE-030131-4915]</t>
  </si>
  <si>
    <t>ENSDARG00000034181</t>
  </si>
  <si>
    <t>esr2b</t>
  </si>
  <si>
    <t>estrogen receptor 2b [Source:ZFIN;Acc:ZDB-GENE-030116-1]</t>
  </si>
  <si>
    <t>ENSDARG00000104478</t>
  </si>
  <si>
    <t>cap2</t>
  </si>
  <si>
    <t>CAP, adenylate cyclase-associated protein, 2 (yeast) [Source:ZFIN;Acc:ZDB-GENE-040426-1758]</t>
  </si>
  <si>
    <t>ENSDARG00000032868</t>
  </si>
  <si>
    <t>pde4ba</t>
  </si>
  <si>
    <t>phosphodiesterase 4B, cAMP-specific a [Source:ZFIN;Acc:ZDB-GENE-030131-9570]</t>
  </si>
  <si>
    <t>ENSDARG00000031683</t>
  </si>
  <si>
    <t>fosab</t>
  </si>
  <si>
    <t>v-fos FBJ murine osteosarcoma viral oncogene homolog Ab [Source:ZFIN;Acc:ZDB-GENE-031222-4]</t>
  </si>
  <si>
    <t>ENSDARG00000097234</t>
  </si>
  <si>
    <t>fosab.1</t>
  </si>
  <si>
    <t>ENSDARG00000098386</t>
  </si>
  <si>
    <t>ctps1b</t>
  </si>
  <si>
    <t>CTP synthase 1b [Source:ZFIN;Acc:ZDB-GENE-040801-160]</t>
  </si>
  <si>
    <t>ENSDARG00000053644</t>
  </si>
  <si>
    <t>got1l1</t>
  </si>
  <si>
    <t>glutamic-oxaloacetic transaminase 1-like 1 [Source:ZFIN;Acc:ZDB-GENE-060929-556]</t>
  </si>
  <si>
    <t>ENSDARG00000004176</t>
  </si>
  <si>
    <t>ulk4</t>
  </si>
  <si>
    <t>unc-51 like kinase 4 [Source:ZFIN;Acc:ZDB-GENE-100922-243]</t>
  </si>
  <si>
    <t>ENSDARG00000102516</t>
  </si>
  <si>
    <t>ulk4.1</t>
  </si>
  <si>
    <t>ENSDARG00000096540</t>
  </si>
  <si>
    <t>si:dkey-148e3.2</t>
  </si>
  <si>
    <t>si:dkey-148e3.2 [Source:ZFIN;Acc:ZDB-GENE-121214-332]</t>
  </si>
  <si>
    <t>ENSDARG00000076896</t>
  </si>
  <si>
    <t>si:dkey-188g12.1</t>
  </si>
  <si>
    <t>si:dkey-188g12.1 [Source:ZFIN;Acc:ZDB-GENE-070705-332]</t>
  </si>
  <si>
    <t>ENSDARG00000014571</t>
  </si>
  <si>
    <t>ctnnb1</t>
  </si>
  <si>
    <t>catenin (cadherin-associated protein), beta 1 [Source:ZFIN;Acc:ZDB-GENE-980526-362]</t>
  </si>
  <si>
    <t>ENSDARG00000060656</t>
  </si>
  <si>
    <t>si:ch211-10a23.2</t>
  </si>
  <si>
    <t>si:ch211-10a23.2 [Source:ZFIN;Acc:ZDB-GENE-090313-9]</t>
  </si>
  <si>
    <t>ENSDARG00000000588</t>
  </si>
  <si>
    <t>grasp</t>
  </si>
  <si>
    <t>GRP1 (general receptor for phosphoinositides 1)-associated scaffold protein [Source:ZFIN;Acc:ZDB-GENE-060312-30]</t>
  </si>
  <si>
    <t>ENSDARG00000020133</t>
  </si>
  <si>
    <t>jdp2b</t>
  </si>
  <si>
    <t>Jun dimerization protein 2b [Source:ZFIN;Acc:ZDB-GENE-040718-197]</t>
  </si>
  <si>
    <t>ENSDARG00000099981</t>
  </si>
  <si>
    <t>si:ch1073-228h2.2</t>
  </si>
  <si>
    <t>si:ch1073-228h2.2 [Source:ZFIN;Acc:ZDB-GENE-141216-371]</t>
  </si>
  <si>
    <t>ENSDARG00000103203</t>
  </si>
  <si>
    <t>vps28</t>
  </si>
  <si>
    <t>vacuolar protein sorting 28 (yeast) [Source:ZFIN;Acc:ZDB-GENE-040426-1527]</t>
  </si>
  <si>
    <t>ENSDARG00000076106</t>
  </si>
  <si>
    <t>ftr43</t>
  </si>
  <si>
    <t>finTRIM family, member 43 [Source:ZFIN;Acc:ZDB-GENE-090507-8]</t>
  </si>
  <si>
    <t>ENSDARG00000052170</t>
  </si>
  <si>
    <t>uap1</t>
  </si>
  <si>
    <t>UDP-N-acetylglucosamine pyrophosphorylase 1 [Source:ZFIN;Acc:ZDB-GENE-030131-1233]</t>
  </si>
  <si>
    <t>ENSDARG00000027397</t>
  </si>
  <si>
    <t>vangl2</t>
  </si>
  <si>
    <t>VANGL planar cell polarity protein 2 [Source:ZFIN;Acc:ZDB-GENE-020507-3]</t>
  </si>
  <si>
    <t>ENSDARG00000046127</t>
  </si>
  <si>
    <t>tk2</t>
  </si>
  <si>
    <t>thymidine kinase 2, mitochondrial [Source:ZFIN;Acc:ZDB-GENE-040718-243]</t>
  </si>
  <si>
    <t>ENSDARG00000053241</t>
  </si>
  <si>
    <t>sts</t>
  </si>
  <si>
    <t>steroid sulfatase (microsomal), isozyme S [Source:ZFIN;Acc:ZDB-GENE-030717-5]</t>
  </si>
  <si>
    <t>ENSDARG00000100822</t>
  </si>
  <si>
    <t>mapk15</t>
  </si>
  <si>
    <t>mitogen-activated protein kinase 15 [Source:ZFIN;Acc:ZDB-GENE-050522-307]</t>
  </si>
  <si>
    <t>ENSDARG00000038785</t>
  </si>
  <si>
    <t>abcf2a</t>
  </si>
  <si>
    <t>ATP-binding cassette, sub-family F (GCN20), member 2a [Source:ZFIN;Acc:ZDB-GENE-030131-8714]</t>
  </si>
  <si>
    <t>ENSDARG00000021352</t>
  </si>
  <si>
    <t>gria1a</t>
  </si>
  <si>
    <t>glutamate receptor, ionotropic, AMPA 1a [Source:ZFIN;Acc:ZDB-GENE-020125-1]</t>
  </si>
  <si>
    <t>ENSDARG00000097122</t>
  </si>
  <si>
    <t>si:ch211-194e18.1</t>
  </si>
  <si>
    <t>si:ch211-194e18.1 [Source:ZFIN;Acc:ZDB-GENE-131121-597]</t>
  </si>
  <si>
    <t>ENSDARG00000104861</t>
  </si>
  <si>
    <t>rprd1a</t>
  </si>
  <si>
    <t>regulation of nuclear pre-mRNA domain containing 1A [Source:ZFIN;Acc:ZDB-GENE-141211-20]</t>
  </si>
  <si>
    <t>ENSDARG00000104726</t>
  </si>
  <si>
    <t>si:ch211-162e15.3</t>
  </si>
  <si>
    <t>si:ch211-162e15.3 [Source:ZFIN;Acc:ZDB-GENE-131121-530]</t>
  </si>
  <si>
    <t>ENSDARG00000053453</t>
  </si>
  <si>
    <t>mpp2a</t>
  </si>
  <si>
    <t>membrane protein, palmitoylated 2a (MAGUK p55 subfamily member 2) [Source:ZFIN;Acc:ZDB-GENE-071004-82]</t>
  </si>
  <si>
    <t>ENSDARG00000069956</t>
  </si>
  <si>
    <t>pdlim2</t>
  </si>
  <si>
    <t>PDZ and LIM domain 2 (mystique) [Source:ZFIN;Acc:ZDB-GENE-070308-4]</t>
  </si>
  <si>
    <t>ENSDARG00000012789</t>
  </si>
  <si>
    <t>plek2</t>
  </si>
  <si>
    <t>pleckstrin 2 [Source:ZFIN;Acc:ZDB-GENE-080219-2]</t>
  </si>
  <si>
    <t>ENSDARG00000098074</t>
  </si>
  <si>
    <t>trip4</t>
  </si>
  <si>
    <t>thyroid hormone receptor interactor 4 [Source:ZFIN;Acc:ZDB-GENE-040724-92]</t>
  </si>
  <si>
    <t>ENSDARG00000090664</t>
  </si>
  <si>
    <t>moto</t>
  </si>
  <si>
    <t>minamoto [Source:ZFIN;Acc:ZDB-GENE-070117-1657]</t>
  </si>
  <si>
    <t>ENSDARG00000059575</t>
  </si>
  <si>
    <t>uhmk1</t>
  </si>
  <si>
    <t>U2AF homology motif (UHM) kinase 1 [Source:ZFIN;Acc:ZDB-GENE-060929-1014]</t>
  </si>
  <si>
    <t>ENSDARG00000060626</t>
  </si>
  <si>
    <t>dgkaa</t>
  </si>
  <si>
    <t>diacylglycerol kinase, alpha a [Source:ZFIN;Acc:ZDB-GENE-060616-305]</t>
  </si>
  <si>
    <t>ENSDARG00000096415</t>
  </si>
  <si>
    <t>raf1a</t>
  </si>
  <si>
    <t>Raf-1 proto-oncogene, serine/threonine kinase a [Source:ZFIN;Acc:ZDB-GENE-990415-41]</t>
  </si>
  <si>
    <t>ENSDARG00000054438</t>
  </si>
  <si>
    <t>fzd2</t>
  </si>
  <si>
    <t>frizzled class receptor 2 [Source:ZFIN;Acc:ZDB-GENE-990415-224]</t>
  </si>
  <si>
    <t>ENSDARG00000105071</t>
  </si>
  <si>
    <t>nos1apa</t>
  </si>
  <si>
    <t>nitric oxide synthase 1 (neuronal) adaptor protein a [Source:ZFIN;Acc:ZDB-GENE-081024-1]</t>
  </si>
  <si>
    <t>ENSDARG00000078725</t>
  </si>
  <si>
    <t>nos1apa.1</t>
  </si>
  <si>
    <t>ENSDARG00000101115</t>
  </si>
  <si>
    <t>med30</t>
  </si>
  <si>
    <t>mediator complex subunit 30 [Source:ZFIN;Acc:ZDB-GENE-040426-1676]</t>
  </si>
  <si>
    <t>ENSDARG00000069834</t>
  </si>
  <si>
    <t>pnpla4</t>
  </si>
  <si>
    <t>patatin-like phospholipase domain containing 4 [Source:ZFIN;Acc:ZDB-GENE-070410-74]</t>
  </si>
  <si>
    <t>ENSDARG00000077912</t>
  </si>
  <si>
    <t>bcorl1</t>
  </si>
  <si>
    <t>BCL6 corepressor-like 1 [Source:ZFIN;Acc:ZDB-GENE-130530-838]</t>
  </si>
  <si>
    <t>ENSDARG00000075416</t>
  </si>
  <si>
    <t>HSCB</t>
  </si>
  <si>
    <t>si:ch211-207k7.4 [Source:ZFIN;Acc:ZDB-GENE-070705-97]</t>
  </si>
  <si>
    <t>ENSDARG00000037476</t>
  </si>
  <si>
    <t>sorbs3</t>
  </si>
  <si>
    <t>sorbin and SH3 domain containing 3 [Source:ZFIN;Acc:ZDB-GENE-050327-1]</t>
  </si>
  <si>
    <t>ENSDARG00000102590</t>
  </si>
  <si>
    <t>polr3h</t>
  </si>
  <si>
    <t>polymerase (RNA) III (DNA directed) polypeptide H [Source:ZFIN;Acc:ZDB-GENE-040718-179]</t>
  </si>
  <si>
    <t>ENSDARG00000053484</t>
  </si>
  <si>
    <t>syne2b</t>
  </si>
  <si>
    <t>spectrin repeat containing, nuclear envelope 2b [Source:ZFIN;Acc:ZDB-GENE-071218-5]</t>
  </si>
  <si>
    <t>ENSDARG00000031658</t>
  </si>
  <si>
    <t>si:ch211-207d6.2</t>
  </si>
  <si>
    <t>si:ch211-207d6.2 [Source:ZFIN;Acc:ZDB-GENE-070912-185]</t>
  </si>
  <si>
    <t>ENSDARG00000101702</t>
  </si>
  <si>
    <t>chrna7</t>
  </si>
  <si>
    <t>cholinergic receptor, nicotinic, alpha 7 (neuronal) [Source:ZFIN;Acc:ZDB-GENE-040108-3]</t>
  </si>
  <si>
    <t>ENSDARG00000099892</t>
  </si>
  <si>
    <t>si:dkeyp-121d4.1</t>
  </si>
  <si>
    <t>si:dkeyp-121d4.1 [Source:ZFIN;Acc:ZDB-GENE-141216-215]</t>
  </si>
  <si>
    <t>ENSDARG00000090054</t>
  </si>
  <si>
    <t>znf318</t>
  </si>
  <si>
    <t>zinc finger protein 318 [Source:ZFIN;Acc:ZDB-GENE-140106-251]</t>
  </si>
  <si>
    <t>ENSDARG00000101009</t>
  </si>
  <si>
    <t>cited4b</t>
  </si>
  <si>
    <t>Cbp/p300-interacting transactivator, with Glu/Asp-rich carboxy-terminal domain, 4b [Source:ZFIN;Acc:ZDB-GENE-030425-5]</t>
  </si>
  <si>
    <t>ENSDARG00000075164</t>
  </si>
  <si>
    <t>mylk5</t>
  </si>
  <si>
    <t>myosin, light chain kinase 5 [Source:ZFIN;Acc:ZDB-GENE-050309-74]</t>
  </si>
  <si>
    <t>ENSDARG00000006812</t>
  </si>
  <si>
    <t>wdr26b</t>
  </si>
  <si>
    <t>WD repeat domain 26b [Source:ZFIN;Acc:ZDB-GENE-041014-277]</t>
  </si>
  <si>
    <t>ENSDARG00000020387</t>
  </si>
  <si>
    <t>nipsnap3a</t>
  </si>
  <si>
    <t>nipsnap homolog 3A (C. elegans) [Source:ZFIN;Acc:ZDB-GENE-040426-1037]</t>
  </si>
  <si>
    <t>ENSDARG00000055760</t>
  </si>
  <si>
    <t>srm</t>
  </si>
  <si>
    <t>spermidine synthase [Source:ZFIN;Acc:ZDB-GENE-040426-1183]</t>
  </si>
  <si>
    <t>ENSDARG00000069996</t>
  </si>
  <si>
    <t>dnajb14</t>
  </si>
  <si>
    <t>DnaJ (Hsp40) homolog, subfamily B, member 14 [Source:ZFIN;Acc:ZDB-GENE-061110-138]</t>
  </si>
  <si>
    <t>ENSDARG00000093354</t>
  </si>
  <si>
    <t>si:ch211-57i17.2</t>
  </si>
  <si>
    <t>si:ch211-57i17.2 [Source:ZFIN;Acc:ZDB-GENE-041014-258]</t>
  </si>
  <si>
    <t>ENSDARG00000006621</t>
  </si>
  <si>
    <t>pspc1</t>
  </si>
  <si>
    <t>paraspeckle component 1 [Source:ZFIN;Acc:ZDB-GENE-030131-9530]</t>
  </si>
  <si>
    <t>ENSDARG00000093422</t>
  </si>
  <si>
    <t>si:ch211-229b6.1</t>
  </si>
  <si>
    <t>si:ch211-229b6.1 [Source:ZFIN;Acc:ZDB-GENE-060503-311]</t>
  </si>
  <si>
    <t>ENSDARG00000022260</t>
  </si>
  <si>
    <t>FEZ2</t>
  </si>
  <si>
    <t>FEZ2.1</t>
  </si>
  <si>
    <t>si:ch211-57i17.1 [Source:ZFIN;Acc:ZDB-GENE-041014-259]</t>
  </si>
  <si>
    <t>ENSDARG00000052482</t>
  </si>
  <si>
    <t>arhgef11</t>
  </si>
  <si>
    <t>Rho guanine nucleotide exchange factor (GEF) 11 [Source:ZFIN;Acc:ZDB-GENE-070604-1]</t>
  </si>
  <si>
    <t>ENSDARG00000060854</t>
  </si>
  <si>
    <t>kctd3</t>
  </si>
  <si>
    <t>potassium channel tetramerization domain containing 3 [Source:ZFIN;Acc:ZDB-GENE-060503-169]</t>
  </si>
  <si>
    <t>ENSDARG00000002731</t>
  </si>
  <si>
    <t>sdc2</t>
  </si>
  <si>
    <t>syndecan 2 [Source:ZFIN;Acc:ZDB-GENE-021206-3]</t>
  </si>
  <si>
    <t>ENSDARG00000041375</t>
  </si>
  <si>
    <t>si:ch211-57i17.5</t>
  </si>
  <si>
    <t>si:ch211-57i17.5 [Source:ZFIN;Acc:ZDB-GENE-041014-39]</t>
  </si>
  <si>
    <t>ENSDARG00000053878</t>
  </si>
  <si>
    <t>inpp5l</t>
  </si>
  <si>
    <t>inositol polyphosphate-5-phosphatase L [Source:ZFIN;Acc:ZDB-GENE-051127-29]</t>
  </si>
  <si>
    <t>ENSDARG00000002082</t>
  </si>
  <si>
    <t>csnk2a1</t>
  </si>
  <si>
    <t>casein kinase 2, alpha 1 polypeptide [Source:ZFIN;Acc:ZDB-GENE-990415-27]</t>
  </si>
  <si>
    <t>ENSDARG00000055974</t>
  </si>
  <si>
    <t>tpmt.1</t>
  </si>
  <si>
    <t>thiopurine S-methyltransferase, tandem duplicate 1 [Source:ZFIN;Acc:ZDB-GENE-050522-141]</t>
  </si>
  <si>
    <t>ENSDARG00000101260</t>
  </si>
  <si>
    <t>GPATCH2</t>
  </si>
  <si>
    <t>si:ch73-21k16.4 [Source:ZFIN;Acc:ZDB-GENE-081031-96]</t>
  </si>
  <si>
    <t>ENSDARG00000060522</t>
  </si>
  <si>
    <t>rfk</t>
  </si>
  <si>
    <t>riboflavin kinase [Source:ZFIN;Acc:ZDB-GENE-081104-321]</t>
  </si>
  <si>
    <t>ENSDARG00000103380</t>
  </si>
  <si>
    <t>LPIN1</t>
  </si>
  <si>
    <t>si:ch73-21k16.1 [Source:ZFIN;Acc:ZDB-GENE-081031-51]</t>
  </si>
  <si>
    <t>ENSDARG00000028012</t>
  </si>
  <si>
    <t>tpmt.2</t>
  </si>
  <si>
    <t>thiopurine S-methyltransferase, tandem duplicate 2 [Source:ZFIN;Acc:ZDB-GENE-041010-177]</t>
  </si>
  <si>
    <t>ENSDARG00000035649</t>
  </si>
  <si>
    <t>ext1c</t>
  </si>
  <si>
    <t>exostoses (multiple) 1c [Source:ZFIN;Acc:ZDB-GENE-050211-5]</t>
  </si>
  <si>
    <t>ENSDARG00000097295</t>
  </si>
  <si>
    <t>si:ch211-264g8.3</t>
  </si>
  <si>
    <t>si:ch211-264g8.3 [Source:ZFIN;Acc:ZDB-GENE-131121-301]</t>
  </si>
  <si>
    <t>ENSDARG00000092712</t>
  </si>
  <si>
    <t>si:dkeyp-87e3.3</t>
  </si>
  <si>
    <t>si:dkeyp-87e3.3 [Source:ZFIN;Acc:ZDB-GENE-041210-263]</t>
  </si>
  <si>
    <t>ENSDARG00000078770</t>
  </si>
  <si>
    <t>GNPAT</t>
  </si>
  <si>
    <t>si:ch73-21k16.5 [Source:ZFIN;Acc:ZDB-GENE-030131-8374]</t>
  </si>
  <si>
    <t>ENSDARG00000031511</t>
  </si>
  <si>
    <t>psmb2</t>
  </si>
  <si>
    <t>proteasome subunit beta 2 [Source:ZFIN;Acc:ZDB-GENE-040718-353]</t>
  </si>
  <si>
    <t>ENSDARG00000096770</t>
  </si>
  <si>
    <t>si:ch73-21k16.6</t>
  </si>
  <si>
    <t>si:ch73-21k16.6 [Source:ZFIN;Acc:ZDB-GENE-130603-35]</t>
  </si>
  <si>
    <t>ENSDARG00000077045</t>
  </si>
  <si>
    <t>scg5.1</t>
  </si>
  <si>
    <t>ENSDARG00000010710</t>
  </si>
  <si>
    <t>msi1</t>
  </si>
  <si>
    <t>musashi RNA-binding protein 1 [Source:ZFIN;Acc:ZDB-GENE-050320-86]</t>
  </si>
  <si>
    <t>ENSDARG00000089158</t>
  </si>
  <si>
    <t>si:dkeyp-104f11.6</t>
  </si>
  <si>
    <t>si:dkeyp-104f11.6 [Source:ZFIN;Acc:ZDB-GENE-130531-1]</t>
  </si>
  <si>
    <t>ENSDARG00000088490</t>
  </si>
  <si>
    <t>si:dkeyp-104f11.1</t>
  </si>
  <si>
    <t>si:dkeyp-104f11.1 [Source:ZFIN;Acc:ZDB-GENE-060503-839]</t>
  </si>
  <si>
    <t>ENSDARG00000080438</t>
  </si>
  <si>
    <t>U1</t>
  </si>
  <si>
    <t>U1 spliceosomal RNA [Source:RFAM;Acc:RF00003]</t>
  </si>
  <si>
    <t>ENSDARG00000104670</t>
  </si>
  <si>
    <t>CABZ01017733.2</t>
  </si>
  <si>
    <t>ENSDARG00000099736</t>
  </si>
  <si>
    <t>CABZ01075078.1</t>
  </si>
  <si>
    <t>ENSDARG00000104806</t>
  </si>
  <si>
    <t>fbxw11a</t>
  </si>
  <si>
    <t>F-box and WD repeat domain containing 11a [Source:ZFIN;Acc:ZDB-GENE-030131-6305]</t>
  </si>
  <si>
    <t>ENSDARG00000099318</t>
  </si>
  <si>
    <t>CABZ01062422.1</t>
  </si>
  <si>
    <t>ENSDARG00000101611</t>
  </si>
  <si>
    <t>HUS1B</t>
  </si>
  <si>
    <t>zgc:162895 [Source:ZFIN;Acc:ZDB-GENE-070410-106]</t>
  </si>
  <si>
    <t>ENSDARG00000013430</t>
  </si>
  <si>
    <t>bhmt</t>
  </si>
  <si>
    <t>betaine-homocysteine methyltransferase [Source:ZFIN;Acc:ZDB-GENE-030131-947]</t>
  </si>
  <si>
    <t>ENSDARG00000054835</t>
  </si>
  <si>
    <t>ugt5f1</t>
  </si>
  <si>
    <t>UDP glucuronosyltransferase 5 family, polypeptide F1 [Source:ZFIN;Acc:ZDB-GENE-100406-6]</t>
  </si>
  <si>
    <t>ENSDARG00000011020</t>
  </si>
  <si>
    <t>hnrnpa1a</t>
  </si>
  <si>
    <t>heterogeneous nuclear ribonucleoprotein A1a [Source:ZFIN;Acc:ZDB-GENE-040426-1546]</t>
  </si>
  <si>
    <t>ENSDARG00000075768</t>
  </si>
  <si>
    <t>sdhb</t>
  </si>
  <si>
    <t>succinate dehydrogenase complex, subunit B, iron sulfur (Ip) [Source:ZFIN;Acc:ZDB-GENE-030131-8005]</t>
  </si>
  <si>
    <t>ENSDARG00000024416</t>
  </si>
  <si>
    <t>twistnb</t>
  </si>
  <si>
    <t>TWIST neighbor [Source:ZFIN;Acc:ZDB-GENE-041007-3]</t>
  </si>
  <si>
    <t>ENSDARG00000098592</t>
  </si>
  <si>
    <t>zgc:92140</t>
  </si>
  <si>
    <t>zgc:92140 [Source:ZFIN;Acc:ZDB-GENE-040912-161]</t>
  </si>
  <si>
    <t>ENSDARG00000087421</t>
  </si>
  <si>
    <t>serbp1b</t>
  </si>
  <si>
    <t>SERPINE1 mRNA binding protein 1b [Source:ZFIN;Acc:ZDB-GENE-031118-196]</t>
  </si>
  <si>
    <t>ENSDARG00000076559</t>
  </si>
  <si>
    <t>RB1CC1</t>
  </si>
  <si>
    <t>RB1 inducible coiled-coil 1 [Source:HGNC Symbol;Acc:HGNC:15574]</t>
  </si>
  <si>
    <t>ENSDARG00000086098</t>
  </si>
  <si>
    <t>ERRFI1</t>
  </si>
  <si>
    <t>ERBB receptor feedback inhibitor 1 [Source:HGNC Symbol;Acc:HGNC:18185]</t>
  </si>
  <si>
    <t>ENSDARG00000086631</t>
  </si>
  <si>
    <t>rnh1</t>
  </si>
  <si>
    <t>ribonuclease/angiogenin inhibitor 1 [Source:ZFIN;Acc:ZDB-GENE-030131-4718]</t>
  </si>
  <si>
    <t>ENSDARG00000069287</t>
  </si>
  <si>
    <t>imp3</t>
  </si>
  <si>
    <t>IMP3, U3 small nucleolar ribonucleoprotein, homolog (yeast) [Source:ZFIN;Acc:ZDB-GENE-040426-1062]</t>
  </si>
  <si>
    <t>ENSDARG00000077022</t>
  </si>
  <si>
    <t>fam131a</t>
  </si>
  <si>
    <t>family with sequence similarity 131, member A [Source:ZFIN;Acc:ZDB-GENE-080204-112]</t>
  </si>
  <si>
    <t>ENSDARG00000042732</t>
  </si>
  <si>
    <t>tmem189</t>
  </si>
  <si>
    <t>transmembrane protein 189 [Source:ZFIN;Acc:ZDB-GENE-041010-150]</t>
  </si>
  <si>
    <t>ENSDARG00000074057</t>
  </si>
  <si>
    <t>calm3b</t>
  </si>
  <si>
    <t>calmodulin 3b (phosphorylase kinase, delta) [Source:ZFIN;Acc:ZDB-GENE-030131-527]</t>
  </si>
  <si>
    <t>ENSDARG00000043357</t>
  </si>
  <si>
    <t>tbl2</t>
  </si>
  <si>
    <t>transducin (beta)-like 2 [Source:ZFIN;Acc:ZDB-GENE-030131-9012]</t>
  </si>
  <si>
    <t>ENSDARG00000067981</t>
  </si>
  <si>
    <t>zgc:103697</t>
  </si>
  <si>
    <t>zgc:103697 [Source:ZFIN;Acc:ZDB-GENE-040912-104]</t>
  </si>
  <si>
    <t>ENSDARG00000091760</t>
  </si>
  <si>
    <t>cwf19l2</t>
  </si>
  <si>
    <t>CWF19-like 2, cell cycle control (S. pombe) [Source:ZFIN;Acc:ZDB-GENE-050913-1]</t>
  </si>
  <si>
    <t>ENSDARG00000078802</t>
  </si>
  <si>
    <t>rnf111</t>
  </si>
  <si>
    <t>ring finger protein 111 [Source:ZFIN;Acc:ZDB-GENE-070808-2]</t>
  </si>
  <si>
    <t>ENSDARG00000020891</t>
  </si>
  <si>
    <t>PARL</t>
  </si>
  <si>
    <t>presenilin associated, rhomboid-like [Source:HGNC Symbol;Acc:HGNC:18253]</t>
  </si>
  <si>
    <t>ENSDARG00000060734</t>
  </si>
  <si>
    <t>appl1</t>
  </si>
  <si>
    <t>adaptor protein, phosphotyrosine interaction, PH domain and leucine zipper containing 1 [Source:ZFIN;Acc:ZDB-GENE-081016-1]</t>
  </si>
  <si>
    <t>ENSDARG00000074235</t>
  </si>
  <si>
    <t>CR376783.1</t>
  </si>
  <si>
    <t>ENSDARG00000074518</t>
  </si>
  <si>
    <t>tmem17</t>
  </si>
  <si>
    <t>transmembrane protein 17 [Source:ZFIN;Acc:ZDB-GENE-070615-15]</t>
  </si>
  <si>
    <t>ENSDARG00000091457</t>
  </si>
  <si>
    <t>WASF1</t>
  </si>
  <si>
    <t>WAS protein family member 1 [Source:HGNC Symbol;Acc:HGNC:12732]</t>
  </si>
  <si>
    <t>ENSDARG00000099851</t>
  </si>
  <si>
    <t>GPR180</t>
  </si>
  <si>
    <t>G protein-coupled receptor 180 [Source:HGNC Symbol;Acc:HGNC:28899]</t>
  </si>
  <si>
    <t>ENSDARG00000101402</t>
  </si>
  <si>
    <t>CABZ01054392.1</t>
  </si>
  <si>
    <t>ENSDARG00000102043</t>
  </si>
  <si>
    <t>CABZ01040256.1</t>
  </si>
  <si>
    <t>ENSDARG00000075964</t>
  </si>
  <si>
    <t>plekhg4</t>
  </si>
  <si>
    <t>pleckstrin homology domain containing, family G (with RhoGef domain) member 4 [Source:ZFIN;Acc:ZDB-GENE-030131-4824]</t>
  </si>
  <si>
    <t>ENSDARG00000099058</t>
  </si>
  <si>
    <t>CU929262.1</t>
  </si>
  <si>
    <t>ENSDARG00000102202</t>
  </si>
  <si>
    <t>phospho2</t>
  </si>
  <si>
    <t>phosphatase, orphan 2 [Source:ZFIN;Acc:ZDB-GENE-080204-104]</t>
  </si>
  <si>
    <t>ENSDARG00000009881</t>
  </si>
  <si>
    <t>ier5</t>
  </si>
  <si>
    <t>immediate early response 5 [Source:ZFIN;Acc:ZDB-GENE-030616-127]</t>
  </si>
  <si>
    <t>ENSDARG00000068460</t>
  </si>
  <si>
    <t>BX842701.1</t>
  </si>
  <si>
    <t>ENSDARG00000023627</t>
  </si>
  <si>
    <t>ggps1</t>
  </si>
  <si>
    <t>geranylgeranyl diphosphate synthase 1 [Source:ZFIN;Acc:ZDB-GENE-030131-8742]</t>
  </si>
  <si>
    <t>ENSDARG00000101080</t>
  </si>
  <si>
    <t>PWWP2B</t>
  </si>
  <si>
    <t>PWWP domain containing 2B [Source:HGNC Symbol;Acc:HGNC:25150]</t>
  </si>
  <si>
    <t>ENSDARG00000104601</t>
  </si>
  <si>
    <t>U3</t>
  </si>
  <si>
    <t>Small nucleolar RNA U3 [Source:RFAM;Acc:RF00012]</t>
  </si>
  <si>
    <t>ENSDARG00000101913</t>
  </si>
  <si>
    <t>mpzl3</t>
  </si>
  <si>
    <t>myelin protein zero-like 3 [Source:ZFIN;Acc:ZDB-GENE-040426-2197]</t>
  </si>
  <si>
    <t>ENSDARG00000021882</t>
  </si>
  <si>
    <t>fbxl3b</t>
  </si>
  <si>
    <t>F-box and leucine-rich repeat protein 3b [Source:ZFIN;Acc:ZDB-GENE-041010-178]</t>
  </si>
  <si>
    <t>ENSDARG00000098389</t>
  </si>
  <si>
    <t>znf1015.1</t>
  </si>
  <si>
    <t>ENSDARG00000090998</t>
  </si>
  <si>
    <t>CABZ01071911.1</t>
  </si>
  <si>
    <t>ENSDARG00000102489</t>
  </si>
  <si>
    <t>BX000534.1</t>
  </si>
  <si>
    <t>ENSDARG00000098241</t>
  </si>
  <si>
    <t>FANCA</t>
  </si>
  <si>
    <t>Fanconi anemia complementation group A [Source:HGNC Symbol;Acc:HGNC:3582]</t>
  </si>
  <si>
    <t>ENSDARG00000086751</t>
  </si>
  <si>
    <t>HIST1H2BA.14</t>
  </si>
  <si>
    <t>Histone H2B 1/2  [Source:UniProtKB/Swiss-Prot;Acc:Q5BJA5]</t>
  </si>
  <si>
    <t>ENSDARG00000101602</t>
  </si>
  <si>
    <t>preb</t>
  </si>
  <si>
    <t>prolactin regulatory element binding [Source:ZFIN;Acc:ZDB-GENE-040718-385]</t>
  </si>
  <si>
    <t>ENSDARG00000103546</t>
  </si>
  <si>
    <t>purbb</t>
  </si>
  <si>
    <t>purine-rich element binding protein Bb [Source:ZFIN;Acc:ZDB-GENE-040426-1478]</t>
  </si>
  <si>
    <t>ENSDARG00000077964</t>
  </si>
  <si>
    <t>LIMD1</t>
  </si>
  <si>
    <t>LIM domains containing 1 [Source:HGNC Symbol;Acc:HGNC:6612]</t>
  </si>
  <si>
    <t>ENSDARG00000104401</t>
  </si>
  <si>
    <t>yme1l1b</t>
  </si>
  <si>
    <t>YME1-like 1b [Source:ZFIN;Acc:ZDB-GENE-070410-25]</t>
  </si>
  <si>
    <t>ENSDARG00000037203</t>
  </si>
  <si>
    <t>insig2</t>
  </si>
  <si>
    <t>insulin induced gene 2 [Source:ZFIN;Acc:ZDB-GENE-040202-1]</t>
  </si>
  <si>
    <t>ENSDARG00000046024</t>
  </si>
  <si>
    <t>pym1</t>
  </si>
  <si>
    <t>PYM homolog 1, exon junction complex associated factor [Source:ZFIN;Acc:ZDB-GENE-040426-1464]</t>
  </si>
  <si>
    <t>ENSDARG00000101357</t>
  </si>
  <si>
    <t>CT737210.1</t>
  </si>
  <si>
    <t>ENSDARG00000059020</t>
  </si>
  <si>
    <t>thap1</t>
  </si>
  <si>
    <t>THAP domain containing, apoptosis associated protein 1 [Source:ZFIN;Acc:ZDB-GENE-060519-9]</t>
  </si>
  <si>
    <t>ENSDARG00000060600</t>
  </si>
  <si>
    <t>CAPN15</t>
  </si>
  <si>
    <t>calpain 15 [Source:HGNC Symbol;Acc:HGNC:11182]</t>
  </si>
  <si>
    <t>ENSDARG00000079468</t>
  </si>
  <si>
    <t>RHOBTB1</t>
  </si>
  <si>
    <t>Rho-related BTB domain containing 1 [Source:HGNC Symbol;Acc:HGNC:18738]</t>
  </si>
  <si>
    <t>ENSDARG00000087471</t>
  </si>
  <si>
    <t>EME2</t>
  </si>
  <si>
    <t>essential meiotic structure-specific endonuclease subunit 2 [Source:HGNC Symbol;Acc:HGNC:27289]</t>
  </si>
  <si>
    <t>ENSDARG00000077360</t>
  </si>
  <si>
    <t>zgc:173593</t>
  </si>
  <si>
    <t>zgc:173593 [Source:ZFIN;Acc:ZDB-GENE-071004-57]</t>
  </si>
  <si>
    <t>ENSDARG00000073936</t>
  </si>
  <si>
    <t>BX511021.2</t>
  </si>
  <si>
    <t>ENSDARG00000076082</t>
  </si>
  <si>
    <t>CABZ01041962.1</t>
  </si>
  <si>
    <t>ENSDARG00000022185</t>
  </si>
  <si>
    <t>RGL3</t>
  </si>
  <si>
    <t>ral guanine nucleotide dissociation stimulator-like 3 [Source:HGNC Symbol;Acc:HGNC:30282]</t>
  </si>
  <si>
    <t>ENSDARG00000102594</t>
  </si>
  <si>
    <t>zgc:194627</t>
  </si>
  <si>
    <t>zgc:194627 [Source:ZFIN;Acc:ZDB-GENE-081022-132]</t>
  </si>
  <si>
    <t>ENSDARG00000070119</t>
  </si>
  <si>
    <t>ctc1</t>
  </si>
  <si>
    <t>CTS telomere maintenance complex component 1 [Source:ZFIN;Acc:ZDB-GENE-061103-271]</t>
  </si>
  <si>
    <t>ENSDARG00000073688</t>
  </si>
  <si>
    <t>NAV2</t>
  </si>
  <si>
    <t>neuron navigator 2 [Source:HGNC Symbol;Acc:HGNC:15997]</t>
  </si>
  <si>
    <t>ENSDARG00000090615</t>
  </si>
  <si>
    <t>BX957297.1</t>
  </si>
  <si>
    <t>ENSDARG00000103843</t>
  </si>
  <si>
    <t>SPAG8</t>
  </si>
  <si>
    <t>sperm associated antigen 8 [Source:HGNC Symbol;Acc:HGNC:14105]</t>
  </si>
  <si>
    <t>ENSDARG00000058038</t>
  </si>
  <si>
    <t>eml3</t>
  </si>
  <si>
    <t>echinoderm microtubule associated protein like 3 [Source:ZFIN;Acc:ZDB-GENE-110304-3]</t>
  </si>
  <si>
    <t>ENSDARG00000101901</t>
  </si>
  <si>
    <t>zgc:193711</t>
  </si>
  <si>
    <t>zgc:193711 [Source:ZFIN;Acc:ZDB-GENE-081022-34]</t>
  </si>
  <si>
    <t>ENSDARG00000006840</t>
  </si>
  <si>
    <t>gnmt</t>
  </si>
  <si>
    <t>glycine N-methyltransferase [Source:ZFIN;Acc:ZDB-GENE-040227-1]</t>
  </si>
  <si>
    <t>ENSDARG00000102100</t>
  </si>
  <si>
    <t>mrc1a</t>
  </si>
  <si>
    <t>mannose receptor, C type 1a [Source:ZFIN;Acc:ZDB-GENE-090915-4]</t>
  </si>
  <si>
    <t>ENSDARG00000105093</t>
  </si>
  <si>
    <t>WDR63</t>
  </si>
  <si>
    <t>WD repeat domain 63 [Source:HGNC Symbol;Acc:HGNC:30711]</t>
  </si>
  <si>
    <t>ENSDARG00000018312</t>
  </si>
  <si>
    <t>rell1</t>
  </si>
  <si>
    <t>RELT-like 1 [Source:EntrezGene;Acc:799556]</t>
  </si>
  <si>
    <t>ENSDARG00000043417</t>
  </si>
  <si>
    <t>tssc1</t>
  </si>
  <si>
    <t>tumor suppressing subtransferable candidate 1 [Source:ZFIN;Acc:ZDB-GENE-041010-167]</t>
  </si>
  <si>
    <t>ENSDARG00000043627</t>
  </si>
  <si>
    <t>TBC1D9B</t>
  </si>
  <si>
    <t>TBC1 domain family member 9B [Source:HGNC Symbol;Acc:HGNC:29097]</t>
  </si>
  <si>
    <t>ENSDARG00000088100</t>
  </si>
  <si>
    <t>KCNIP4</t>
  </si>
  <si>
    <t>Kv channel interacting protein 4 [Source:HGNC Symbol;Acc:HGNC:30083]</t>
  </si>
  <si>
    <t>ENSDARG00000046124</t>
  </si>
  <si>
    <t>rab11fip1a</t>
  </si>
  <si>
    <t>RAB11 family interacting protein 1 (class I) a [Source:ZFIN;Acc:ZDB-GENE-051113-116]</t>
  </si>
  <si>
    <t>ENSDARG00000060549</t>
  </si>
  <si>
    <t>ECEL1</t>
  </si>
  <si>
    <t>endothelin converting enzyme-like 1 [Source:HGNC Symbol;Acc:HGNC:3147]</t>
  </si>
  <si>
    <t>ENSDARG00000104768</t>
  </si>
  <si>
    <t>akap17a</t>
  </si>
  <si>
    <t>A kinase (PRKA) anchor protein 17A [Source:ZFIN;Acc:ZDB-GENE-040426-1460]</t>
  </si>
  <si>
    <t>ENSDARG00000071669</t>
  </si>
  <si>
    <t>smyd5</t>
  </si>
  <si>
    <t>SMYD family member 5 [Source:ZFIN;Acc:ZDB-GENE-040912-39]</t>
  </si>
  <si>
    <t>ENSDARG00000105274</t>
  </si>
  <si>
    <t>CABZ01074130.1</t>
  </si>
  <si>
    <t>ENSDARG00000088439</t>
  </si>
  <si>
    <t>gm2a</t>
  </si>
  <si>
    <t>GM2 ganglioside activator [Source:ZFIN;Acc:ZDB-GENE-050417-373]</t>
  </si>
  <si>
    <t>ENSDARG00000068912</t>
  </si>
  <si>
    <t>zgc:153012</t>
  </si>
  <si>
    <t>zgc:153012 [Source:ZFIN;Acc:ZDB-GENE-061103-559]</t>
  </si>
  <si>
    <t>ENSDARG00000059719</t>
  </si>
  <si>
    <t>fam169aa</t>
  </si>
  <si>
    <t>family with sequence similarity 169, member Aa [Source:ZFIN;Acc:ZDB-GENE-060825-117]</t>
  </si>
  <si>
    <t>ENSDARG00000104041</t>
  </si>
  <si>
    <t>CR382372.2</t>
  </si>
  <si>
    <t>ENSDARG00000105300</t>
  </si>
  <si>
    <t>BX927081.1</t>
  </si>
  <si>
    <t>ENSDARG00000098801</t>
  </si>
  <si>
    <t>sbno2a</t>
  </si>
  <si>
    <t>strawberry notch homolog 2a [Source:ZFIN;Acc:ZDB-GENE-100629-3]</t>
  </si>
  <si>
    <t>ENSDARG00000098174</t>
  </si>
  <si>
    <t>ACADSB</t>
  </si>
  <si>
    <t>acyl-CoA dehydrogenase, short/branched chain [Source:HGNC Symbol;Acc:HGNC:91]</t>
  </si>
  <si>
    <t>ENSDARG00000100188</t>
  </si>
  <si>
    <t>RNPS1</t>
  </si>
  <si>
    <t>RNA binding protein S1, serine-rich domain [Source:HGNC Symbol;Acc:HGNC:10080]</t>
  </si>
  <si>
    <t>ENSDARG00000091235</t>
  </si>
  <si>
    <t>CABZ01015525.1</t>
  </si>
  <si>
    <t>ENSDARG00000104638</t>
  </si>
  <si>
    <t>BX324155.1</t>
  </si>
  <si>
    <t>ENSDARG00000101797</t>
  </si>
  <si>
    <t>CT737127.2</t>
  </si>
  <si>
    <t>ENSDARG00000103415</t>
  </si>
  <si>
    <t>CABZ01117131.1</t>
  </si>
  <si>
    <t>ENSDARG00000098550</t>
  </si>
  <si>
    <t>WNK4</t>
  </si>
  <si>
    <t>WNK lysine deficient protein kinase 4 [Source:HGNC Symbol;Acc:HGNC:14544]</t>
  </si>
  <si>
    <t>ENSDARG00000079555</t>
  </si>
  <si>
    <t>ccdc85cb</t>
  </si>
  <si>
    <t>coiled-coil domain containing 85C, b [Source:ZFIN;Acc:ZDB-GENE-040718-373]</t>
  </si>
  <si>
    <t>ENSDARG00000074287</t>
  </si>
  <si>
    <t>sptlc2b</t>
  </si>
  <si>
    <t>serine palmitoyltransferase, long chain base subunit 2b [Source:ZFIN;Acc:ZDB-GENE-080305-8]</t>
  </si>
  <si>
    <t>ENSDARG00000102078</t>
  </si>
  <si>
    <t>RAB35</t>
  </si>
  <si>
    <t>RAB35, member RAS oncogene family [Source:HGNC Symbol;Acc:HGNC:9774]</t>
  </si>
  <si>
    <t>ENSDARG00000101857</t>
  </si>
  <si>
    <t>CR847893.2</t>
  </si>
  <si>
    <t>ENSDARG00000104078</t>
  </si>
  <si>
    <t>zgc:113336</t>
  </si>
  <si>
    <t>zgc:113336 [Source:ZFIN;Acc:ZDB-GENE-050320-55]</t>
  </si>
  <si>
    <t>ENSDARG00000104848</t>
  </si>
  <si>
    <t>cdkal1</t>
  </si>
  <si>
    <t>CDK5 regulatory subunit associated protein 1-like 1 [Source:ZFIN;Acc:ZDB-GENE-040426-1443]</t>
  </si>
  <si>
    <t>ENSDARG00000040387</t>
  </si>
  <si>
    <t>mmd</t>
  </si>
  <si>
    <t>monocyte to macrophage differentiation-associated [Source:ZFIN;Acc:ZDB-GENE-051120-39]</t>
  </si>
  <si>
    <t>ENSDARG00000020898</t>
  </si>
  <si>
    <t>cyb5r4</t>
  </si>
  <si>
    <t>cytochrome b5 reductase 4 [Source:ZFIN;Acc:ZDB-GENE-050522-225]</t>
  </si>
  <si>
    <t>ENSDARG00000076763</t>
  </si>
  <si>
    <t>sp2</t>
  </si>
  <si>
    <t>sp2 transcription factor [Source:ZFIN;Acc:ZDB-GENE-080410-1]</t>
  </si>
  <si>
    <t>ENSDARG00000076358</t>
  </si>
  <si>
    <t>BX005329.1</t>
  </si>
  <si>
    <t>ENSDARG00000103309</t>
  </si>
  <si>
    <t>BX664625.3</t>
  </si>
  <si>
    <t>ENSDARG00000075851</t>
  </si>
  <si>
    <t>oafa</t>
  </si>
  <si>
    <t>OAF homolog a (Drosophila) [Source:ZFIN;Acc:ZDB-GENE-090917-1]</t>
  </si>
  <si>
    <t>ENSDARG00000099082</t>
  </si>
  <si>
    <t>BX005085.3</t>
  </si>
  <si>
    <t>ENSDARG00000074231</t>
  </si>
  <si>
    <t>SLC9A3R2</t>
  </si>
  <si>
    <t>solute carrier family 9, subfamily A (NHE3, cation proton antiporter 3), member 3 regulator 2 [Source:HGNC Symbol;Acc:HGNC:11076]</t>
  </si>
  <si>
    <t>ENSDARG00000077179</t>
  </si>
  <si>
    <t>ccdc83</t>
  </si>
  <si>
    <t>coiled-coil domain containing 83 [Source:ZFIN;Acc:ZDB-GENE-130723-1]</t>
  </si>
  <si>
    <t>ENSDARG00000102891</t>
  </si>
  <si>
    <t>ppp1r26</t>
  </si>
  <si>
    <t>protein phosphatase 1, regulatory subunit 26 [Source:ZFIN;Acc:ZDB-GENE-061103-607]</t>
  </si>
  <si>
    <t>ENSDARG00000035515</t>
  </si>
  <si>
    <t>tm2d2</t>
  </si>
  <si>
    <t>TM2 domain containing 2 [Source:ZFIN;Acc:ZDB-GENE-040718-387]</t>
  </si>
  <si>
    <t>ENSDARG00000086881</t>
  </si>
  <si>
    <t>IER2</t>
  </si>
  <si>
    <t>immediate early response 2 [Source:HGNC Symbol;Acc:HGNC:28871]</t>
  </si>
  <si>
    <t>ENSDARG00000078055</t>
  </si>
  <si>
    <t>acd</t>
  </si>
  <si>
    <t>adrenocortical dysplasia homolog [Source:ZFIN;Acc:ZDB-GENE-081022-45]</t>
  </si>
  <si>
    <t>ENSDARG00000073711</t>
  </si>
  <si>
    <t>mmrn2b</t>
  </si>
  <si>
    <t>multimerin 2b [Source:ZFIN;Acc:ZDB-GENE-080415-2]</t>
  </si>
  <si>
    <t>ENSDARG00000105037</t>
  </si>
  <si>
    <t>snrpf</t>
  </si>
  <si>
    <t>small nuclear ribonucleoprotein polypeptide F [Source:ZFIN;Acc:ZDB-GENE-040930-9]</t>
  </si>
  <si>
    <t>ENSDARG00000076142</t>
  </si>
  <si>
    <t>trib1</t>
  </si>
  <si>
    <t>tribbles pseudokinase 1 [Source:ZFIN;Acc:ZDB-GENE-091207-4]</t>
  </si>
  <si>
    <t>ENSDARG00000091111</t>
  </si>
  <si>
    <t>TIFA</t>
  </si>
  <si>
    <t>TRAF-interacting protein with forkhead-associated domain [Source:HGNC Symbol;Acc:HGNC:19075]</t>
  </si>
  <si>
    <t>ENSDARG00000014891</t>
  </si>
  <si>
    <t>robo2.1</t>
  </si>
  <si>
    <t>ENSDARG00000036493</t>
  </si>
  <si>
    <t>PRAMEF9</t>
  </si>
  <si>
    <t>PRAME family member 9 [Source:HGNC Symbol;Acc:HGNC:27996]</t>
  </si>
  <si>
    <t>ENSDARG00000078888</t>
  </si>
  <si>
    <t>iqgap1</t>
  </si>
  <si>
    <t>IQ motif containing GTPase activating protein 1 [Source:ZFIN;Acc:ZDB-GENE-050809-24]</t>
  </si>
  <si>
    <t>ENSDARG00000036424</t>
  </si>
  <si>
    <t>PCDH20</t>
  </si>
  <si>
    <t>protocadherin 20 [Source:HGNC Symbol;Acc:HGNC:14257]</t>
  </si>
  <si>
    <t>ENSDARG00000103670</t>
  </si>
  <si>
    <t>cmc1</t>
  </si>
  <si>
    <t>C-x(9)-C motif containing 1 [Source:ZFIN;Acc:ZDB-GENE-040426-2626]</t>
  </si>
  <si>
    <t>ENSDARG00000099280</t>
  </si>
  <si>
    <t>UTP20</t>
  </si>
  <si>
    <t>UTP20 small subunit processome component [Source:HGNC Symbol;Acc:HGNC:17897]</t>
  </si>
  <si>
    <t>ENSDARG00000100340</t>
  </si>
  <si>
    <t>BX901907.2</t>
  </si>
  <si>
    <t>ENSDARG00000091869</t>
  </si>
  <si>
    <t>zgc:171727</t>
  </si>
  <si>
    <t>zgc:171727 [Source:ZFIN;Acc:ZDB-GENE-071004-26]</t>
  </si>
  <si>
    <t>ENSDARG00000103453</t>
  </si>
  <si>
    <t>zfpl1</t>
  </si>
  <si>
    <t>zinc finger protein-like 1 [Source:ZFIN;Acc:ZDB-GENE-040426-1255]</t>
  </si>
  <si>
    <t>ENSDARG00000075331</t>
  </si>
  <si>
    <t>golga4</t>
  </si>
  <si>
    <t>golgin A4 [Source:ZFIN;Acc:ZDB-GENE-050208-275]</t>
  </si>
  <si>
    <t>ENSDARG00000051892</t>
  </si>
  <si>
    <t>KCNG4</t>
  </si>
  <si>
    <t>potassium channel, voltage gated modifier subfamily G, member 4 [Source:HGNC Symbol;Acc:HGNC:19697]</t>
  </si>
  <si>
    <t>ENSDARG00000039512</t>
  </si>
  <si>
    <t>ap1m3</t>
  </si>
  <si>
    <t>adaptor-related protein complex 1, mu 3 subunit [Source:ZFIN;Acc:ZDB-GENE-040801-159]</t>
  </si>
  <si>
    <t>ENSDARG00000099154</t>
  </si>
  <si>
    <t>CABZ01032488.1</t>
  </si>
  <si>
    <t>ENSDARG00000090401</t>
  </si>
  <si>
    <t>BCL2L14</t>
  </si>
  <si>
    <t>BCL2-like 14 (apoptosis facilitator) [Source:HGNC Symbol;Acc:HGNC:16657]</t>
  </si>
  <si>
    <t>ENSDARG00000098324</t>
  </si>
  <si>
    <t>CABZ01054394.4</t>
  </si>
  <si>
    <t>ENSDARG00000087429</t>
  </si>
  <si>
    <t>si:dkey-73p2.2.1</t>
  </si>
  <si>
    <t>ENSDARG00000100602</t>
  </si>
  <si>
    <t>CR388166.1</t>
  </si>
  <si>
    <t>ENSDARG00000079636</t>
  </si>
  <si>
    <t>fam177a1</t>
  </si>
  <si>
    <t>family with sequence similarity 177, member A1 [Source:ZFIN;Acc:ZDB-GENE-070928-21]</t>
  </si>
  <si>
    <t>ENSDARG00000016594</t>
  </si>
  <si>
    <t>haus4</t>
  </si>
  <si>
    <t>HAUS augmin-like complex, subunit 4 [Source:ZFIN;Acc:ZDB-GENE-040718-122]</t>
  </si>
  <si>
    <t>ENSDARG00000075595</t>
  </si>
  <si>
    <t>BX537341.1</t>
  </si>
  <si>
    <t>ENSDARG00000020948</t>
  </si>
  <si>
    <t>gmcl1</t>
  </si>
  <si>
    <t>germ cell-less, spermatogenesis associated 1 [Source:ZFIN;Acc:ZDB-GENE-030131-865]</t>
  </si>
  <si>
    <t>ENSDARG00000102015</t>
  </si>
  <si>
    <t>MSI1</t>
  </si>
  <si>
    <t>musashi RNA binding protein 1 [Source:HGNC Symbol;Acc:HGNC:7330]</t>
  </si>
  <si>
    <t>ENSDARG00000104842</t>
  </si>
  <si>
    <t>CABZ01085069.1</t>
  </si>
  <si>
    <t>ENSDARG00000067546</t>
  </si>
  <si>
    <t>FAM109B</t>
  </si>
  <si>
    <t>si:ch211-193c2.2 [Source:ZFIN;Acc:ZDB-GENE-041210-163]</t>
  </si>
  <si>
    <t>ENSDARG00000099657</t>
  </si>
  <si>
    <t>AKT1</t>
  </si>
  <si>
    <t>v-akt murine thymoma viral oncogene homolog 1 [Source:HGNC Symbol;Acc:HGNC:391]</t>
  </si>
  <si>
    <t>ENSDARG00000009361</t>
  </si>
  <si>
    <t>CABZ01077220.1</t>
  </si>
  <si>
    <t>ENSDARG00000043281</t>
  </si>
  <si>
    <t>stap2b</t>
  </si>
  <si>
    <t>signal transducing adaptor family member 2b [Source:ZFIN;Acc:ZDB-GENE-040426-2540]</t>
  </si>
  <si>
    <t>ENSDARG00000063435</t>
  </si>
  <si>
    <t>trpm4b.2</t>
  </si>
  <si>
    <t>transient receptor potential cation channel, subfamily M, member 4b, transient receptor potential cation channel, subfamily M, member 4b, tandem duplicate 2 [Source:ZFIN;Acc:ZDB-GENE-061214-2]</t>
  </si>
  <si>
    <t>ENSDARG00000100875</t>
  </si>
  <si>
    <t>GAN</t>
  </si>
  <si>
    <t>gigaxonin [Source:HGNC Symbol;Acc:HGNC:4137]</t>
  </si>
  <si>
    <t>ENSDARG00000045254</t>
  </si>
  <si>
    <t>C7orf50</t>
  </si>
  <si>
    <t>chromosome 7 open reading frame 50 [Source:HGNC Symbol;Acc:HGNC:22421]</t>
  </si>
  <si>
    <t>ENSDARG00000009610</t>
  </si>
  <si>
    <t>rgs12a</t>
  </si>
  <si>
    <t>regulator of G-protein signaling 12a [Source:ZFIN;Acc:ZDB-GENE-030131-2614]</t>
  </si>
  <si>
    <t>ENSDARG00000103647</t>
  </si>
  <si>
    <t>gpc5a</t>
  </si>
  <si>
    <t>glypican 5a [Source:ZFIN;Acc:ZDB-GENE-140106-260]</t>
  </si>
  <si>
    <t>ENSDARG00000087162</t>
  </si>
  <si>
    <t>TMEM102</t>
  </si>
  <si>
    <t>transmembrane protein 102 [Source:HGNC Symbol;Acc:HGNC:26722]</t>
  </si>
  <si>
    <t>ENSDARG00000102500</t>
  </si>
  <si>
    <t>CR589875.1</t>
  </si>
  <si>
    <t>ENSDARG00000075352</t>
  </si>
  <si>
    <t>CABZ01077605.1</t>
  </si>
  <si>
    <t>ENSDARG00000087378</t>
  </si>
  <si>
    <t>zgc:162962</t>
  </si>
  <si>
    <t>zgc:162962 [Source:ZFIN;Acc:ZDB-GENE-070424-76]</t>
  </si>
  <si>
    <t>ENSDARG00000100053</t>
  </si>
  <si>
    <t>CABZ01044099.1</t>
  </si>
  <si>
    <t>ENSDARG00000038901</t>
  </si>
  <si>
    <t>tmem256</t>
  </si>
  <si>
    <t>transmembrane protein 256 [Source:ZFIN;Acc:ZDB-GENE-050417-92]</t>
  </si>
  <si>
    <t>ENSDARG00000101441</t>
  </si>
  <si>
    <t>lima1a</t>
  </si>
  <si>
    <t>LIM domain and actin binding 1a [Source:ZFIN;Acc:ZDB-GENE-001120-1]</t>
  </si>
  <si>
    <t>ENSDARG00000024940</t>
  </si>
  <si>
    <t>rnf144b</t>
  </si>
  <si>
    <t>ring finger protein 144B [Source:ZFIN;Acc:ZDB-GENE-040426-1292]</t>
  </si>
  <si>
    <t>ENSDARG00000068179</t>
  </si>
  <si>
    <t>trib2</t>
  </si>
  <si>
    <t>tribbles pseudokinase 2 [Source:ZFIN;Acc:ZDB-GENE-091207-3]</t>
  </si>
  <si>
    <t>ENSDARG00000045976</t>
  </si>
  <si>
    <t>sidt2</t>
  </si>
  <si>
    <t>SID1 transmembrane family, member 2 [Source:ZFIN;Acc:ZDB-GENE-030131-7356]</t>
  </si>
  <si>
    <t>ENSDARG00000100275</t>
  </si>
  <si>
    <t>NMI</t>
  </si>
  <si>
    <t>N-myc and STAT interactor [Source:HGNC Symbol;Acc:HGNC:7854]</t>
  </si>
  <si>
    <t>ENSDARG00000102748</t>
  </si>
  <si>
    <t>DUT</t>
  </si>
  <si>
    <t>deoxyuridine triphosphatase [Source:HGNC Symbol;Acc:HGNC:3078]</t>
  </si>
  <si>
    <t>ENSDARG00000054515</t>
  </si>
  <si>
    <t>CR925773.1</t>
  </si>
  <si>
    <t>ENSDARG00000099274</t>
  </si>
  <si>
    <t>atxn3</t>
  </si>
  <si>
    <t>ataxin 3 [Source:ZFIN;Acc:ZDB-GENE-040426-983]</t>
  </si>
  <si>
    <t>ENSDARG00000104652</t>
  </si>
  <si>
    <t>CABZ01017723.1</t>
  </si>
  <si>
    <t>ENSDARG00000102471</t>
  </si>
  <si>
    <t>TRAK2</t>
  </si>
  <si>
    <t>trafficking protein, kinesin binding 2 [Source:HGNC Symbol;Acc:HGNC:13206]</t>
  </si>
  <si>
    <t>ENSDARG00000103134</t>
  </si>
  <si>
    <t>zgc:65873</t>
  </si>
  <si>
    <t>zgc:65873 [Source:ZFIN;Acc:ZDB-GENE-040426-1448]</t>
  </si>
  <si>
    <t>ENSDARG00000026024</t>
  </si>
  <si>
    <t>mospd2</t>
  </si>
  <si>
    <t>motile sperm domain containing 2 [Source:ZFIN;Acc:ZDB-GENE-041114-1]</t>
  </si>
  <si>
    <t>ENSDARG00000023472</t>
  </si>
  <si>
    <t>ctnnb2</t>
  </si>
  <si>
    <t>catenin, beta 2 [Source:ZFIN;Acc:ZDB-GENE-040426-2575]</t>
  </si>
  <si>
    <t>ENSDARG00000098327</t>
  </si>
  <si>
    <t>CT573860.1</t>
  </si>
  <si>
    <t>ENSDARG00000079660</t>
  </si>
  <si>
    <t>ZDHHC21</t>
  </si>
  <si>
    <t>zgc:158420 [Source:ZFIN;Acc:ZDB-GENE-080401-2]</t>
  </si>
  <si>
    <t>ENSDARG00000017006</t>
  </si>
  <si>
    <t>dennd5a</t>
  </si>
  <si>
    <t>DENN/MADD domain containing 5A [Source:ZFIN;Acc:ZDB-GENE-071211-1]</t>
  </si>
  <si>
    <t>ENSDARG00000093573</t>
  </si>
  <si>
    <t>BX663505.1</t>
  </si>
  <si>
    <t>ENSDARG00000104559</t>
  </si>
  <si>
    <t>CABZ01073850.1</t>
  </si>
  <si>
    <t>ENSDARG00000098811</t>
  </si>
  <si>
    <t>CABZ01021450.1</t>
  </si>
  <si>
    <t>ENSDARG00000029252</t>
  </si>
  <si>
    <t>ssb</t>
  </si>
  <si>
    <t>Sjogren syndrome antigen B (autoantigen La) [Source:ZFIN;Acc:ZDB-GENE-030131-223]</t>
  </si>
  <si>
    <t>ENSDARG00000101587</t>
  </si>
  <si>
    <t>CABZ01023254.1</t>
  </si>
  <si>
    <t>ENSDARG00000005374</t>
  </si>
  <si>
    <t>tubgcp4</t>
  </si>
  <si>
    <t>tubulin, gamma complex associated protein 4 [Source:ZFIN;Acc:ZDB-GENE-081022-124]</t>
  </si>
  <si>
    <t>ENSDARG00000104600</t>
  </si>
  <si>
    <t>CABZ01070527.1</t>
  </si>
  <si>
    <t>ENSDARG00000100603</t>
  </si>
  <si>
    <t>CABZ01095512.1</t>
  </si>
  <si>
    <t>ENSDARG00000077424</t>
  </si>
  <si>
    <t>rassf10a</t>
  </si>
  <si>
    <t>Ras association (RalGDS/AF-6) domain family (N-terminal) member 10a [Source:ZFIN;Acc:ZDB-GENE-091013-4]</t>
  </si>
  <si>
    <t>ENSDARG00000098705</t>
  </si>
  <si>
    <t>BX005294.1</t>
  </si>
  <si>
    <t>ENSDARG00000010844</t>
  </si>
  <si>
    <t>kras</t>
  </si>
  <si>
    <t>v-Ki-ras2 Kirsten rat sarcoma viral oncogene homolog [Source:ZFIN;Acc:ZDB-GENE-040808-67]</t>
  </si>
  <si>
    <t>ENSDARG00000103008</t>
  </si>
  <si>
    <t>BX324179.3</t>
  </si>
  <si>
    <t>ENSDARG00000098986</t>
  </si>
  <si>
    <t>BX548067.1</t>
  </si>
  <si>
    <t>ENSDARG00000090091</t>
  </si>
  <si>
    <t>si:ch211-238e22.2</t>
  </si>
  <si>
    <t>si:ch211-238e22.2.1</t>
  </si>
  <si>
    <t>si:ch211-238e22.2 [Source:ZFIN;Acc:ZDB-GENE-041210-346]</t>
  </si>
  <si>
    <t>ENSDARG00000089604</t>
  </si>
  <si>
    <t>CABZ01054405.1</t>
  </si>
  <si>
    <t>ENSDARG00000101434</t>
  </si>
  <si>
    <t>slc39a3</t>
  </si>
  <si>
    <t>solute carrier family 39 (zinc transporter), member 3 [Source:ZFIN;Acc:ZDB-GENE-060315-9]</t>
  </si>
  <si>
    <t>ENSDARG00000103822</t>
  </si>
  <si>
    <t>CABZ01081565.1</t>
  </si>
  <si>
    <t>ENSDARG00000098547</t>
  </si>
  <si>
    <t>RNF222</t>
  </si>
  <si>
    <t>ring finger protein 222 [Source:HGNC Symbol;Acc:HGNC:34517]</t>
  </si>
  <si>
    <t>ENSDARG00000035873</t>
  </si>
  <si>
    <t>FJX1</t>
  </si>
  <si>
    <t>four jointed box 1 [Source:HGNC Symbol;Acc:HGNC:17166]</t>
  </si>
  <si>
    <t>ENSDARG00000090752</t>
  </si>
  <si>
    <t>plk2a</t>
  </si>
  <si>
    <t>polo-like kinase 2a (Drosophila) [Source:ZFIN;Acc:ZDB-GENE-060810-71]</t>
  </si>
  <si>
    <t>ENSDARG00000098122</t>
  </si>
  <si>
    <t>BX005085.2</t>
  </si>
  <si>
    <t>ENSDARG00000089705</t>
  </si>
  <si>
    <t>ABCF3</t>
  </si>
  <si>
    <t>ATP binding cassette subfamily F member 3 [Source:HGNC Symbol;Acc:HGNC:72]</t>
  </si>
  <si>
    <t>ENSDARG00000103052</t>
  </si>
  <si>
    <t>pcyox1</t>
  </si>
  <si>
    <t>prenylcysteine oxidase 1 [Source:ZFIN;Acc:ZDB-GENE-050417-98]</t>
  </si>
  <si>
    <t>ENSDARG00000003157</t>
  </si>
  <si>
    <t>nfkbil1</t>
  </si>
  <si>
    <t>nuclear factor of kappa light polypeptide gene enhancer in B-cells inhibitor-like 1 [Source:ZFIN;Acc:ZDB-GENE-040116-7]</t>
  </si>
  <si>
    <t>ENSDARG00000098261</t>
  </si>
  <si>
    <t>rtkn2b.1</t>
  </si>
  <si>
    <t>ENSDARG00000100552</t>
  </si>
  <si>
    <t>TACO1</t>
  </si>
  <si>
    <t>translational activator of cytochrome c oxidase 1-like (LOC100534805), mRNA [Source:RefSeq mRNA;Acc:NM_001316971]</t>
  </si>
  <si>
    <t>ENSDARG00000006889</t>
  </si>
  <si>
    <t>mpped2a</t>
  </si>
  <si>
    <t>metallophosphoesterase domain containing 2a [Source:ZFIN;Acc:ZDB-GENE-050417-241]</t>
  </si>
  <si>
    <t>ENSDARG00000046022</t>
  </si>
  <si>
    <t>tmed7</t>
  </si>
  <si>
    <t>transmembrane p24 trafficking protein 7 [Source:ZFIN;Acc:ZDB-GENE-040426-2570]</t>
  </si>
  <si>
    <t>ENSDARG00000075850</t>
  </si>
  <si>
    <t>gnal2</t>
  </si>
  <si>
    <t>guanine nucleotide binding protein (G protein), alpha activating activity polypeptide, olfactory type 2 [Source:ZFIN;Acc:ZDB-GENE-040718-441]</t>
  </si>
  <si>
    <t>ENSDARG00000076724</t>
  </si>
  <si>
    <t>pi4kaa</t>
  </si>
  <si>
    <t>phosphatidylinositol 4-kinase, catalytic, alpha a [Source:ZFIN;Acc:ZDB-GENE-100204-2]</t>
  </si>
  <si>
    <t>ENSDARG00000008660</t>
  </si>
  <si>
    <t>coro1b</t>
  </si>
  <si>
    <t>coronin, actin binding protein, 1B [Source:ZFIN;Acc:ZDB-GENE-040123-3]</t>
  </si>
  <si>
    <t>ENSDARG00000100339</t>
  </si>
  <si>
    <t>arf4b</t>
  </si>
  <si>
    <t>ADP-ribosylation factor 4b [Source:ZFIN;Acc:ZDB-GENE-050417-205]</t>
  </si>
  <si>
    <t>ENSDARG00000079645</t>
  </si>
  <si>
    <t>sc:d217</t>
  </si>
  <si>
    <t>sc:d217 [Source:ZFIN;Acc:ZDB-GENE-080303-15]</t>
  </si>
  <si>
    <t>ENSDARG00000100981</t>
  </si>
  <si>
    <t>CCDC39</t>
  </si>
  <si>
    <t>coiled-coil domain containing 39 [Source:HGNC Symbol;Acc:HGNC:25244]</t>
  </si>
  <si>
    <t>ENSDARG00000079634</t>
  </si>
  <si>
    <t>filip1b</t>
  </si>
  <si>
    <t>filamin A interacting protein 1b [Source:ZFIN;Acc:ZDB-GENE-030131-1935]</t>
  </si>
  <si>
    <t>ENSDARG00000057114</t>
  </si>
  <si>
    <t>zgc:101819</t>
  </si>
  <si>
    <t>zgc:101819 [Source:ZFIN;Acc:ZDB-GENE-030131-740]</t>
  </si>
  <si>
    <t>ENSDARG00000057465</t>
  </si>
  <si>
    <t>gfpt1.1</t>
  </si>
  <si>
    <t>ENSDARG00000099651</t>
  </si>
  <si>
    <t>bin3</t>
  </si>
  <si>
    <t>bridging integrator 3 [Source:ZFIN;Acc:ZDB-GENE-030131-2696]</t>
  </si>
  <si>
    <t>ENSDARG00000054539</t>
  </si>
  <si>
    <t>LRP10</t>
  </si>
  <si>
    <t>LDL receptor related protein 10 [Source:HGNC Symbol;Acc:HGNC:14553]</t>
  </si>
  <si>
    <t>ENSDARG00000036844</t>
  </si>
  <si>
    <t>tsen54</t>
  </si>
  <si>
    <t>TSEN54 tRNA splicing endonuclease subunit [Source:ZFIN;Acc:ZDB-GENE-050522-454]</t>
  </si>
  <si>
    <t>ENSDARG00000099156</t>
  </si>
  <si>
    <t>katnal1</t>
  </si>
  <si>
    <t>katanin p60 subunit A-like 1 [Source:ZFIN;Acc:ZDB-GENE-041114-141]</t>
  </si>
  <si>
    <t>ENSDARG00000076934</t>
  </si>
  <si>
    <t>WDR60</t>
  </si>
  <si>
    <t>WD repeat domain 60 [Source:HGNC Symbol;Acc:HGNC:21862]</t>
  </si>
  <si>
    <t>ENSDARG00000089893</t>
  </si>
  <si>
    <t>FAM208A</t>
  </si>
  <si>
    <t>family with sequence similarity 208 member A [Source:HGNC Symbol;Acc:HGNC:30314]</t>
  </si>
  <si>
    <t>ENSDARG00000098286</t>
  </si>
  <si>
    <t>CU695232.1</t>
  </si>
  <si>
    <t>ENSDARG00000041011</t>
  </si>
  <si>
    <t>gemin7</t>
  </si>
  <si>
    <t>gem (nuclear organelle) associated protein 7 [Source:EntrezGene;Acc:798703]</t>
  </si>
  <si>
    <t>ENSDARG00000098111</t>
  </si>
  <si>
    <t>BX005448.1</t>
  </si>
  <si>
    <t>ENSDARG00000102772</t>
  </si>
  <si>
    <t>klhdc3</t>
  </si>
  <si>
    <t>kelch domain containing 3 [Source:ZFIN;Acc:ZDB-GENE-040426-2426]</t>
  </si>
  <si>
    <t>ENSDARG00000105073</t>
  </si>
  <si>
    <t>CU655961.6</t>
  </si>
  <si>
    <t>ENSDARG00000099586</t>
  </si>
  <si>
    <t>GTSF1</t>
  </si>
  <si>
    <t>GTSF1.1</t>
  </si>
  <si>
    <t>gametocyte specific factor 1 [Source:HGNC Symbol;Acc:HGNC:26565]</t>
  </si>
  <si>
    <t>ENSDARG00000011777</t>
  </si>
  <si>
    <t>cttn</t>
  </si>
  <si>
    <t>cortactin [Source:ZFIN;Acc:ZDB-GENE-040715-3]</t>
  </si>
  <si>
    <t>ENSDARG00000105295</t>
  </si>
  <si>
    <t>CABZ01084612.1</t>
  </si>
  <si>
    <t>ENSDARG00000099313</t>
  </si>
  <si>
    <t>naga</t>
  </si>
  <si>
    <t>N-acetylgalactosaminidase, alpha [Source:ZFIN;Acc:ZDB-GENE-051113-256]</t>
  </si>
  <si>
    <t>ENSDARG00000089190</t>
  </si>
  <si>
    <t>TANC1</t>
  </si>
  <si>
    <t>tetratricopeptide repeat, ankyrin repeat and coiled-coil containing 1 [Source:HGNC Symbol;Acc:HGNC:29364]</t>
  </si>
  <si>
    <t>ENSDARG00000102311</t>
  </si>
  <si>
    <t>BX572103.3</t>
  </si>
  <si>
    <t>ENSDARG00000074465</t>
  </si>
  <si>
    <t>VPS13C</t>
  </si>
  <si>
    <t>vacuolar protein sorting 13 homolog C (S. cerevisiae) [Source:HGNC Symbol;Acc:HGNC:23594]</t>
  </si>
  <si>
    <t>ENSDARG00000103350</t>
  </si>
  <si>
    <t>trim24</t>
  </si>
  <si>
    <t>tripartite motif containing 24 [Source:ZFIN;Acc:ZDB-GENE-030131-5913]</t>
  </si>
  <si>
    <t>ENSDARG00000077584</t>
  </si>
  <si>
    <t>cln6a</t>
  </si>
  <si>
    <t>ceroid-lipofuscinosis, neuronal 6a [Source:ZFIN;Acc:ZDB-GENE-041010-57]</t>
  </si>
  <si>
    <t>ENSDARG00000100505</t>
  </si>
  <si>
    <t>ddx52</t>
  </si>
  <si>
    <t>DEAD (Asp-Glu-Ala-Asp) box polypeptide 52 [Source:ZFIN;Acc:ZDB-GENE-060623-1]</t>
  </si>
  <si>
    <t>ENSDARG00000077546</t>
  </si>
  <si>
    <t>ZDHHC1</t>
  </si>
  <si>
    <t>zinc finger, DHHC-type containing 1 [Source:HGNC Symbol;Acc:HGNC:17916]</t>
  </si>
  <si>
    <t>ENSDARG00000039750</t>
  </si>
  <si>
    <t>ldlrap1b</t>
  </si>
  <si>
    <t>low density lipoprotein receptor adaptor protein 1b [Source:ZFIN;Acc:ZDB-GENE-070112-1012]</t>
  </si>
  <si>
    <t>ENSDARG00000035133</t>
  </si>
  <si>
    <t>pho</t>
  </si>
  <si>
    <t>phoenix [Source:ZFIN;Acc:ZDB-GENE-030131-5935]</t>
  </si>
  <si>
    <t>ENSDARG00000052033</t>
  </si>
  <si>
    <t>PLPP7</t>
  </si>
  <si>
    <t>phospholipid phosphatase 7 (inactive) [Source:HGNC Symbol;Acc:HGNC:28174]</t>
  </si>
  <si>
    <t>ENSDARG00000099740</t>
  </si>
  <si>
    <t>klc2</t>
  </si>
  <si>
    <t>kinesin light chain 2 [Source:ZFIN;Acc:ZDB-GENE-030131-2670]</t>
  </si>
  <si>
    <t>ENSDARG00000057669</t>
  </si>
  <si>
    <t>SLC9A3R2.1</t>
  </si>
  <si>
    <t>ENSDARG00000103450</t>
  </si>
  <si>
    <t>BX005085.6</t>
  </si>
  <si>
    <t>ENSDARG00000086310</t>
  </si>
  <si>
    <t>zgc:194508</t>
  </si>
  <si>
    <t>zgc:194508 [Source:ZFIN;Acc:ZDB-GENE-081022-119]</t>
  </si>
  <si>
    <t>ENSDARG00000091563</t>
  </si>
  <si>
    <t>snw1</t>
  </si>
  <si>
    <t>SNW domain containing 1 [Source:ZFIN;Acc:ZDB-GENE-030131-571]</t>
  </si>
  <si>
    <t>ENSDARG00000103295</t>
  </si>
  <si>
    <t>cyp3a65</t>
  </si>
  <si>
    <t>cytochrome P450, family 3, subfamily A, polypeptide 65 [Source:ZFIN;Acc:ZDB-GENE-050604-1]</t>
  </si>
  <si>
    <t>ENSDARG00000099366</t>
  </si>
  <si>
    <t>supt4h1</t>
  </si>
  <si>
    <t>SPT4 homolog, DSIF elongation factor subunit [Source:ZFIN;Acc:ZDB-GENE-040718-214]</t>
  </si>
  <si>
    <t>ENSDARG00000100909</t>
  </si>
  <si>
    <t>zgc:173581</t>
  </si>
  <si>
    <t>zgc:173581 [Source:ZFIN;Acc:ZDB-GENE-080212-7]</t>
  </si>
  <si>
    <t>ENSDARG00000102020</t>
  </si>
  <si>
    <t>pnpla3</t>
  </si>
  <si>
    <t>patatin-like phospholipase domain containing 3 [Source:ZFIN;Acc:ZDB-GENE-040718-27]</t>
  </si>
  <si>
    <t>ENSDARG00000099364</t>
  </si>
  <si>
    <t>BX511034.4</t>
  </si>
  <si>
    <t>ENSDARG00000089861</t>
  </si>
  <si>
    <t>usp44</t>
  </si>
  <si>
    <t>ubiquitin specific peptidase 44 [Source:ZFIN;Acc:ZDB-GENE-040426-774]</t>
  </si>
  <si>
    <t>ENSDARG00000102074</t>
  </si>
  <si>
    <t>CR388416.1</t>
  </si>
  <si>
    <t>ENSDARG00000077414</t>
  </si>
  <si>
    <t>zgc:194312</t>
  </si>
  <si>
    <t>zgc:194312 [Source:ZFIN;Acc:ZDB-GENE-081022-102]</t>
  </si>
  <si>
    <t>ENSDARG00000024277</t>
  </si>
  <si>
    <t>pigm</t>
  </si>
  <si>
    <t>phosphatidylinositol glycan anchor biosynthesis, class M [Source:ZFIN;Acc:ZDB-GENE-040426-1393]</t>
  </si>
  <si>
    <t>ENSDARG00000100297</t>
  </si>
  <si>
    <t>BX511020.1</t>
  </si>
  <si>
    <t>ENSDARG00000100294</t>
  </si>
  <si>
    <t>zgc:113209</t>
  </si>
  <si>
    <t>zgc:113209 [Source:ZFIN;Acc:ZDB-GENE-050410-8]</t>
  </si>
  <si>
    <t>ENSDARG00000098278</t>
  </si>
  <si>
    <t>FCGBP</t>
  </si>
  <si>
    <t>Fc fragment of IgG binding protein [Source:HGNC Symbol;Acc:HGNC:13572]</t>
  </si>
  <si>
    <t>ENSDARG00000099238</t>
  </si>
  <si>
    <t>zgc:153845</t>
  </si>
  <si>
    <t>zgc:153845 [Source:ZFIN;Acc:ZDB-GENE-050506-133]</t>
  </si>
  <si>
    <t>ENSDARG00000100359</t>
  </si>
  <si>
    <t>AREL1</t>
  </si>
  <si>
    <t>apoptosis resistant E3 ubiquitin protein ligase 1 [Source:HGNC Symbol;Acc:HGNC:20363]</t>
  </si>
  <si>
    <t>ENSDARG00000078457</t>
  </si>
  <si>
    <t>si:ch211-250e5.16</t>
  </si>
  <si>
    <t>si:ch211-250e5.16 [Source:ZFIN;Acc:ZDB-GENE-030131-6052]</t>
  </si>
  <si>
    <t>ENSDARG00000104400</t>
  </si>
  <si>
    <t>socs3a</t>
  </si>
  <si>
    <t>socs3a.1</t>
  </si>
  <si>
    <t>suppressor of cytokine signaling 3a [Source:ZFIN;Acc:ZDB-GENE-030131-7349]</t>
  </si>
  <si>
    <t>ENSDARG00000060542</t>
  </si>
  <si>
    <t>LGR4</t>
  </si>
  <si>
    <t>Leucine-rich repeat-containing G-protein coupled receptor 4  [Source:UniProtKB/Swiss-Prot;Acc:E7FE13]</t>
  </si>
  <si>
    <t>ENSDARG00000059557</t>
  </si>
  <si>
    <t>xylt2</t>
  </si>
  <si>
    <t>xylosyltransferase II [Source:ZFIN;Acc:ZDB-GENE-081022-125]</t>
  </si>
  <si>
    <t>ENSDARG00000103613</t>
  </si>
  <si>
    <t>TSPAN17</t>
  </si>
  <si>
    <t>tetraspanin 17 [Source:HGNC Symbol;Acc:HGNC:13594]</t>
  </si>
  <si>
    <t>ENSDARG00000098258</t>
  </si>
  <si>
    <t>SLC16A7</t>
  </si>
  <si>
    <t>solute carrier family 16 (monocarboxylate transporter), member 7 [Source:HGNC Symbol;Acc:HGNC:10928]</t>
  </si>
  <si>
    <t>ENSDARG00000068562</t>
  </si>
  <si>
    <t>RBM33</t>
  </si>
  <si>
    <t>RNA binding motif protein 33 [Source:HGNC Symbol;Acc:HGNC:27223]</t>
  </si>
  <si>
    <t>ENSDARG00000098332</t>
  </si>
  <si>
    <t>zgc:112970</t>
  </si>
  <si>
    <t>zgc:112970 [Source:ZFIN;Acc:ZDB-GENE-050327-83]</t>
  </si>
  <si>
    <t>ENSDARG00000086647</t>
  </si>
  <si>
    <t>chrng</t>
  </si>
  <si>
    <t>cholinergic receptor, nicotinic, gamma [Source:ZFIN;Acc:ZDB-GENE-030131-3805]</t>
  </si>
  <si>
    <t>ENSDARG00000089361</t>
  </si>
  <si>
    <t>wu:fb59d01</t>
  </si>
  <si>
    <t>wu:fb59d01 [Source:ZFIN;Acc:ZDB-GENE-030131-1098]</t>
  </si>
  <si>
    <t>ENSDARG00000087191</t>
  </si>
  <si>
    <t>WDR93</t>
  </si>
  <si>
    <t>WD repeat domain 93 [Source:HGNC Symbol;Acc:HGNC:26924]</t>
  </si>
  <si>
    <t>ENSDARG00000099331</t>
  </si>
  <si>
    <t>CABZ01064859.1</t>
  </si>
  <si>
    <t>ENSDARG00000045980</t>
  </si>
  <si>
    <t>cst14b.1</t>
  </si>
  <si>
    <t>cystatin 14b, tandem duplicate 1 [Source:ZFIN;Acc:ZDB-GENE-061013-189]</t>
  </si>
  <si>
    <t>ENSDARG00000001950</t>
  </si>
  <si>
    <t>ak1</t>
  </si>
  <si>
    <t>adenylate kinase 1 [Source:ZFIN;Acc:ZDB-GENE-040822-37]</t>
  </si>
  <si>
    <t>ENSDARG00000043247</t>
  </si>
  <si>
    <t>gtf3c3</t>
  </si>
  <si>
    <t>general transcription factor IIIC, polypeptide 3 [Source:ZFIN;Acc:ZDB-GENE-040914-80]</t>
  </si>
  <si>
    <t>ENSDARG00000041215</t>
  </si>
  <si>
    <t>cetn4</t>
  </si>
  <si>
    <t>centrin 4 [Source:ZFIN;Acc:ZDB-GENE-030826-21]</t>
  </si>
  <si>
    <t>ENSDARG00000100513</t>
  </si>
  <si>
    <t>rps27.2.1</t>
  </si>
  <si>
    <t>ENSDARG00000104762</t>
  </si>
  <si>
    <t>BX530097.1</t>
  </si>
  <si>
    <t>ENSDARG00000103234</t>
  </si>
  <si>
    <t>ppie</t>
  </si>
  <si>
    <t>peptidylprolyl isomerase E (cyclophilin E) [Source:ZFIN;Acc:ZDB-GENE-050417-167]</t>
  </si>
  <si>
    <t>ENSDARG00000102691</t>
  </si>
  <si>
    <t>BX649556.2</t>
  </si>
  <si>
    <t>ENSDARG00000077605</t>
  </si>
  <si>
    <t>FRRS1</t>
  </si>
  <si>
    <t>ferric-chelate reductase 1 [Source:HGNC Symbol;Acc:HGNC:27622]</t>
  </si>
  <si>
    <t>ENSDARG00000099624</t>
  </si>
  <si>
    <t>chmp1b</t>
  </si>
  <si>
    <t>chromatin modifying protein 1B [Source:ZFIN;Acc:ZDB-GENE-030131-8370]</t>
  </si>
  <si>
    <t>ENSDARG00000036414</t>
  </si>
  <si>
    <t>CU019646.1</t>
  </si>
  <si>
    <t>ENSDARG00000104484</t>
  </si>
  <si>
    <t>itgb1b</t>
  </si>
  <si>
    <t>integrin, beta 1b [Source:ZFIN;Acc:ZDB-GENE-030909-10]</t>
  </si>
  <si>
    <t>ENSDARG00000098695</t>
  </si>
  <si>
    <t>VCL</t>
  </si>
  <si>
    <t>vinculin [Source:HGNC Symbol;Acc:HGNC:12665]</t>
  </si>
  <si>
    <t>ENSDARG00000104672</t>
  </si>
  <si>
    <t>CABZ01074397.1</t>
  </si>
  <si>
    <t>ENSDARG00000101754</t>
  </si>
  <si>
    <t>BX664622.3</t>
  </si>
  <si>
    <t>ENSDARG00000104620</t>
  </si>
  <si>
    <t>FSIP1</t>
  </si>
  <si>
    <t>fibrous sheath interacting protein 1 [Source:HGNC Symbol;Acc:HGNC:21674]</t>
  </si>
  <si>
    <t>ENSDARG00000101752</t>
  </si>
  <si>
    <t>PLEKHG5</t>
  </si>
  <si>
    <t>pleckstrin homology and RhoGEF domain containing G5 [Source:HGNC Symbol;Acc:HGNC:29105]</t>
  </si>
  <si>
    <t>ENSDARG00000069425</t>
  </si>
  <si>
    <t>hsbp1a</t>
  </si>
  <si>
    <t>heat shock factor binding protein 1a [Source:ZFIN;Acc:ZDB-GENE-050320-136]</t>
  </si>
  <si>
    <t>ENSDARG00000006288</t>
  </si>
  <si>
    <t>prdm5</t>
  </si>
  <si>
    <t>PR domain containing 5 [Source:ZFIN;Acc:ZDB-GENE-040708-1]</t>
  </si>
  <si>
    <t>ENSDARG00000074790</t>
  </si>
  <si>
    <t>c23h20orf24</t>
  </si>
  <si>
    <t>c23h20orf24 homolog (H. sapiens) [Source:ZFIN;Acc:ZDB-GENE-030131-5938]</t>
  </si>
  <si>
    <t>ENSDARG00000100585</t>
  </si>
  <si>
    <t>coa3a</t>
  </si>
  <si>
    <t>cytochrome C oxidase assembly factor 3a [Source:ZFIN;Acc:ZDB-GENE-060810-187]</t>
  </si>
  <si>
    <t>ENSDARG00000078388</t>
  </si>
  <si>
    <t>GLIS2</t>
  </si>
  <si>
    <t>GLIS family zinc finger 2 [Source:HGNC Symbol;Acc:HGNC:29450]</t>
  </si>
  <si>
    <t>ENSDARG00000098687</t>
  </si>
  <si>
    <t>pygo1</t>
  </si>
  <si>
    <t>pygopus family PHD finger 1 [Source:ZFIN;Acc:ZDB-GENE-080204-62]</t>
  </si>
  <si>
    <t>ENSDARG00000086084</t>
  </si>
  <si>
    <t>CU571170.2</t>
  </si>
  <si>
    <t>ENSDARG00000016213</t>
  </si>
  <si>
    <t>BX088711.1</t>
  </si>
  <si>
    <t>ENSDARG00000105114</t>
  </si>
  <si>
    <t>crebrf</t>
  </si>
  <si>
    <t>creb3 regulatory factor [Source:ZFIN;Acc:ZDB-GENE-120203-3]</t>
  </si>
  <si>
    <t>ENSDARG00000077085</t>
  </si>
  <si>
    <t>zgc:110821</t>
  </si>
  <si>
    <t>zgc:110821 [Source:ZFIN;Acc:ZDB-GENE-050227-8]</t>
  </si>
  <si>
    <t>ENSDARG00000098602</t>
  </si>
  <si>
    <t>CABZ01001434.1</t>
  </si>
  <si>
    <t>ENSDARG00000087188</t>
  </si>
  <si>
    <t>nfil3-6</t>
  </si>
  <si>
    <t>nuclear factor, interleukin 3 regulated, member 6 [Source:ZFIN;Acc:ZDB-GENE-040704-63]</t>
  </si>
  <si>
    <t>ENSDARG00000026892</t>
  </si>
  <si>
    <t>gpatch11</t>
  </si>
  <si>
    <t>G patch domain containing 11 [Source:ZFIN;Acc:ZDB-GENE-040718-89]</t>
  </si>
  <si>
    <t>ENSDARG00000077018</t>
  </si>
  <si>
    <t>socs7</t>
  </si>
  <si>
    <t>suppressor of cytokine signaling 7 [Source:ZFIN;Acc:ZDB-GENE-080204-125]</t>
  </si>
  <si>
    <t>ENSDARG00000068738</t>
  </si>
  <si>
    <t>cox5b2</t>
  </si>
  <si>
    <t>cytochrome c oxidase subunit Vb 2 [Source:ZFIN;Acc:ZDB-GENE-060825-71]</t>
  </si>
  <si>
    <t>ENSDARG00000100710</t>
  </si>
  <si>
    <t>tmem254</t>
  </si>
  <si>
    <t>transmembrane protein 254 [Source:ZFIN;Acc:ZDB-GENE-040426-1348]</t>
  </si>
  <si>
    <t>ENSDARG00000038473</t>
  </si>
  <si>
    <t>ube2d3</t>
  </si>
  <si>
    <t>ubiquitin-conjugating enzyme E2D 3 [Source:ZFIN;Acc:ZDB-GENE-030131-551]</t>
  </si>
  <si>
    <t>ENSDARG00000102915</t>
  </si>
  <si>
    <t>HINT2</t>
  </si>
  <si>
    <t>histidine triad nucleotide binding protein 2 [Source:HGNC Symbol;Acc:HGNC:18344]</t>
  </si>
  <si>
    <t>ENSDARG00000086033</t>
  </si>
  <si>
    <t>tspan5a</t>
  </si>
  <si>
    <t>tetraspanin 5a [Source:ZFIN;Acc:ZDB-GENE-041010-145]</t>
  </si>
  <si>
    <t>ENSDARG00000003795</t>
  </si>
  <si>
    <t>IDH2</t>
  </si>
  <si>
    <t>isocitrate dehydrogenase 2 (NADP+), mitochondrial [Source:HGNC Symbol;Acc:HGNC:5383]</t>
  </si>
  <si>
    <t>ENSDARG00000061850</t>
  </si>
  <si>
    <t>CR847986.1</t>
  </si>
  <si>
    <t>ENSDARG00000100788</t>
  </si>
  <si>
    <t>TRIP10</t>
  </si>
  <si>
    <t>thyroid hormone receptor interactor 10 [Source:HGNC Symbol;Acc:HGNC:12304]</t>
  </si>
  <si>
    <t>ENSDARG00000004492</t>
  </si>
  <si>
    <t>pcyt1ab</t>
  </si>
  <si>
    <t>phosphate cytidylyltransferase 1, choline, alpha b [Source:ZFIN;Acc:ZDB-GENE-050522-114]</t>
  </si>
  <si>
    <t>ENSDARG00000103200</t>
  </si>
  <si>
    <t>gpr107</t>
  </si>
  <si>
    <t>G protein-coupled receptor 107 [Source:ZFIN;Acc:ZDB-GENE-061103-130]</t>
  </si>
  <si>
    <t>ENSDARG00000098976</t>
  </si>
  <si>
    <t>CU457778.1</t>
  </si>
  <si>
    <t>ENSDARG00000103275</t>
  </si>
  <si>
    <t>BX571691.1</t>
  </si>
  <si>
    <t>ENSDARG00000056722</t>
  </si>
  <si>
    <t>cd99l2</t>
  </si>
  <si>
    <t>CD99 molecule-like 2 [Source:ZFIN;Acc:ZDB-GENE-030131-1986]</t>
  </si>
  <si>
    <t>ENSDARG00000087096</t>
  </si>
  <si>
    <t>CR847847.1</t>
  </si>
  <si>
    <t>ENSDARG00000027501</t>
  </si>
  <si>
    <t>usp20</t>
  </si>
  <si>
    <t>ubiquitin specific peptidase 20 [Source:ZFIN;Acc:ZDB-GENE-040426-1219]</t>
  </si>
  <si>
    <t>ENSDARG00000054584</t>
  </si>
  <si>
    <t>FO681288.1</t>
  </si>
  <si>
    <t>ENSDARG00000101334</t>
  </si>
  <si>
    <t>ctsc</t>
  </si>
  <si>
    <t>cathepsin C [Source:ZFIN;Acc:ZDB-GENE-030619-9]</t>
  </si>
  <si>
    <t>ENSDARG00000098686</t>
  </si>
  <si>
    <t>tmprss2</t>
  </si>
  <si>
    <t>transmembrane protease, serine 2 [Source:ZFIN;Acc:ZDB-GENE-041212-48]</t>
  </si>
  <si>
    <t>ENSDARG00000103312</t>
  </si>
  <si>
    <t>CU469384.1</t>
  </si>
  <si>
    <t>ENSDARG00000099775</t>
  </si>
  <si>
    <t>CABZ01074309.1</t>
  </si>
  <si>
    <t>ENSDARG00000098959</t>
  </si>
  <si>
    <t>CABZ01113771.1</t>
  </si>
  <si>
    <t>ENSDARG00000086365</t>
  </si>
  <si>
    <t>BX004816.3</t>
  </si>
  <si>
    <t>ENSDARG00000101636</t>
  </si>
  <si>
    <t>zgc:64201</t>
  </si>
  <si>
    <t>zgc:64201 [Source:ZFIN;Acc:ZDB-GENE-040426-1402]</t>
  </si>
  <si>
    <t>ENSDARG00000017431</t>
  </si>
  <si>
    <t>fam63b</t>
  </si>
  <si>
    <t>family with sequence similarity 63, member B [Source:ZFIN;Acc:ZDB-GENE-030616-328]</t>
  </si>
  <si>
    <t>ENSDARG00000076440</t>
  </si>
  <si>
    <t>btbd6a</t>
  </si>
  <si>
    <t>BTB (POZ) domain containing 6a [Source:ZFIN;Acc:ZDB-GENE-080218-26]</t>
  </si>
  <si>
    <t>ENSDARG00000099753</t>
  </si>
  <si>
    <t>zgc:63863</t>
  </si>
  <si>
    <t>zgc:63863 [Source:ZFIN;Acc:ZDB-GENE-040426-1278]</t>
  </si>
  <si>
    <t>ENSDARG00000036548</t>
  </si>
  <si>
    <t>s1pr2</t>
  </si>
  <si>
    <t>sphingosine-1-phosphate receptor 2 [Source:ZFIN;Acc:ZDB-GENE-020123-2]</t>
  </si>
  <si>
    <t>ENSDARG00000015851</t>
  </si>
  <si>
    <t>pnn</t>
  </si>
  <si>
    <t>pinin, desmosome associated protein [Source:ZFIN;Acc:ZDB-GENE-060519-3]</t>
  </si>
  <si>
    <t>ENSDARG00000004161</t>
  </si>
  <si>
    <t>ik</t>
  </si>
  <si>
    <t>IK cytokine [Source:ZFIN;Acc:ZDB-GENE-030131-960]</t>
  </si>
  <si>
    <t>ENSDARG00000030022</t>
  </si>
  <si>
    <t>nup188</t>
  </si>
  <si>
    <t>nucleoporin 188 [Source:ZFIN;Acc:ZDB-GENE-030131-7184]</t>
  </si>
  <si>
    <t>ENSDARG00000039322</t>
  </si>
  <si>
    <t>CABZ01088149.1</t>
  </si>
  <si>
    <t>ENSDARG00000100374</t>
  </si>
  <si>
    <t>txnrd1</t>
  </si>
  <si>
    <t>thioredoxin reductase 1 [Source:ZFIN;Acc:ZDB-GENE-030327-2]</t>
  </si>
  <si>
    <t>ENSDARG00000058284</t>
  </si>
  <si>
    <t>EPHA5</t>
  </si>
  <si>
    <t>EPH receptor A5 [Source:HGNC Symbol;Acc:HGNC:3389]</t>
  </si>
  <si>
    <t>ENSDARG00000099113</t>
  </si>
  <si>
    <t>UNC13B</t>
  </si>
  <si>
    <t>unc-13 homolog B (C. elegans) [Source:HGNC Symbol;Acc:HGNC:12566]</t>
  </si>
  <si>
    <t>ENSDARG00000032650</t>
  </si>
  <si>
    <t>FUK</t>
  </si>
  <si>
    <t>fucokinase [Source:HGNC Symbol;Acc:HGNC:29500]</t>
  </si>
  <si>
    <t>ENSDARG00000093082</t>
  </si>
  <si>
    <t>CABZ01059412.1</t>
  </si>
  <si>
    <t>ENSDARG00000071588</t>
  </si>
  <si>
    <t>BX539307.1</t>
  </si>
  <si>
    <t>ENSDARG00000056798</t>
  </si>
  <si>
    <t>zgc:123297</t>
  </si>
  <si>
    <t>zgc:123297 [Source:ZFIN;Acc:ZDB-GENE-051127-9]</t>
  </si>
  <si>
    <t>ENSDARG00000089863</t>
  </si>
  <si>
    <t>CCDC57</t>
  </si>
  <si>
    <t>coiled-coil domain-containing protein 57  [Source:RefSeq peptide;Acc:NP_001188491]</t>
  </si>
  <si>
    <t>ENSDARG00000079946</t>
  </si>
  <si>
    <t>sqlea</t>
  </si>
  <si>
    <t>squalene epoxidase a [Source:ZFIN;Acc:ZDB-GENE-071004-98]</t>
  </si>
  <si>
    <t>ENSDARG00000081895</t>
  </si>
  <si>
    <t>SNORA9</t>
  </si>
  <si>
    <t>Small nucleolar RNA SNORA9 [Source:RFAM;Acc:RF00411]</t>
  </si>
  <si>
    <t>ENSDARG00000100873</t>
  </si>
  <si>
    <t>NDUFAF3</t>
  </si>
  <si>
    <t>NADH:ubiquinone oxidoreductase complex assembly factor 3 [Source:HGNC Symbol;Acc:HGNC:29918]</t>
  </si>
  <si>
    <t>ENSDARG00000008461</t>
  </si>
  <si>
    <t>anapc5</t>
  </si>
  <si>
    <t>anaphase promoting complex subunit 5 [Source:ZFIN;Acc:ZDB-GENE-030131-1574]</t>
  </si>
  <si>
    <t>ENSDARG00000003642</t>
  </si>
  <si>
    <t>zfyve19</t>
  </si>
  <si>
    <t>zinc finger, FYVE domain containing 19 [Source:ZFIN;Acc:ZDB-GENE-040718-109]</t>
  </si>
  <si>
    <t>ENSDARG00000077445</t>
  </si>
  <si>
    <t>hip1ra</t>
  </si>
  <si>
    <t>huntingtin interacting protein 1 related a [Source:ZFIN;Acc:ZDB-GENE-040718-71]</t>
  </si>
  <si>
    <t>ENSDARG00000090548</t>
  </si>
  <si>
    <t>CR753886.1</t>
  </si>
  <si>
    <t>ENSDARG00000036094</t>
  </si>
  <si>
    <t>PIAS1</t>
  </si>
  <si>
    <t>protein inhibitor of activated STAT 1 [Source:HGNC Symbol;Acc:HGNC:2752]</t>
  </si>
  <si>
    <t>ENSDARG00000036096</t>
  </si>
  <si>
    <t>smad3a</t>
  </si>
  <si>
    <t>SMAD family member 3a [Source:ZFIN;Acc:ZDB-GENE-000509-3]</t>
  </si>
  <si>
    <t>ENSDARG00000100107</t>
  </si>
  <si>
    <t>ubald2</t>
  </si>
  <si>
    <t>UBA-like domain containing 2 [Source:ZFIN;Acc:ZDB-GENE-050522-185]</t>
  </si>
  <si>
    <t>ENSDARG00000099865</t>
  </si>
  <si>
    <t>hnrnpabb</t>
  </si>
  <si>
    <t>heterogeneous nuclear ribonucleoprotein A/Bb [Source:ZFIN;Acc:ZDB-GENE-040426-2516]</t>
  </si>
  <si>
    <t>ENSDARG00000041502</t>
  </si>
  <si>
    <t>tgfb1a</t>
  </si>
  <si>
    <t>transforming growth factor, beta 1a [Source:ZFIN;Acc:ZDB-GENE-030618-1]</t>
  </si>
  <si>
    <t>ENSDARG00000038585</t>
  </si>
  <si>
    <t>eif4e2</t>
  </si>
  <si>
    <t>eukaryotic translation initiation factor 4E family member 2 [Source:ZFIN;Acc:ZDB-GENE-050327-59]</t>
  </si>
  <si>
    <t>ENSDARG00000103771</t>
  </si>
  <si>
    <t>cep128</t>
  </si>
  <si>
    <t>centrosomal protein 128 [Source:ZFIN;Acc:ZDB-GENE-070410-34]</t>
  </si>
  <si>
    <t>ENSDARG00000030340</t>
  </si>
  <si>
    <t>guk1a</t>
  </si>
  <si>
    <t>guanylate kinase 1a [Source:ZFIN;Acc:ZDB-GENE-040625-130]</t>
  </si>
  <si>
    <t>ENSDARG00000004647</t>
  </si>
  <si>
    <t>spice1</t>
  </si>
  <si>
    <t>spindle and centriole associated protein 1 [Source:ZFIN;Acc:ZDB-GENE-041212-64]</t>
  </si>
  <si>
    <t>ENSDARG00000021789</t>
  </si>
  <si>
    <t>myoc</t>
  </si>
  <si>
    <t>myocilin [Source:ZFIN;Acc:ZDB-GENE-050425-2]</t>
  </si>
  <si>
    <t>ENSDARG00000100838</t>
  </si>
  <si>
    <t>BX640584.3</t>
  </si>
  <si>
    <t>ENSDARG00000103958</t>
  </si>
  <si>
    <t>BX572103.6</t>
  </si>
  <si>
    <t>ENSDARG00000105195</t>
  </si>
  <si>
    <t>dnajc21</t>
  </si>
  <si>
    <t>DnaJ (Hsp40) homolog, subfamily C, member 21 [Source:ZFIN;Acc:ZDB-GENE-030131-8928]</t>
  </si>
  <si>
    <t>ENSDARG00000088367</t>
  </si>
  <si>
    <t>CABZ01069016.1</t>
  </si>
  <si>
    <t>ENSDARG00000079839</t>
  </si>
  <si>
    <t>arrdc1b</t>
  </si>
  <si>
    <t>arrestin domain containing 1b [Source:ZFIN;Acc:ZDB-GENE-080515-2]</t>
  </si>
  <si>
    <t>ENSDARG00000103993</t>
  </si>
  <si>
    <t>SCG2</t>
  </si>
  <si>
    <t>secretogranin II [Source:HGNC Symbol;Acc:HGNC:10575]</t>
  </si>
  <si>
    <t>ENSDARG00000105074</t>
  </si>
  <si>
    <t>BX000701.4</t>
  </si>
  <si>
    <t>ENSDARG00000102738</t>
  </si>
  <si>
    <t>si:ch73-138e16.8</t>
  </si>
  <si>
    <t>si:ch73-138e16.8 [Source:ZFIN;Acc:ZDB-GENE-070705-207]</t>
  </si>
  <si>
    <t>ENSDARG00000101112</t>
  </si>
  <si>
    <t>FO704777.1</t>
  </si>
  <si>
    <t>ENSDARG00000042717</t>
  </si>
  <si>
    <t>adipor1b</t>
  </si>
  <si>
    <t>adiponectin receptor 1b [Source:ZFIN;Acc:ZDB-GENE-040426-2896]</t>
  </si>
  <si>
    <t>ENSDARG00000100186</t>
  </si>
  <si>
    <t>CLCC1</t>
  </si>
  <si>
    <t>chloride channel CLIC-like 1 [Source:HGNC Symbol;Acc:HGNC:29675]</t>
  </si>
  <si>
    <t>ENSDARG00000104874</t>
  </si>
  <si>
    <t>FZD6</t>
  </si>
  <si>
    <t>frizzled class receptor 6 [Source:HGNC Symbol;Acc:HGNC:4044]</t>
  </si>
  <si>
    <t>ENSDARG00000101256</t>
  </si>
  <si>
    <t>EIF4G1</t>
  </si>
  <si>
    <t>eukaryotic translation initiation factor 4 gamma, 1 [Source:HGNC Symbol;Acc:HGNC:3296]</t>
  </si>
  <si>
    <t>ENSDARG00000005713</t>
  </si>
  <si>
    <t>ethe1</t>
  </si>
  <si>
    <t>ethylmalonic encephalopathy 1 [Source:ZFIN;Acc:ZDB-GENE-040426-2503]</t>
  </si>
  <si>
    <t>ENSDARG00000103184</t>
  </si>
  <si>
    <t>PAMR1</t>
  </si>
  <si>
    <t>peptidase domain containing associated with muscle regeneration 1 [Source:HGNC Symbol;Acc:HGNC:24554]</t>
  </si>
  <si>
    <t>ENSDARG00000036929</t>
  </si>
  <si>
    <t>rnf139</t>
  </si>
  <si>
    <t>ring finger protein 139 [Source:ZFIN;Acc:ZDB-GENE-080401-4]</t>
  </si>
  <si>
    <t>ENSDARG00000098925</t>
  </si>
  <si>
    <t>prdm1b</t>
  </si>
  <si>
    <t>PR domain containing 1b, with ZNF domain [Source:ZFIN;Acc:ZDB-GENE-080618-2]</t>
  </si>
  <si>
    <t>ENSDARG00000078011</t>
  </si>
  <si>
    <t>NAV1</t>
  </si>
  <si>
    <t>neuron navigator 1 [Source:HGNC Symbol;Acc:HGNC:15989]</t>
  </si>
  <si>
    <t>ENSDARG00000102335</t>
  </si>
  <si>
    <t>ano1</t>
  </si>
  <si>
    <t>anoctamin 1, calcium activated chloride channel [Source:ZFIN;Acc:ZDB-GENE-121127-3]</t>
  </si>
  <si>
    <t>ENSDARG00000095120</t>
  </si>
  <si>
    <t>CU570881.3</t>
  </si>
  <si>
    <t>ENSDARG00000098414</t>
  </si>
  <si>
    <t>ninl</t>
  </si>
  <si>
    <t>ninl.1</t>
  </si>
  <si>
    <t>ninein-like [Source:ZFIN;Acc:ZDB-GENE-130530-768]</t>
  </si>
  <si>
    <t>ENSDARG00000090988</t>
  </si>
  <si>
    <t>larsa.1</t>
  </si>
  <si>
    <t>ENSDARG00000078118</t>
  </si>
  <si>
    <t>fam60al.1</t>
  </si>
  <si>
    <t>ENSDARG00000010654</t>
  </si>
  <si>
    <t>ARHGAP42</t>
  </si>
  <si>
    <t>Rho GTPase activating protein 42 [Source:HGNC Symbol;Acc:HGNC:26545]</t>
  </si>
  <si>
    <t>ENSDARG00000101974</t>
  </si>
  <si>
    <t>CABZ01021454.1</t>
  </si>
  <si>
    <t>ENSDARG00000098693</t>
  </si>
  <si>
    <t>CABZ01066717.1</t>
  </si>
  <si>
    <t>ENSDARG00000101285</t>
  </si>
  <si>
    <t>anapc15</t>
  </si>
  <si>
    <t>anaphase promoting complex subunit 15 [Source:ZFIN;Acc:ZDB-GENE-060825-43]</t>
  </si>
  <si>
    <t>ENSDARG00000085497</t>
  </si>
  <si>
    <t>RNaseP_nuc</t>
  </si>
  <si>
    <t>Nuclear RNase P [Source:RFAM;Acc:RF00009]</t>
  </si>
  <si>
    <t>ENSDARG00000090770</t>
  </si>
  <si>
    <t>RNF31</t>
  </si>
  <si>
    <t>ring finger protein 31 [Source:HGNC Symbol;Acc:HGNC:16031]</t>
  </si>
  <si>
    <t>ENSDARG00000053990</t>
  </si>
  <si>
    <t>hmgb2b</t>
  </si>
  <si>
    <t>high mobility group box 2b [Source:ZFIN;Acc:ZDB-GENE-040912-122]</t>
  </si>
  <si>
    <t>ENSDARG00000020976</t>
  </si>
  <si>
    <t>ubald1b</t>
  </si>
  <si>
    <t>UBA-like domain containing 1b [Source:ZFIN;Acc:ZDB-GENE-050522-446]</t>
  </si>
  <si>
    <t>ENSDARG00000100394</t>
  </si>
  <si>
    <t>lnpep</t>
  </si>
  <si>
    <t>leucyl/cystinyl aminopeptidase [Source:ZFIN;Acc:ZDB-GENE-030131-1534]</t>
  </si>
  <si>
    <t>ENSDARG00000103011</t>
  </si>
  <si>
    <t>WHAMM</t>
  </si>
  <si>
    <t>WAS protein homolog associated with actin, golgi membranes and microtubules [Source:HGNC Symbol;Acc:HGNC:30493]</t>
  </si>
  <si>
    <t>ENSDARG00000058869</t>
  </si>
  <si>
    <t>NEK3</t>
  </si>
  <si>
    <t>NIMA-related kinase 3 [Source:HGNC Symbol;Acc:HGNC:7746]</t>
  </si>
  <si>
    <t>ENSDARG00000052344</t>
  </si>
  <si>
    <t>tbl3</t>
  </si>
  <si>
    <t>transducin (beta)-like 3 [Source:ZFIN;Acc:ZDB-GENE-041114-104]</t>
  </si>
  <si>
    <t>ENSDARG00000040326</t>
  </si>
  <si>
    <t>DHX29</t>
  </si>
  <si>
    <t>DEAH (Asp-Glu-Ala-His) box polypeptide 29 [Source:HGNC Symbol;Acc:HGNC:15815]</t>
  </si>
  <si>
    <t>ENSDARG00000043131</t>
  </si>
  <si>
    <t>BX664625.1</t>
  </si>
  <si>
    <t>ENSDARG00000007244</t>
  </si>
  <si>
    <t>acp2</t>
  </si>
  <si>
    <t>acid phosphatase 2, lysosomal [Source:ZFIN;Acc:ZDB-GENE-050306-40]</t>
  </si>
  <si>
    <t>ENSDARG00000052182</t>
  </si>
  <si>
    <t>rbfox2</t>
  </si>
  <si>
    <t>RNA binding protein, fox-1 homolog (C. elegans) 2 [Source:ZFIN;Acc:ZDB-GENE-040426-2464]</t>
  </si>
  <si>
    <t>ENSDARG00000098325</t>
  </si>
  <si>
    <t>PPP1R36</t>
  </si>
  <si>
    <t>protein phosphatase 1 regulatory subunit 36 [Source:HGNC Symbol;Acc:HGNC:20097]</t>
  </si>
  <si>
    <t>ENSDARG00000099653</t>
  </si>
  <si>
    <t>psmd2</t>
  </si>
  <si>
    <t>proteasome 26S subunit, non-ATPase 2 [Source:ZFIN;Acc:ZDB-GENE-040426-1480]</t>
  </si>
  <si>
    <t>ENSDARG00000079012</t>
  </si>
  <si>
    <t>CBFA2T3</t>
  </si>
  <si>
    <t>core-binding factor, runt domain, alpha subunit 2; translocated to, 3 [Source:HGNC Symbol;Acc:HGNC:1537]</t>
  </si>
  <si>
    <t>ENSDARG00000020397</t>
  </si>
  <si>
    <t>snx15</t>
  </si>
  <si>
    <t>sorting nexin 15 [Source:ZFIN;Acc:ZDB-GENE-040426-1377]</t>
  </si>
  <si>
    <t>ENSDARG00000103521</t>
  </si>
  <si>
    <t>capsla</t>
  </si>
  <si>
    <t>calcyphosine-like a [Source:ZFIN;Acc:ZDB-GENE-030131-7291]</t>
  </si>
  <si>
    <t>ENSDARG00000100746</t>
  </si>
  <si>
    <t>FQ323096.1</t>
  </si>
  <si>
    <t>ENSDARG00000102252</t>
  </si>
  <si>
    <t>USP34</t>
  </si>
  <si>
    <t>ubiquitin specific peptidase 34 [Source:HGNC Symbol;Acc:HGNC:20066]</t>
  </si>
  <si>
    <t>ENSDARG00000017217</t>
  </si>
  <si>
    <t>igsf11</t>
  </si>
  <si>
    <t>immunoglobulin superfamily member 11 [Source:ZFIN;Acc:ZDB-GENE-080303-21]</t>
  </si>
  <si>
    <t>ENSDARG00000102302</t>
  </si>
  <si>
    <t>WDR48</t>
  </si>
  <si>
    <t>WD repeat domain 48 [Source:HGNC Symbol;Acc:HGNC:30914]</t>
  </si>
  <si>
    <t>ENSDARG00000039182</t>
  </si>
  <si>
    <t>cacna2d2a</t>
  </si>
  <si>
    <t>calcium channel, voltage-dependent, alpha 2/delta subunit 2a [Source:ZFIN;Acc:ZDB-GENE-050320-71]</t>
  </si>
  <si>
    <t>ENSDARG00000003041</t>
  </si>
  <si>
    <t>CABZ01111496.1</t>
  </si>
  <si>
    <t>ENSDARG00000034086</t>
  </si>
  <si>
    <t>zgc:65895</t>
  </si>
  <si>
    <t>zgc:65895 [Source:ZFIN;Acc:ZDB-GENE-040426-1466]</t>
  </si>
  <si>
    <t>ENSDARG00000008703</t>
  </si>
  <si>
    <t>apeh</t>
  </si>
  <si>
    <t>acylaminoacyl-peptide hydrolase [Source:ZFIN;Acc:ZDB-GENE-030131-9870]</t>
  </si>
  <si>
    <t>ENSDARG00000099795</t>
  </si>
  <si>
    <t>CR792455.1</t>
  </si>
  <si>
    <t>ENSDARG00000101193</t>
  </si>
  <si>
    <t>BX855614.2</t>
  </si>
  <si>
    <t>ENSDARG00000051956</t>
  </si>
  <si>
    <t>isca1</t>
  </si>
  <si>
    <t>iron-sulfur cluster assembly 1 [Source:ZFIN;Acc:ZDB-GENE-050626-94]</t>
  </si>
  <si>
    <t>ENSDARG00000101662</t>
  </si>
  <si>
    <t>CR384061.1</t>
  </si>
  <si>
    <t>ENSDARG00000103099</t>
  </si>
  <si>
    <t>EARS2</t>
  </si>
  <si>
    <t>glutamyl-tRNA synthetase 2, mitochondrial [Source:HGNC Symbol;Acc:HGNC:29419]</t>
  </si>
  <si>
    <t>ENSDARG00000063672</t>
  </si>
  <si>
    <t>TULP3</t>
  </si>
  <si>
    <t>tubby like protein 3 [Source:HGNC Symbol;Acc:HGNC:12425]</t>
  </si>
  <si>
    <t>ENSDARG00000102102</t>
  </si>
  <si>
    <t>BX649453.2</t>
  </si>
  <si>
    <t>ENSDARG00000099864</t>
  </si>
  <si>
    <t>FP245465.2</t>
  </si>
  <si>
    <t>ENSDARG00000069706</t>
  </si>
  <si>
    <t>prmt6</t>
  </si>
  <si>
    <t>protein arginine methyltransferase 6 [Source:ZFIN;Acc:ZDB-GENE-040914-7]</t>
  </si>
  <si>
    <t>ENSDARG00000101736</t>
  </si>
  <si>
    <t>CABZ01113816.1</t>
  </si>
  <si>
    <t>ENSDARG00000101705</t>
  </si>
  <si>
    <t>CR388047.1</t>
  </si>
  <si>
    <t>ENSDARG00000076381</t>
  </si>
  <si>
    <t>slc25a1b</t>
  </si>
  <si>
    <t>slc25a1 solute carrier family 25 (mitochondrial carrier; citrate transporter), member 1b [Source:ZFIN;Acc:ZDB-GENE-130114-1]</t>
  </si>
  <si>
    <t>ENSDARG00000035054</t>
  </si>
  <si>
    <t>pdcd10a</t>
  </si>
  <si>
    <t>programmed cell death 10a [Source:ZFIN;Acc:ZDB-GENE-040426-1432]</t>
  </si>
  <si>
    <t>ENSDARG00000104841</t>
  </si>
  <si>
    <t>JMJD8</t>
  </si>
  <si>
    <t>jumonji domain containing 8 [Source:HGNC Symbol;Acc:HGNC:14148]</t>
  </si>
  <si>
    <t>ENSDARG00000105028</t>
  </si>
  <si>
    <t>TOPORS</t>
  </si>
  <si>
    <t>topoisomerase I binding, arginine/serine-rich, E3 ubiquitin protein ligase [Source:HGNC Symbol;Acc:HGNC:21653]</t>
  </si>
  <si>
    <t>ENSDARG00000003994</t>
  </si>
  <si>
    <t>syt9a</t>
  </si>
  <si>
    <t>synaptotagmin IXa [Source:ZFIN;Acc:ZDB-GENE-031002-18]</t>
  </si>
  <si>
    <t>ENSDARG00000078801</t>
  </si>
  <si>
    <t>MSANTD1</t>
  </si>
  <si>
    <t>Myb/SANT-like DNA-binding domain containing 1 [Source:HGNC Symbol;Acc:HGNC:33741]</t>
  </si>
  <si>
    <t>ENSDARG00000104766</t>
  </si>
  <si>
    <t>GPR82</t>
  </si>
  <si>
    <t>G protein-coupled receptor 82 [Source:HGNC Symbol;Acc:HGNC:4533]</t>
  </si>
  <si>
    <t>ENSDARG00000075140</t>
  </si>
  <si>
    <t>CR318653.1</t>
  </si>
  <si>
    <t>ENSDARG00000087950</t>
  </si>
  <si>
    <t>IWS1</t>
  </si>
  <si>
    <t>IWS1 homolog (S. cerevisiae) [Source:HGNC Symbol;Acc:HGNC:25467]</t>
  </si>
  <si>
    <t>ENSDARG00000069430</t>
  </si>
  <si>
    <t>tp53i11a</t>
  </si>
  <si>
    <t>tumor protein p53 inducible protein 11a [Source:ZFIN;Acc:ZDB-GENE-050306-58]</t>
  </si>
  <si>
    <t>ENSDARG00000100497</t>
  </si>
  <si>
    <t>hic2</t>
  </si>
  <si>
    <t>hypermethylated in cancer 2 [Source:ZFIN;Acc:ZDB-GENE-030619-1]</t>
  </si>
  <si>
    <t>ENSDARG00000086753</t>
  </si>
  <si>
    <t>gb:bc139872</t>
  </si>
  <si>
    <t>expressed sequence BC139872 [Source:ZFIN;Acc:ZDB-GENE-111013-4]</t>
  </si>
  <si>
    <t>ENSDARG00000089236</t>
  </si>
  <si>
    <t>METTL15</t>
  </si>
  <si>
    <t>methyltransferase like 15 [Source:HGNC Symbol;Acc:HGNC:26606]</t>
  </si>
  <si>
    <t>ENSDARG00000029692</t>
  </si>
  <si>
    <t>rufy3</t>
  </si>
  <si>
    <t>RUN and FYVE domain containing 3 [Source:ZFIN;Acc:ZDB-GENE-050327-58]</t>
  </si>
  <si>
    <t>ENSDARG00000007438</t>
  </si>
  <si>
    <t>ube2ib</t>
  </si>
  <si>
    <t>ubiquitin-conjugating enzyme E2Ib [Source:ZFIN;Acc:ZDB-GENE-990614-17]</t>
  </si>
  <si>
    <t>ENSDARG00000026454</t>
  </si>
  <si>
    <t>mis12</t>
  </si>
  <si>
    <t>MIS12 kinetochore complex component [Source:ZFIN;Acc:ZDB-GENE-040426-1372]</t>
  </si>
  <si>
    <t>ENSDARG00000089519</t>
  </si>
  <si>
    <t>FBLN7</t>
  </si>
  <si>
    <t>fibulin 7 [Source:HGNC Symbol;Acc:HGNC:26740]</t>
  </si>
  <si>
    <t>ENSDARG00000103691</t>
  </si>
  <si>
    <t>RFX7</t>
  </si>
  <si>
    <t>regulatory factor X7 [Source:HGNC Symbol;Acc:HGNC:25777]</t>
  </si>
  <si>
    <t>ENSDARG00000100440</t>
  </si>
  <si>
    <t>FASTKD3</t>
  </si>
  <si>
    <t>FAST kinase domains 3 [Source:HGNC Symbol;Acc:HGNC:28758]</t>
  </si>
  <si>
    <t>ENSDARG00000090544</t>
  </si>
  <si>
    <t>CABZ01085657.1</t>
  </si>
  <si>
    <t>ENSDARG00000089368</t>
  </si>
  <si>
    <t>hopx</t>
  </si>
  <si>
    <t>HOP homeobox [Source:ZFIN;Acc:ZDB-GENE-031016-2]</t>
  </si>
  <si>
    <t>ENSDARG00000073673</t>
  </si>
  <si>
    <t>ADGRA3</t>
  </si>
  <si>
    <t>adhesion G protein-coupled receptor A3 [Source:HGNC Symbol;Acc:HGNC:13839]</t>
  </si>
  <si>
    <t>ENSDARG00000102026</t>
  </si>
  <si>
    <t>gpsm2l</t>
  </si>
  <si>
    <t>G-protein signaling modulator 2, like [Source:ZFIN;Acc:ZDB-GENE-041010-223]</t>
  </si>
  <si>
    <t>ENSDARG00000033861</t>
  </si>
  <si>
    <t>sepsecs</t>
  </si>
  <si>
    <t>Sep (O-phosphoserine) tRNA:Sec (selenocysteine) tRNA synthase [Source:ZFIN;Acc:ZDB-GENE-040426-859]</t>
  </si>
  <si>
    <t>ENSDARG00000099078</t>
  </si>
  <si>
    <t>SLC29A2</t>
  </si>
  <si>
    <t>solute carrier family 29 (equilibrative nucleoside transporter), member 2 [Source:HGNC Symbol;Acc:HGNC:11004]</t>
  </si>
  <si>
    <t>ENSDARG00000101406</t>
  </si>
  <si>
    <t>rplp2</t>
  </si>
  <si>
    <t>ribosomal protein, large P2 [Source:ZFIN;Acc:ZDB-GENE-031018-2]</t>
  </si>
  <si>
    <t>ENSDARG00000075467</t>
  </si>
  <si>
    <t>shisa3</t>
  </si>
  <si>
    <t>shisa family member 3 [Source:ZFIN;Acc:ZDB-GENE-070112-2022]</t>
  </si>
  <si>
    <t>ENSDARG00000098944</t>
  </si>
  <si>
    <t>nme8.1</t>
  </si>
  <si>
    <t>NME/NM23 family member 8 [Source:ZFIN;Acc:ZDB-GENE-070410-39]</t>
  </si>
  <si>
    <t>ENSDARG00000091138</t>
  </si>
  <si>
    <t>actr3</t>
  </si>
  <si>
    <t>ARP3 actin-related protein 3 homolog (yeast) [Source:ZFIN;Acc:ZDB-GENE-040428-2]</t>
  </si>
  <si>
    <t>ENSDARG00000098166</t>
  </si>
  <si>
    <t>znf980</t>
  </si>
  <si>
    <t>znf980.1</t>
  </si>
  <si>
    <t>zinc finger protein 980 [Source:ZFIN;Acc:ZDB-GENE-110913-163]</t>
  </si>
  <si>
    <t>ENSDARG00000018825</t>
  </si>
  <si>
    <t>tmem248</t>
  </si>
  <si>
    <t>transmembrane protein 248 [Source:ZFIN;Acc:ZDB-GENE-050320-103]</t>
  </si>
  <si>
    <t>ENSDARG00000103436</t>
  </si>
  <si>
    <t>BX548028.1</t>
  </si>
  <si>
    <t>ENSDARG00000083759</t>
  </si>
  <si>
    <t>SNORA53</t>
  </si>
  <si>
    <t>Small nucleolar RNA SNORA53 [Source:RFAM;Acc:RF00563]</t>
  </si>
  <si>
    <t>ENSDARG00000068729</t>
  </si>
  <si>
    <t>eif2ak2</t>
  </si>
  <si>
    <t>eukaryotic translation initiation factor 2-alpha kinase 2 [Source:ZFIN;Acc:ZDB-GENE-080422-1]</t>
  </si>
  <si>
    <t>ENSDARG00000100518</t>
  </si>
  <si>
    <t>ARAP2</t>
  </si>
  <si>
    <t>ArfGAP with RhoGAP domain, ankyrin repeat and PH domain 2 [Source:HGNC Symbol;Acc:HGNC:16924]</t>
  </si>
  <si>
    <t>ENSDARG00000099719</t>
  </si>
  <si>
    <t>cdkn1d</t>
  </si>
  <si>
    <t>cyclin-dependent kinase inhibitor 1D [Source:ZFIN;Acc:ZDB-GENE-110215-1]</t>
  </si>
  <si>
    <t>ENSDARG00000101631</t>
  </si>
  <si>
    <t>ETFA</t>
  </si>
  <si>
    <t>electron-transfer-flavoprotein, alpha polypeptide [Source:HGNC Symbol;Acc:HGNC:3481]</t>
  </si>
  <si>
    <t>ENSDARG00000103991</t>
  </si>
  <si>
    <t>SEC14L1.1</t>
  </si>
  <si>
    <t>SEC14-like lipid binding 1 [Source:HGNC Symbol;Acc:HGNC:10698]</t>
  </si>
  <si>
    <t>ENSDARG00000093029</t>
  </si>
  <si>
    <t>si:dkey-175d9.2.1</t>
  </si>
  <si>
    <t>ENSDARG00000099138</t>
  </si>
  <si>
    <t>btr29</t>
  </si>
  <si>
    <t>bloodthirsty-related gene family, member 29 [Source:ZFIN;Acc:ZDB-GENE-090512-2]</t>
  </si>
  <si>
    <t>ENSDARG00000090534</t>
  </si>
  <si>
    <t>TMBIM1</t>
  </si>
  <si>
    <t>transmembrane BAX inhibitor motif containing 1 [Source:HGNC Symbol;Acc:HGNC:23410]</t>
  </si>
  <si>
    <t>ENSDARG00000068760</t>
  </si>
  <si>
    <t>tnks1bp1</t>
  </si>
  <si>
    <t>tankyrase 1 binding protein 1 [Source:ZFIN;Acc:ZDB-GENE-050208-317]</t>
  </si>
  <si>
    <t>ENSDARG00000090220</t>
  </si>
  <si>
    <t>BX324003.1</t>
  </si>
  <si>
    <t>ENSDARG00000058605</t>
  </si>
  <si>
    <t>vsig10</t>
  </si>
  <si>
    <t>V-set and immunoglobulin domain containing 10 [Source:ZFIN;Acc:ZDB-GENE-030131-7476]</t>
  </si>
  <si>
    <t>ENSDARG00000101544</t>
  </si>
  <si>
    <t>ZNF835</t>
  </si>
  <si>
    <t>zinc finger protein 835 [Source:HGNC Symbol;Acc:HGNC:34332]</t>
  </si>
  <si>
    <t>ENSDARG00000104748</t>
  </si>
  <si>
    <t>CR388008.1</t>
  </si>
  <si>
    <t>ENSDARG00000062021</t>
  </si>
  <si>
    <t>CCDC181</t>
  </si>
  <si>
    <t>si:ch211-232d19.4 [Source:ZFIN;Acc:ZDB-GENE-060503-312]</t>
  </si>
  <si>
    <t>ENSDARG00000020488</t>
  </si>
  <si>
    <t>arhgap17a</t>
  </si>
  <si>
    <t>Rho GTPase activating protein 17a [Source:ZFIN;Acc:ZDB-GENE-050417-56]</t>
  </si>
  <si>
    <t>ENSDARG00000030532</t>
  </si>
  <si>
    <t>ARHGEF12</t>
  </si>
  <si>
    <t>Rho guanine nucleotide exchange factor 12 [Source:HGNC Symbol;Acc:HGNC:14193]</t>
  </si>
  <si>
    <t>ENSDARG00000077909</t>
  </si>
  <si>
    <t>rce1a</t>
  </si>
  <si>
    <t>Ras converting CAAX endopeptidase 1a [Source:ZFIN;Acc:ZDB-GENE-041008-116]</t>
  </si>
  <si>
    <t>ENSDARG00000087425</t>
  </si>
  <si>
    <t>SNORA62</t>
  </si>
  <si>
    <t>Small nucleolar RNA SNORA62/SNORA6 family [Source:RFAM;Acc:RF00091]</t>
  </si>
  <si>
    <t>ENSDARG00000074867</t>
  </si>
  <si>
    <t>STIM2</t>
  </si>
  <si>
    <t>stromal interaction molecule 2 [Source:HGNC Symbol;Acc:HGNC:19205]</t>
  </si>
  <si>
    <t>ENSDARG00000086150</t>
  </si>
  <si>
    <t>wrap53</t>
  </si>
  <si>
    <t>WD repeat containing, antisense to TP53 [Source:ZFIN;Acc:ZDB-GENE-030131-515]</t>
  </si>
  <si>
    <t>ENSDARG00000102940</t>
  </si>
  <si>
    <t>BX649608.1</t>
  </si>
  <si>
    <t>ENSDARG00000086842</t>
  </si>
  <si>
    <t>dap1b</t>
  </si>
  <si>
    <t>death associated protein 1b [Source:ZFIN;Acc:ZDB-GENE-000511-4]</t>
  </si>
  <si>
    <t>ENSDARG00000098108</t>
  </si>
  <si>
    <t>dusp2</t>
  </si>
  <si>
    <t>dual specificity phosphatase 2 [Source:ZFIN;Acc:ZDB-GENE-040801-188]</t>
  </si>
  <si>
    <t>ENSDARG00000013009</t>
  </si>
  <si>
    <t>ubiad1</t>
  </si>
  <si>
    <t>UbiA prenyltransferase domain containing 1 [Source:ZFIN;Acc:ZDB-GENE-030131-3205]</t>
  </si>
  <si>
    <t>ENSDARG00000077306</t>
  </si>
  <si>
    <t>cutc</t>
  </si>
  <si>
    <t>cutC copper transporter homolog (E. coli) [Source:ZFIN;Acc:ZDB-GENE-041010-144]</t>
  </si>
  <si>
    <t>ENSDARG00000098618</t>
  </si>
  <si>
    <t>erap2</t>
  </si>
  <si>
    <t>endoplasmic reticulum aminopeptidase 2 [Source:ZFIN;Acc:ZDB-GENE-080402-6]</t>
  </si>
  <si>
    <t>ENSDARG00000023508</t>
  </si>
  <si>
    <t>ankrd49</t>
  </si>
  <si>
    <t>ankyrin repeat domain 49 [Source:ZFIN;Acc:ZDB-GENE-050417-46]</t>
  </si>
  <si>
    <t>ENSDARG00000104659</t>
  </si>
  <si>
    <t>WARS</t>
  </si>
  <si>
    <t>tryptophanyl-tRNA synthetase [Source:HGNC Symbol;Acc:HGNC:12729]</t>
  </si>
  <si>
    <t>ENSDARG00000100022</t>
  </si>
  <si>
    <t>FO704797.2</t>
  </si>
  <si>
    <t>ENSDARG00000104647</t>
  </si>
  <si>
    <t>surf4</t>
  </si>
  <si>
    <t>surfeit gene 4 [Source:ZFIN;Acc:ZDB-GENE-040426-1426]</t>
  </si>
  <si>
    <t>ENSDARG00000036613</t>
  </si>
  <si>
    <t>tab1</t>
  </si>
  <si>
    <t>TGF-beta activated kinase 1/MAP3K7 binding protein 1 [Source:ZFIN;Acc:ZDB-GENE-060628-1]</t>
  </si>
  <si>
    <t>ENSDARG00000101926</t>
  </si>
  <si>
    <t>zgc:101130</t>
  </si>
  <si>
    <t>zgc:101130 [Source:ZFIN;Acc:ZDB-GENE-040801-72]</t>
  </si>
  <si>
    <t>ENSDARG00000088246</t>
  </si>
  <si>
    <t>thoc1</t>
  </si>
  <si>
    <t>THO complex 1 [Source:ZFIN;Acc:ZDB-GENE-030826-9]</t>
  </si>
  <si>
    <t>ENSDARG00000102276</t>
  </si>
  <si>
    <t>CR391944.1</t>
  </si>
  <si>
    <t>ENSDARG00000099722</t>
  </si>
  <si>
    <t>zgc:153993</t>
  </si>
  <si>
    <t>zgc:153993 [Source:ZFIN;Acc:ZDB-GENE-060929-176]</t>
  </si>
  <si>
    <t>ENSDARG00000027600</t>
  </si>
  <si>
    <t>pdlim5b</t>
  </si>
  <si>
    <t>PDZ and LIM domain 5b [Source:ZFIN;Acc:ZDB-GENE-040426-908]</t>
  </si>
  <si>
    <t>ENSDARG00000100308</t>
  </si>
  <si>
    <t>SEMA4F</t>
  </si>
  <si>
    <t>sema domain, immunoglobulin domain (Ig), transmembrane domain (TM) and short cytoplasmic domain, (semaphorin) 4F [Source:HGNC Symbol;Acc:HGNC:10734]</t>
  </si>
  <si>
    <t>ENSDARG00000099889</t>
  </si>
  <si>
    <t>DUSP27</t>
  </si>
  <si>
    <t>dual specificity phosphatase 27 (putative) [Source:HGNC Symbol;Acc:HGNC:25034]</t>
  </si>
  <si>
    <t>ENSDARG00000088561</t>
  </si>
  <si>
    <t>CR450729.1</t>
  </si>
  <si>
    <t>ENSDARG00000007641</t>
  </si>
  <si>
    <t>msx1a</t>
  </si>
  <si>
    <t>muscle segment homeobox 1a [Source:ZFIN;Acc:ZDB-GENE-980526-312]</t>
  </si>
  <si>
    <t>ENSDARG00000099161</t>
  </si>
  <si>
    <t>dyx1c1</t>
  </si>
  <si>
    <t>dyslexia susceptibility 1 candidate 1 [Source:ZFIN;Acc:ZDB-GENE-040426-1892]</t>
  </si>
  <si>
    <t>ENSDARG00000089947</t>
  </si>
  <si>
    <t>BX005085.1</t>
  </si>
  <si>
    <t>ENSDARG00000105056</t>
  </si>
  <si>
    <t>znf45l</t>
  </si>
  <si>
    <t>zinc finger 45 like [Source:ZFIN;Acc:ZDB-GENE-050320-63]</t>
  </si>
  <si>
    <t>ENSDARG00000043571</t>
  </si>
  <si>
    <t>zgc:103670</t>
  </si>
  <si>
    <t>zgc:103670 [Source:ZFIN;Acc:ZDB-GENE-040912-111]</t>
  </si>
  <si>
    <t>ENSDARG00000102798</t>
  </si>
  <si>
    <t>mcm2</t>
  </si>
  <si>
    <t>minichromosome maintenance complex component 2 [Source:ZFIN;Acc:ZDB-GENE-020419-24]</t>
  </si>
  <si>
    <t>ENSDARG00000079652</t>
  </si>
  <si>
    <t>CAAP1</t>
  </si>
  <si>
    <t>caspase activity and apoptosis inhibitor 1 [Source:HGNC Symbol;Acc:HGNC:25834]</t>
  </si>
  <si>
    <t>ENSDARG00000099224</t>
  </si>
  <si>
    <t>CR847895.2</t>
  </si>
  <si>
    <t>ENSDARG00000098469</t>
  </si>
  <si>
    <t>BX927290.1</t>
  </si>
  <si>
    <t>ENSDARG00000040036</t>
  </si>
  <si>
    <t>tcf19l</t>
  </si>
  <si>
    <t>transcription factor 19 (SC1), like [Source:ZFIN;Acc:ZDB-GENE-060324-2]</t>
  </si>
  <si>
    <t>ENSDARG00000100357</t>
  </si>
  <si>
    <t>si:ch73-44m9.3.1</t>
  </si>
  <si>
    <t>ENSDARG00000056467</t>
  </si>
  <si>
    <t>tmub2</t>
  </si>
  <si>
    <t>transmembrane and ubiquitin-like domain containing 2 [Source:ZFIN;Acc:ZDB-GENE-030616-254]</t>
  </si>
  <si>
    <t>ENSDARG00000105075</t>
  </si>
  <si>
    <t>BX324216.4</t>
  </si>
  <si>
    <t>ENSDARG00000061638</t>
  </si>
  <si>
    <t>dcakd</t>
  </si>
  <si>
    <t>dephospho-CoA kinase domain containing [Source:ZFIN;Acc:ZDB-GENE-060825-226]</t>
  </si>
  <si>
    <t>ENSDARG00000098485</t>
  </si>
  <si>
    <t>CU929365.1</t>
  </si>
  <si>
    <t>ENSDARG00000075857</t>
  </si>
  <si>
    <t>PGS1</t>
  </si>
  <si>
    <t>phosphatidylglycerophosphate synthase 1 [Source:HGNC Symbol;Acc:HGNC:30029]</t>
  </si>
  <si>
    <t>ENSDARG00000099102</t>
  </si>
  <si>
    <t>BX005305.7</t>
  </si>
  <si>
    <t>ENSDARG00000075757</t>
  </si>
  <si>
    <t>gig2e</t>
  </si>
  <si>
    <t>grass carp reovirus (GCRV)-induced gene 2e [Source:ZFIN;Acc:ZDB-GENE-130517-2]</t>
  </si>
  <si>
    <t>ENSDARG00000088123</t>
  </si>
  <si>
    <t>ZNF217</t>
  </si>
  <si>
    <t>zinc finger protein 217 [Source:HGNC Symbol;Acc:HGNC:13009]</t>
  </si>
  <si>
    <t>ENSDARG00000042708</t>
  </si>
  <si>
    <t>tuba8l</t>
  </si>
  <si>
    <t>tubulin, alpha 8 like [Source:ZFIN;Acc:ZDB-GENE-030131-9167]</t>
  </si>
  <si>
    <t>ENSDARG00000090304</t>
  </si>
  <si>
    <t>CU929391.2</t>
  </si>
  <si>
    <t>ENSDARG00000099961</t>
  </si>
  <si>
    <t>bnip3</t>
  </si>
  <si>
    <t>BCL2/adenovirus E1B interacting protein 3 [Source:ZFIN;Acc:ZDB-GENE-030131-8060]</t>
  </si>
  <si>
    <t>ENSDARG00000101848</t>
  </si>
  <si>
    <t>DYDC2</t>
  </si>
  <si>
    <t>DPY30 domain containing 2 [Source:HGNC Symbol;Acc:HGNC:23468]</t>
  </si>
  <si>
    <t>ENSDARG00000052747</t>
  </si>
  <si>
    <t>gpatch3</t>
  </si>
  <si>
    <t>G patch domain containing 3 [Source:ZFIN;Acc:ZDB-GENE-070112-902]</t>
  </si>
  <si>
    <t>ENSDARG00000042159</t>
  </si>
  <si>
    <t>RFESD</t>
  </si>
  <si>
    <t>Rieske (Fe-S) domain containing [Source:HGNC Symbol;Acc:HGNC:29587]</t>
  </si>
  <si>
    <t>ENSDARG00000010586</t>
  </si>
  <si>
    <t>tex9</t>
  </si>
  <si>
    <t>testis expressed 9 [Source:ZFIN;Acc:ZDB-GENE-110623-3]</t>
  </si>
  <si>
    <t>ENSDARG00000100136</t>
  </si>
  <si>
    <t>dcp1a</t>
  </si>
  <si>
    <t>decapping mRNA 1A [Source:ZFIN;Acc:ZDB-GENE-030723-5]</t>
  </si>
  <si>
    <t>ENSDARG00000099913</t>
  </si>
  <si>
    <t>snrnp35</t>
  </si>
  <si>
    <t>small nuclear ribonucleoprotein 35 (U11/U12) [Source:ZFIN;Acc:ZDB-GENE-050706-77]</t>
  </si>
  <si>
    <t>ENSDARG00000091595</t>
  </si>
  <si>
    <t>CABZ01079490.1</t>
  </si>
  <si>
    <t>ENSDARG00000101951</t>
  </si>
  <si>
    <t>EXTL1</t>
  </si>
  <si>
    <t>exostosin-like glycosyltransferase 1 [Source:HGNC Symbol;Acc:HGNC:3515]</t>
  </si>
  <si>
    <t>ENSDARG00000103512</t>
  </si>
  <si>
    <t>CABZ01033178.1</t>
  </si>
  <si>
    <t>ENSDARG00000098584</t>
  </si>
  <si>
    <t>ndufa13</t>
  </si>
  <si>
    <t>NADH dehydrogenase (ubiquinone) 1 alpha subcomplex, 13 [Source:ZFIN;Acc:ZDB-GENE-040426-1672]</t>
  </si>
  <si>
    <t>ENSDARG00000104905</t>
  </si>
  <si>
    <t>TMEM241</t>
  </si>
  <si>
    <t>transmembrane protein 241 [Source:HGNC Symbol;Acc:HGNC:31723]</t>
  </si>
  <si>
    <t>ENSDARG00000019588</t>
  </si>
  <si>
    <t>chico</t>
  </si>
  <si>
    <t>chico [Source:ZFIN;Acc:ZDB-GENE-000210-28]</t>
  </si>
  <si>
    <t>ENSDARG00000099610</t>
  </si>
  <si>
    <t>CU182107.1</t>
  </si>
  <si>
    <t>ENSDARG00000098588</t>
  </si>
  <si>
    <t>gchfr</t>
  </si>
  <si>
    <t>GTP cyclohydrolase I feedback regulator [Source:ZFIN;Acc:ZDB-GENE-040426-1731]</t>
  </si>
  <si>
    <t>ENSDARG00000089066</t>
  </si>
  <si>
    <t>NHSL2</t>
  </si>
  <si>
    <t>NHS like 2 [Source:HGNC Symbol;Acc:HGNC:33737]</t>
  </si>
  <si>
    <t>ENSDARG00000103736</t>
  </si>
  <si>
    <t>GRAMD2</t>
  </si>
  <si>
    <t>GRAM domain containing 2 [Source:HGNC Symbol;Acc:HGNC:27287]</t>
  </si>
  <si>
    <t>ENSDARG00000074456</t>
  </si>
  <si>
    <t>SETD9</t>
  </si>
  <si>
    <t>SET domain containing 9 [Source:HGNC Symbol;Acc:HGNC:28508]</t>
  </si>
  <si>
    <t>ENSDARG00000079964</t>
  </si>
  <si>
    <t>dlx2a</t>
  </si>
  <si>
    <t>distal-less homeobox 2a [Source:ZFIN;Acc:ZDB-GENE-980526-212]</t>
  </si>
  <si>
    <t>ENSDARG00000076870</t>
  </si>
  <si>
    <t>piezo1</t>
  </si>
  <si>
    <t>piezo-type mechanosensitive ion channel component 1 [Source:ZFIN;Acc:ZDB-GENE-041111-255]</t>
  </si>
  <si>
    <t>ENSDARG00000104653</t>
  </si>
  <si>
    <t>BTBD1</t>
  </si>
  <si>
    <t>BTB (POZ) domain containing 1 [Source:HGNC Symbol;Acc:HGNC:1120]</t>
  </si>
  <si>
    <t>ENSDARG00000077668</t>
  </si>
  <si>
    <t>FO681287.1</t>
  </si>
  <si>
    <t>ENSDARG00000100109</t>
  </si>
  <si>
    <t>trappc2l</t>
  </si>
  <si>
    <t>trafficking protein particle complex 2-like [Source:ZFIN;Acc:ZDB-GENE-040801-249]</t>
  </si>
  <si>
    <t>ENSDARG00000102684</t>
  </si>
  <si>
    <t>lrrc1</t>
  </si>
  <si>
    <t>leucine rich repeat containing 1 [Source:ZFIN;Acc:ZDB-GENE-050320-1]</t>
  </si>
  <si>
    <t>ENSDARG00000075936</t>
  </si>
  <si>
    <t>sugp1</t>
  </si>
  <si>
    <t>SURP and G patch domain containing 1 [Source:ZFIN;Acc:ZDB-GENE-070615-33]</t>
  </si>
  <si>
    <t>ENSDARG00000033993</t>
  </si>
  <si>
    <t>SLC19A1</t>
  </si>
  <si>
    <t>im:7144090 [Source:ZFIN;Acc:ZDB-GENE-050208-150]</t>
  </si>
  <si>
    <t>ENSDARG00000078447</t>
  </si>
  <si>
    <t>tctn1</t>
  </si>
  <si>
    <t>tectonic family member 1 [Source:ZFIN;Acc:ZDB-GENE-081104-157]</t>
  </si>
  <si>
    <t>ENSDARG00000059039</t>
  </si>
  <si>
    <t>FCGRT.4</t>
  </si>
  <si>
    <t>major histocompatibility complex class I-related gene protein-like precursor  [Source:RefSeq peptide;Acc:NP_001304679]</t>
  </si>
  <si>
    <t>ENSDARG00000040803</t>
  </si>
  <si>
    <t>lactb</t>
  </si>
  <si>
    <t>lactamase, beta [Source:ZFIN;Acc:ZDB-GENE-020111-1]</t>
  </si>
  <si>
    <t>ENSDARG00000062017</t>
  </si>
  <si>
    <t>fsd1</t>
  </si>
  <si>
    <t>fibronectin type III and SPRY domain containing 1 [Source:ZFIN;Acc:ZDB-GENE-060503-218]</t>
  </si>
  <si>
    <t>ENSDARG00000104666</t>
  </si>
  <si>
    <t>BX511215.2</t>
  </si>
  <si>
    <t>ENSDARG00000098083</t>
  </si>
  <si>
    <t>BX276122.1</t>
  </si>
  <si>
    <t>ENSDARG00000091489</t>
  </si>
  <si>
    <t>CNBD1</t>
  </si>
  <si>
    <t>cyclic nucleotide binding domain containing 1 [Source:HGNC Symbol;Acc:HGNC:26663]</t>
  </si>
  <si>
    <t>ENSDARG00000055342</t>
  </si>
  <si>
    <t>SLC16A13</t>
  </si>
  <si>
    <t>solute carrier family 16 member 13 [Source:HGNC Symbol;Acc:HGNC:31037]</t>
  </si>
  <si>
    <t>ENSDARG00000104852</t>
  </si>
  <si>
    <t>BX000703.2</t>
  </si>
  <si>
    <t>ENSDARG00000036422</t>
  </si>
  <si>
    <t>NTN5</t>
  </si>
  <si>
    <t>netrin 5 [Source:HGNC Symbol;Acc:HGNC:25208]</t>
  </si>
  <si>
    <t>ENSDARG00000104809</t>
  </si>
  <si>
    <t>top1mt</t>
  </si>
  <si>
    <t>top1mt.1</t>
  </si>
  <si>
    <t>topoisomerase (DNA) I, mitochondrial [Source:ZFIN;Acc:ZDB-GENE-040624-2]</t>
  </si>
  <si>
    <t>ENSDARG00000103976</t>
  </si>
  <si>
    <t>BX544877.1</t>
  </si>
  <si>
    <t>ENSDARG00000007923</t>
  </si>
  <si>
    <t>ptpn1</t>
  </si>
  <si>
    <t>protein tyrosine phosphatase, non-receptor type 1 [Source:ZFIN;Acc:ZDB-GENE-980605-23]</t>
  </si>
  <si>
    <t>ENSDARG00000100628</t>
  </si>
  <si>
    <t>CABZ01062995.1</t>
  </si>
  <si>
    <t>ENSDARG00000103401</t>
  </si>
  <si>
    <t>CR318592.1</t>
  </si>
  <si>
    <t>ENSDARG00000076443</t>
  </si>
  <si>
    <t>CR388231.1</t>
  </si>
  <si>
    <t>ENSDARG00000102733</t>
  </si>
  <si>
    <t>emc4.1</t>
  </si>
  <si>
    <t>ENSDARG00000105179</t>
  </si>
  <si>
    <t>HDAC7</t>
  </si>
  <si>
    <t>histone deacetylase 7 [Source:HGNC Symbol;Acc:HGNC:14067]</t>
  </si>
  <si>
    <t>ENSDARG00000098204</t>
  </si>
  <si>
    <t>CU984600.2</t>
  </si>
  <si>
    <t>ENSDARG00000069019</t>
  </si>
  <si>
    <t>BX004816.2</t>
  </si>
  <si>
    <t>ENSDARG00000073822</t>
  </si>
  <si>
    <t>IQSEC1</t>
  </si>
  <si>
    <t>IQ motif and Sec7 domain 1 [Source:HGNC Symbol;Acc:HGNC:29112]</t>
  </si>
  <si>
    <t>ENSDARG00000074431</t>
  </si>
  <si>
    <t>ddb1</t>
  </si>
  <si>
    <t>damage-specific DNA binding protein 1 [Source:ZFIN;Acc:ZDB-GENE-040426-1272]</t>
  </si>
  <si>
    <t>ENSDARG00000100813</t>
  </si>
  <si>
    <t>nudt12</t>
  </si>
  <si>
    <t>nudix (nucleoside diphosphate linked moiety X)-type motif 12 [Source:ZFIN;Acc:ZDB-GENE-050417-164]</t>
  </si>
  <si>
    <t>ENSDARG00000079089</t>
  </si>
  <si>
    <t>fbxw8</t>
  </si>
  <si>
    <t>F-box and WD repeat domain containing 8 [Source:ZFIN;Acc:ZDB-GENE-080204-111]</t>
  </si>
  <si>
    <t>ENSDARG00000102670</t>
  </si>
  <si>
    <t>CABZ01066720.1</t>
  </si>
  <si>
    <t>ENSDARG00000104943</t>
  </si>
  <si>
    <t>MAD2L1BP</t>
  </si>
  <si>
    <t>MAD2L1 binding protein [Source:HGNC Symbol;Acc:HGNC:21059]</t>
  </si>
  <si>
    <t>ENSDARG00000006990</t>
  </si>
  <si>
    <t>CRELD1</t>
  </si>
  <si>
    <t>CRELD1.1</t>
  </si>
  <si>
    <t>cysteine rich with EGF-like domains 1 [Source:HGNC Symbol;Acc:HGNC:14630]</t>
  </si>
  <si>
    <t>ENSDARG00000059279</t>
  </si>
  <si>
    <t>tfap2a</t>
  </si>
  <si>
    <t>transcription factor AP-2 alpha [Source:ZFIN;Acc:ZDB-GENE-011212-6]</t>
  </si>
  <si>
    <t>ENSDARG00000104263</t>
  </si>
  <si>
    <t>FMNL1</t>
  </si>
  <si>
    <t>formin like 1 [Source:HGNC Symbol;Acc:HGNC:1212]</t>
  </si>
  <si>
    <t>ENSDARG00000020850</t>
  </si>
  <si>
    <t>eef1a1l1</t>
  </si>
  <si>
    <t>eukaryotic translation elongation factor 1 alpha 1, like 1 [Source:ZFIN;Acc:ZDB-GENE-990415-52]</t>
  </si>
  <si>
    <t>ENSDARG00000101888</t>
  </si>
  <si>
    <t>OSCP1</t>
  </si>
  <si>
    <t>organic solute carrier partner 1 [Source:HGNC Symbol;Acc:HGNC:29971]</t>
  </si>
  <si>
    <t>ENSDARG00000075271</t>
  </si>
  <si>
    <t>rapgef5a</t>
  </si>
  <si>
    <t>Rap guanine nucleotide exchange factor (GEF) 5a [Source:ZFIN;Acc:ZDB-GENE-030131-7681]</t>
  </si>
  <si>
    <t>ENSDARG00000054930</t>
  </si>
  <si>
    <t>tpra1</t>
  </si>
  <si>
    <t>transmembrane protein, adipocyte asscociated 1 [Source:ZFIN;Acc:ZDB-GENE-030131-4146]</t>
  </si>
  <si>
    <t>ENSDARG00000098299</t>
  </si>
  <si>
    <t>MBD1</t>
  </si>
  <si>
    <t>methyl-CpG binding domain protein 1 [Source:HGNC Symbol;Acc:HGNC:6916]</t>
  </si>
  <si>
    <t>ENSDARG00000040623</t>
  </si>
  <si>
    <t>fosl2</t>
  </si>
  <si>
    <t>fos-like antigen 2 [Source:ZFIN;Acc:ZDB-GENE-070209-164]</t>
  </si>
  <si>
    <t>ENSDARG00000068064</t>
  </si>
  <si>
    <t>sirt1</t>
  </si>
  <si>
    <t>sirtuin 1 [Source:ZFIN;Acc:ZDB-GENE-070801-2]</t>
  </si>
  <si>
    <t>ENSDARG00000041301</t>
  </si>
  <si>
    <t>crybb3</t>
  </si>
  <si>
    <t>crystallin, beta B3 [Source:ZFIN;Acc:ZDB-GENE-060130-2]</t>
  </si>
  <si>
    <t>ENSDARG00000104906</t>
  </si>
  <si>
    <t>mtr</t>
  </si>
  <si>
    <t>5-methyltetrahydrofolate-homocysteine methyltransferase [Source:ZFIN;Acc:ZDB-GENE-031001-5]</t>
  </si>
  <si>
    <t>ENSDARG00000103198</t>
  </si>
  <si>
    <t>mrps2</t>
  </si>
  <si>
    <t>mitochondrial ribosomal protein S2 [Source:ZFIN;Acc:ZDB-GENE-070112-992]</t>
  </si>
  <si>
    <t>ENSDARG00000045968</t>
  </si>
  <si>
    <t>spg11</t>
  </si>
  <si>
    <t>spastic paraplegia 11 [Source:ZFIN;Acc:ZDB-GENE-101017-1]</t>
  </si>
  <si>
    <t>ENSDARG00000104640</t>
  </si>
  <si>
    <t>BX511034.6</t>
  </si>
  <si>
    <t>ENSDARG00000102483</t>
  </si>
  <si>
    <t>NUMA1</t>
  </si>
  <si>
    <t>nuclear mitotic apparatus protein 1 [Source:HGNC Symbol;Acc:HGNC:8059]</t>
  </si>
  <si>
    <t>ENSDARG00000103183</t>
  </si>
  <si>
    <t>CABZ01034691.1</t>
  </si>
  <si>
    <t>ENSDARG00000036281</t>
  </si>
  <si>
    <t>CC2D1A</t>
  </si>
  <si>
    <t>coiled-coil and C2 domain containing 1A [Source:HGNC Symbol;Acc:HGNC:30237]</t>
  </si>
  <si>
    <t>ENSDARG00000008238</t>
  </si>
  <si>
    <t>manba</t>
  </si>
  <si>
    <t>mannosidase, beta A, lysosomal [Source:ZFIN;Acc:ZDB-GENE-040426-721]</t>
  </si>
  <si>
    <t>ENSDARG00000078891</t>
  </si>
  <si>
    <t>C7orf43</t>
  </si>
  <si>
    <t>chromosome 7 open reading frame 43 [Source:HGNC Symbol;Acc:HGNC:25604]</t>
  </si>
  <si>
    <t>ENSDARG00000030633</t>
  </si>
  <si>
    <t>plekhm3</t>
  </si>
  <si>
    <t>pleckstrin homology domain containing, family M, member 3 [Source:ZFIN;Acc:ZDB-GENE-070912-382]</t>
  </si>
  <si>
    <t>ENSDARG00000077314</t>
  </si>
  <si>
    <t>MBLAC1</t>
  </si>
  <si>
    <t>metallo-beta-lactamase domain containing 1 [Source:HGNC Symbol;Acc:HGNC:22180]</t>
  </si>
  <si>
    <t>ENSDARG00000030408</t>
  </si>
  <si>
    <t>rps26l</t>
  </si>
  <si>
    <t>ribosomal protein S26, like [Source:ZFIN;Acc:ZDB-GENE-040426-1706]</t>
  </si>
  <si>
    <t>ENSDARG00000099486</t>
  </si>
  <si>
    <t>CR387997.1</t>
  </si>
  <si>
    <t>ENSDARG00000102596</t>
  </si>
  <si>
    <t>BX324179.2</t>
  </si>
  <si>
    <t>ENSDARG00000087837</t>
  </si>
  <si>
    <t>FO834877.1</t>
  </si>
  <si>
    <t>ENSDARG00000027919</t>
  </si>
  <si>
    <t>BX323854.1</t>
  </si>
  <si>
    <t>ENSDARG00000089715</t>
  </si>
  <si>
    <t>CABZ01054394.2</t>
  </si>
  <si>
    <t>ENSDARG00000070709</t>
  </si>
  <si>
    <t>wu:fi42e03</t>
  </si>
  <si>
    <t>wu:fi42e03 [Source:ZFIN;Acc:ZDB-GENE-030131-6284]</t>
  </si>
  <si>
    <t>ENSDARG00000104208</t>
  </si>
  <si>
    <t>zgc:172128</t>
  </si>
  <si>
    <t>zgc:172128 [Source:ZFIN;Acc:ZDB-GENE-080220-2]</t>
  </si>
  <si>
    <t>ENSDARG00000100510</t>
  </si>
  <si>
    <t>actr3.1</t>
  </si>
  <si>
    <t>ENSDARG00000087303</t>
  </si>
  <si>
    <t>cebpd</t>
  </si>
  <si>
    <t>CCAAT/enhancer binding protein (C/EBP), delta [Source:ZFIN;Acc:ZDB-GENE-020111-4]</t>
  </si>
  <si>
    <t>ENSDARG00000074081</t>
  </si>
  <si>
    <t>DNAI2</t>
  </si>
  <si>
    <t>dynein, axonemal, intermediate chain 2 [Source:HGNC Symbol;Acc:HGNC:18744]</t>
  </si>
  <si>
    <t>ENSDARG00000087901</t>
  </si>
  <si>
    <t>CU896691.1</t>
  </si>
  <si>
    <t>ENSDARG00000098488</t>
  </si>
  <si>
    <t>CABZ01118154.1</t>
  </si>
  <si>
    <t>ENSDARG00000103341</t>
  </si>
  <si>
    <t>ZNF497</t>
  </si>
  <si>
    <t>ENSDARG00000075685</t>
  </si>
  <si>
    <t>FRMPD4</t>
  </si>
  <si>
    <t>FERM and PDZ domain containing 4 [Source:HGNC Symbol;Acc:HGNC:29007]</t>
  </si>
  <si>
    <t>ENSDARG00000018913</t>
  </si>
  <si>
    <t>hmbox1b</t>
  </si>
  <si>
    <t>homeobox containing 1 b [Source:ZFIN;Acc:ZDB-GENE-090908-4]</t>
  </si>
  <si>
    <t>ENSDARG00000067913</t>
  </si>
  <si>
    <t>ints9</t>
  </si>
  <si>
    <t>integrator complex subunit 9 [Source:ZFIN;Acc:ZDB-GENE-061013-129]</t>
  </si>
  <si>
    <t>ENSDARG00000079438</t>
  </si>
  <si>
    <t>PKP3</t>
  </si>
  <si>
    <t>plakophilin 3 [Source:HGNC Symbol;Acc:HGNC:9025]</t>
  </si>
  <si>
    <t>ENSDARG00000052190</t>
  </si>
  <si>
    <t>fdx1l</t>
  </si>
  <si>
    <t>ferredoxin 1-like [Source:ZFIN;Acc:ZDB-GENE-060929-1046]</t>
  </si>
  <si>
    <t>ENSDARG00000071469</t>
  </si>
  <si>
    <t>ZNF618</t>
  </si>
  <si>
    <t>zinc finger protein 618 [Source:HGNC Symbol;Acc:HGNC:29416]</t>
  </si>
  <si>
    <t>ENSDARG00000086691</t>
  </si>
  <si>
    <t>dnajc12</t>
  </si>
  <si>
    <t>DnaJ (Hsp40) homolog, subfamily C, member 12 [Source:ZFIN;Acc:ZDB-GENE-070801-3]</t>
  </si>
  <si>
    <t>ENSDARG00000103108</t>
  </si>
  <si>
    <t>ACVR2B</t>
  </si>
  <si>
    <t>activin A receptor type IIB [Source:HGNC Symbol;Acc:HGNC:174]</t>
  </si>
  <si>
    <t>ENSDARG00000019188</t>
  </si>
  <si>
    <t>ube2l3a</t>
  </si>
  <si>
    <t>ubiquitin-conjugating enzyme E2L 3a [Source:ZFIN;Acc:ZDB-GENE-030131-2977]</t>
  </si>
  <si>
    <t>ENSDARG00000100781</t>
  </si>
  <si>
    <t>COL28A1</t>
  </si>
  <si>
    <t>COL28A1.2</t>
  </si>
  <si>
    <t>collagen, type XXVIII, alpha 1 [Source:HGNC Symbol;Acc:HGNC:22442]</t>
  </si>
  <si>
    <t>ENSDARG00000103296</t>
  </si>
  <si>
    <t>NUP54</t>
  </si>
  <si>
    <t>nucleoporin 54kDa [Source:HGNC Symbol;Acc:HGNC:17359]</t>
  </si>
  <si>
    <t>ENSDARG00000059287</t>
  </si>
  <si>
    <t>mak</t>
  </si>
  <si>
    <t>male germ cell-associated kinase [Source:ZFIN;Acc:ZDB-GENE-030131-7279]</t>
  </si>
  <si>
    <t>ENSDARG00000059812</t>
  </si>
  <si>
    <t>sin3ab</t>
  </si>
  <si>
    <t>SIN3 transcription regulator family member Ab [Source:ZFIN;Acc:ZDB-GENE-030131-2066]</t>
  </si>
  <si>
    <t>ENSDARG00000019917</t>
  </si>
  <si>
    <t>epb41l3b</t>
  </si>
  <si>
    <t>erythrocyte membrane protein band 4.1-like 3b [Source:ZFIN;Acc:ZDB-GENE-021106-1]</t>
  </si>
  <si>
    <t>ENSDARG00000022970</t>
  </si>
  <si>
    <t>tm9sf1</t>
  </si>
  <si>
    <t>transmembrane 9 superfamily member 1 [Source:ZFIN;Acc:ZDB-GENE-040801-64]</t>
  </si>
  <si>
    <t>ENSDARG00000073848</t>
  </si>
  <si>
    <t>arhgef7b</t>
  </si>
  <si>
    <t>Rho guanine nucleotide exchange factor (GEF) 7b [Source:ZFIN;Acc:ZDB-GENE-041212-49]</t>
  </si>
  <si>
    <t>ENSDARG00000074644</t>
  </si>
  <si>
    <t>SPOCK1</t>
  </si>
  <si>
    <t>sparc/osteonectin, cwcv and kazal-like domains proteoglycan (testican) 1 [Source:HGNC Symbol;Acc:HGNC:11251]</t>
  </si>
  <si>
    <t>ENSDARG00000015638</t>
  </si>
  <si>
    <t>gemin2</t>
  </si>
  <si>
    <t>gem (nuclear organelle) associated protein 2 [Source:ZFIN;Acc:ZDB-GENE-030131-3756]</t>
  </si>
  <si>
    <t>ENSDARG00000099186</t>
  </si>
  <si>
    <t>slc1a5</t>
  </si>
  <si>
    <t>solute carrier family 1 (neutral amino acid transporter), member 5 [Source:ZFIN;Acc:ZDB-GENE-070501-4]</t>
  </si>
  <si>
    <t>ENSDARG00000102012</t>
  </si>
  <si>
    <t>ppp1cbl</t>
  </si>
  <si>
    <t>protein phosphatase 1, catalytic subunit, beta isoform, like [Source:ZFIN;Acc:ZDB-GENE-030131-6529]</t>
  </si>
  <si>
    <t>ENSDARG00000059693</t>
  </si>
  <si>
    <t>adam19a</t>
  </si>
  <si>
    <t>ADAM metallopeptidase domain 19a [Source:ZFIN;Acc:ZDB-GENE-070813-1]</t>
  </si>
  <si>
    <t>ENSDARG00000101680</t>
  </si>
  <si>
    <t>arl1</t>
  </si>
  <si>
    <t>ADP-ribosylation factor-like 1 [Source:ZFIN;Acc:ZDB-GENE-040718-175]</t>
  </si>
  <si>
    <t>ENSDARG00000078898</t>
  </si>
  <si>
    <t>pcdh7a</t>
  </si>
  <si>
    <t>protocadherin 7a [Source:ZFIN;Acc:ZDB-GENE-120206-1]</t>
  </si>
  <si>
    <t>ENSDARG00000104109</t>
  </si>
  <si>
    <t>CU855711.2</t>
  </si>
  <si>
    <t>ENSDARG00000089665</t>
  </si>
  <si>
    <t>OXR1</t>
  </si>
  <si>
    <t>oxidation resistance 1 [Source:HGNC Symbol;Acc:HGNC:15822]</t>
  </si>
  <si>
    <t>ENSDARG00000090624</t>
  </si>
  <si>
    <t>ADGRL3</t>
  </si>
  <si>
    <t>adhesion G protein-coupled receptor L3 [Source:HGNC Symbol;Acc:HGNC:20974]</t>
  </si>
  <si>
    <t>ENSDARG00000007429</t>
  </si>
  <si>
    <t>ndor1</t>
  </si>
  <si>
    <t>NADPH dependent diflavin oxidoreductase 1 [Source:ZFIN;Acc:ZDB-GENE-040426-1555]</t>
  </si>
  <si>
    <t>ENSDARG00000033009</t>
  </si>
  <si>
    <t>h3f3b.1.3</t>
  </si>
  <si>
    <t>ENSDARG00000087962</t>
  </si>
  <si>
    <t>rpap3</t>
  </si>
  <si>
    <t>RNA polymerase II associated protein 3 [Source:ZFIN;Acc:ZDB-GENE-040426-928]</t>
  </si>
  <si>
    <t>ENSDARG00000103708</t>
  </si>
  <si>
    <t>BX000703.1</t>
  </si>
  <si>
    <t>ENSDARG00000077559</t>
  </si>
  <si>
    <t>NCOA7</t>
  </si>
  <si>
    <t>nuclear receptor coactivator 7 [Source:HGNC Symbol;Acc:HGNC:21081]</t>
  </si>
  <si>
    <t>ENSDARG00000100752</t>
  </si>
  <si>
    <t>RAB21</t>
  </si>
  <si>
    <t>zgc:154045 [Source:ZFIN;Acc:ZDB-GENE-060929-1062]</t>
  </si>
  <si>
    <t>ENSDARG00000103604</t>
  </si>
  <si>
    <t>BX470200.3</t>
  </si>
  <si>
    <t>ENSDARG00000099201</t>
  </si>
  <si>
    <t>BX908731.1</t>
  </si>
  <si>
    <t>ENSDARG00000099942</t>
  </si>
  <si>
    <t>CU571256.1</t>
  </si>
  <si>
    <t>ENSDARG00000100390</t>
  </si>
  <si>
    <t>CABZ01021450.2</t>
  </si>
  <si>
    <t>ENSDARG00000099904</t>
  </si>
  <si>
    <t>BX510309.5</t>
  </si>
  <si>
    <t>ENSDARG00000099984</t>
  </si>
  <si>
    <t>CABZ01023255.1</t>
  </si>
  <si>
    <t>ENSDARG00000042401</t>
  </si>
  <si>
    <t>derl2</t>
  </si>
  <si>
    <t>derlin 2 [Source:ZFIN;Acc:ZDB-GENE-050522-90]</t>
  </si>
  <si>
    <t>ENSDARG00000098110</t>
  </si>
  <si>
    <t>CABZ01079550.1</t>
  </si>
  <si>
    <t>ENSDARG00000067592</t>
  </si>
  <si>
    <t>BX901974.1</t>
  </si>
  <si>
    <t>ENSDARG00000024006</t>
  </si>
  <si>
    <t>rprmb</t>
  </si>
  <si>
    <t>reprimo, TP53 dependent G2 arrest mediator candidate b [Source:ZFIN;Acc:ZDB-GENE-040426-1779]</t>
  </si>
  <si>
    <t>ENSDARG00000057245</t>
  </si>
  <si>
    <t>FAM98C</t>
  </si>
  <si>
    <t>im:7138535 [Source:ZFIN;Acc:ZDB-GENE-041111-49]</t>
  </si>
  <si>
    <t>ENSDARG00000028517</t>
  </si>
  <si>
    <t>hbp1</t>
  </si>
  <si>
    <t>HMG-box transcription factor 1 [Source:ZFIN;Acc:ZDB-GENE-050522-414]</t>
  </si>
  <si>
    <t>ENSDARG00000076361</t>
  </si>
  <si>
    <t>B4GALNT2</t>
  </si>
  <si>
    <t>beta-1,4-N-acetyl-galactosaminyl transferase 2 [Source:HGNC Symbol;Acc:HGNC:24136]</t>
  </si>
  <si>
    <t>ENSDARG00000098583</t>
  </si>
  <si>
    <t>wbp1</t>
  </si>
  <si>
    <t>WW domain binding protein 1 [Source:ZFIN;Acc:ZDB-GENE-040426-1830]</t>
  </si>
  <si>
    <t>ENSDARG00000099650</t>
  </si>
  <si>
    <t>fgd</t>
  </si>
  <si>
    <t>faciogenital dysplasia [Source:ZFIN;Acc:ZDB-GENE-000517-1]</t>
  </si>
  <si>
    <t>ENSDARG00000098186</t>
  </si>
  <si>
    <t>TMEM19</t>
  </si>
  <si>
    <t>transmembrane protein 19 [Source:HGNC Symbol;Acc:HGNC:25605]</t>
  </si>
  <si>
    <t>ENSDARG00000098861</t>
  </si>
  <si>
    <t>si:dkey-71b5.6.1</t>
  </si>
  <si>
    <t>si:dkey-71b5.6 [Source:EntrezGene;Acc:100294632]</t>
  </si>
  <si>
    <t>ENSDARG00000101413</t>
  </si>
  <si>
    <t>dusp7</t>
  </si>
  <si>
    <t>dual specificity phosphatase 7 [Source:ZFIN;Acc:ZDB-GENE-030131-5457]</t>
  </si>
  <si>
    <t>ENSDARG00000098886</t>
  </si>
  <si>
    <t>BX294383.1</t>
  </si>
  <si>
    <t>ENSDARG00000104731</t>
  </si>
  <si>
    <t>CR759907.2</t>
  </si>
  <si>
    <t>ENSDARG00000104304</t>
  </si>
  <si>
    <t>CABZ01062422.2</t>
  </si>
  <si>
    <t>ENSDARG00000101502</t>
  </si>
  <si>
    <t>CR753816.1</t>
  </si>
  <si>
    <t>ENSDARG00000101742</t>
  </si>
  <si>
    <t>CR847512.1</t>
  </si>
  <si>
    <t>ENSDARG00000007955</t>
  </si>
  <si>
    <t>iars</t>
  </si>
  <si>
    <t>isoleucyl-tRNA synthetase [Source:ZFIN;Acc:ZDB-GENE-030131-6325]</t>
  </si>
  <si>
    <t>ENSDARG00000102873</t>
  </si>
  <si>
    <t>CT956002.1</t>
  </si>
  <si>
    <t>ENSDARG00000098779</t>
  </si>
  <si>
    <t>BX547930.1</t>
  </si>
  <si>
    <t>ENSDARG00000036924</t>
  </si>
  <si>
    <t>TATDN1</t>
  </si>
  <si>
    <t>TatD DNase domain containing 1 [Source:HGNC Symbol;Acc:HGNC:24220]</t>
  </si>
  <si>
    <t>ENSDARG00000104090</t>
  </si>
  <si>
    <t>zgc:153924</t>
  </si>
  <si>
    <t>zgc:153924 [Source:ZFIN;Acc:ZDB-GENE-060929-812]</t>
  </si>
  <si>
    <t>ENSDARG00000083593</t>
  </si>
  <si>
    <t>SNORA54</t>
  </si>
  <si>
    <t>Small nucleolar RNA SNORA54 [Source:RFAM;Acc:RF00430]</t>
  </si>
  <si>
    <t>ENSDARG00000101562</t>
  </si>
  <si>
    <t>znf1014</t>
  </si>
  <si>
    <t>zinc finger protein 1014 [Source:ZFIN;Acc:ZDB-GENE-080220-9]</t>
  </si>
  <si>
    <t>ENSDARG00000099955</t>
  </si>
  <si>
    <t>CABZ01009880.1</t>
  </si>
  <si>
    <t>ENSDARG00000103505</t>
  </si>
  <si>
    <t>fbxl3a</t>
  </si>
  <si>
    <t>F-box and leucine-rich repeat protein 3a [Source:ZFIN;Acc:ZDB-GENE-030912-5]</t>
  </si>
  <si>
    <t>ENSDARG00000030465</t>
  </si>
  <si>
    <t>tmem263</t>
  </si>
  <si>
    <t>transmembrane protein 263 [Source:ZFIN;Acc:ZDB-GENE-040426-2155]</t>
  </si>
  <si>
    <t>ENSDARG00000076264</t>
  </si>
  <si>
    <t>zgc:195170</t>
  </si>
  <si>
    <t>zgc:195170 [Source:ZFIN;Acc:ZDB-GENE-080723-62]</t>
  </si>
  <si>
    <t>ENSDARG00000098474</t>
  </si>
  <si>
    <t>TWF1</t>
  </si>
  <si>
    <t>twinfilin actin binding protein 1 [Source:HGNC Symbol;Acc:HGNC:9620]</t>
  </si>
  <si>
    <t>ENSDARG00000103414</t>
  </si>
  <si>
    <t>DENND6A</t>
  </si>
  <si>
    <t>DENN/MADD domain containing 6A [Source:HGNC Symbol;Acc:HGNC:26635]</t>
  </si>
  <si>
    <t>ENSDARG00000090512</t>
  </si>
  <si>
    <t>trim8a</t>
  </si>
  <si>
    <t>tripartite motif containing 8a [Source:ZFIN;Acc:ZDB-GENE-130107-1]</t>
  </si>
  <si>
    <t>ENSDARG00000103529</t>
  </si>
  <si>
    <t>snx1b</t>
  </si>
  <si>
    <t>sorting nexin 1b [Source:ZFIN;Acc:ZDB-GENE-050913-82]</t>
  </si>
  <si>
    <t>ENSDARG00000077463</t>
  </si>
  <si>
    <t>LEPROT</t>
  </si>
  <si>
    <t>leptin receptor overlapping transcript [Source:HGNC Symbol;Acc:HGNC:29477]</t>
  </si>
  <si>
    <t>ENSDARG00000060053</t>
  </si>
  <si>
    <t>KCNH2</t>
  </si>
  <si>
    <t>potassium channel, voltage gated eag related subfamily H, member 2 [Source:HGNC Symbol;Acc:HGNC:6251]</t>
  </si>
  <si>
    <t>ENSDARG00000103399</t>
  </si>
  <si>
    <t>SLC44A2</t>
  </si>
  <si>
    <t>zgc:63569 [Source:ZFIN;Acc:ZDB-GENE-030131-9816]</t>
  </si>
  <si>
    <t>ENSDARG00000101649</t>
  </si>
  <si>
    <t>TIMP3</t>
  </si>
  <si>
    <t>TIMP metallopeptidase inhibitor 3 [Source:HGNC Symbol;Acc:HGNC:11822]</t>
  </si>
  <si>
    <t>ENSDARG00000074642</t>
  </si>
  <si>
    <t>FO704620.1</t>
  </si>
  <si>
    <t>ENSDARG00000008623</t>
  </si>
  <si>
    <t>cops3</t>
  </si>
  <si>
    <t>COP9 signalosome subunit 3 [Source:ZFIN;Acc:ZDB-GENE-030131-7660]</t>
  </si>
  <si>
    <t>ENSDARG00000060489</t>
  </si>
  <si>
    <t>mrpl32</t>
  </si>
  <si>
    <t>mitochondrial ribosomal protein L32 [Source:ZFIN;Acc:ZDB-GENE-060825-188]</t>
  </si>
  <si>
    <t>ENSDARG00000068883</t>
  </si>
  <si>
    <t>tspan13a</t>
  </si>
  <si>
    <t>tetraspanin 13a [Source:ZFIN;Acc:ZDB-GENE-040718-19]</t>
  </si>
  <si>
    <t>ENSDARG00000103297</t>
  </si>
  <si>
    <t>FO704607.1</t>
  </si>
  <si>
    <t>ENSDARG00000079201</t>
  </si>
  <si>
    <t>TSHZ2</t>
  </si>
  <si>
    <t>teashirt zinc finger homeobox 2 [Source:HGNC Symbol;Acc:HGNC:13010]</t>
  </si>
  <si>
    <t>ENSDARG00000015835</t>
  </si>
  <si>
    <t>eif4e2rs1</t>
  </si>
  <si>
    <t>eukaryotic translation initiation factor 4E family member 2 related sequence 1 [Source:ZFIN;Acc:ZDB-GENE-040426-1728]</t>
  </si>
  <si>
    <t>ENSDARG00000100939</t>
  </si>
  <si>
    <t>CABZ01117603.1</t>
  </si>
  <si>
    <t>ENSDARG00000090687</t>
  </si>
  <si>
    <t>rcbtb2</t>
  </si>
  <si>
    <t>regulator of chromosome condensation (RCC1) and BTB (POZ) domain containing protein 2 [Source:ZFIN;Acc:ZDB-GENE-071016-3]</t>
  </si>
  <si>
    <t>ENSDARG00000079046</t>
  </si>
  <si>
    <t>CABZ01075627.1</t>
  </si>
  <si>
    <t>ENSDARG00000099088</t>
  </si>
  <si>
    <t>edar</t>
  </si>
  <si>
    <t>ectodysplasin A receptor [Source:ZFIN;Acc:ZDB-GENE-070117-2062]</t>
  </si>
  <si>
    <t>ENSDARG00000089307</t>
  </si>
  <si>
    <t>pmaip1</t>
  </si>
  <si>
    <t>phorbol-12-myristate-13-acetate-induced protein 1 [Source:ZFIN;Acc:ZDB-GENE-070119-3]</t>
  </si>
  <si>
    <t>ENSDARG00000060618</t>
  </si>
  <si>
    <t>ipo13</t>
  </si>
  <si>
    <t>importin 13 [Source:ZFIN;Acc:ZDB-GENE-070706-1]</t>
  </si>
  <si>
    <t>ENSDARG00000009484</t>
  </si>
  <si>
    <t>arf1</t>
  </si>
  <si>
    <t>ADP-ribosylation factor 1 [Source:ZFIN;Acc:ZDB-GENE-010724-5]</t>
  </si>
  <si>
    <t>ENSDARG00000102902</t>
  </si>
  <si>
    <t>STRN4</t>
  </si>
  <si>
    <t>striatin 4 [Source:HGNC Symbol;Acc:HGNC:15721]</t>
  </si>
  <si>
    <t>ENSDARG00000099222</t>
  </si>
  <si>
    <t>prpsap1</t>
  </si>
  <si>
    <t>phosphoribosyl pyrophosphate synthetase-associated protein 1 [Source:ZFIN;Acc:ZDB-GENE-040704-40]</t>
  </si>
  <si>
    <t>ENSDARG00000039601</t>
  </si>
  <si>
    <t>ier3ip1</t>
  </si>
  <si>
    <t>immediate early response 3 interacting protein 1 [Source:ZFIN;Acc:ZDB-GENE-050506-106]</t>
  </si>
  <si>
    <t>ENSDARG00000074498</t>
  </si>
  <si>
    <t>chd9</t>
  </si>
  <si>
    <t>chromodomain helicase DNA binding protein 9 [Source:ZFIN;Acc:ZDB-GENE-030131-497]</t>
  </si>
  <si>
    <t>ENSDARG00000088766</t>
  </si>
  <si>
    <t>CABZ01112210.1</t>
  </si>
  <si>
    <t>ENSDARG00000078761</t>
  </si>
  <si>
    <t>RMDN2</t>
  </si>
  <si>
    <t>regulator of microtubule dynamics 2 [Source:HGNC Symbol;Acc:HGNC:26567]</t>
  </si>
  <si>
    <t>ENSDARG00000099409</t>
  </si>
  <si>
    <t>OGFR</t>
  </si>
  <si>
    <t>zgc:162182 [Source:ZFIN;Acc:ZDB-GENE-070424-58]</t>
  </si>
  <si>
    <t>ENSDARG00000104280</t>
  </si>
  <si>
    <t>bnip1b</t>
  </si>
  <si>
    <t>BCL2/adenovirus E1B interacting protein 1b [Source:ZFIN;Acc:ZDB-GENE-120203-6]</t>
  </si>
  <si>
    <t>ENSDARG00000035963</t>
  </si>
  <si>
    <t>ccdc96</t>
  </si>
  <si>
    <t>coiled-coil domain containing 96 [Source:ZFIN;Acc:ZDB-GENE-081022-156]</t>
  </si>
  <si>
    <t>ENSDARG00000075083</t>
  </si>
  <si>
    <t>prkdc</t>
  </si>
  <si>
    <t>protein kinase, DNA-activated, catalytic polypeptide [Source:ZFIN;Acc:ZDB-GENE-030131-9008]</t>
  </si>
  <si>
    <t>ENSDARG00000087822</t>
  </si>
  <si>
    <t>AGAP3</t>
  </si>
  <si>
    <t>wu:fj34h05 [Source:ZFIN;Acc:ZDB-GENE-030131-7799]</t>
  </si>
  <si>
    <t>ENSDARG00000031693</t>
  </si>
  <si>
    <t>KIF9</t>
  </si>
  <si>
    <t>kinesin family member 9 [Source:HGNC Symbol;Acc:HGNC:16666]</t>
  </si>
  <si>
    <t>ENSDARG00000059587</t>
  </si>
  <si>
    <t>CU928117.1</t>
  </si>
  <si>
    <t>ENSDARG00000052061</t>
  </si>
  <si>
    <t>col4a6</t>
  </si>
  <si>
    <t>collagen, type IV, alpha 6 [Source:ZFIN;Acc:ZDB-GENE-101001-2]</t>
  </si>
  <si>
    <t>ENSDARG00000059510</t>
  </si>
  <si>
    <t>coq2</t>
  </si>
  <si>
    <t>coenzyme Q2 4-hydroxybenzoate polyprenyltransferase [Source:ZFIN;Acc:ZDB-GENE-070410-84]</t>
  </si>
  <si>
    <t>ENSDARG00000074622</t>
  </si>
  <si>
    <t>MYO5A</t>
  </si>
  <si>
    <t>myosin VA [Source:HGNC Symbol;Acc:HGNC:7602]</t>
  </si>
  <si>
    <t>ENSDARG00000016212</t>
  </si>
  <si>
    <t>nup214</t>
  </si>
  <si>
    <t>nucleoporin 214 [Source:ZFIN;Acc:ZDB-GENE-110203-3]</t>
  </si>
  <si>
    <t>ENSDARG00000103903</t>
  </si>
  <si>
    <t>CABZ01067945.1</t>
  </si>
  <si>
    <t>ENSDARG00000061147</t>
  </si>
  <si>
    <t>zfp64</t>
  </si>
  <si>
    <t>zinc finger protein 64 homolog (mouse) [Source:ZFIN;Acc:ZDB-GENE-031118-80]</t>
  </si>
  <si>
    <t>ENSDARG00000078653</t>
  </si>
  <si>
    <t>ralbp1</t>
  </si>
  <si>
    <t>ralA binding protein 1 [Source:ZFIN;Acc:ZDB-GENE-040426-2098]</t>
  </si>
  <si>
    <t>ENSDARG00000100428</t>
  </si>
  <si>
    <t>BOLA2</t>
  </si>
  <si>
    <t>bolA family member 2 [Source:HGNC Symbol;Acc:HGNC:29488]</t>
  </si>
  <si>
    <t>ENSDARG00000101973</t>
  </si>
  <si>
    <t>CR769782.1</t>
  </si>
  <si>
    <t>ENSDARG00000016112</t>
  </si>
  <si>
    <t>bbs12</t>
  </si>
  <si>
    <t>Bardet-Biedl syndrome 12 [Source:ZFIN;Acc:ZDB-GENE-070626-3]</t>
  </si>
  <si>
    <t>ENSDARG00000102163</t>
  </si>
  <si>
    <t>CR361561.2</t>
  </si>
  <si>
    <t>ENSDARG00000037613</t>
  </si>
  <si>
    <t>LGALS8</t>
  </si>
  <si>
    <t>LGALS8.1</t>
  </si>
  <si>
    <t>lectin, galactoside-binding, soluble, 8 [Source:HGNC Symbol;Acc:HGNC:6569]</t>
  </si>
  <si>
    <t>ENSDARG00000102154</t>
  </si>
  <si>
    <t>BX855614.3</t>
  </si>
  <si>
    <t>ENSDARG00000089517</t>
  </si>
  <si>
    <t>zgc:92594</t>
  </si>
  <si>
    <t>zgc:92594 [Source:ZFIN;Acc:ZDB-GENE-040718-482]</t>
  </si>
  <si>
    <t>ENSDARG00000101404</t>
  </si>
  <si>
    <t>ZCCHC11</t>
  </si>
  <si>
    <t>zinc finger, CCHC domain containing 11 [Source:HGNC Symbol;Acc:HGNC:28981]</t>
  </si>
  <si>
    <t>ENSDARG00000103879</t>
  </si>
  <si>
    <t>CR450785.2</t>
  </si>
  <si>
    <t>ENSDARG00000099264</t>
  </si>
  <si>
    <t>BX324003.3</t>
  </si>
  <si>
    <t>ENSDARG00000105258</t>
  </si>
  <si>
    <t>CEP72</t>
  </si>
  <si>
    <t>centrosomal protein 72kDa [Source:HGNC Symbol;Acc:HGNC:25547]</t>
  </si>
  <si>
    <t>ENSDARG00000074490</t>
  </si>
  <si>
    <t>casc4</t>
  </si>
  <si>
    <t>cancer susceptibility candidate 4 [Source:ZFIN;Acc:ZDB-GENE-091130-1]</t>
  </si>
  <si>
    <t>ENSDARG00000068367</t>
  </si>
  <si>
    <t>nfkbie</t>
  </si>
  <si>
    <t>nuclear factor of kappa light polypeptide gene enhancer in B-cells inhibitor, epsilon [Source:ZFIN;Acc:ZDB-GENE-061215-132]</t>
  </si>
  <si>
    <t>ENSDARG00000088052</t>
  </si>
  <si>
    <t>CR759791.2</t>
  </si>
  <si>
    <t>ENSDARG00000102112</t>
  </si>
  <si>
    <t>BX677667.1</t>
  </si>
  <si>
    <t>ENSDARG00000101743</t>
  </si>
  <si>
    <t>C11orf1</t>
  </si>
  <si>
    <t>chromosome 11 open reading frame 1 [Source:HGNC Symbol;Acc:HGNC:1163]</t>
  </si>
  <si>
    <t>ENSDARG00000079639</t>
  </si>
  <si>
    <t>PRRC2B</t>
  </si>
  <si>
    <t>proline-rich coiled-coil 2B [Source:HGNC Symbol;Acc:HGNC:28121]</t>
  </si>
  <si>
    <t>ENSDARG00000100540</t>
  </si>
  <si>
    <t>CABZ01114105.1</t>
  </si>
  <si>
    <t>ENSDARG00000099464</t>
  </si>
  <si>
    <t>FAM19A2</t>
  </si>
  <si>
    <t>family with sequence similarity 19 (chemokine (C-C motif)-like), member A2 [Source:HGNC Symbol;Acc:HGNC:21589]</t>
  </si>
  <si>
    <t>ENSDARG00000102754</t>
  </si>
  <si>
    <t>CABZ01061549.1</t>
  </si>
  <si>
    <t>ENSDARG00000099376</t>
  </si>
  <si>
    <t>CABZ01050249.1</t>
  </si>
  <si>
    <t>ENSDARG00000038865</t>
  </si>
  <si>
    <t>acox3</t>
  </si>
  <si>
    <t>acyl-CoA oxidase 3, pristanoyl [Source:ZFIN;Acc:ZDB-GENE-040426-2163]</t>
  </si>
  <si>
    <t>ENSDARG00000040990</t>
  </si>
  <si>
    <t>usp37</t>
  </si>
  <si>
    <t>ubiquitin specific peptidase 37 [Source:ZFIN;Acc:ZDB-GENE-061013-802]</t>
  </si>
  <si>
    <t>ENSDARG00000078442</t>
  </si>
  <si>
    <t>NOP9</t>
  </si>
  <si>
    <t>NOP9 nucleolar protein [Source:HGNC Symbol;Acc:HGNC:19826]</t>
  </si>
  <si>
    <t>ENSDARG00000036005</t>
  </si>
  <si>
    <t>pitpnb</t>
  </si>
  <si>
    <t>phosphatidylinositol transfer protein, beta [Source:ZFIN;Acc:ZDB-GENE-040426-895]</t>
  </si>
  <si>
    <t>ENSDARG00000074676</t>
  </si>
  <si>
    <t>rprd2b</t>
  </si>
  <si>
    <t>regulation of nuclear pre-mRNA domain containing 2b [Source:ZFIN;Acc:ZDB-GENE-110719-1]</t>
  </si>
  <si>
    <t>ENSDARG00000059409</t>
  </si>
  <si>
    <t>ABCD2</t>
  </si>
  <si>
    <t>ATP binding cassette subfamily D member 2 [Source:HGNC Symbol;Acc:HGNC:66]</t>
  </si>
  <si>
    <t>ENSDARG00000063285</t>
  </si>
  <si>
    <t>ube2t</t>
  </si>
  <si>
    <t>ubiquitin-conjugating enzyme E2T (putative) [Source:ZFIN;Acc:ZDB-GENE-061013-547]</t>
  </si>
  <si>
    <t>ENSDARG00000075709</t>
  </si>
  <si>
    <t>ndufb3</t>
  </si>
  <si>
    <t>NADH dehydrogenase (ubiquinone) 1 beta subcomplex, 3 [Source:EntrezGene;Acc:100332034]</t>
  </si>
  <si>
    <t>ENSDARG00000102000</t>
  </si>
  <si>
    <t>CABZ01080371.2</t>
  </si>
  <si>
    <t>ENSDARG00000104817</t>
  </si>
  <si>
    <t>ryroxd1</t>
  </si>
  <si>
    <t>pyridine nucleotide-disulphide oxidoreductase domain 1 [Source:ZFIN;Acc:ZDB-GENE-040426-1732]</t>
  </si>
  <si>
    <t>ENSDARG00000073847</t>
  </si>
  <si>
    <t>rbm15</t>
  </si>
  <si>
    <t>RNA binding motif protein 15 [Source:ZFIN;Acc:ZDB-GENE-041008-192]</t>
  </si>
  <si>
    <t>ENSDARG00000100028</t>
  </si>
  <si>
    <t>pole2</t>
  </si>
  <si>
    <t>polymerase (DNA directed), epsilon 2 [Source:ZFIN;Acc:ZDB-GENE-020419-16]</t>
  </si>
  <si>
    <t>ENSDARG00000104069</t>
  </si>
  <si>
    <t>rnf170</t>
  </si>
  <si>
    <t>ring finger protein 170 [Source:ZFIN;Acc:ZDB-GENE-040426-2572]</t>
  </si>
  <si>
    <t>ENSDARG00000035699</t>
  </si>
  <si>
    <t>srp19</t>
  </si>
  <si>
    <t>signal recognition particle 19 [Source:ZFIN;Acc:ZDB-GENE-040426-2657]</t>
  </si>
  <si>
    <t>ENSDARG00000100322</t>
  </si>
  <si>
    <t>fut10</t>
  </si>
  <si>
    <t>fucosyltransferase 10 [Source:ZFIN;Acc:ZDB-GENE-081022-183]</t>
  </si>
  <si>
    <t>ENSDARG00000102155</t>
  </si>
  <si>
    <t>CU896698.1</t>
  </si>
  <si>
    <t>ENSDARG00000086161</t>
  </si>
  <si>
    <t>TMPRSS7</t>
  </si>
  <si>
    <t>transmembrane protease, serine 7 [Source:HGNC Symbol;Acc:HGNC:30846]</t>
  </si>
  <si>
    <t>ENSDARG00000041378</t>
  </si>
  <si>
    <t>sh2d4a</t>
  </si>
  <si>
    <t>SH2 domain containing 4A [Source:ZFIN;Acc:ZDB-GENE-040426-932]</t>
  </si>
  <si>
    <t>ENSDARG00000078362</t>
  </si>
  <si>
    <t>TNC</t>
  </si>
  <si>
    <t>tenascin C [Source:HGNC Symbol;Acc:HGNC:5318]</t>
  </si>
  <si>
    <t>ENSDARG00000099574</t>
  </si>
  <si>
    <t>CABZ01030016.1</t>
  </si>
  <si>
    <t>ENSDARG00000098214</t>
  </si>
  <si>
    <t>CABZ01072487.1</t>
  </si>
  <si>
    <t>ENSDARG00000024728</t>
  </si>
  <si>
    <t>hdhd2</t>
  </si>
  <si>
    <t>haloacid dehalogenase-like hydrolase domain containing 2 [Source:ZFIN;Acc:ZDB-GENE-050320-37]</t>
  </si>
  <si>
    <t>ENSDARG00000059367</t>
  </si>
  <si>
    <t>mfap2</t>
  </si>
  <si>
    <t>microfibrillar-associated protein 2 [Source:ZFIN;Acc:ZDB-GENE-030131-6710]</t>
  </si>
  <si>
    <t>ENSDARG00000054050</t>
  </si>
  <si>
    <t>vsig8a</t>
  </si>
  <si>
    <t>V-set and immunoglobulin domain containing 8a [Source:ZFIN;Acc:ZDB-GENE-050417-338]</t>
  </si>
  <si>
    <t>ENSDARG00000075422</t>
  </si>
  <si>
    <t>MRPL49</t>
  </si>
  <si>
    <t>mitochondrial ribosomal protein L49 [Source:HGNC Symbol;Acc:HGNC:1176]</t>
  </si>
  <si>
    <t>ENSDARG00000104306</t>
  </si>
  <si>
    <t>UBR1</t>
  </si>
  <si>
    <t>ubiquitin protein ligase E3 component n-recognin 1 [Source:HGNC Symbol;Acc:HGNC:16808]</t>
  </si>
  <si>
    <t>ENSDARG00000098859</t>
  </si>
  <si>
    <t>NOP14</t>
  </si>
  <si>
    <t>NOP14 nucleolar protein [Source:HGNC Symbol;Acc:HGNC:16821]</t>
  </si>
  <si>
    <t>ENSDARG00000078775</t>
  </si>
  <si>
    <t>RASA2</t>
  </si>
  <si>
    <t>RAS p21 protein activator 2 [Source:HGNC Symbol;Acc:HGNC:9872]</t>
  </si>
  <si>
    <t>ENSDARG00000068590</t>
  </si>
  <si>
    <t>NAT6</t>
  </si>
  <si>
    <t>N-acetyltransferase 6 (GCN5-related) [Source:HGNC Symbol;Acc:HGNC:30252]</t>
  </si>
  <si>
    <t>ENSDARG00000011404</t>
  </si>
  <si>
    <t>fen1</t>
  </si>
  <si>
    <t>flap structure-specific endonuclease 1 [Source:ZFIN;Acc:ZDB-GENE-031112-11]</t>
  </si>
  <si>
    <t>ENSDARG00000087059</t>
  </si>
  <si>
    <t>fam213ab</t>
  </si>
  <si>
    <t>family with sequence similarity 213, member Ab [Source:ZFIN;Acc:ZDB-GENE-060929-88]</t>
  </si>
  <si>
    <t>ENSDARG00000098983</t>
  </si>
  <si>
    <t>GHITM</t>
  </si>
  <si>
    <t>growth hormone inducible transmembrane protein [Source:HGNC Symbol;Acc:HGNC:17281]</t>
  </si>
  <si>
    <t>ENSDARG00000101134</t>
  </si>
  <si>
    <t>CABZ01064859.2</t>
  </si>
  <si>
    <t>ENSDARG00000074264</t>
  </si>
  <si>
    <t>tmem186</t>
  </si>
  <si>
    <t>transmembrane protein 186 [Source:ZFIN;Acc:ZDB-GENE-081022-122]</t>
  </si>
  <si>
    <t>ENSDARG00000058828</t>
  </si>
  <si>
    <t>ccdc51</t>
  </si>
  <si>
    <t>coiled-coil domain containing 51 [Source:ZFIN;Acc:ZDB-GENE-060825-200]</t>
  </si>
  <si>
    <t>ENSDARG00000102758</t>
  </si>
  <si>
    <t>FO704661.1</t>
  </si>
  <si>
    <t>gamma-glutamyl hydrolase precursor  [Source:RefSeq peptide;Acc:NP_001243151]</t>
  </si>
  <si>
    <t>ENSDARG00000099511</t>
  </si>
  <si>
    <t>CABZ01034698.4</t>
  </si>
  <si>
    <t>ENSDARG00000105136</t>
  </si>
  <si>
    <t>CCDC50</t>
  </si>
  <si>
    <t>coiled-coil domain containing 50 [Source:HGNC Symbol;Acc:HGNC:18111]</t>
  </si>
  <si>
    <t>ENSDARG00000103163</t>
  </si>
  <si>
    <t>arid4b.1</t>
  </si>
  <si>
    <t>ENSDARG00000046072</t>
  </si>
  <si>
    <t>snx16</t>
  </si>
  <si>
    <t>sorting nexin 16 [Source:ZFIN;Acc:ZDB-GENE-040426-1832]</t>
  </si>
  <si>
    <t>ENSDARG00000076371</t>
  </si>
  <si>
    <t>SHROOM2</t>
  </si>
  <si>
    <t>shroom family member 2 [Source:HGNC Symbol;Acc:HGNC:630]</t>
  </si>
  <si>
    <t>ENSDARG00000013526</t>
  </si>
  <si>
    <t>SVEP1</t>
  </si>
  <si>
    <t>sushi, von Willebrand factor type A, EGF and pentraxin domain containing 1 [Source:HGNC Symbol;Acc:HGNC:15985]</t>
  </si>
  <si>
    <t>ENSDARG00000098860</t>
  </si>
  <si>
    <t>FAM57A</t>
  </si>
  <si>
    <t>family with sequence similarity 57 member A [Source:HGNC Symbol;Acc:HGNC:29646]</t>
  </si>
  <si>
    <t>ENSDARG00000077013</t>
  </si>
  <si>
    <t>znf280d</t>
  </si>
  <si>
    <t>zinc finger protein 280D [Source:ZFIN;Acc:ZDB-GENE-030131-2260]</t>
  </si>
  <si>
    <t>ENSDARG00000102332</t>
  </si>
  <si>
    <t>SPINT1</t>
  </si>
  <si>
    <t>serine peptidase inhibitor, Kunitz type 1 [Source:HGNC Symbol;Acc:HGNC:11246]</t>
  </si>
  <si>
    <t>ENSDARG00000035188</t>
  </si>
  <si>
    <t>rab14l</t>
  </si>
  <si>
    <t>RAB14, member RAS oncogene family, like [Source:ZFIN;Acc:ZDB-GENE-040426-1207]</t>
  </si>
  <si>
    <t>ENSDARG00000099999</t>
  </si>
  <si>
    <t>tcf3b</t>
  </si>
  <si>
    <t>transcription factor 3b [Source:ZFIN;Acc:ZDB-GENE-051113-64]</t>
  </si>
  <si>
    <t>ENSDARG00000104749</t>
  </si>
  <si>
    <t>FBXO48.1</t>
  </si>
  <si>
    <t>ENSDARG00000098700</t>
  </si>
  <si>
    <t>il1b</t>
  </si>
  <si>
    <t>interleukin 1, beta [Source:ZFIN;Acc:ZDB-GENE-040702-2]</t>
  </si>
  <si>
    <t>ENSDARG00000022399</t>
  </si>
  <si>
    <t>ntmt1</t>
  </si>
  <si>
    <t>N-terminal Xaa-Pro-Lys N-methyltransferase 1 [Source:ZFIN;Acc:ZDB-GENE-040426-2055]</t>
  </si>
  <si>
    <t>ENSDARG00000067817</t>
  </si>
  <si>
    <t>PRKAB2</t>
  </si>
  <si>
    <t>protein kinase, AMP-activated, beta 2 non-catalytic subunit [Source:HGNC Symbol;Acc:HGNC:9379]</t>
  </si>
  <si>
    <t>ENSDARG00000104508</t>
  </si>
  <si>
    <t>slc10a7</t>
  </si>
  <si>
    <t>solute carrier family 10, member 7 [Source:ZFIN;Acc:ZDB-GENE-040801-5]</t>
  </si>
  <si>
    <t>ENSDARG00000079302</t>
  </si>
  <si>
    <t>and2</t>
  </si>
  <si>
    <t>actinodin2 [Source:ZFIN;Acc:ZDB-GENE-041105-2]</t>
  </si>
  <si>
    <t>ENSDARG00000031150</t>
  </si>
  <si>
    <t>gba3</t>
  </si>
  <si>
    <t>glucosidase, beta, acid 3 (gene/pseudogene) [Source:ZFIN;Acc:ZDB-GENE-050522-351]</t>
  </si>
  <si>
    <t>ENSDARG00000026376</t>
  </si>
  <si>
    <t>aco1</t>
  </si>
  <si>
    <t>aconitase 1, soluble [Source:ZFIN;Acc:ZDB-GENE-031118-76]</t>
  </si>
  <si>
    <t>ENSDARG00000035391</t>
  </si>
  <si>
    <t>ptcd2</t>
  </si>
  <si>
    <t>pentatricopeptide repeat domain 2 [Source:ZFIN;Acc:ZDB-GENE-050417-82]</t>
  </si>
  <si>
    <t>ENSDARG00000090454</t>
  </si>
  <si>
    <t>gnb1a</t>
  </si>
  <si>
    <t>guanine nucleotide binding protein (G protein), beta polypeptide 1a [Source:ZFIN;Acc:ZDB-GENE-030131-823]</t>
  </si>
  <si>
    <t>ENSDARG00000052437</t>
  </si>
  <si>
    <t>mia</t>
  </si>
  <si>
    <t>melanoma inhibitory activity [Source:ZFIN;Acc:ZDB-GENE-081022-66]</t>
  </si>
  <si>
    <t>ENSDARG00000010238</t>
  </si>
  <si>
    <t>rbm22</t>
  </si>
  <si>
    <t>RNA binding motif protein 22 [Source:ZFIN;Acc:ZDB-GENE-040426-2298]</t>
  </si>
  <si>
    <t>ENSDARG00000102558</t>
  </si>
  <si>
    <t>pde6h</t>
  </si>
  <si>
    <t>phosphodiesterase 6H, cGMP-specific, cone, gamma [Source:ZFIN;Acc:ZDB-GENE-040426-1754]</t>
  </si>
  <si>
    <t>ENSDARG00000101297</t>
  </si>
  <si>
    <t>tmem266</t>
  </si>
  <si>
    <t>transmembrane protein 266 [Source:ZFIN;Acc:ZDB-GENE-070112-2382]</t>
  </si>
  <si>
    <t>ENSDARG00000099193</t>
  </si>
  <si>
    <t>BX640461.2</t>
  </si>
  <si>
    <t>ENSDARG00000016044</t>
  </si>
  <si>
    <t>gins4</t>
  </si>
  <si>
    <t>GINS complex subunit 4 (Sld5 homolog) [Source:ZFIN;Acc:ZDB-GENE-040801-59]</t>
  </si>
  <si>
    <t>ENSDARG00000099945</t>
  </si>
  <si>
    <t>CU467646.4</t>
  </si>
  <si>
    <t>ENSDARG00000086586</t>
  </si>
  <si>
    <t>BX323854.3</t>
  </si>
  <si>
    <t>ENSDARG00000053973</t>
  </si>
  <si>
    <t>fetub</t>
  </si>
  <si>
    <t>fetuin B [Source:ZFIN;Acc:ZDB-GENE-050208-4]</t>
  </si>
  <si>
    <t>ENSDARG00000078250</t>
  </si>
  <si>
    <t>zgc:194398</t>
  </si>
  <si>
    <t>zgc:194398 [Source:ZFIN;Acc:ZDB-GENE-081022-111]</t>
  </si>
  <si>
    <t>ENSDARG00000052427</t>
  </si>
  <si>
    <t>CCDC64B</t>
  </si>
  <si>
    <t>zgc:153929 [Source:ZFIN;Acc:ZDB-GENE-061103-154]</t>
  </si>
  <si>
    <t>ENSDARG00000100254</t>
  </si>
  <si>
    <t>zgc:85789</t>
  </si>
  <si>
    <t>zgc:85789 [Source:ZFIN;Acc:ZDB-GENE-030131-1069]</t>
  </si>
  <si>
    <t>ENSDARG00000103983</t>
  </si>
  <si>
    <t>slc30a10</t>
  </si>
  <si>
    <t>solute carrier family 30, member 10 [Source:ZFIN;Acc:ZDB-GENE-060608-2]</t>
  </si>
  <si>
    <t>ENSDARG00000103195</t>
  </si>
  <si>
    <t>DYNC1I2</t>
  </si>
  <si>
    <t>dynein, cytoplasmic 1, intermediate chain 2 [Source:HGNC Symbol;Acc:HGNC:2964]</t>
  </si>
  <si>
    <t>ENSDARG00000100177</t>
  </si>
  <si>
    <t>CABZ01066957.1</t>
  </si>
  <si>
    <t>ENSDARG00000035120</t>
  </si>
  <si>
    <t>GLDC</t>
  </si>
  <si>
    <t>glycine dehydrogenase (decarboxylating) [Source:HGNC Symbol;Acc:HGNC:4313]</t>
  </si>
  <si>
    <t>ENSDARG00000101670</t>
  </si>
  <si>
    <t>KNTC1</t>
  </si>
  <si>
    <t>kinetochore associated 1 [Source:HGNC Symbol;Acc:HGNC:17255]</t>
  </si>
  <si>
    <t>ENSDARG00000101522</t>
  </si>
  <si>
    <t>CABZ01069081.1</t>
  </si>
  <si>
    <t>ENSDARG00000104385</t>
  </si>
  <si>
    <t>CT978957.2</t>
  </si>
  <si>
    <t>ENSDARG00000098464</t>
  </si>
  <si>
    <t>CABZ01060490.1</t>
  </si>
  <si>
    <t>ENSDARG00000100151</t>
  </si>
  <si>
    <t>TUBGCP6</t>
  </si>
  <si>
    <t>tubulin gamma complex associated protein 6 [Source:HGNC Symbol;Acc:HGNC:18127]</t>
  </si>
  <si>
    <t>ENSDARG00000102725</t>
  </si>
  <si>
    <t>CCDC34.1</t>
  </si>
  <si>
    <t>coiled-coil domain containing 34 [Source:HGNC Symbol;Acc:HGNC:25079]</t>
  </si>
  <si>
    <t>ENSDARG00000090431</t>
  </si>
  <si>
    <t>ftr04</t>
  </si>
  <si>
    <t>ftr04.1</t>
  </si>
  <si>
    <t>finTRIM family, member 4 [Source:ZFIN;Acc:ZDB-GENE-070912-226]</t>
  </si>
  <si>
    <t>ENSDARG00000105286</t>
  </si>
  <si>
    <t>ddx54</t>
  </si>
  <si>
    <t>DEAD (Asp-Glu-Ala-Asp) box polypeptide 54 [Source:ZFIN;Acc:ZDB-GENE-021220-2]</t>
  </si>
  <si>
    <t>ENSDARG00000021566</t>
  </si>
  <si>
    <t>OTOP1</t>
  </si>
  <si>
    <t>otopetrin 1 [Source:HGNC Symbol;Acc:HGNC:19656]</t>
  </si>
  <si>
    <t>ENSDARG00000063333</t>
  </si>
  <si>
    <t>nup210</t>
  </si>
  <si>
    <t>nucleoporin 210 [Source:ZFIN;Acc:ZDB-GENE-050208-132]</t>
  </si>
  <si>
    <t>ENSDARG00000078703</t>
  </si>
  <si>
    <t>ASPH</t>
  </si>
  <si>
    <t>aspartate beta-hydroxylase [Source:HGNC Symbol;Acc:HGNC:757]</t>
  </si>
  <si>
    <t>ENSDARG00000058419</t>
  </si>
  <si>
    <t>gcn1</t>
  </si>
  <si>
    <t>GCN1 eIF2 alpha kinase activator homolog [Source:ZFIN;Acc:ZDB-GENE-040724-264]</t>
  </si>
  <si>
    <t>ENSDARG00000059853</t>
  </si>
  <si>
    <t>manbal</t>
  </si>
  <si>
    <t>mannosidase, beta A, lysosomal-like [Source:EntrezGene;Acc:795041]</t>
  </si>
  <si>
    <t>ENSDARG00000099116</t>
  </si>
  <si>
    <t>nagk</t>
  </si>
  <si>
    <t>N-acetylglucosamine kinase [Source:ZFIN;Acc:ZDB-GENE-070928-19]</t>
  </si>
  <si>
    <t>ENSDARG00000091793</t>
  </si>
  <si>
    <t>CABZ01071911.2</t>
  </si>
  <si>
    <t>ENSDARG00000075933</t>
  </si>
  <si>
    <t>cox15</t>
  </si>
  <si>
    <t>cytochrome c oxidase assembly homolog 15 (yeast) [Source:ZFIN;Acc:ZDB-GENE-040426-955]</t>
  </si>
  <si>
    <t>ENSDARG00000089342</t>
  </si>
  <si>
    <t>wu:fc75a09</t>
  </si>
  <si>
    <t>wu:fc75a09 [Source:ZFIN;Acc:ZDB-GENE-030131-4139]</t>
  </si>
  <si>
    <t>ENSDARG00000104122</t>
  </si>
  <si>
    <t>CR388166.2</t>
  </si>
  <si>
    <t>ENSDARG00000042881</t>
  </si>
  <si>
    <t>nthl1</t>
  </si>
  <si>
    <t>nth-like DNA glycosylase 1 [Source:ZFIN;Acc:ZDB-GENE-120511-4]</t>
  </si>
  <si>
    <t>ENSDARG00000104043</t>
  </si>
  <si>
    <t>gng10</t>
  </si>
  <si>
    <t>guanine nucleotide binding protein (G protein), gamma 10 [Source:EntrezGene;Acc:796780]</t>
  </si>
  <si>
    <t>ENSDARG00000103125</t>
  </si>
  <si>
    <t>TSC2</t>
  </si>
  <si>
    <t>tuberous sclerosis 2 [Source:HGNC Symbol;Acc:HGNC:12363]</t>
  </si>
  <si>
    <t>ENSDARG00000025889</t>
  </si>
  <si>
    <t>usp14</t>
  </si>
  <si>
    <t>ubiquitin specific peptidase 14 (tRNA-guanine transglycosylase) [Source:ZFIN;Acc:ZDB-GENE-030131-7676]</t>
  </si>
  <si>
    <t>ENSDARG00000032627</t>
  </si>
  <si>
    <t>SCYL2</t>
  </si>
  <si>
    <t>si:ch211-244b2.1 [Source:ZFIN;Acc:ZDB-GENE-041210-205]</t>
  </si>
  <si>
    <t>ENSDARG00000058993</t>
  </si>
  <si>
    <t>rock1</t>
  </si>
  <si>
    <t>Rho-associated, coiled-coil containing protein kinase 1 [Source:ZFIN;Acc:ZDB-GENE-100712-2]</t>
  </si>
  <si>
    <t>ENSDARG00000101395</t>
  </si>
  <si>
    <t>CR388132.1</t>
  </si>
  <si>
    <t>ENSDARG00000100001</t>
  </si>
  <si>
    <t>CT573263.2</t>
  </si>
  <si>
    <t>ENSDARG00000100082</t>
  </si>
  <si>
    <t>AP3B1</t>
  </si>
  <si>
    <t>adaptor related protein complex 3, beta 1 subunit [Source:HGNC Symbol;Acc:HGNC:566]</t>
  </si>
  <si>
    <t>ENSDARG00000099279</t>
  </si>
  <si>
    <t>ift27</t>
  </si>
  <si>
    <t>intraflagellar transport 27 homolog (Chlamydomonas) [Source:ZFIN;Acc:ZDB-GENE-041212-9]</t>
  </si>
  <si>
    <t>ENSDARG00000070676</t>
  </si>
  <si>
    <t>ifnphi3</t>
  </si>
  <si>
    <t>interferon phi 3 [Source:ZFIN;Acc:ZDB-GENE-071128-2]</t>
  </si>
  <si>
    <t>ENSDARG00000098194</t>
  </si>
  <si>
    <t>SLC39A11</t>
  </si>
  <si>
    <t>solute carrier family 39 member 11 [Source:HGNC Symbol;Acc:HGNC:14463]</t>
  </si>
  <si>
    <t>ENSDARG00000090971</t>
  </si>
  <si>
    <t>cc2d2a</t>
  </si>
  <si>
    <t>coiled-coil and C2 domain containing 2A [Source:ZFIN;Acc:ZDB-GENE-030131-2291]</t>
  </si>
  <si>
    <t>ENSDARG00000076464</t>
  </si>
  <si>
    <t>lamtor1</t>
  </si>
  <si>
    <t>late endosomal/lysosomal adaptor, MAPK and MTOR activator 1 [Source:ZFIN;Acc:ZDB-GENE-130819-1]</t>
  </si>
  <si>
    <t>ENSDARG00000104871</t>
  </si>
  <si>
    <t>LEPROTL1</t>
  </si>
  <si>
    <t>zgc:92045 [Source:ZFIN;Acc:ZDB-GENE-040718-86]</t>
  </si>
  <si>
    <t>ENSDARG00000100122</t>
  </si>
  <si>
    <t>CABZ01029938.2</t>
  </si>
  <si>
    <t>ENSDARG00000045888</t>
  </si>
  <si>
    <t>acat1</t>
  </si>
  <si>
    <t>acetyl-CoA acetyltransferase 1 [Source:ZFIN;Acc:ZDB-GENE-040808-68]</t>
  </si>
  <si>
    <t>ENSDARG00000100562</t>
  </si>
  <si>
    <t>SDC3</t>
  </si>
  <si>
    <t>syndecan 3 [Source:HGNC Symbol;Acc:HGNC:10660]</t>
  </si>
  <si>
    <t>ENSDARG00000101066</t>
  </si>
  <si>
    <t>srp14</t>
  </si>
  <si>
    <t>signal recognition particle 14 [Source:ZFIN;Acc:ZDB-GENE-050913-131]</t>
  </si>
  <si>
    <t>ENSDARG00000102249</t>
  </si>
  <si>
    <t>PEPD</t>
  </si>
  <si>
    <t>peptidase D [Source:HGNC Symbol;Acc:HGNC:8840]</t>
  </si>
  <si>
    <t>ENSDARG00000103612</t>
  </si>
  <si>
    <t>akt2l</t>
  </si>
  <si>
    <t>v-akt murine thymoma viral oncogene homolog 2, like [Source:ZFIN;Acc:ZDB-GENE-040121-5]</t>
  </si>
  <si>
    <t>ENSDARG00000062621</t>
  </si>
  <si>
    <t>SATB1</t>
  </si>
  <si>
    <t>SATB homeobox 1 [Source:HGNC Symbol;Acc:HGNC:10541]</t>
  </si>
  <si>
    <t>ENSDARG00000090015</t>
  </si>
  <si>
    <t>BX321875.1</t>
  </si>
  <si>
    <t>ENSDARG00000078258</t>
  </si>
  <si>
    <t>GGT5</t>
  </si>
  <si>
    <t>gamma-glutamyltransferase 5 [Source:HGNC Symbol;Acc:HGNC:4260]</t>
  </si>
  <si>
    <t>ENSDARG00000100549</t>
  </si>
  <si>
    <t>TMEM38B</t>
  </si>
  <si>
    <t>transmembrane protein 38B [Source:HGNC Symbol;Acc:HGNC:25535]</t>
  </si>
  <si>
    <t>ENSDARG00000075606</t>
  </si>
  <si>
    <t>RNF5</t>
  </si>
  <si>
    <t>ring finger protein 5, E3 ubiquitin protein ligase [Source:HGNC Symbol;Acc:HGNC:10068]</t>
  </si>
  <si>
    <t>ENSDARG00000038312</t>
  </si>
  <si>
    <t>rcl1</t>
  </si>
  <si>
    <t>RNA terminal phosphate cyclase-like 1 [Source:ZFIN;Acc:ZDB-GENE-040930-11]</t>
  </si>
  <si>
    <t>ENSDARG00000099582</t>
  </si>
  <si>
    <t>CABZ01074276.1</t>
  </si>
  <si>
    <t>ENSDARG00000079914</t>
  </si>
  <si>
    <t>stoml3a</t>
  </si>
  <si>
    <t>stomatin (EPB72)-like 3a [Source:ZFIN;Acc:ZDB-GENE-070620-18]</t>
  </si>
  <si>
    <t>ENSDARG00000101407</t>
  </si>
  <si>
    <t>tgm1l4</t>
  </si>
  <si>
    <t>transglutaminase 1 like 4 [Source:ZFIN;Acc:ZDB-GENE-050913-29]</t>
  </si>
  <si>
    <t>ENSDARG00000098401</t>
  </si>
  <si>
    <t>fam136a</t>
  </si>
  <si>
    <t>family with sequence similarity 136, member A [Source:ZFIN;Acc:ZDB-GENE-040426-2729]</t>
  </si>
  <si>
    <t>ENSDARG00000004262</t>
  </si>
  <si>
    <t>cyp46a1.2</t>
  </si>
  <si>
    <t>cytochrome P450, family 46, subfamily A, polypeptide 1, tandem duplicate 2 [Source:ZFIN;Acc:ZDB-GENE-040426-1184]</t>
  </si>
  <si>
    <t>ENSDARG00000068628</t>
  </si>
  <si>
    <t>rab8b</t>
  </si>
  <si>
    <t>RAB8B, member RAS oncogene family [Source:ZFIN;Acc:ZDB-GENE-070620-16]</t>
  </si>
  <si>
    <t>ENSDARG00000074017</t>
  </si>
  <si>
    <t>USP31</t>
  </si>
  <si>
    <t>ubiquitin specific peptidase 31 [Source:HGNC Symbol;Acc:HGNC:20060]</t>
  </si>
  <si>
    <t>ENSDARG00000103739</t>
  </si>
  <si>
    <t>BAHCC1</t>
  </si>
  <si>
    <t>BAH domain and coiled-coil containing 1 [Source:HGNC Symbol;Acc:HGNC:29279]</t>
  </si>
  <si>
    <t>ENSDARG00000024112</t>
  </si>
  <si>
    <t>gmppaa</t>
  </si>
  <si>
    <t>GDP-mannose pyrophosphorylase Aa [Source:ZFIN;Acc:ZDB-GENE-040704-37]</t>
  </si>
  <si>
    <t>ENSDARG00000076404</t>
  </si>
  <si>
    <t>MCTP1</t>
  </si>
  <si>
    <t>multiple C2 domains, transmembrane 1 [Source:HGNC Symbol;Acc:HGNC:26183]</t>
  </si>
  <si>
    <t>ENSDARG00000074314</t>
  </si>
  <si>
    <t>TTC37</t>
  </si>
  <si>
    <t>tetratricopeptide repeat domain 37 [Source:HGNC Symbol;Acc:HGNC:23639]</t>
  </si>
  <si>
    <t>ENSDARG00000103023</t>
  </si>
  <si>
    <t>FO704846.1</t>
  </si>
  <si>
    <t>ENSDARG00000089663</t>
  </si>
  <si>
    <t>LSM3</t>
  </si>
  <si>
    <t>LSM3 homolog, U6 small nuclear RNA and mRNA degradation associated [Source:HGNC Symbol;Acc:HGNC:17874]</t>
  </si>
  <si>
    <t>ENSDARG00000099449</t>
  </si>
  <si>
    <t>CR762398.1</t>
  </si>
  <si>
    <t>ENSDARG00000074671</t>
  </si>
  <si>
    <t>nptx1l</t>
  </si>
  <si>
    <t>neuronal pentraxin 1 like [Source:ZFIN;Acc:ZDB-GENE-040426-2418]</t>
  </si>
  <si>
    <t>ENSDARG00000099185</t>
  </si>
  <si>
    <t>chia.2</t>
  </si>
  <si>
    <t>chitinase, acidic.2 [Source:ZFIN;Acc:ZDB-GENE-040426-2014]</t>
  </si>
  <si>
    <t>ENSDARG00000060257</t>
  </si>
  <si>
    <t>CABZ01057907.1</t>
  </si>
  <si>
    <t>ENSDARG00000008030</t>
  </si>
  <si>
    <t>myl9b</t>
  </si>
  <si>
    <t>myosin, light chain 9b, regulatory [Source:ZFIN;Acc:ZDB-GENE-040426-2296]</t>
  </si>
  <si>
    <t>ENSDARG00000067784</t>
  </si>
  <si>
    <t>SLC9A1</t>
  </si>
  <si>
    <t>solute carrier family 9, subfamily A (NHE1, cation proton antiporter 1), member 1 [Source:HGNC Symbol;Acc:HGNC:11071]</t>
  </si>
  <si>
    <t>ENSDARG00000090486</t>
  </si>
  <si>
    <t>CABZ01114051.1</t>
  </si>
  <si>
    <t>ENSDARG00000078022</t>
  </si>
  <si>
    <t>FYCO1</t>
  </si>
  <si>
    <t>FYVE and coiled-coil domain containing 1 [Source:HGNC Symbol;Acc:HGNC:14673]</t>
  </si>
  <si>
    <t>ENSDARG00000067927</t>
  </si>
  <si>
    <t>CABZ01059104.1</t>
  </si>
  <si>
    <t>ENSDARG00000098932</t>
  </si>
  <si>
    <t>GIGYF1</t>
  </si>
  <si>
    <t>GRB10 interacting GYF protein 1 [Source:HGNC Symbol;Acc:HGNC:9126]</t>
  </si>
  <si>
    <t>ENSDARG00000099194</t>
  </si>
  <si>
    <t>INCENP</t>
  </si>
  <si>
    <t>inner centromere protein [Source:HGNC Symbol;Acc:HGNC:6058]</t>
  </si>
  <si>
    <t>ENSDARG00000076729</t>
  </si>
  <si>
    <t>myo9aa</t>
  </si>
  <si>
    <t>myosin IXAa [Source:ZFIN;Acc:ZDB-GENE-080424-5]</t>
  </si>
  <si>
    <t>ENSDARG00000103462</t>
  </si>
  <si>
    <t>DVL3</t>
  </si>
  <si>
    <t>dishevelled segment polarity protein 3 [Source:HGNC Symbol;Acc:HGNC:3087]</t>
  </si>
  <si>
    <t>ENSDARG00000059503</t>
  </si>
  <si>
    <t>ACSF3</t>
  </si>
  <si>
    <t>acyl-CoA synthetase family member 3 [Source:HGNC Symbol;Acc:HGNC:27288]</t>
  </si>
  <si>
    <t>ENSDARG00000077760</t>
  </si>
  <si>
    <t>ascc1</t>
  </si>
  <si>
    <t>activating signal cointegrator 1 complex subunit 1 [Source:ZFIN;Acc:ZDB-GENE-050417-80]</t>
  </si>
  <si>
    <t>ENSDARG00000101479</t>
  </si>
  <si>
    <t>BX908782.3</t>
  </si>
  <si>
    <t>three-finger protein 5 (LOC100003647), mRNA [Source:RefSeq mRNA;Acc:NM_001172308]</t>
  </si>
  <si>
    <t>ENSDARG00000009170</t>
  </si>
  <si>
    <t>ctr9</t>
  </si>
  <si>
    <t>CTR9 homolog, Paf1/RNA polymerase II complex component [Source:ZFIN;Acc:ZDB-GENE-030131-3782]</t>
  </si>
  <si>
    <t>ENSDARG00000076068</t>
  </si>
  <si>
    <t>crtc1a</t>
  </si>
  <si>
    <t>CREB regulated transcription coactivator 1a [Source:ZFIN;Acc:ZDB-GENE-061027-225]</t>
  </si>
  <si>
    <t>ENSDARG00000074738</t>
  </si>
  <si>
    <t>pcdh2g9</t>
  </si>
  <si>
    <t>protocadherin 2 gamma 9 [Source:ZFIN;Acc:ZDB-GENE-050610-31]</t>
  </si>
  <si>
    <t>ENSDARG00000104633</t>
  </si>
  <si>
    <t>CABZ01075125.2</t>
  </si>
  <si>
    <t>ENSDARG00000103680</t>
  </si>
  <si>
    <t>CR762475.2</t>
  </si>
  <si>
    <t>ENSDARG00000089642</t>
  </si>
  <si>
    <t>BX649497.1</t>
  </si>
  <si>
    <t>ENSDARG00000102090</t>
  </si>
  <si>
    <t>CABZ01021453.1</t>
  </si>
  <si>
    <t>ENSDARG00000103157</t>
  </si>
  <si>
    <t>CABZ01021450.4</t>
  </si>
  <si>
    <t>ENSDARG00000103850</t>
  </si>
  <si>
    <t>CABZ01021426.1</t>
  </si>
  <si>
    <t>ENSDARG00000087887</t>
  </si>
  <si>
    <t>PHF21B</t>
  </si>
  <si>
    <t>PHD finger protein 21B [Source:HGNC Symbol;Acc:HGNC:25161]</t>
  </si>
  <si>
    <t>ENSDARG00000100543</t>
  </si>
  <si>
    <t>CT573234.3</t>
  </si>
  <si>
    <t>ENSDARG00000101451</t>
  </si>
  <si>
    <t>CABZ01033540.1</t>
  </si>
  <si>
    <t>ENSDARG00000099550</t>
  </si>
  <si>
    <t>CT027772.1</t>
  </si>
  <si>
    <t>ENSDARG00000069432</t>
  </si>
  <si>
    <t>plscr3b</t>
  </si>
  <si>
    <t>phospholipid scramblase 3b [Source:ZFIN;Acc:ZDB-GENE-040426-2517]</t>
  </si>
  <si>
    <t>ENSDARG00000102721</t>
  </si>
  <si>
    <t>BX511155.1</t>
  </si>
  <si>
    <t>ENSDARG00000104880</t>
  </si>
  <si>
    <t>CR847847.2</t>
  </si>
  <si>
    <t>ENSDARG00000104118</t>
  </si>
  <si>
    <t>antxr2a</t>
  </si>
  <si>
    <t>anthrax toxin receptor 2a [Source:ZFIN;Acc:ZDB-GENE-060526-14]</t>
  </si>
  <si>
    <t>ENSDARG00000068026</t>
  </si>
  <si>
    <t>FO704819.1</t>
  </si>
  <si>
    <t>ENSDARG00000067607</t>
  </si>
  <si>
    <t>srebf1</t>
  </si>
  <si>
    <t>sterol regulatory element binding transcription factor 1 [Source:ZFIN;Acc:ZDB-GENE-090812-3]</t>
  </si>
  <si>
    <t>ENSDARG00000054337</t>
  </si>
  <si>
    <t>ap1g2</t>
  </si>
  <si>
    <t>adaptor-related protein complex 1, gamma 2 subunit [Source:ZFIN;Acc:ZDB-GENE-030616-587]</t>
  </si>
  <si>
    <t>ENSDARG00000099389</t>
  </si>
  <si>
    <t>cdo1</t>
  </si>
  <si>
    <t>cysteine dioxygenase, type I [Source:ZFIN;Acc:ZDB-GENE-040426-1704]</t>
  </si>
  <si>
    <t>ENSDARG00000103813</t>
  </si>
  <si>
    <t>ATE1</t>
  </si>
  <si>
    <t>arginyltransferase 1 [Source:HGNC Symbol;Acc:HGNC:782]</t>
  </si>
  <si>
    <t>ENSDARG00000098301</t>
  </si>
  <si>
    <t>DUPD1</t>
  </si>
  <si>
    <t>DUPD1.6</t>
  </si>
  <si>
    <t>dual specificity phosphatase and pro isomerase domain containing 1 [Source:HGNC Symbol;Acc:HGNC:23481]</t>
  </si>
  <si>
    <t>ENSDARG00000102116</t>
  </si>
  <si>
    <t>CABZ01072487.2</t>
  </si>
  <si>
    <t>ENSDARG00000103320</t>
  </si>
  <si>
    <t>lclat1</t>
  </si>
  <si>
    <t>lysocardiolipin acyltransferase 1 [Source:ZFIN;Acc:ZDB-GENE-081211-2]</t>
  </si>
  <si>
    <t>ENSDARG00000102924</t>
  </si>
  <si>
    <t>zgc:112334</t>
  </si>
  <si>
    <t>zgc:112334 [Source:ZFIN;Acc:ZDB-GENE-050809-120]</t>
  </si>
  <si>
    <t>ENSDARG00000101294</t>
  </si>
  <si>
    <t>BLOC1S5</t>
  </si>
  <si>
    <t>biogenesis of lysosomal organelles complex-1, subunit 5, muted [Source:HGNC Symbol;Acc:HGNC:18561]</t>
  </si>
  <si>
    <t>ENSDARG00000081303</t>
  </si>
  <si>
    <t>dre-mir-363</t>
  </si>
  <si>
    <t>dre-mir-363 [Source:miRBase;Acc:MI0002067]</t>
  </si>
  <si>
    <t>ENSDARG00000103563</t>
  </si>
  <si>
    <t>IFT122</t>
  </si>
  <si>
    <t>intraflagellar transport 122 [Source:HGNC Symbol;Acc:HGNC:13556]</t>
  </si>
  <si>
    <t>ENSDARG00000059411</t>
  </si>
  <si>
    <t>impa2</t>
  </si>
  <si>
    <t>inositol(myo)-1(or 4)-monophosphatase 2 [Source:ZFIN;Acc:ZDB-GENE-050522-349]</t>
  </si>
  <si>
    <t>ENSDARG00000102793</t>
  </si>
  <si>
    <t>slc16a6a</t>
  </si>
  <si>
    <t>solute carrier family 16, member 6a [Source:ZFIN;Acc:ZDB-GENE-110208-1]</t>
  </si>
  <si>
    <t>ENSDARG00000105285</t>
  </si>
  <si>
    <t>FAT4</t>
  </si>
  <si>
    <t>FAT4.1</t>
  </si>
  <si>
    <t>FAT atypical cadherin 4 [Source:HGNC Symbol;Acc:HGNC:23109]</t>
  </si>
  <si>
    <t>ENSDARG00000082968</t>
  </si>
  <si>
    <t>dre-mir-429b</t>
  </si>
  <si>
    <t>dre-mir-429b [Source:miRBase;Acc:MI0010836]</t>
  </si>
  <si>
    <t>ENSDARG00000099498</t>
  </si>
  <si>
    <t>CABZ01112804.1</t>
  </si>
  <si>
    <t>ENSDARG00000100185</t>
  </si>
  <si>
    <t>elovl7b</t>
  </si>
  <si>
    <t>ELOVL fatty acid elongase 7b [Source:ZFIN;Acc:ZDB-GENE-030131-5485]</t>
  </si>
  <si>
    <t>ENSDARG00000098518</t>
  </si>
  <si>
    <t>MED8</t>
  </si>
  <si>
    <t>mediator complex subunit 8 [Source:HGNC Symbol;Acc:HGNC:19971]</t>
  </si>
  <si>
    <t>ENSDARG00000086774</t>
  </si>
  <si>
    <t>SNORA42</t>
  </si>
  <si>
    <t>Small nucleolar RNA SNORA42/SNORA80 family [Source:RFAM;Acc:RF00406]</t>
  </si>
  <si>
    <t>ENSDARG00000105154</t>
  </si>
  <si>
    <t>creg1</t>
  </si>
  <si>
    <t>cellular repressor of E1A-stimulated genes 1 [Source:ZFIN;Acc:ZDB-GENE-070112-2042]</t>
  </si>
  <si>
    <t>ENSDARG00000099226</t>
  </si>
  <si>
    <t>ppp1cc</t>
  </si>
  <si>
    <t>protein phosphatase 1, catalytic subunit, gamma isozyme [Source:ZFIN;Acc:ZDB-GENE-030131-5877]</t>
  </si>
  <si>
    <t>ENSDARG00000100052</t>
  </si>
  <si>
    <t>cckb</t>
  </si>
  <si>
    <t>cholecystokinin b [Source:ZFIN;Acc:ZDB-GENE-060720-30]</t>
  </si>
  <si>
    <t>ENSDARG00000074927</t>
  </si>
  <si>
    <t>bub1bb</t>
  </si>
  <si>
    <t>BUB1 mitotic checkpoint serine/threonine kinase Bb [Source:ZFIN;Acc:ZDB-GENE-030829-51]</t>
  </si>
  <si>
    <t>ENSDARG00000040045</t>
  </si>
  <si>
    <t>cldn1</t>
  </si>
  <si>
    <t>claudin 1 [Source:ZFIN;Acc:ZDB-GENE-010328-11]</t>
  </si>
  <si>
    <t>ENSDARG00000098297</t>
  </si>
  <si>
    <t>CABZ01101812.1</t>
  </si>
  <si>
    <t>ENSDARG00000045946</t>
  </si>
  <si>
    <t>sec24d</t>
  </si>
  <si>
    <t>SEC24 homolog D, COPII coat complex component [Source:ZFIN;Acc:ZDB-GENE-070117-2501]</t>
  </si>
  <si>
    <t>ENSDARG00000104294</t>
  </si>
  <si>
    <t>BX510909.3</t>
  </si>
  <si>
    <t>ENSDARG00000009949</t>
  </si>
  <si>
    <t>FNDC4</t>
  </si>
  <si>
    <t>fibronectin type III domain containing 4 [Source:HGNC Symbol;Acc:HGNC:20239]</t>
  </si>
  <si>
    <t>ENSDARG00000101347</t>
  </si>
  <si>
    <t>WDR77</t>
  </si>
  <si>
    <t>WD repeat domain 77 [Source:HGNC Symbol;Acc:HGNC:29652]</t>
  </si>
  <si>
    <t>ENSDARG00000079979</t>
  </si>
  <si>
    <t>fam89a</t>
  </si>
  <si>
    <t>family with sequence similarity 89, member A [Source:ZFIN;Acc:ZDB-GENE-111019-1]</t>
  </si>
  <si>
    <t>ENSDARG00000039934</t>
  </si>
  <si>
    <t>hlcs</t>
  </si>
  <si>
    <t>holocarboxylase synthetase (biotin-(proprionyl-CoA-carboxylase (ATP-hydrolysing)) ligase) [Source:ZFIN;Acc:ZDB-GENE-030131-5333]</t>
  </si>
  <si>
    <t>ENSDARG00000040497</t>
  </si>
  <si>
    <t>BX004816.1</t>
  </si>
  <si>
    <t>ENSDARG00000104933</t>
  </si>
  <si>
    <t>GCC2</t>
  </si>
  <si>
    <t>GRIP and coiled-coil domain containing 2 [Source:HGNC Symbol;Acc:HGNC:23218]</t>
  </si>
  <si>
    <t>ENSDARG00000104715</t>
  </si>
  <si>
    <t>zgc:171422</t>
  </si>
  <si>
    <t>zgc:171422 [Source:ZFIN;Acc:ZDB-GENE-080204-95]</t>
  </si>
  <si>
    <t>ENSDARG00000098531</t>
  </si>
  <si>
    <t>FQ323163.1</t>
  </si>
  <si>
    <t>ENSDARG00000079790</t>
  </si>
  <si>
    <t>CABZ01049925.1</t>
  </si>
  <si>
    <t>ENSDARG00000090072</t>
  </si>
  <si>
    <t>KRTCAP3</t>
  </si>
  <si>
    <t>keratinocyte associated protein 3 [Source:HGNC Symbol;Acc:HGNC:28943]</t>
  </si>
  <si>
    <t>ENSDARG00000079190</t>
  </si>
  <si>
    <t>sycp2l</t>
  </si>
  <si>
    <t>synaptonemal complex protein 2-like [Source:ZFIN;Acc:ZDB-GENE-130924-1]</t>
  </si>
  <si>
    <t>ENSDARG00000037183</t>
  </si>
  <si>
    <t>FAM46A</t>
  </si>
  <si>
    <t>family with sequence similarity 46 member A [Source:HGNC Symbol;Acc:HGNC:18345]</t>
  </si>
  <si>
    <t>ENSDARG00000100977</t>
  </si>
  <si>
    <t>golim4a</t>
  </si>
  <si>
    <t>golgi integral membrane protein 4a [Source:ZFIN;Acc:ZDB-GENE-041026-2]</t>
  </si>
  <si>
    <t>ENSDARG00000101259</t>
  </si>
  <si>
    <t>hgh1</t>
  </si>
  <si>
    <t>HGH1 homolog (S. cerevisiae) [Source:ZFIN;Acc:ZDB-GENE-040718-228]</t>
  </si>
  <si>
    <t>ENSDARG00000075226</t>
  </si>
  <si>
    <t>SMAD4.1</t>
  </si>
  <si>
    <t>zmp:0000000768 [Source:ZFIN;Acc:ZDB-GENE-130530-771]</t>
  </si>
  <si>
    <t>ENSDARG00000078606</t>
  </si>
  <si>
    <t>zgc:194224</t>
  </si>
  <si>
    <t>zgc:194224 [Source:ZFIN;Acc:ZDB-GENE-081022-79]</t>
  </si>
  <si>
    <t>ENSDARG00000100328</t>
  </si>
  <si>
    <t>CABZ01017734.1</t>
  </si>
  <si>
    <t>ENSDARG00000100031</t>
  </si>
  <si>
    <t>TADA1</t>
  </si>
  <si>
    <t>transcriptional adaptor 1 [Source:HGNC Symbol;Acc:HGNC:30631]</t>
  </si>
  <si>
    <t>ENSDARG00000102325</t>
  </si>
  <si>
    <t>EHMT2</t>
  </si>
  <si>
    <t>euchromatic histone-lysine N-methyltransferase 2 [Source:HGNC Symbol;Acc:HGNC:14129]</t>
  </si>
  <si>
    <t>ENSDARG00000102865</t>
  </si>
  <si>
    <t>carnmt1</t>
  </si>
  <si>
    <t>carnosine N-methyltransferase 1 [Source:ZFIN;Acc:ZDB-GENE-050306-48]</t>
  </si>
  <si>
    <t>ENSDARG00000076393</t>
  </si>
  <si>
    <t>tmem65</t>
  </si>
  <si>
    <t>transmembrane protein 65 [Source:ZFIN;Acc:ZDB-GENE-081022-99]</t>
  </si>
  <si>
    <t>ENSDARG00000079475</t>
  </si>
  <si>
    <t>nckipsd</t>
  </si>
  <si>
    <t>NCK interacting protein with SH3 domain [Source:ZFIN;Acc:ZDB-GENE-130326-2]</t>
  </si>
  <si>
    <t>ENSDARG00000104709</t>
  </si>
  <si>
    <t>SPRTN</t>
  </si>
  <si>
    <t>SprT-like N-terminal domain [Source:HGNC Symbol;Acc:HGNC:25356]</t>
  </si>
  <si>
    <t>ENSDARG00000101369</t>
  </si>
  <si>
    <t>ATF6B</t>
  </si>
  <si>
    <t>activating transcription factor 6 beta [Source:HGNC Symbol;Acc:HGNC:2349]</t>
  </si>
  <si>
    <t>ENSDARG00000100985</t>
  </si>
  <si>
    <t>ZBTB7C</t>
  </si>
  <si>
    <t>zinc finger and BTB domain containing 7C [Source:HGNC Symbol;Acc:HGNC:31700]</t>
  </si>
  <si>
    <t>ENSDARG00000103222</t>
  </si>
  <si>
    <t>BX005085.5</t>
  </si>
  <si>
    <t>ENSDARG00000074740</t>
  </si>
  <si>
    <t>ARHGAP18</t>
  </si>
  <si>
    <t>Rho GTPase activating protein 18 [Source:HGNC Symbol;Acc:HGNC:21035]</t>
  </si>
  <si>
    <t>ENSDARG00000105123</t>
  </si>
  <si>
    <t>zer1</t>
  </si>
  <si>
    <t>zyg-11 related, cell cycle regulator [Source:ZFIN;Acc:ZDB-GENE-040426-2307]</t>
  </si>
  <si>
    <t>ENSDARG00000088232</t>
  </si>
  <si>
    <t>SHISA2</t>
  </si>
  <si>
    <t>shisa family member 2 [Source:HGNC Symbol;Acc:HGNC:20366]</t>
  </si>
  <si>
    <t>ENSDARG00000104431</t>
  </si>
  <si>
    <t>slc1a3a</t>
  </si>
  <si>
    <t>solute carrier family 1 (glial high affinity glutamate transporter), member 3a [Source:ZFIN;Acc:ZDB-GENE-030131-2159]</t>
  </si>
  <si>
    <t>ENSDARG00000103144</t>
  </si>
  <si>
    <t>ppp1r21</t>
  </si>
  <si>
    <t>protein phosphatase 1, regulatory subunit 21 [Source:ZFIN;Acc:ZDB-GENE-041114-8]</t>
  </si>
  <si>
    <t>ENSDARG00000099743</t>
  </si>
  <si>
    <t>zgc:113019</t>
  </si>
  <si>
    <t>zgc:113019 [Source:ZFIN;Acc:ZDB-GENE-050417-449]</t>
  </si>
  <si>
    <t>ENSDARG00000075180</t>
  </si>
  <si>
    <t>tmem14ca</t>
  </si>
  <si>
    <t>transmembrane protein 14Ca [Source:ZFIN;Acc:ZDB-GENE-060825-156]</t>
  </si>
  <si>
    <t>ENSDARG00000075627</t>
  </si>
  <si>
    <t>abhd10b</t>
  </si>
  <si>
    <t>abhydrolase domain containing 10b [Source:ZFIN;Acc:ZDB-GENE-041111-196]</t>
  </si>
  <si>
    <t>ENSDARG00000089921</t>
  </si>
  <si>
    <t>smim4</t>
  </si>
  <si>
    <t>small integral membrane protein 4 [Source:EntrezGene;Acc:100332503]</t>
  </si>
  <si>
    <t>ENSDARG00000003971</t>
  </si>
  <si>
    <t>isl2a</t>
  </si>
  <si>
    <t>ISL LIM homeobox 2a [Source:ZFIN;Acc:ZDB-GENE-980526-562]</t>
  </si>
  <si>
    <t>ENSDARG00000021997</t>
  </si>
  <si>
    <t>cfap206</t>
  </si>
  <si>
    <t>cilia and flagella associated protein 206 [Source:ZFIN;Acc:ZDB-GENE-050522-460]</t>
  </si>
  <si>
    <t>ENSDARG00000069674</t>
  </si>
  <si>
    <t>tmem230b</t>
  </si>
  <si>
    <t>transmembrane protein 230b [Source:ZFIN;Acc:ZDB-GENE-070820-4]</t>
  </si>
  <si>
    <t>ENSDARG00000037320</t>
  </si>
  <si>
    <t>fam131c</t>
  </si>
  <si>
    <t>family with sequence similarity 131, member C [Source:ZFIN;Acc:ZDB-GENE-050706-119]</t>
  </si>
  <si>
    <t>ENSDARG00000100252</t>
  </si>
  <si>
    <t>capzb</t>
  </si>
  <si>
    <t>capping protein (actin filament) muscle Z-line, beta [Source:ZFIN;Acc:ZDB-GENE-030131-7023]</t>
  </si>
  <si>
    <t>ENSDARG00000078359</t>
  </si>
  <si>
    <t>endouc</t>
  </si>
  <si>
    <t>endonuclease, polyU-specific C [Source:ZFIN;Acc:ZDB-GENE-060503-141]</t>
  </si>
  <si>
    <t>ENSDARG00000051762</t>
  </si>
  <si>
    <t>CABZ01080568.1</t>
  </si>
  <si>
    <t>ENSDARG00000076529</t>
  </si>
  <si>
    <t>mn1a</t>
  </si>
  <si>
    <t>meningioma 1a [Source:ZFIN;Acc:ZDB-GENE-030131-4968]</t>
  </si>
  <si>
    <t>ENSDARG00000088137</t>
  </si>
  <si>
    <t>ADGRG2</t>
  </si>
  <si>
    <t>ADGRG2.1</t>
  </si>
  <si>
    <t>adhesion G protein-coupled receptor G2 [Source:HGNC Symbol;Acc:HGNC:4516]</t>
  </si>
  <si>
    <t>ENSDARG00000099663</t>
  </si>
  <si>
    <t>cox5ab</t>
  </si>
  <si>
    <t>cytochrome c oxidase subunit Vab [Source:ZFIN;Acc:ZDB-GENE-030131-5162]</t>
  </si>
  <si>
    <t>ENSDARG00000101844</t>
  </si>
  <si>
    <t>mibp2</t>
  </si>
  <si>
    <t>muscle-specific beta 1 integrin binding protein 2 [Source:ZFIN;Acc:ZDB-GENE-031113-14]</t>
  </si>
  <si>
    <t>ENSDARG00000105271</t>
  </si>
  <si>
    <t>SEPT4</t>
  </si>
  <si>
    <t>septin 4 [Source:HGNC Symbol;Acc:HGNC:9165]</t>
  </si>
  <si>
    <t>ENSDARG00000099844</t>
  </si>
  <si>
    <t>GNAZ</t>
  </si>
  <si>
    <t>guanine nucleotide binding protein (G protein), alpha z polypeptide [Source:HGNC Symbol;Acc:HGNC:4395]</t>
  </si>
  <si>
    <t>ENSDARG00000086421</t>
  </si>
  <si>
    <t>im:7136729</t>
  </si>
  <si>
    <t>im:7136729 [Source:ZFIN;Acc:ZDB-GENE-041111-14]</t>
  </si>
  <si>
    <t>ENSDARG00000101056</t>
  </si>
  <si>
    <t>BX890539.1</t>
  </si>
  <si>
    <t>ENSDARG00000102437</t>
  </si>
  <si>
    <t>BX321875.2</t>
  </si>
  <si>
    <t>ENSDARG00000069240</t>
  </si>
  <si>
    <t>zgc:162898</t>
  </si>
  <si>
    <t>zgc:162898 [Source:ZFIN;Acc:ZDB-GENE-070410-107]</t>
  </si>
  <si>
    <t>ENSDARG00000006712</t>
  </si>
  <si>
    <t>wipf2b</t>
  </si>
  <si>
    <t>WAS/WASL interacting protein family, member 2b [Source:ZFIN;Acc:ZDB-GENE-040625-182]</t>
  </si>
  <si>
    <t>ENSDARG00000104611</t>
  </si>
  <si>
    <t>zgc:173517</t>
  </si>
  <si>
    <t>zgc:173517 [Source:ZFIN;Acc:ZDB-GENE-071004-104]</t>
  </si>
  <si>
    <t>ENSDARG00000003860</t>
  </si>
  <si>
    <t>cbx3a</t>
  </si>
  <si>
    <t>chromobox homolog 3a (HP1 gamma homolog, Drosophila) [Source:ZFIN;Acc:ZDB-GENE-030131-1158]</t>
  </si>
  <si>
    <t>ENSDARG00000076650</t>
  </si>
  <si>
    <t>PDE9A</t>
  </si>
  <si>
    <t>phosphodiesterase 9A [Source:HGNC Symbol;Acc:HGNC:8795]</t>
  </si>
  <si>
    <t>ENSDARG00000104631</t>
  </si>
  <si>
    <t>RNF14</t>
  </si>
  <si>
    <t>ring finger protein 14 [Source:HGNC Symbol;Acc:HGNC:10058]</t>
  </si>
  <si>
    <t>ENSDARG00000105252</t>
  </si>
  <si>
    <t>CABZ01012147.1</t>
  </si>
  <si>
    <t>ENSDARG00000062025</t>
  </si>
  <si>
    <t>cpox</t>
  </si>
  <si>
    <t>coproporphyrinogen oxidase [Source:ZFIN;Acc:ZDB-GENE-030131-9884]</t>
  </si>
  <si>
    <t>ENSDARG00000038348</t>
  </si>
  <si>
    <t>pigh</t>
  </si>
  <si>
    <t>phosphatidylinositol glycan anchor biosynthesis, class H [Source:ZFIN;Acc:ZDB-GENE-040718-303]</t>
  </si>
  <si>
    <t>ENSDARG00000102651</t>
  </si>
  <si>
    <t>GTPBP2</t>
  </si>
  <si>
    <t>GTP binding protein 2 [Source:HGNC Symbol;Acc:HGNC:4670]</t>
  </si>
  <si>
    <t>ENSDARG00000101310</t>
  </si>
  <si>
    <t>BX004873.4</t>
  </si>
  <si>
    <t>ENSDARG00000025375</t>
  </si>
  <si>
    <t>idh1</t>
  </si>
  <si>
    <t>isocitrate dehydrogenase 1 (NADP+), soluble [Source:ZFIN;Acc:ZDB-GENE-031006-1]</t>
  </si>
  <si>
    <t>ENSDARG00000089821</t>
  </si>
  <si>
    <t>BX957278.2</t>
  </si>
  <si>
    <t>ENSDARG00000018334</t>
  </si>
  <si>
    <t>rpl35</t>
  </si>
  <si>
    <t>ribosomal protein L35 [Source:ZFIN;Acc:ZDB-GENE-020419-2]</t>
  </si>
  <si>
    <t>ENSDARG00000099164</t>
  </si>
  <si>
    <t>NACC1</t>
  </si>
  <si>
    <t>nucleus accumbens associated 1, BEN and BTB (POZ) domain containing [Source:HGNC Symbol;Acc:HGNC:20967]</t>
  </si>
  <si>
    <t>ENSDARG00000088449</t>
  </si>
  <si>
    <t>wu:fb55g09</t>
  </si>
  <si>
    <t>wu:fb55g09 [Source:ZFIN;Acc:ZDB-GENE-030131-1009]</t>
  </si>
  <si>
    <t>ENSDARG00000074258</t>
  </si>
  <si>
    <t>GRAMD1B</t>
  </si>
  <si>
    <t>GRAM domain containing 1B [Source:HGNC Symbol;Acc:HGNC:29214]</t>
  </si>
  <si>
    <t>ENSDARG00000043465</t>
  </si>
  <si>
    <t>atp6v1b2</t>
  </si>
  <si>
    <t>ATPase, H+ transporting, lysosomal, V1 subunit B2 [Source:ZFIN;Acc:ZDB-GENE-030711-4]</t>
  </si>
  <si>
    <t>ENSDARG00000024598</t>
  </si>
  <si>
    <t>homezb</t>
  </si>
  <si>
    <t>homeobox and leucine zipper encoding b [Source:ZFIN;Acc:ZDB-GENE-030131-9225]</t>
  </si>
  <si>
    <t>ENSDARG00000060983</t>
  </si>
  <si>
    <t>smyd4</t>
  </si>
  <si>
    <t>SET and MYND domain containing 4 [Source:ZFIN;Acc:ZDB-GENE-060929-248]</t>
  </si>
  <si>
    <t>ENSDARG00000039232</t>
  </si>
  <si>
    <t>DUSP8</t>
  </si>
  <si>
    <t>dual specificity phosphatase 8 [Source:HGNC Symbol;Acc:HGNC:3074]</t>
  </si>
  <si>
    <t>ENSDARG00000101144</t>
  </si>
  <si>
    <t>zdhhc13</t>
  </si>
  <si>
    <t>zinc finger, DHHC-type containing 13 [Source:ZFIN;Acc:ZDB-GENE-041212-79]</t>
  </si>
  <si>
    <t>ENSDARG00000101208</t>
  </si>
  <si>
    <t>FO704710.3</t>
  </si>
  <si>
    <t>ENSDARG00000078772</t>
  </si>
  <si>
    <t>NBR1</t>
  </si>
  <si>
    <t>neighbor of BRCA1 gene 1 [Source:HGNC Symbol;Acc:HGNC:6746]</t>
  </si>
  <si>
    <t>ENSDARG00000086405</t>
  </si>
  <si>
    <t>mterf2</t>
  </si>
  <si>
    <t>mitochondrial transcription termination factor 2 [Source:ZFIN;Acc:ZDB-GENE-070424-91]</t>
  </si>
  <si>
    <t>ENSDARG00000104985</t>
  </si>
  <si>
    <t>CR847850.2</t>
  </si>
  <si>
    <t>ENSDARG00000037190</t>
  </si>
  <si>
    <t>TRIM29</t>
  </si>
  <si>
    <t>TRIM29.6</t>
  </si>
  <si>
    <t>tripartite motif containing 29 [Source:HGNC Symbol;Acc:HGNC:17274]</t>
  </si>
  <si>
    <t>ENSDARG00000045277</t>
  </si>
  <si>
    <t>rdh12l</t>
  </si>
  <si>
    <t>retinol dehydrogenase 12, like [Source:ZFIN;Acc:ZDB-GENE-040801-48]</t>
  </si>
  <si>
    <t>ENSDARG00000088514</t>
  </si>
  <si>
    <t>and1</t>
  </si>
  <si>
    <t>actinodin1 [Source:ZFIN;Acc:ZDB-GENE-030131-9105]</t>
  </si>
  <si>
    <t>ENSDARG00000105018</t>
  </si>
  <si>
    <t>lrrc20</t>
  </si>
  <si>
    <t>leucine rich repeat containing 20 [Source:ZFIN;Acc:ZDB-GENE-041114-49]</t>
  </si>
  <si>
    <t>ENSDARG00000100056</t>
  </si>
  <si>
    <t>SCAF8</t>
  </si>
  <si>
    <t>SR-related CTD-associated factor 8 [Source:HGNC Symbol;Acc:HGNC:20959]</t>
  </si>
  <si>
    <t>ENSDARG00000056677</t>
  </si>
  <si>
    <t>OCIAD1</t>
  </si>
  <si>
    <t>OCIA domain containing 1 [Source:HGNC Symbol;Acc:HGNC:16074]</t>
  </si>
  <si>
    <t>ENSDARG00000022727</t>
  </si>
  <si>
    <t>EPHA2</t>
  </si>
  <si>
    <t>EPH receptor A2 [Source:HGNC Symbol;Acc:HGNC:3386]</t>
  </si>
  <si>
    <t>ENSDARG00000101349</t>
  </si>
  <si>
    <t>BX005448.2</t>
  </si>
  <si>
    <t>ENSDARG00000054036</t>
  </si>
  <si>
    <t>rnf34b</t>
  </si>
  <si>
    <t>ring finger protein 34b [Source:ZFIN;Acc:ZDB-GENE-071004-31]</t>
  </si>
  <si>
    <t>ENSDARG00000091348</t>
  </si>
  <si>
    <t>rtn3</t>
  </si>
  <si>
    <t>reticulon 3 [Source:ZFIN;Acc:ZDB-GENE-030710-5]</t>
  </si>
  <si>
    <t>ENSDARG00000100057</t>
  </si>
  <si>
    <t>ppfibp1b</t>
  </si>
  <si>
    <t>PTPRF interacting protein, binding protein 1b (liprin beta 1) [Source:ZFIN;Acc:ZDB-GENE-060503-47]</t>
  </si>
  <si>
    <t>ENSDARG00000061060</t>
  </si>
  <si>
    <t>STPG2</t>
  </si>
  <si>
    <t>sperm-tail PG-rich repeat containing 2 [Source:HGNC Symbol;Acc:HGNC:28712]</t>
  </si>
  <si>
    <t>ENSDARG00000099803</t>
  </si>
  <si>
    <t>PIK3C2G</t>
  </si>
  <si>
    <t>phosphatidylinositol-4-phosphate 3-kinase catalytic subunit type 2 gamma [Source:HGNC Symbol;Acc:HGNC:8973]</t>
  </si>
  <si>
    <t>ENSDARG00000105034</t>
  </si>
  <si>
    <t>zdhhc18b</t>
  </si>
  <si>
    <t>zinc finger, DHHC-type containing 18b [Source:ZFIN;Acc:ZDB-GENE-030131-6315]</t>
  </si>
  <si>
    <t>ENSDARG00000100962</t>
  </si>
  <si>
    <t>TTC39B</t>
  </si>
  <si>
    <t>tetratricopeptide repeat domain 39B [Source:HGNC Symbol;Acc:HGNC:23704]</t>
  </si>
  <si>
    <t>ENSDARG00000053152</t>
  </si>
  <si>
    <t>pcmtd1</t>
  </si>
  <si>
    <t>protein-L-isoaspartate (D-aspartate) O-methyltransferase domain containing 1 [Source:ZFIN;Acc:ZDB-GENE-030131-5387]</t>
  </si>
  <si>
    <t>ENSDARG00000041464</t>
  </si>
  <si>
    <t>CABZ01047424.1</t>
  </si>
  <si>
    <t>ENSDARG00000088835</t>
  </si>
  <si>
    <t>EFS</t>
  </si>
  <si>
    <t>embryonal Fyn-associated substrate [Source:HGNC Symbol;Acc:HGNC:16898]</t>
  </si>
  <si>
    <t>ENSDARG00000062790</t>
  </si>
  <si>
    <t>TACC2</t>
  </si>
  <si>
    <t>transforming, acidic coiled-coil containing protein 2 [Source:HGNC Symbol;Acc:HGNC:11523]</t>
  </si>
  <si>
    <t>ENSDARG00000095579</t>
  </si>
  <si>
    <t>FIS1</t>
  </si>
  <si>
    <t>im:6905231 [Source:ZFIN;Acc:ZDB-GENE-050506-92]</t>
  </si>
  <si>
    <t>ENSDARG00000019265</t>
  </si>
  <si>
    <t>ZBTB39</t>
  </si>
  <si>
    <t>zinc finger and BTB domain containing 39 [Source:HGNC Symbol;Acc:HGNC:29014]</t>
  </si>
  <si>
    <t>ENSDARG00000042010</t>
  </si>
  <si>
    <t>PKLR</t>
  </si>
  <si>
    <t>pyruvate kinase, liver and RBC [Source:HGNC Symbol;Acc:HGNC:9020]</t>
  </si>
  <si>
    <t>ENSDARG00000102569</t>
  </si>
  <si>
    <t>polr3a</t>
  </si>
  <si>
    <t>polymerase (RNA) III (DNA directed) polypeptide A [Source:ZFIN;Acc:ZDB-GENE-050208-103]</t>
  </si>
  <si>
    <t>ENSDARG00000101482</t>
  </si>
  <si>
    <t>hk2</t>
  </si>
  <si>
    <t>hexokinase 2 [Source:ZFIN;Acc:ZDB-GENE-040426-2017]</t>
  </si>
  <si>
    <t>ENSDARG00000055064</t>
  </si>
  <si>
    <t>prdx5</t>
  </si>
  <si>
    <t>peroxiredoxin 5 [Source:ZFIN;Acc:ZDB-GENE-050522-159]</t>
  </si>
  <si>
    <t>ENSDARG00000062515</t>
  </si>
  <si>
    <t>tecpr1a</t>
  </si>
  <si>
    <t>tectonin beta-propeller repeat containing 1a [Source:ZFIN;Acc:ZDB-GENE-070112-1792]</t>
  </si>
  <si>
    <t>ENSDARG00000079324</t>
  </si>
  <si>
    <t>ANO9</t>
  </si>
  <si>
    <t>anoctamin 9 [Source:HGNC Symbol;Acc:HGNC:20679]</t>
  </si>
  <si>
    <t>ENSDARG00000087212</t>
  </si>
  <si>
    <t>CU655961.2</t>
  </si>
  <si>
    <t>ENSDARG00000036179</t>
  </si>
  <si>
    <t>myo1ea</t>
  </si>
  <si>
    <t>myosin IE, a [Source:ZFIN;Acc:ZDB-GENE-030131-5127]</t>
  </si>
  <si>
    <t>ENSDARG00000040628</t>
  </si>
  <si>
    <t>zgc:110333</t>
  </si>
  <si>
    <t>zgc:110333 [Source:ZFIN;Acc:ZDB-GENE-050417-331]</t>
  </si>
  <si>
    <t>ENSDARG00000102305</t>
  </si>
  <si>
    <t>svbp</t>
  </si>
  <si>
    <t>small vasohibin binding protein [Source:ZFIN;Acc:ZDB-GENE-140106-191]</t>
  </si>
  <si>
    <t>ENSDARG00000087456</t>
  </si>
  <si>
    <t>NDUFB1</t>
  </si>
  <si>
    <t>NADH:ubiquinone oxidoreductase subunit B1 [Source:HGNC Symbol;Acc:HGNC:7695]</t>
  </si>
  <si>
    <t>ENSDARG00000014680</t>
  </si>
  <si>
    <t>znf710a</t>
  </si>
  <si>
    <t>zinc finger protein 710a [Source:ZFIN;Acc:ZDB-GENE-030131-5559]</t>
  </si>
  <si>
    <t>ENSDARG00000051768</t>
  </si>
  <si>
    <t>FHOD1</t>
  </si>
  <si>
    <t>formin homology 2 domain containing 1 [Source:HGNC Symbol;Acc:HGNC:17905]</t>
  </si>
  <si>
    <t>ENSDARG00000008026</t>
  </si>
  <si>
    <t>fam129bb</t>
  </si>
  <si>
    <t>family with sequence similarity 129, member Bb [Source:ZFIN;Acc:ZDB-GENE-030131-6218]</t>
  </si>
  <si>
    <t>ENSDARG00000059714</t>
  </si>
  <si>
    <t>arsk</t>
  </si>
  <si>
    <t>arylsulfatase family, member K [Source:ZFIN;Acc:ZDB-GENE-060929-332]</t>
  </si>
  <si>
    <t>ENSDARG00000100611</t>
  </si>
  <si>
    <t>bcl7ba</t>
  </si>
  <si>
    <t>B-cell CLL/lymphoma 7B, a [Source:ZFIN;Acc:ZDB-GENE-040426-2193]</t>
  </si>
  <si>
    <t>ENSDARG00000090213</t>
  </si>
  <si>
    <t>rheb</t>
  </si>
  <si>
    <t>Ras homolog enriched in brain [Source:ZFIN;Acc:ZDB-GENE-040426-1690]</t>
  </si>
  <si>
    <t>ENSDARG00000074317</t>
  </si>
  <si>
    <t>FAM20C</t>
  </si>
  <si>
    <t>family with sequence similarity 20 member C [Source:HGNC Symbol;Acc:HGNC:22140]</t>
  </si>
  <si>
    <t>ENSDARG00000051920</t>
  </si>
  <si>
    <t>nsmaf</t>
  </si>
  <si>
    <t>neutral sphingomyelinase (N-SMase) activation associated factor [Source:ZFIN;Acc:ZDB-GENE-050417-342]</t>
  </si>
  <si>
    <t>ENSDARG00000053209</t>
  </si>
  <si>
    <t>smad6a</t>
  </si>
  <si>
    <t>SMAD family member 6a [Source:ZFIN;Acc:ZDB-GENE-011015-1]</t>
  </si>
  <si>
    <t>ENSDARG00000086100</t>
  </si>
  <si>
    <t>CD302</t>
  </si>
  <si>
    <t>CD302 molecule [Source:HGNC Symbol;Acc:HGNC:30843]</t>
  </si>
  <si>
    <t>ENSDARG00000005679</t>
  </si>
  <si>
    <t>trip10a</t>
  </si>
  <si>
    <t>thyroid hormone receptor interactor 10a [Source:ZFIN;Acc:ZDB-GENE-041114-105]</t>
  </si>
  <si>
    <t>ENSDARG00000079323</t>
  </si>
  <si>
    <t>rgmb</t>
  </si>
  <si>
    <t>repulsive guidance molecule family member b [Source:ZFIN;Acc:ZDB-GENE-040527-2]</t>
  </si>
  <si>
    <t>ENSDARG00000104031</t>
  </si>
  <si>
    <t>mrpl33</t>
  </si>
  <si>
    <t>mitochondrial ribosomal protein L33 [Source:EntrezGene;Acc:100536515]</t>
  </si>
  <si>
    <t>ENSDARG00000003495</t>
  </si>
  <si>
    <t>madd</t>
  </si>
  <si>
    <t>MAP-kinase activating death domain [Source:ZFIN;Acc:ZDB-GENE-030131-8076]</t>
  </si>
  <si>
    <t>ENSDARG00000054343</t>
  </si>
  <si>
    <t>SLC7A8</t>
  </si>
  <si>
    <t>solute carrier family 7 (amino acid transporter light chain, L system), member 8 [Source:HGNC Symbol;Acc:HGNC:11066]</t>
  </si>
  <si>
    <t>ENSDARG00000088541</t>
  </si>
  <si>
    <t>tpbgl</t>
  </si>
  <si>
    <t>trophoblast glycoprotein-like [Source:ZFIN;Acc:ZDB-GENE-120209-2]</t>
  </si>
  <si>
    <t>ENSDARG00000070227</t>
  </si>
  <si>
    <t>nhsa</t>
  </si>
  <si>
    <t>Nance-Horan syndrome a (congenital cataracts and dental anomalies) [Source:ZFIN;Acc:ZDB-GENE-090617-1]</t>
  </si>
  <si>
    <t>ENSDARG00000101082</t>
  </si>
  <si>
    <t>eif3s6ip</t>
  </si>
  <si>
    <t>eukaryotic translation initiation factor 3, subunit 6 interacting protein [Source:ZFIN;Acc:ZDB-GENE-040426-2138]</t>
  </si>
  <si>
    <t>ENSDARG00000102419</t>
  </si>
  <si>
    <t>AZI2</t>
  </si>
  <si>
    <t>5-azacytidine induced 2 [Source:HGNC Symbol;Acc:HGNC:24002]</t>
  </si>
  <si>
    <t>ENSDARG00000102808</t>
  </si>
  <si>
    <t>calr3b</t>
  </si>
  <si>
    <t>calreticulin 3b [Source:ZFIN;Acc:ZDB-GENE-030131-9907]</t>
  </si>
  <si>
    <t>ENSDARG00000011208</t>
  </si>
  <si>
    <t>CABZ01070469.1</t>
  </si>
  <si>
    <t>ENSDARG00000091187</t>
  </si>
  <si>
    <t>UIMC1</t>
  </si>
  <si>
    <t>ubiquitin interaction motif containing 1 [Source:HGNC Symbol;Acc:HGNC:30298]</t>
  </si>
  <si>
    <t>ENSDARG00000089877</t>
  </si>
  <si>
    <t>wu:fj40g07</t>
  </si>
  <si>
    <t>wu:fj40g07 [Source:ZFIN;Acc:ZDB-GENE-030131-7914]</t>
  </si>
  <si>
    <t>ENSDARG00000043509</t>
  </si>
  <si>
    <t>rpl11</t>
  </si>
  <si>
    <t>ribosomal protein L11 [Source:ZFIN;Acc:ZDB-GENE-040625-147]</t>
  </si>
  <si>
    <t>ENSDARG00000036489</t>
  </si>
  <si>
    <t>MAF1</t>
  </si>
  <si>
    <t>zgc:112356 [Source:ZFIN;Acc:ZDB-GENE-050913-28]</t>
  </si>
  <si>
    <t>ENSDARG00000075800</t>
  </si>
  <si>
    <t>calml4a</t>
  </si>
  <si>
    <t>calmodulin-like 4a [Source:ZFIN;Acc:ZDB-GENE-081022-9]</t>
  </si>
  <si>
    <t>ENSDARG00000017255</t>
  </si>
  <si>
    <t>tmed1b</t>
  </si>
  <si>
    <t>transmembrane p24 trafficking protein 1b [Source:ZFIN;Acc:ZDB-GENE-070112-1112]</t>
  </si>
  <si>
    <t>ENSDARG00000075814</t>
  </si>
  <si>
    <t>gb:ex154042</t>
  </si>
  <si>
    <t>expressed sequence EX154042 [Source:ZFIN;Acc:ZDB-GENE-080924-2]</t>
  </si>
  <si>
    <t>ENSDARG00000103711</t>
  </si>
  <si>
    <t>CASKIN2.1</t>
  </si>
  <si>
    <t>CASK interacting protein 2 [Source:HGNC Symbol;Acc:HGNC:18200]</t>
  </si>
  <si>
    <t>ENSDARG00000021885</t>
  </si>
  <si>
    <t>CACUL1</t>
  </si>
  <si>
    <t>CDK2-associated, cullin domain 1 [Source:HGNC Symbol;Acc:HGNC:23727]</t>
  </si>
  <si>
    <t>ENSDARG00000103537</t>
  </si>
  <si>
    <t>ttll12</t>
  </si>
  <si>
    <t>tubulin tyrosine ligase-like family, member 12 [Source:ZFIN;Acc:ZDB-GENE-040426-697]</t>
  </si>
  <si>
    <t>ENSDARG00000089310</t>
  </si>
  <si>
    <t>gc</t>
  </si>
  <si>
    <t>group-specific component (vitamin D binding protein) [Source:ZFIN;Acc:ZDB-GENE-040718-307]</t>
  </si>
  <si>
    <t>ENSDARG00000099479</t>
  </si>
  <si>
    <t>SYDE2</t>
  </si>
  <si>
    <t>synapse defective 1, Rho GTPase, homolog 2 (C. elegans) [Source:HGNC Symbol;Acc:HGNC:25841]</t>
  </si>
  <si>
    <t>ENSDARG00000016733</t>
  </si>
  <si>
    <t>psat1</t>
  </si>
  <si>
    <t>phosphoserine aminotransferase 1 [Source:ZFIN;Acc:ZDB-GENE-030131-5723]</t>
  </si>
  <si>
    <t>ENSDARG00000008322</t>
  </si>
  <si>
    <t>ambra1a</t>
  </si>
  <si>
    <t>autophagy/beclin-1 regulator 1a [Source:ZFIN;Acc:ZDB-GENE-111104-2]</t>
  </si>
  <si>
    <t>ENSDARG00000020884</t>
  </si>
  <si>
    <t>gli2b</t>
  </si>
  <si>
    <t>GLI family zinc finger 2b [Source:ZFIN;Acc:ZDB-GENE-050523-1]</t>
  </si>
  <si>
    <t>ENSDARG00000100854</t>
  </si>
  <si>
    <t>ago4</t>
  </si>
  <si>
    <t>argonaute RISC catalytic component 4 [Source:ZFIN;Acc:ZDB-GENE-030131-5357]</t>
  </si>
  <si>
    <t>ENSDARG00000103288</t>
  </si>
  <si>
    <t>PDPR</t>
  </si>
  <si>
    <t>pyruvate dehydrogenase phosphatase regulatory subunit [Source:HGNC Symbol;Acc:HGNC:30264]</t>
  </si>
  <si>
    <t>ENSDARG00000102681</t>
  </si>
  <si>
    <t>BX664605.2</t>
  </si>
  <si>
    <t>ENSDARG00000100471</t>
  </si>
  <si>
    <t>CT573263.3</t>
  </si>
  <si>
    <t>ENSDARG00000061114</t>
  </si>
  <si>
    <t>PARG</t>
  </si>
  <si>
    <t>poly(ADP-ribose) glycohydrolase [Source:HGNC Symbol;Acc:HGNC:8605]</t>
  </si>
  <si>
    <t>ENSDARG00000078448</t>
  </si>
  <si>
    <t>GPR137B</t>
  </si>
  <si>
    <t>G protein-coupled receptor 137B [Source:HGNC Symbol;Acc:HGNC:11862]</t>
  </si>
  <si>
    <t>ENSDARG00000101057</t>
  </si>
  <si>
    <t>srsf7b</t>
  </si>
  <si>
    <t>serine/arginine-rich splicing factor 7b [Source:ZFIN;Acc:ZDB-GENE-050913-95]</t>
  </si>
  <si>
    <t>ENSDARG00000063211</t>
  </si>
  <si>
    <t>exoc8</t>
  </si>
  <si>
    <t>exocyst complex component 8 [Source:ZFIN;Acc:ZDB-GENE-070410-60]</t>
  </si>
  <si>
    <t>ENSDARG00000011958</t>
  </si>
  <si>
    <t>ctnnbl1</t>
  </si>
  <si>
    <t>catenin, beta like 1 [Source:ZFIN;Acc:ZDB-GENE-040426-1850]</t>
  </si>
  <si>
    <t>ENSDARG00000104554</t>
  </si>
  <si>
    <t>FP236812.10</t>
  </si>
  <si>
    <t>ENSDARG00000099917</t>
  </si>
  <si>
    <t>znf1005</t>
  </si>
  <si>
    <t>zinc finger protein 1005 [Source:ZFIN;Acc:ZDB-GENE-050913-136]</t>
  </si>
  <si>
    <t>ENSDARG00000020377</t>
  </si>
  <si>
    <t>eif4g2a</t>
  </si>
  <si>
    <t>eukaryotic translation initiation factor 4, gamma 2a [Source:ZFIN;Acc:ZDB-GENE-030131-2173]</t>
  </si>
  <si>
    <t>ENSDARG00000090418</t>
  </si>
  <si>
    <t>wdsub1</t>
  </si>
  <si>
    <t>WD repeat, sterile alpha motif and U-box domain containing 1 [Source:ZFIN;Acc:ZDB-GENE-061110-97]</t>
  </si>
  <si>
    <t>ENSDARG00000101919</t>
  </si>
  <si>
    <t>foxj1a</t>
  </si>
  <si>
    <t>forkhead box J1a [Source:ZFIN;Acc:ZDB-GENE-060929-1178]</t>
  </si>
  <si>
    <t>ENSDARG00000103037</t>
  </si>
  <si>
    <t>CR848788.1</t>
  </si>
  <si>
    <t>ENSDARG00000100162</t>
  </si>
  <si>
    <t>CABZ01059120.1</t>
  </si>
  <si>
    <t>ENSDARG00000099246</t>
  </si>
  <si>
    <t>CU693480.1</t>
  </si>
  <si>
    <t>ENSDARG00000098323</t>
  </si>
  <si>
    <t>FO704889.1</t>
  </si>
  <si>
    <t>ENSDARG00000002231</t>
  </si>
  <si>
    <t>PLPP2</t>
  </si>
  <si>
    <t>phospholipid phosphatase 2 [Source:HGNC Symbol;Acc:HGNC:9230]</t>
  </si>
  <si>
    <t>ENSDARG00000098398</t>
  </si>
  <si>
    <t>CABZ01079480.1</t>
  </si>
  <si>
    <t>ENSDARG00000077162</t>
  </si>
  <si>
    <t>NWD2</t>
  </si>
  <si>
    <t>NACHT and WD repeat domain containing 2 [Source:HGNC Symbol;Acc:HGNC:29229]</t>
  </si>
  <si>
    <t>ENSDARG00000078882</t>
  </si>
  <si>
    <t>SLC22A31</t>
  </si>
  <si>
    <t>solute carrier family 22 member 31 [Source:HGNC Symbol;Acc:HGNC:27091]</t>
  </si>
  <si>
    <t>ENSDARG00000073741</t>
  </si>
  <si>
    <t>CABZ01072710.1</t>
  </si>
  <si>
    <t>ENSDARG00000103054</t>
  </si>
  <si>
    <t>DNM2</t>
  </si>
  <si>
    <t>dynamin 2 [Source:HGNC Symbol;Acc:HGNC:2974]</t>
  </si>
  <si>
    <t>ENSDARG00000101024</t>
  </si>
  <si>
    <t>nufip1</t>
  </si>
  <si>
    <t>nuclear fragile X mental retardation protein interacting protein 1 [Source:ZFIN;Acc:ZDB-GENE-030131-6203]</t>
  </si>
  <si>
    <t>ENSDARG00000036135</t>
  </si>
  <si>
    <t>bbox1</t>
  </si>
  <si>
    <t>butyrobetaine (gamma), 2-oxoglutarate dioxygenase (gamma-butyrobetaine hydroxylase) 1 [Source:ZFIN;Acc:ZDB-GENE-050417-218]</t>
  </si>
  <si>
    <t>ENSDARG00000104075</t>
  </si>
  <si>
    <t>BX323854.5</t>
  </si>
  <si>
    <t>ENSDARG00000052396</t>
  </si>
  <si>
    <t>pkz</t>
  </si>
  <si>
    <t>protein kinase containing Z-DNA binding domains [Source:ZFIN;Acc:ZDB-GENE-050301-2]</t>
  </si>
  <si>
    <t>ENSDARG00000098899</t>
  </si>
  <si>
    <t>ITGAL</t>
  </si>
  <si>
    <t>integrin subunit alpha L [Source:HGNC Symbol;Acc:HGNC:6148]</t>
  </si>
  <si>
    <t>ENSDARG00000076858</t>
  </si>
  <si>
    <t>CR381599.1</t>
  </si>
  <si>
    <t>chromosome 8 open reading frame 4 [Source:HGNC Symbol;Acc:HGNC:1357]</t>
  </si>
  <si>
    <t>ENSDARG00000087196</t>
  </si>
  <si>
    <t>fibinb</t>
  </si>
  <si>
    <t>fin bud initiation factor b [Source:ZFIN;Acc:ZDB-GENE-050417-423]</t>
  </si>
  <si>
    <t>ENSDARG00000079972</t>
  </si>
  <si>
    <t>NFATC2</t>
  </si>
  <si>
    <t>nuclear factor of activated T-cells, cytoplasmic, calcineurin-dependent 2 [Source:HGNC Symbol;Acc:HGNC:7776]</t>
  </si>
  <si>
    <t>ENSDARG00000101372</t>
  </si>
  <si>
    <t>CR352258.1</t>
  </si>
  <si>
    <t>ENSDARG00000100404</t>
  </si>
  <si>
    <t>CABZ01002768.2</t>
  </si>
  <si>
    <t>ENSDARG00000067658</t>
  </si>
  <si>
    <t>BX470189.1</t>
  </si>
  <si>
    <t>ENSDARG00000035872</t>
  </si>
  <si>
    <t>hsd17b12b</t>
  </si>
  <si>
    <t>hydroxysteroid (17-beta) dehydrogenase 12b [Source:ZFIN;Acc:ZDB-GENE-030131-1346]</t>
  </si>
  <si>
    <t>ENSDARG00000098660</t>
  </si>
  <si>
    <t>TSTD2</t>
  </si>
  <si>
    <t>thiosulfate sulfurtransferase (rhodanese)-like domain containing 2 [Source:HGNC Symbol;Acc:HGNC:30087]</t>
  </si>
  <si>
    <t>ENSDARG00000101553</t>
  </si>
  <si>
    <t>CABZ01111555.1</t>
  </si>
  <si>
    <t>ENSDARG00000058565</t>
  </si>
  <si>
    <t>SOCS6</t>
  </si>
  <si>
    <t>suppressor of cytokine signaling 6 [Source:HGNC Symbol;Acc:HGNC:16833]</t>
  </si>
  <si>
    <t>ENSDARG00000077465</t>
  </si>
  <si>
    <t>SORCS2</t>
  </si>
  <si>
    <t>sortilin-related VPS10 domain containing receptor 2 [Source:HGNC Symbol;Acc:HGNC:16698]</t>
  </si>
  <si>
    <t>ENSDARG00000100327</t>
  </si>
  <si>
    <t>CR812792.1</t>
  </si>
  <si>
    <t>ENSDARG00000079269</t>
  </si>
  <si>
    <t>CR589947.1</t>
  </si>
  <si>
    <t>ENSDARG00000008662</t>
  </si>
  <si>
    <t>fign</t>
  </si>
  <si>
    <t>fidgetin [Source:ZFIN;Acc:ZDB-GENE-050522-339]</t>
  </si>
  <si>
    <t>ENSDARG00000035853</t>
  </si>
  <si>
    <t>cdkn2aip</t>
  </si>
  <si>
    <t>CDKN2A interacting protein [Source:ZFIN;Acc:ZDB-GENE-041010-188]</t>
  </si>
  <si>
    <t>ENSDARG00000052109</t>
  </si>
  <si>
    <t>zgc:114041</t>
  </si>
  <si>
    <t>zgc:114041 [Source:ZFIN;Acc:ZDB-GENE-050706-122]</t>
  </si>
  <si>
    <t>ENSDARG00000102139</t>
  </si>
  <si>
    <t>CABZ01081748.2</t>
  </si>
  <si>
    <t>ENSDARG00000059455</t>
  </si>
  <si>
    <t>DQX1</t>
  </si>
  <si>
    <t>DEAQ box RNA-dependent ATPase 1 [Source:HGNC Symbol;Acc:HGNC:20410]</t>
  </si>
  <si>
    <t>ENSDARG00000099746</t>
  </si>
  <si>
    <t>rgs3a</t>
  </si>
  <si>
    <t>regulator of G-protein signaling 3a [Source:ZFIN;Acc:ZDB-GENE-040801-150]</t>
  </si>
  <si>
    <t>ENSDARG00000102247</t>
  </si>
  <si>
    <t>CU463038.2</t>
  </si>
  <si>
    <t>ENSDARG00000059725</t>
  </si>
  <si>
    <t>hypk</t>
  </si>
  <si>
    <t>huntingtin interacting protein K [Source:ZFIN;Acc:ZDB-GENE-080515-6]</t>
  </si>
  <si>
    <t>ENSDARG00000100685</t>
  </si>
  <si>
    <t>CABZ01032454.2</t>
  </si>
  <si>
    <t>ENSDARG00000102922</t>
  </si>
  <si>
    <t>BX470115.2</t>
  </si>
  <si>
    <t>ENSDARG00000103985</t>
  </si>
  <si>
    <t>spry1</t>
  </si>
  <si>
    <t>sprouty homolog 1, antagonist of FGF signaling (Drosophila) [Source:ZFIN;Acc:ZDB-GENE-081215-2]</t>
  </si>
  <si>
    <t>ENSDARG00000103249</t>
  </si>
  <si>
    <t>CU463109.1</t>
  </si>
  <si>
    <t>ENSDARG00000102729</t>
  </si>
  <si>
    <t>SAMD9</t>
  </si>
  <si>
    <t>sterile alpha motif domain containing 9 [Source:HGNC Symbol;Acc:HGNC:1348]</t>
  </si>
  <si>
    <t>ENSDARG00000102165</t>
  </si>
  <si>
    <t>SEMA6A</t>
  </si>
  <si>
    <t>sema domain, transmembrane domain (TM), and cytoplasmic domain, (semaphorin) 6A [Source:HGNC Symbol;Acc:HGNC:10738]</t>
  </si>
  <si>
    <t>ENSDARG00000104530</t>
  </si>
  <si>
    <t>ZNF609</t>
  </si>
  <si>
    <t>zinc finger protein 609  [Source:RefSeq peptide;Acc:NP_001025252]</t>
  </si>
  <si>
    <t>ENSDARG00000101514</t>
  </si>
  <si>
    <t>TRIM29.7</t>
  </si>
  <si>
    <t>ENSDARG00000038700</t>
  </si>
  <si>
    <t>gpr160</t>
  </si>
  <si>
    <t>G protein-coupled receptor 160 [Source:ZFIN;Acc:ZDB-GENE-081022-189]</t>
  </si>
  <si>
    <t>ENSDARG00000101365</t>
  </si>
  <si>
    <t>CABZ01021430.1</t>
  </si>
  <si>
    <t>ENSDARG00000100040</t>
  </si>
  <si>
    <t>AL845295.3</t>
  </si>
  <si>
    <t>ENSDARG00000099709</t>
  </si>
  <si>
    <t>rhoac</t>
  </si>
  <si>
    <t>ras homolog gene family, member Ac [Source:ZFIN;Acc:ZDB-GENE-040426-2665]</t>
  </si>
  <si>
    <t>ENSDARG00000088222</t>
  </si>
  <si>
    <t>fam78ab</t>
  </si>
  <si>
    <t>family with sequence similarity 78, member Ab [Source:ZFIN;Acc:ZDB-GENE-080220-25]</t>
  </si>
  <si>
    <t>ENSDARG00000078212</t>
  </si>
  <si>
    <t>zgc:165515</t>
  </si>
  <si>
    <t>zgc:165515 [Source:ZFIN;Acc:ZDB-GENE-030131-1772]</t>
  </si>
  <si>
    <t>ENSDARG00000089092</t>
  </si>
  <si>
    <t>CABZ01054394.1</t>
  </si>
  <si>
    <t>ENSDARG00000102645</t>
  </si>
  <si>
    <t>usp47</t>
  </si>
  <si>
    <t>ubiquitin specific peptidase 47 [Source:ZFIN;Acc:ZDB-GENE-070719-7]</t>
  </si>
  <si>
    <t>ENSDARG00000100903</t>
  </si>
  <si>
    <t>Y_RNA</t>
  </si>
  <si>
    <t>Y RNA [Source:RFAM;Acc:RF00019]</t>
  </si>
  <si>
    <t>ENSDARG00000103065</t>
  </si>
  <si>
    <t>CABZ01088567.1</t>
  </si>
  <si>
    <t>ENSDARG00000105307</t>
  </si>
  <si>
    <t>BX005331.1</t>
  </si>
  <si>
    <t>ENSDARG00000084290</t>
  </si>
  <si>
    <t>5S_rRNA</t>
  </si>
  <si>
    <t>5S_rRNA.453</t>
  </si>
  <si>
    <t>5S ribosomal RNA [Source:RFAM;Acc:RF00001]</t>
  </si>
  <si>
    <t>ENSDARG00000040156</t>
  </si>
  <si>
    <t>grm4</t>
  </si>
  <si>
    <t>glutamate receptor, metabotropic 4 [Source:ZFIN;Acc:ZDB-GENE-030131-5781]</t>
  </si>
  <si>
    <t>ENSDARG00000081270</t>
  </si>
  <si>
    <t>rn7sk</t>
  </si>
  <si>
    <t>RNA, 7SK small nuclear [Source:ZFIN;Acc:ZDB-GENE-090323-1]</t>
  </si>
  <si>
    <t>ENSDARG00000099006</t>
  </si>
  <si>
    <t>CABZ01029938.1</t>
  </si>
  <si>
    <t>ENSDARG00000103248</t>
  </si>
  <si>
    <t>FAM167A</t>
  </si>
  <si>
    <t>family with sequence similarity 167 member A [Source:HGNC Symbol;Acc:HGNC:15549]</t>
  </si>
  <si>
    <t>ENSDARG00000045979</t>
  </si>
  <si>
    <t>PTGDS</t>
  </si>
  <si>
    <t>PTGDS.1</t>
  </si>
  <si>
    <t>zgc:153704 [Source:ZFIN;Acc:ZDB-GENE-060929-1114]</t>
  </si>
  <si>
    <t>ENSDARG00000038866</t>
  </si>
  <si>
    <t>TRAPPC8</t>
  </si>
  <si>
    <t>trafficking protein particle complex 8 [Source:HGNC Symbol;Acc:HGNC:29169]</t>
  </si>
  <si>
    <t>ENSDARG00000104886</t>
  </si>
  <si>
    <t>DNAAF5</t>
  </si>
  <si>
    <t>dynein, axonemal, assembly factor 5 [Source:HGNC Symbol;Acc:HGNC:26013]</t>
  </si>
  <si>
    <t>ENSDARG00000104583</t>
  </si>
  <si>
    <t>CABZ01111915.1</t>
  </si>
  <si>
    <t>ENSDARG00000104017</t>
  </si>
  <si>
    <t>CABZ01084613.2</t>
  </si>
  <si>
    <t>ENSDARG00000104246</t>
  </si>
  <si>
    <t>EXOSC3</t>
  </si>
  <si>
    <t>exosome component 3 [Source:HGNC Symbol;Acc:HGNC:17944]</t>
  </si>
  <si>
    <t>ENSDARG00000032353</t>
  </si>
  <si>
    <t>tiprl</t>
  </si>
  <si>
    <t>TIP41, TOR signaling pathway regulator-like (S. cerevisiae) [Source:ZFIN;Acc:ZDB-GENE-040426-1611]</t>
  </si>
  <si>
    <t>ENSDARG00000101879</t>
  </si>
  <si>
    <t>CU467856.1</t>
  </si>
  <si>
    <t>ENSDARG00000089908</t>
  </si>
  <si>
    <t>DEPDC4</t>
  </si>
  <si>
    <t>si:ch211-265o23.1 [Source:ZFIN;Acc:ZDB-GENE-060503-509]</t>
  </si>
  <si>
    <t>ENSDARG00000100376</t>
  </si>
  <si>
    <t>amdhd2</t>
  </si>
  <si>
    <t>amidohydrolase domain containing 2 [Source:ZFIN;Acc:ZDB-GENE-040426-1871]</t>
  </si>
  <si>
    <t>ENSDARG00000006916</t>
  </si>
  <si>
    <t>VMAC</t>
  </si>
  <si>
    <t>vimentin-type intermediate filament associated coiled-coil protein [Source:HGNC Symbol;Acc:HGNC:33803]</t>
  </si>
  <si>
    <t>ENSDARG00000035095</t>
  </si>
  <si>
    <t>tdgf1</t>
  </si>
  <si>
    <t>teratocarcinoma-derived growth factor 1 [Source:ZFIN;Acc:ZDB-GENE-990415-198]</t>
  </si>
  <si>
    <t>ENSDARG00000086512</t>
  </si>
  <si>
    <t>FP102464.1</t>
  </si>
  <si>
    <t>ENSDARG00000099739</t>
  </si>
  <si>
    <t>ddx41</t>
  </si>
  <si>
    <t>ddx41.2</t>
  </si>
  <si>
    <t>DEAD (Asp-Glu-Ala-Asp) box polypeptide 41 [Source:ZFIN;Acc:ZDB-GENE-030131-1927]</t>
  </si>
  <si>
    <t>ENSDARG00000076222</t>
  </si>
  <si>
    <t>zgc:174224</t>
  </si>
  <si>
    <t>zgc:174224.1</t>
  </si>
  <si>
    <t>zgc:174224 [Source:ZFIN;Acc:ZDB-GENE-071004-118]</t>
  </si>
  <si>
    <t>ENSDARG00000071629</t>
  </si>
  <si>
    <t>BX511034.1</t>
  </si>
  <si>
    <t>ENSDARG00000092608</t>
  </si>
  <si>
    <t>BX855614.1</t>
  </si>
  <si>
    <t>ENSDARG00000002483</t>
  </si>
  <si>
    <t>WNT7A</t>
  </si>
  <si>
    <t>wingless-type MMTV integration site family member 7A [Source:HGNC Symbol;Acc:HGNC:12786]</t>
  </si>
  <si>
    <t>ENSDARG00000098396</t>
  </si>
  <si>
    <t>LRG1</t>
  </si>
  <si>
    <t>LRG1.1</t>
  </si>
  <si>
    <t>leucine-rich alpha-2-glycoprotein 1 [Source:HGNC Symbol;Acc:HGNC:29480]</t>
  </si>
  <si>
    <t>ENSDARG00000058853</t>
  </si>
  <si>
    <t>SASH1</t>
  </si>
  <si>
    <t>SAM and SH3 domain containing 1 [Source:HGNC Symbol;Acc:HGNC:19182]</t>
  </si>
  <si>
    <t>ENSDARG00000083911</t>
  </si>
  <si>
    <t>SNORA53.1</t>
  </si>
  <si>
    <t>ENSDARG00000056855</t>
  </si>
  <si>
    <t>GATC</t>
  </si>
  <si>
    <t>si:rp71-1c23.3 [Source:ZFIN;Acc:ZDB-GENE-060526-381]</t>
  </si>
  <si>
    <t>ENSDARG00000061481</t>
  </si>
  <si>
    <t>CABZ01041812.1</t>
  </si>
  <si>
    <t>ENSDARG00000101952</t>
  </si>
  <si>
    <t>pigv</t>
  </si>
  <si>
    <t>phosphatidylinositol glycan anchor biosynthesis, class V [Source:ZFIN;Acc:ZDB-GENE-121116-1]</t>
  </si>
  <si>
    <t>ENSDARG00000098104</t>
  </si>
  <si>
    <t>CABZ01080371.1</t>
  </si>
  <si>
    <t>ENSDARG00000086903</t>
  </si>
  <si>
    <t>gig2o</t>
  </si>
  <si>
    <t>grass carp reovirus (GCRV)-induced gene 2o [Source:ZFIN;Acc:ZDB-GENE-130517-8]</t>
  </si>
  <si>
    <t>ENSDARG00000098283</t>
  </si>
  <si>
    <t>CABZ01084887.1</t>
  </si>
  <si>
    <t>ENSDARG00000099506</t>
  </si>
  <si>
    <t>CABZ01028770.1</t>
  </si>
  <si>
    <t>ENSDARG00000098432</t>
  </si>
  <si>
    <t>paf1</t>
  </si>
  <si>
    <t>PAF1 homolog, Paf1/RNA polymerase II complex component [Source:ZFIN;Acc:ZDB-GENE-050506-101]</t>
  </si>
  <si>
    <t>ENSDARG00000013881</t>
  </si>
  <si>
    <t>pi4k2b</t>
  </si>
  <si>
    <t>phosphatidylinositol 4-kinase type 2 beta [Source:ZFIN;Acc:ZDB-GENE-070112-990]</t>
  </si>
  <si>
    <t>ENSDARG00000091841</t>
  </si>
  <si>
    <t>CABZ01071909.1</t>
  </si>
  <si>
    <t>ENSDARG00000058857</t>
  </si>
  <si>
    <t>zgc:112052</t>
  </si>
  <si>
    <t>zgc:112052 [Source:ZFIN;Acc:ZDB-GENE-050417-151]</t>
  </si>
  <si>
    <t>ENSDARG00000091367</t>
  </si>
  <si>
    <t>prpf6</t>
  </si>
  <si>
    <t>PRP6 pre-mRNA processing factor 6 homolog (S. cerevisiae) [Source:ZFIN;Acc:ZDB-GENE-030131-2575]</t>
  </si>
  <si>
    <t>ENSDARG00000078650</t>
  </si>
  <si>
    <t>KCNA4</t>
  </si>
  <si>
    <t>potassium channel, voltage gated shaker related subfamily A, member 4 [Source:HGNC Symbol;Acc:HGNC:6222]</t>
  </si>
  <si>
    <t>ENSDARG00000014246</t>
  </si>
  <si>
    <t>JAG2</t>
  </si>
  <si>
    <t>jagged 2 [Source:HGNC Symbol;Acc:HGNC:6189]</t>
  </si>
  <si>
    <t>ENSDARG00000099564</t>
  </si>
  <si>
    <t>atoh1b</t>
  </si>
  <si>
    <t>atonal bHLH transcription factor 1b [Source:ZFIN;Acc:ZDB-GENE-041201-1]</t>
  </si>
  <si>
    <t>ENSDARG00000102987</t>
  </si>
  <si>
    <t>capn7</t>
  </si>
  <si>
    <t>calpain 7 [Source:ZFIN;Acc:ZDB-GENE-111111-1]</t>
  </si>
  <si>
    <t>ENSDARG00000078976</t>
  </si>
  <si>
    <t>nanos1</t>
  </si>
  <si>
    <t>nanos homolog 1 [Source:ZFIN;Acc:ZDB-GENE-030131-1623]</t>
  </si>
  <si>
    <t>ENSDARG00000091754</t>
  </si>
  <si>
    <t>CHCHD5</t>
  </si>
  <si>
    <t>coiled-coil-helix-coiled-coil-helix domain containing 5 [Source:HGNC Symbol;Acc:HGNC:17840]</t>
  </si>
  <si>
    <t>ENSDARG00000017891</t>
  </si>
  <si>
    <t>tcp1</t>
  </si>
  <si>
    <t>t-complex 1 [Source:ZFIN;Acc:ZDB-GENE-990714-24]</t>
  </si>
  <si>
    <t>ENSDARG00000100701</t>
  </si>
  <si>
    <t>CABZ01068023.1</t>
  </si>
  <si>
    <t>ENSDARG00000090191</t>
  </si>
  <si>
    <t>PSMG4</t>
  </si>
  <si>
    <t>proteasome (prosome, macropain) assembly chaperone 4 [Source:HGNC Symbol;Acc:HGNC:21108]</t>
  </si>
  <si>
    <t>ENSDARG00000029331</t>
  </si>
  <si>
    <t>atxn7l3</t>
  </si>
  <si>
    <t>ataxin 7-like 3 [Source:ZFIN;Acc:ZDB-GENE-030616-253]</t>
  </si>
  <si>
    <t>ENSDARG00000037009</t>
  </si>
  <si>
    <t>banf1</t>
  </si>
  <si>
    <t>barrier to autointegration factor 1 [Source:ZFIN;Acc:ZDB-GENE-030131-6657]</t>
  </si>
  <si>
    <t>ENSDARG00000098855</t>
  </si>
  <si>
    <t>OXSM</t>
  </si>
  <si>
    <t>3-oxoacyl-ACP synthase, mitochondrial [Source:HGNC Symbol;Acc:HGNC:26063]</t>
  </si>
  <si>
    <t>ENSDARG00000104519</t>
  </si>
  <si>
    <t>KDELR3</t>
  </si>
  <si>
    <t>KDEL endoplasmic reticulum protein retention receptor 3 [Source:HGNC Symbol;Acc:HGNC:6306]</t>
  </si>
  <si>
    <t>ENSDARG00000100674</t>
  </si>
  <si>
    <t>UBE2O</t>
  </si>
  <si>
    <t>ubiquitin conjugating enzyme E2O [Source:HGNC Symbol;Acc:HGNC:29554]</t>
  </si>
  <si>
    <t>ENSDARG00000002220</t>
  </si>
  <si>
    <t>zgc:103692</t>
  </si>
  <si>
    <t>zgc:103692 [Source:ZFIN;Acc:ZDB-GENE-041010-15]</t>
  </si>
  <si>
    <t>ENSDARG00000078142</t>
  </si>
  <si>
    <t>SPAG9</t>
  </si>
  <si>
    <t>sperm associated antigen 9 [Source:HGNC Symbol;Acc:HGNC:14524]</t>
  </si>
  <si>
    <t>ENSDARG00000076402</t>
  </si>
  <si>
    <t>si:ch211-138a11.5</t>
  </si>
  <si>
    <t>si:ch211-138a11.5 [Source:ZFIN;Acc:ZDB-GENE-070912-63]</t>
  </si>
  <si>
    <t>ENSDARG00000101462</t>
  </si>
  <si>
    <t>SETDB2</t>
  </si>
  <si>
    <t>SET domain, bifurcated 2 [Source:HGNC Symbol;Acc:HGNC:20263]</t>
  </si>
  <si>
    <t>ENSDARG00000063646</t>
  </si>
  <si>
    <t>lnpa</t>
  </si>
  <si>
    <t>limb and neural patterns a [Source:ZFIN;Acc:ZDB-GENE-030131-4960]</t>
  </si>
  <si>
    <t>ENSDARG00000038954</t>
  </si>
  <si>
    <t>ctnnbip1</t>
  </si>
  <si>
    <t>catenin, beta interacting protein 1 [Source:ZFIN;Acc:ZDB-GENE-000906-3]</t>
  </si>
  <si>
    <t>ENSDARG00000017140</t>
  </si>
  <si>
    <t>zgc:63587</t>
  </si>
  <si>
    <t>zgc:63587 [Source:ZFIN;Acc:ZDB-GENE-040426-1175]</t>
  </si>
  <si>
    <t>ENSDARG00000052553</t>
  </si>
  <si>
    <t>lig3</t>
  </si>
  <si>
    <t>ligase III, DNA, ATP-dependent [Source:ZFIN;Acc:ZDB-GENE-030131-8453]</t>
  </si>
  <si>
    <t>ENSDARG00000057331</t>
  </si>
  <si>
    <t>KCNK7</t>
  </si>
  <si>
    <t>potassium channel, two pore domain subfamily K, member 7 [Source:HGNC Symbol;Acc:HGNC:6282]</t>
  </si>
  <si>
    <t>ENSDARG00000038729</t>
  </si>
  <si>
    <t>s100z</t>
  </si>
  <si>
    <t>S100 calcium binding protein Z [Source:ZFIN;Acc:ZDB-GENE-050522-69]</t>
  </si>
  <si>
    <t>ENSDARG00000100784</t>
  </si>
  <si>
    <t>CU302316.1</t>
  </si>
  <si>
    <t>ENSDARG00000103987</t>
  </si>
  <si>
    <t>cib1.1</t>
  </si>
  <si>
    <t>ENSDARG00000102861</t>
  </si>
  <si>
    <t>LMF1</t>
  </si>
  <si>
    <t>lipase maturation factor 1 [Source:HGNC Symbol;Acc:HGNC:14154]</t>
  </si>
  <si>
    <t>ENSDARG00000103864</t>
  </si>
  <si>
    <t>CABZ01117436.1</t>
  </si>
  <si>
    <t>ENSDARG00000101687</t>
  </si>
  <si>
    <t>MAP4.1</t>
  </si>
  <si>
    <t>microtubule associated protein 4 [Source:HGNC Symbol;Acc:HGNC:6862]</t>
  </si>
  <si>
    <t>ENSDARG00000103978</t>
  </si>
  <si>
    <t>sh3bp5b</t>
  </si>
  <si>
    <t>SH3-domain binding protein 5b (BTK-associated) [Source:ZFIN;Acc:ZDB-GENE-040426-2813]</t>
  </si>
  <si>
    <t>ENSDARG00000100011</t>
  </si>
  <si>
    <t>strn</t>
  </si>
  <si>
    <t>striatin, calmodulin binding protein [Source:ZFIN;Acc:ZDB-GENE-070112-1172]</t>
  </si>
  <si>
    <t>ENSDARG00000052876</t>
  </si>
  <si>
    <t>CR933791.1</t>
  </si>
  <si>
    <t>ENSDARG00000044431</t>
  </si>
  <si>
    <t>ppig</t>
  </si>
  <si>
    <t>peptidylprolyl isomerase G (cyclophilin G) [Source:ZFIN;Acc:ZDB-GENE-040426-2822]</t>
  </si>
  <si>
    <t>ENSDARG00000019810</t>
  </si>
  <si>
    <t>nfe2l3</t>
  </si>
  <si>
    <t>nuclear factor, erythroid 2-like 3 [Source:ZFIN;Acc:ZDB-GENE-040426-2334]</t>
  </si>
  <si>
    <t>ENSDARG00000105014</t>
  </si>
  <si>
    <t>mre11a</t>
  </si>
  <si>
    <t>MRE11 homolog A, double strand break repair nuclease [Source:ZFIN;Acc:ZDB-GENE-040426-2638]</t>
  </si>
  <si>
    <t>ENSDARG00000090975</t>
  </si>
  <si>
    <t>CR848032.1</t>
  </si>
  <si>
    <t>ENSDARG00000037843</t>
  </si>
  <si>
    <t>tor4aa.1</t>
  </si>
  <si>
    <t>ENSDARG00000053520</t>
  </si>
  <si>
    <t>C7orf62</t>
  </si>
  <si>
    <t>chromosome 7 open reading frame 62 [Source:HGNC Symbol;Acc:HGNC:22402]</t>
  </si>
  <si>
    <t>ENSDARG00000105231</t>
  </si>
  <si>
    <t>setd8a</t>
  </si>
  <si>
    <t>SET domain containing (lysine methyltransferase) 8a [Source:ZFIN;Acc:ZDB-GENE-060825-37]</t>
  </si>
  <si>
    <t>ENSDARG00000087993</t>
  </si>
  <si>
    <t>bada</t>
  </si>
  <si>
    <t>BCL2-associated agonist of cell death a [Source:ZFIN;Acc:ZDB-GENE-030131-2378]</t>
  </si>
  <si>
    <t>ENSDARG00000098674</t>
  </si>
  <si>
    <t>PPFIA1</t>
  </si>
  <si>
    <t>protein tyrosine phosphatase, receptor type, f polypeptide (PTPRF), interacting protein (liprin), alpha 1 [Source:HGNC Symbol;Acc:HGNC:9245]</t>
  </si>
  <si>
    <t>ENSDARG00000060766</t>
  </si>
  <si>
    <t>PXN</t>
  </si>
  <si>
    <t>paxillin [Source:HGNC Symbol;Acc:HGNC:9718]</t>
  </si>
  <si>
    <t>ENSDARG00000079000</t>
  </si>
  <si>
    <t>tp53bp1</t>
  </si>
  <si>
    <t>tumor protein p53 binding protein, 1 [Source:ZFIN;Acc:ZDB-GENE-030131-3695]</t>
  </si>
  <si>
    <t>ENSDARG00000042054</t>
  </si>
  <si>
    <t>zgc:171971</t>
  </si>
  <si>
    <t>zgc:171971 [Source:ZFIN;Acc:ZDB-GENE-070928-37]</t>
  </si>
  <si>
    <t>ENSDARG00000075015</t>
  </si>
  <si>
    <t>soul5</t>
  </si>
  <si>
    <t>heme-binding protein soul5 [Source:ZFIN;Acc:ZDB-GENE-110718-2]</t>
  </si>
  <si>
    <t>ENSDARG00000101701</t>
  </si>
  <si>
    <t>bmp5</t>
  </si>
  <si>
    <t>bone morphogenetic protein 5 [Source:ZFIN;Acc:ZDB-GENE-040426-1413]</t>
  </si>
  <si>
    <t>ENSDARG00000020298</t>
  </si>
  <si>
    <t>btg2</t>
  </si>
  <si>
    <t>B-cell translocation gene 2 [Source:ZFIN;Acc:ZDB-GENE-000210-15]</t>
  </si>
  <si>
    <t>ENSDARG00000060071</t>
  </si>
  <si>
    <t>PAPD5</t>
  </si>
  <si>
    <t>PAP associated domain containing 5 [Source:HGNC Symbol;Acc:HGNC:30758]</t>
  </si>
  <si>
    <t>ENSDARG00000104573</t>
  </si>
  <si>
    <t>slc12a2.1</t>
  </si>
  <si>
    <t>ENSDARG00000073985</t>
  </si>
  <si>
    <t>pctp</t>
  </si>
  <si>
    <t>phosphatidylcholine transfer protein [Source:ZFIN;Acc:ZDB-GENE-081022-182]</t>
  </si>
  <si>
    <t>ENSDARG00000019530</t>
  </si>
  <si>
    <t>hdgfrp2</t>
  </si>
  <si>
    <t>hepatoma-derived growth factor-related protein 2 [Source:ZFIN;Acc:ZDB-GENE-040426-2104]</t>
  </si>
  <si>
    <t>ENSDARG00000015657</t>
  </si>
  <si>
    <t>zgc:77112</t>
  </si>
  <si>
    <t>zgc:77112 [Source:ZFIN;Acc:ZDB-GENE-040426-2219]</t>
  </si>
  <si>
    <t>ENSDARG00000063108</t>
  </si>
  <si>
    <t>CABZ01059392.1</t>
  </si>
  <si>
    <t>ENSDARG00000088141</t>
  </si>
  <si>
    <t>CU570684.4</t>
  </si>
  <si>
    <t>ENSDARG00000079375</t>
  </si>
  <si>
    <t>CU104698.1</t>
  </si>
  <si>
    <t>ENSDARG00000101063</t>
  </si>
  <si>
    <t>CABZ01058650.1</t>
  </si>
  <si>
    <t>ENSDARG00000091025</t>
  </si>
  <si>
    <t>znf1124</t>
  </si>
  <si>
    <t>zinc finger protein 1124 [Source:ZFIN;Acc:ZDB-GENE-071004-105]</t>
  </si>
  <si>
    <t>ENSDARG00000062758</t>
  </si>
  <si>
    <t>CR352265.1</t>
  </si>
  <si>
    <t>ENSDARG00000087843</t>
  </si>
  <si>
    <t>CABZ01083501.1</t>
  </si>
  <si>
    <t>ENSDARG00000086724</t>
  </si>
  <si>
    <t>CABZ01020207.1</t>
  </si>
  <si>
    <t>ENSDARG00000100385</t>
  </si>
  <si>
    <t>slc25a19</t>
  </si>
  <si>
    <t>solute carrier family 25 (mitochondrial thiamine pyrophosphate carrier), member 19 [Source:ZFIN;Acc:ZDB-GENE-050417-292]</t>
  </si>
  <si>
    <t>ENSDARG00000100797</t>
  </si>
  <si>
    <t>NPNT</t>
  </si>
  <si>
    <t>nephronectin [Source:HGNC Symbol;Acc:HGNC:27405]</t>
  </si>
  <si>
    <t>ENSDARG00000103701</t>
  </si>
  <si>
    <t>FO393424.1</t>
  </si>
  <si>
    <t>ENSDARG00000062889</t>
  </si>
  <si>
    <t>fam78bb</t>
  </si>
  <si>
    <t>family with sequence similarity 78, member B b [Source:ZFIN;Acc:ZDB-GENE-030131-7811]</t>
  </si>
  <si>
    <t>ENSDARG00000046106</t>
  </si>
  <si>
    <t>rab10</t>
  </si>
  <si>
    <t>RAB10, member RAS oncogene family [Source:ZFIN;Acc:ZDB-GENE-040718-304]</t>
  </si>
  <si>
    <t>ENSDARG00000099111</t>
  </si>
  <si>
    <t>zgc:175280</t>
  </si>
  <si>
    <t>zgc:175280 [Source:ZFIN;Acc:ZDB-GENE-080219-39]</t>
  </si>
  <si>
    <t>ENSDARG00000024920</t>
  </si>
  <si>
    <t>tmem136a</t>
  </si>
  <si>
    <t>transmembrane protein 136a [Source:ZFIN;Acc:ZDB-GENE-000607-58]</t>
  </si>
  <si>
    <t>ENSDARG00000022020</t>
  </si>
  <si>
    <t>FOCAD</t>
  </si>
  <si>
    <t>focadhesin [Source:HGNC Symbol;Acc:HGNC:23377]</t>
  </si>
  <si>
    <t>ENSDARG00000090942</t>
  </si>
  <si>
    <t>CABZ01054394.3</t>
  </si>
  <si>
    <t>ENSDARG00000016775</t>
  </si>
  <si>
    <t>aqr</t>
  </si>
  <si>
    <t>aquarius intron-binding spliceosomal factor [Source:ZFIN;Acc:ZDB-GENE-040426-1189]</t>
  </si>
  <si>
    <t>ENSDARG00000061660</t>
  </si>
  <si>
    <t>CABZ01055347.1</t>
  </si>
  <si>
    <t>ENSDARG00000102326</t>
  </si>
  <si>
    <t>KCNJ11</t>
  </si>
  <si>
    <t>potassium channel, inwardly rectifying subfamily J, member 11 [Source:HGNC Symbol;Acc:HGNC:6257]</t>
  </si>
  <si>
    <t>ENSDARG00000029581</t>
  </si>
  <si>
    <t>tbc1d7</t>
  </si>
  <si>
    <t>TBC1 domain family, member 7 [Source:ZFIN;Acc:ZDB-GENE-040426-1747]</t>
  </si>
  <si>
    <t>ENSDARG00000102511</t>
  </si>
  <si>
    <t>cript</t>
  </si>
  <si>
    <t>cysteine-rich PDZ-binding protein [Source:ZFIN;Acc:ZDB-GENE-050417-451]</t>
  </si>
  <si>
    <t>ENSDARG00000100798</t>
  </si>
  <si>
    <t>BX470200.2</t>
  </si>
  <si>
    <t>ENSDARG00000079624</t>
  </si>
  <si>
    <t>amer1</t>
  </si>
  <si>
    <t>APC membrane recruitment protein 1 [Source:ZFIN;Acc:ZDB-GENE-070719-2]</t>
  </si>
  <si>
    <t>ENSDARG00000102766</t>
  </si>
  <si>
    <t>DENND4C</t>
  </si>
  <si>
    <t>DENN/MADD domain containing 4C [Source:HGNC Symbol;Acc:HGNC:26079]</t>
  </si>
  <si>
    <t>ENSDARG00000098438</t>
  </si>
  <si>
    <t>slc6a6b</t>
  </si>
  <si>
    <t>solute carrier family 6 (neurotransmitter transporter), member 6b [Source:ZFIN;Acc:ZDB-GENE-030131-3077]</t>
  </si>
  <si>
    <t>ENSDARG00000104885</t>
  </si>
  <si>
    <t>CABZ01033178.2</t>
  </si>
  <si>
    <t>ENSDARG00000075984</t>
  </si>
  <si>
    <t>hsbp1l1</t>
  </si>
  <si>
    <t>heat shock factor binding protein 1-like 1 [Source:EntrezGene;Acc:799177]</t>
  </si>
  <si>
    <t>ENSDARG00000101039</t>
  </si>
  <si>
    <t>zdhhc15a</t>
  </si>
  <si>
    <t>zinc finger, DHHC-type containing 15a [Source:ZFIN;Acc:ZDB-GENE-041010-87]</t>
  </si>
  <si>
    <t>ENSDARG00000053692</t>
  </si>
  <si>
    <t>GRXCR2</t>
  </si>
  <si>
    <t>glutaredoxin, cysteine rich 2 [Source:HGNC Symbol;Acc:HGNC:33862]</t>
  </si>
  <si>
    <t>ENSDARG00000022690</t>
  </si>
  <si>
    <t>chic2</t>
  </si>
  <si>
    <t>cysteine-rich hydrophobic domain 2 [Source:ZFIN;Acc:ZDB-GENE-040426-778]</t>
  </si>
  <si>
    <t>ENSDARG00000087185</t>
  </si>
  <si>
    <t>CABZ01069006.1</t>
  </si>
  <si>
    <t>ENSDARG00000036593</t>
  </si>
  <si>
    <t>kdm2ba</t>
  </si>
  <si>
    <t>lysine (K)-specific demethylase 2Ba [Source:ZFIN;Acc:ZDB-GENE-040426-2195]</t>
  </si>
  <si>
    <t>ENSDARG00000039515</t>
  </si>
  <si>
    <t>atf4a</t>
  </si>
  <si>
    <t>activating transcription factor 4a [Source:ZFIN;Acc:ZDB-GENE-040426-2340]</t>
  </si>
  <si>
    <t>ENSDARG00000062592</t>
  </si>
  <si>
    <t>myl10</t>
  </si>
  <si>
    <t>myosin, light chain 10, regulatory [Source:ZFIN;Acc:ZDB-GENE-050417-421]</t>
  </si>
  <si>
    <t>ENSDARG00000104276</t>
  </si>
  <si>
    <t>EIF2AK4</t>
  </si>
  <si>
    <t>eukaryotic translation initiation factor 2 alpha kinase 4 [Source:HGNC Symbol;Acc:HGNC:19687]</t>
  </si>
  <si>
    <t>ENSDARG00000077174</t>
  </si>
  <si>
    <t>QSOX2</t>
  </si>
  <si>
    <t>quiescin sulfhydryl oxidase 2 [Source:HGNC Symbol;Acc:HGNC:30249]</t>
  </si>
  <si>
    <t>ENSDARG00000088810</t>
  </si>
  <si>
    <t>prox1b</t>
  </si>
  <si>
    <t>prospero homeobox 1b [Source:ZFIN;Acc:ZDB-GENE-050107-3]</t>
  </si>
  <si>
    <t>ENSDARG00000091234</t>
  </si>
  <si>
    <t>CU019646.2</t>
  </si>
  <si>
    <t>ENSDARG00000091503</t>
  </si>
  <si>
    <t>FADS6</t>
  </si>
  <si>
    <t>fatty acid desaturase 6 [Source:HGNC Symbol;Acc:HGNC:30459]</t>
  </si>
  <si>
    <t>ENSDARG00000077842</t>
  </si>
  <si>
    <t>ajuba</t>
  </si>
  <si>
    <t>ajuba LIM protein [Source:ZFIN;Acc:ZDB-GENE-030131-9341]</t>
  </si>
  <si>
    <t>ENSDARG00000104076</t>
  </si>
  <si>
    <t>rnf126</t>
  </si>
  <si>
    <t>ring finger protein 126 [Source:ZFIN;Acc:ZDB-GENE-070209-292]</t>
  </si>
  <si>
    <t>ENSDARG00000099175</t>
  </si>
  <si>
    <t>hmgb1a</t>
  </si>
  <si>
    <t>high mobility group box 1a [Source:ZFIN;Acc:ZDB-GENE-030131-341]</t>
  </si>
  <si>
    <t>ENSDARG00000076073</t>
  </si>
  <si>
    <t>ap1s3a</t>
  </si>
  <si>
    <t>adaptor-related protein complex 1, sigma 3 subunit, a [Source:ZFIN;Acc:ZDB-GENE-050417-222]</t>
  </si>
  <si>
    <t>ENSDARG00000104347</t>
  </si>
  <si>
    <t>rtn4b</t>
  </si>
  <si>
    <t>reticulon 4b [Source:ZFIN;Acc:ZDB-GENE-030710-2]</t>
  </si>
  <si>
    <t>ENSDARG00000087203</t>
  </si>
  <si>
    <t>STK39</t>
  </si>
  <si>
    <t>serine/threonine kinase 39 [Source:HGNC Symbol;Acc:HGNC:17717]</t>
  </si>
  <si>
    <t>ENSDARG00000095135</t>
  </si>
  <si>
    <t>si:ch73-266f23.1.1</t>
  </si>
  <si>
    <t>ENSDARG00000074371</t>
  </si>
  <si>
    <t>tirap</t>
  </si>
  <si>
    <t>toll-interleukin 1 receptor (TIR) domain containing adaptor protein [Source:ZFIN;Acc:ZDB-GENE-040219-4]</t>
  </si>
  <si>
    <t>ENSDARG00000045887</t>
  </si>
  <si>
    <t>mmp30</t>
  </si>
  <si>
    <t>matrix metallopeptidase 30 [Source:ZFIN;Acc:ZDB-GENE-060421-5765]</t>
  </si>
  <si>
    <t>ENSDARG00000099301</t>
  </si>
  <si>
    <t>CDC37</t>
  </si>
  <si>
    <t>cell division cycle 37 [Source:HGNC Symbol;Acc:HGNC:1735]</t>
  </si>
  <si>
    <t>ENSDARG00000090020</t>
  </si>
  <si>
    <t>CABZ01084613.1</t>
  </si>
  <si>
    <t>ENSDARG00000098079</t>
  </si>
  <si>
    <t>rab3gap1</t>
  </si>
  <si>
    <t>RAB3 GTPase activating protein subunit 1 [Source:ZFIN;Acc:ZDB-GENE-061027-53]</t>
  </si>
  <si>
    <t>ENSDARG00000099322</t>
  </si>
  <si>
    <t>SLC37A3</t>
  </si>
  <si>
    <t>solute carrier family 37 member 3 [Source:HGNC Symbol;Acc:HGNC:20651]</t>
  </si>
  <si>
    <t>ENSDARG00000068176</t>
  </si>
  <si>
    <t>uqcc1</t>
  </si>
  <si>
    <t>ubiquinol-cytochrome c reductase complex assembly factor 1 [Source:ZFIN;Acc:ZDB-GENE-060929-1034]</t>
  </si>
  <si>
    <t>ENSDARG00000026784</t>
  </si>
  <si>
    <t>robo1</t>
  </si>
  <si>
    <t>roundabout, axon guidance receptor, homolog 1 (Drosophila) [Source:ZFIN;Acc:ZDB-GENE-000209-3]</t>
  </si>
  <si>
    <t>ENSDARG00000099968</t>
  </si>
  <si>
    <t>BX322612.1</t>
  </si>
  <si>
    <t>ENSDARG00000036359</t>
  </si>
  <si>
    <t>minal</t>
  </si>
  <si>
    <t>MYC induced nuclear antigen-like [Source:ZFIN;Acc:ZDB-GENE-040426-1283]</t>
  </si>
  <si>
    <t>ENSDARG00000060688</t>
  </si>
  <si>
    <t>CU929225.1</t>
  </si>
  <si>
    <t>uncharacterized protein LOC101883816  [Source:RefSeq peptide;Acc:NP_001289175]</t>
  </si>
  <si>
    <t>ENSDARG00000103159</t>
  </si>
  <si>
    <t>BX571760.1</t>
  </si>
  <si>
    <t>ENSDARG00000100271</t>
  </si>
  <si>
    <t>CU467943.2</t>
  </si>
  <si>
    <t>ENSDARG00000021697</t>
  </si>
  <si>
    <t>morn3</t>
  </si>
  <si>
    <t>MORN repeat containing 3 [Source:ZFIN;Acc:ZDB-GENE-050417-152]</t>
  </si>
  <si>
    <t>ENSDARG00000010248</t>
  </si>
  <si>
    <t>wdr54</t>
  </si>
  <si>
    <t>WD repeat domain 54 [Source:ZFIN;Acc:ZDB-GENE-040801-151]</t>
  </si>
  <si>
    <t>ENSDARG00000099417</t>
  </si>
  <si>
    <t>CT027611.1</t>
  </si>
  <si>
    <t>ENSDARG00000104344</t>
  </si>
  <si>
    <t>FO704821.2</t>
  </si>
  <si>
    <t>ENSDARG00000082979</t>
  </si>
  <si>
    <t>BAZ2B</t>
  </si>
  <si>
    <t>bromodomain adjacent to zinc finger domain 2B [Source:HGNC Symbol;Acc:HGNC:963]</t>
  </si>
  <si>
    <t>ENSDARG00000045958</t>
  </si>
  <si>
    <t>egfl6</t>
  </si>
  <si>
    <t>egfl6.1</t>
  </si>
  <si>
    <t>EGF-like-domain, multiple 6 [Source:ZFIN;Acc:ZDB-GENE-040718-157]</t>
  </si>
  <si>
    <t>ENSDARG00000007901</t>
  </si>
  <si>
    <t>crnkl1</t>
  </si>
  <si>
    <t>crooked neck pre-mRNA splicing factor 1 [Source:ZFIN;Acc:ZDB-GENE-040426-694]</t>
  </si>
  <si>
    <t>ENSDARG00000104696</t>
  </si>
  <si>
    <t>apooa</t>
  </si>
  <si>
    <t>apolipoprotein O, a [Source:ZFIN;Acc:ZDB-GENE-031118-91]</t>
  </si>
  <si>
    <t>ENSDARG00000103899</t>
  </si>
  <si>
    <t>rabepk</t>
  </si>
  <si>
    <t>Rab9 effector protein with kelch motifs [Source:ZFIN;Acc:ZDB-GENE-040704-52]</t>
  </si>
  <si>
    <t>ENSDARG00000079313</t>
  </si>
  <si>
    <t>PELP1</t>
  </si>
  <si>
    <t>proline, glutamate and leucine rich protein 1 [Source:HGNC Symbol;Acc:HGNC:30134]</t>
  </si>
  <si>
    <t>ENSDARG00000102051</t>
  </si>
  <si>
    <t>mtbl</t>
  </si>
  <si>
    <t>metallothionein-B-like [Source:ZFIN;Acc:ZDB-GENE-110414-3]</t>
  </si>
  <si>
    <t>ENSDARG00000053362</t>
  </si>
  <si>
    <t>cilp</t>
  </si>
  <si>
    <t>cartilage intermediate layer protein, nucleotide pyrophosphohydrolase [Source:ZFIN;Acc:ZDB-GENE-050208-76]</t>
  </si>
  <si>
    <t>ENSDARG00000102333</t>
  </si>
  <si>
    <t>fcf1</t>
  </si>
  <si>
    <t>FCF1 rRNA-processing protein [Source:ZFIN;Acc:ZDB-GENE-050417-67]</t>
  </si>
  <si>
    <t>ENSDARG00000104568</t>
  </si>
  <si>
    <t>BX571715.1</t>
  </si>
  <si>
    <t>ENSDARG00000098834</t>
  </si>
  <si>
    <t>sox4b</t>
  </si>
  <si>
    <t>SRY (sex determining region Y)-box 4b [Source:ZFIN;Acc:ZDB-GENE-040426-1274]</t>
  </si>
  <si>
    <t>ENSDARG00000102656</t>
  </si>
  <si>
    <t>CU896640.1</t>
  </si>
  <si>
    <t>ENSDARG00000105118</t>
  </si>
  <si>
    <t>zgc:171566</t>
  </si>
  <si>
    <t>zgc:171566 [Source:ZFIN;Acc:ZDB-GENE-050309-193]</t>
  </si>
  <si>
    <t>ENSDARG00000104419</t>
  </si>
  <si>
    <t>PODXL2</t>
  </si>
  <si>
    <t>podocalyxin-like 2 [Source:HGNC Symbol;Acc:HGNC:17936]</t>
  </si>
  <si>
    <t>ENSDARG00000102387</t>
  </si>
  <si>
    <t>SLC39A14</t>
  </si>
  <si>
    <t>solute carrier family 39 (zinc transporter), member 14 [Source:HGNC Symbol;Acc:HGNC:20858]</t>
  </si>
  <si>
    <t>ENSDARG00000036846</t>
  </si>
  <si>
    <t>anks4b</t>
  </si>
  <si>
    <t>ankyrin repeat and sterile alpha motif domain containing 4B [Source:ZFIN;Acc:ZDB-GENE-040704-29]</t>
  </si>
  <si>
    <t>ENSDARG00000005791</t>
  </si>
  <si>
    <t>rpl28</t>
  </si>
  <si>
    <t>ribosomal protein L28 [Source:ZFIN;Acc:ZDB-GENE-040930-10]</t>
  </si>
  <si>
    <t>ENSDARG00000054153</t>
  </si>
  <si>
    <t>ftr50</t>
  </si>
  <si>
    <t>finTRIM family, member 50 [Source:ZFIN;Acc:ZDB-GENE-080215-17]</t>
  </si>
  <si>
    <t>ENSDARG00000036043</t>
  </si>
  <si>
    <t>ZNF408</t>
  </si>
  <si>
    <t>zinc finger protein 408 [Source:HGNC Symbol;Acc:HGNC:20041]</t>
  </si>
  <si>
    <t>ENSDARG00000100597</t>
  </si>
  <si>
    <t>ubxn4</t>
  </si>
  <si>
    <t>UBX domain protein 4 [Source:ZFIN;Acc:ZDB-GENE-040426-1981]</t>
  </si>
  <si>
    <t>ENSDARG00000067593</t>
  </si>
  <si>
    <t>SCO1</t>
  </si>
  <si>
    <t>protein SCO1 homolog, mitochondrial (LOC796572), mRNA [Source:RefSeq mRNA;Acc:NM_001309798]</t>
  </si>
  <si>
    <t>ENSDARG00000078172</t>
  </si>
  <si>
    <t>PTGFRN</t>
  </si>
  <si>
    <t>PTGFRN.1</t>
  </si>
  <si>
    <t>prostaglandin F2 receptor inhibitor [Source:HGNC Symbol;Acc:HGNC:9601]</t>
  </si>
  <si>
    <t>ENSDARG00000013694</t>
  </si>
  <si>
    <t>tmem110</t>
  </si>
  <si>
    <t>transmembrane protein 110 [Source:ZFIN;Acc:ZDB-GENE-040426-1198]</t>
  </si>
  <si>
    <t>ENSDARG00000070858</t>
  </si>
  <si>
    <t>si:busm1-105l16.2</t>
  </si>
  <si>
    <t>si:busm1-105l16.2 [Source:ZFIN;Acc:ZDB-GENE-030616-108]</t>
  </si>
  <si>
    <t>ENSDARG00000100023</t>
  </si>
  <si>
    <t>CABZ01019474.1</t>
  </si>
  <si>
    <t>ENSDARG00000078281</t>
  </si>
  <si>
    <t>zgc:173575</t>
  </si>
  <si>
    <t>zgc:173575 [Source:ZFIN;Acc:ZDB-GENE-080218-25]</t>
  </si>
  <si>
    <t>ENSDARG00000070506</t>
  </si>
  <si>
    <t>CR450842.1</t>
  </si>
  <si>
    <t>ENSDARG00000103994</t>
  </si>
  <si>
    <t>ppiab</t>
  </si>
  <si>
    <t>peptidylprolyl isomerase Ab (cyclophilin A) [Source:ZFIN;Acc:ZDB-GENE-030131-7459]</t>
  </si>
  <si>
    <t>ENSDARG00000038456</t>
  </si>
  <si>
    <t>mrps35</t>
  </si>
  <si>
    <t>mitochondrial ribosomal protein S35 [Source:ZFIN;Acc:ZDB-GENE-050809-131]</t>
  </si>
  <si>
    <t>ENSDARG00000099568</t>
  </si>
  <si>
    <t>CNNM3</t>
  </si>
  <si>
    <t>cyclin and CBS domain divalent metal cation transport mediator 3 [Source:HGNC Symbol;Acc:HGNC:104]</t>
  </si>
  <si>
    <t>ENSDARG00000036678</t>
  </si>
  <si>
    <t>TRMT10A</t>
  </si>
  <si>
    <t>tRNA methyltransferase 10A [Source:HGNC Symbol;Acc:HGNC:28403]</t>
  </si>
  <si>
    <t>ENSDARG00000086896</t>
  </si>
  <si>
    <t>FUBP3</t>
  </si>
  <si>
    <t>far upstream element (FUSE) binding protein 3 [Source:HGNC Symbol;Acc:HGNC:4005]</t>
  </si>
  <si>
    <t>ENSDARG00000103190</t>
  </si>
  <si>
    <t>PSMD2</t>
  </si>
  <si>
    <t>proteasome 26S subunit, non-ATPase 2 [Source:HGNC Symbol;Acc:HGNC:9559]</t>
  </si>
  <si>
    <t>ENSDARG00000103021</t>
  </si>
  <si>
    <t>FADD</t>
  </si>
  <si>
    <t>Fas associated via death domain [Source:HGNC Symbol;Acc:HGNC:3573]</t>
  </si>
  <si>
    <t>ENSDARG00000052074</t>
  </si>
  <si>
    <t>BX957362.1</t>
  </si>
  <si>
    <t>ENSDARG00000041300</t>
  </si>
  <si>
    <t>drc3</t>
  </si>
  <si>
    <t>dynein regulatory complex subunit 3 [Source:ZFIN;Acc:ZDB-GENE-061103-349]</t>
  </si>
  <si>
    <t>ENSDARG00000101766</t>
  </si>
  <si>
    <t>ptmab</t>
  </si>
  <si>
    <t>prothymosin, alpha b [Source:ZFIN;Acc:ZDB-GENE-030131-8681]</t>
  </si>
  <si>
    <t>ENSDARG00000099805</t>
  </si>
  <si>
    <t>CABZ01115396.1</t>
  </si>
  <si>
    <t>ENSDARG00000036985</t>
  </si>
  <si>
    <t>plxnb2b</t>
  </si>
  <si>
    <t>plexin b2b [Source:ZFIN;Acc:ZDB-GENE-080902-1]</t>
  </si>
  <si>
    <t>ENSDARG00000098832</t>
  </si>
  <si>
    <t>fam168a</t>
  </si>
  <si>
    <t>family with sequence similarity 168, member A [Source:ZFIN;Acc:ZDB-GENE-060825-128]</t>
  </si>
  <si>
    <t>ENSDARG00000077516</t>
  </si>
  <si>
    <t>RECQL4</t>
  </si>
  <si>
    <t>RecQ helicase-like 4 [Source:HGNC Symbol;Acc:HGNC:9949]</t>
  </si>
  <si>
    <t>ENSDARG00000101023</t>
  </si>
  <si>
    <t>msx2b</t>
  </si>
  <si>
    <t>muscle segment homeobox 2b [Source:ZFIN;Acc:ZDB-GENE-980526-492]</t>
  </si>
  <si>
    <t>ENSDARG00000006921</t>
  </si>
  <si>
    <t>lrp5</t>
  </si>
  <si>
    <t>low density lipoprotein receptor-related protein 5 [Source:ZFIN;Acc:ZDB-GENE-050518-2]</t>
  </si>
  <si>
    <t>ENSDARG00000044485</t>
  </si>
  <si>
    <t>sall4</t>
  </si>
  <si>
    <t>spalt-like transcription factor 4 [Source:ZFIN;Acc:ZDB-GENE-060328-2]</t>
  </si>
  <si>
    <t>ENSDARG00000037172</t>
  </si>
  <si>
    <t>ddrgk1</t>
  </si>
  <si>
    <t>DDRGK domain containing 1 [Source:ZFIN;Acc:ZDB-GENE-040426-1050]</t>
  </si>
  <si>
    <t>ENSDARG00000026400</t>
  </si>
  <si>
    <t>rad51d</t>
  </si>
  <si>
    <t>RAD51 paralog D [Source:ZFIN;Acc:ZDB-GENE-040426-2490]</t>
  </si>
  <si>
    <t>ENSDARG00000033355</t>
  </si>
  <si>
    <t>PLA2G4C</t>
  </si>
  <si>
    <t>PLA2G4C.3</t>
  </si>
  <si>
    <t>zgc:101699 [Source:ZFIN;Acc:ZDB-GENE-041114-140]</t>
  </si>
  <si>
    <t>ENSDARG00000053505</t>
  </si>
  <si>
    <t>fbxo22</t>
  </si>
  <si>
    <t>F-box protein 22 [Source:ZFIN;Acc:ZDB-GENE-040724-68]</t>
  </si>
  <si>
    <t>ENSDARG00000052604</t>
  </si>
  <si>
    <t>CPEB2</t>
  </si>
  <si>
    <t>cytoplasmic polyadenylation element binding protein 2 [Source:HGNC Symbol;Acc:HGNC:21745]</t>
  </si>
  <si>
    <t>ENSDARG00000073723</t>
  </si>
  <si>
    <t>zgc:194679</t>
  </si>
  <si>
    <t>zgc:194679 [Source:ZFIN;Acc:ZDB-GENE-030131-2847]</t>
  </si>
  <si>
    <t>ENSDARG00000069135</t>
  </si>
  <si>
    <t>ppp1r15a</t>
  </si>
  <si>
    <t>protein phosphatase 1, regulatory subunit 15A [Source:ZFIN;Acc:ZDB-GENE-030131-4408]</t>
  </si>
  <si>
    <t>ENSDARG00000029232</t>
  </si>
  <si>
    <t>FO704779.1</t>
  </si>
  <si>
    <t>ENSDARG00000086341</t>
  </si>
  <si>
    <t>COX7A2</t>
  </si>
  <si>
    <t>cytochrome c oxidase subunit VIIa polypeptide 2 (liver) [Source:HGNC Symbol;Acc:HGNC:2288]</t>
  </si>
  <si>
    <t>ENSDARG00000101792</t>
  </si>
  <si>
    <t>SEC14L1.2</t>
  </si>
  <si>
    <t>ENSDARG00000100475</t>
  </si>
  <si>
    <t>fgf10b</t>
  </si>
  <si>
    <t>fibroblast growth factor 10b [Source:ZFIN;Acc:ZDB-GENE-060828-1]</t>
  </si>
  <si>
    <t>ENSDARG00000098724</t>
  </si>
  <si>
    <t>RGR</t>
  </si>
  <si>
    <t>retinal G protein coupled receptor [Source:HGNC Symbol;Acc:HGNC:9990]</t>
  </si>
  <si>
    <t>ENSDARG00000030114</t>
  </si>
  <si>
    <t>vps4a</t>
  </si>
  <si>
    <t>vacuolar protein sorting 4a homolog A (S. cerevisiae) [Source:ZFIN;Acc:ZDB-GENE-060929-388]</t>
  </si>
  <si>
    <t>ENSDARG00000045297</t>
  </si>
  <si>
    <t>phb2a</t>
  </si>
  <si>
    <t>prohibitin 2a [Source:ZFIN;Acc:ZDB-GENE-030131-3141]</t>
  </si>
  <si>
    <t>ENSDARG00000103744</t>
  </si>
  <si>
    <t>HACD1</t>
  </si>
  <si>
    <t>3-hydroxyacyl-CoA dehydratase 1 [Source:HGNC Symbol;Acc:HGNC:9639]</t>
  </si>
  <si>
    <t>ENSDARG00000089720</t>
  </si>
  <si>
    <t>CABZ01077218.1</t>
  </si>
  <si>
    <t>ENSDARG00000028198</t>
  </si>
  <si>
    <t>ube2v2</t>
  </si>
  <si>
    <t>ubiquitin-conjugating enzyme E2 variant 2 [Source:ZFIN;Acc:ZDB-GENE-040426-2919]</t>
  </si>
  <si>
    <t>ENSDARG00000098455</t>
  </si>
  <si>
    <t>CABZ01063757.1</t>
  </si>
  <si>
    <t>ENSDARG00000036304</t>
  </si>
  <si>
    <t>CABZ01055343.1</t>
  </si>
  <si>
    <t>ENSDARG00000099890</t>
  </si>
  <si>
    <t>CU207221.1</t>
  </si>
  <si>
    <t>ENSDARG00000077419</t>
  </si>
  <si>
    <t>PVRL4</t>
  </si>
  <si>
    <t>poliovirus receptor-related 4 [Source:HGNC Symbol;Acc:HGNC:19688]</t>
  </si>
  <si>
    <t>ENSDARG00000063001</t>
  </si>
  <si>
    <t>atp8a1</t>
  </si>
  <si>
    <t>atp8a1.1</t>
  </si>
  <si>
    <t>ATPase, aminophospholipid transporter (APLT), class I, type 8A, member 1 [Source:ZFIN;Acc:ZDB-GENE-060929-36]</t>
  </si>
  <si>
    <t>ENSDARG00000078399</t>
  </si>
  <si>
    <t>FO704819.2</t>
  </si>
  <si>
    <t>ENSDARG00000098180</t>
  </si>
  <si>
    <t>FO704584.1</t>
  </si>
  <si>
    <t>ENSDARG00000086576</t>
  </si>
  <si>
    <t>CABZ01069012.1</t>
  </si>
  <si>
    <t>ENSDARG00000104669</t>
  </si>
  <si>
    <t>slc35c1</t>
  </si>
  <si>
    <t>solute carrier family 35 (GDP-fucose transporter), member C1 [Source:ZFIN;Acc:ZDB-GENE-041212-11]</t>
  </si>
  <si>
    <t>ENSDARG00000074996</t>
  </si>
  <si>
    <t>tbrg1</t>
  </si>
  <si>
    <t>transforming growth factor beta regulator 1 [Source:ZFIN;Acc:ZDB-GENE-080220-62]</t>
  </si>
  <si>
    <t>ENSDARG00000103576</t>
  </si>
  <si>
    <t>EPHB3</t>
  </si>
  <si>
    <t>EPH receptor B3 [Source:HGNC Symbol;Acc:HGNC:3394]</t>
  </si>
  <si>
    <t>ENSDARG00000101196</t>
  </si>
  <si>
    <t>CU469570.2</t>
  </si>
  <si>
    <t>ENSDARG00000040041</t>
  </si>
  <si>
    <t>mcm4</t>
  </si>
  <si>
    <t>minichromosome maintenance complex component 4 [Source:ZFIN;Acc:ZDB-GENE-030131-9544]</t>
  </si>
  <si>
    <t>ENSDARG00000062530</t>
  </si>
  <si>
    <t>ASTE1</t>
  </si>
  <si>
    <t>asteroid homolog 1 (Drosophila) [Source:HGNC Symbol;Acc:HGNC:25021]</t>
  </si>
  <si>
    <t>ENSDARG00000076416</t>
  </si>
  <si>
    <t>SHROOM2.1</t>
  </si>
  <si>
    <t>ENSDARG00000099431</t>
  </si>
  <si>
    <t>med24</t>
  </si>
  <si>
    <t>mediator complex subunit 24 [Source:ZFIN;Acc:ZDB-GENE-030131-2341]</t>
  </si>
  <si>
    <t>ENSDARG00000098196</t>
  </si>
  <si>
    <t>znf1077</t>
  </si>
  <si>
    <t>zinc finger protein 1077 [Source:ZFIN;Acc:ZDB-GENE-080218-11]</t>
  </si>
  <si>
    <t>ENSDARG00000010945</t>
  </si>
  <si>
    <t>rapgef6</t>
  </si>
  <si>
    <t>Rap guanine nucleotide exchange factor (GEF) 6 [Source:ZFIN;Acc:ZDB-GENE-030131-6972]</t>
  </si>
  <si>
    <t>ENSDARG00000007561</t>
  </si>
  <si>
    <t>cdh23.1</t>
  </si>
  <si>
    <t>ENSDARG00000063686</t>
  </si>
  <si>
    <t>xrcc6bp1</t>
  </si>
  <si>
    <t>XRCC6 binding protein 1 [Source:ZFIN;Acc:ZDB-GENE-070410-102]</t>
  </si>
  <si>
    <t>ENSDARG00000075892</t>
  </si>
  <si>
    <t>bag6</t>
  </si>
  <si>
    <t>BCL2-associated athanogene 6 [Source:ZFIN;Acc:ZDB-GENE-010501-5]</t>
  </si>
  <si>
    <t>ENSDARG00000099681</t>
  </si>
  <si>
    <t>BX548173.1</t>
  </si>
  <si>
    <t>ENSDARG00000074645</t>
  </si>
  <si>
    <t>ZCCHC6</t>
  </si>
  <si>
    <t>zinc finger, CCHC domain containing 6 [Source:HGNC Symbol;Acc:HGNC:25817]</t>
  </si>
  <si>
    <t>ENSDARG00000104517</t>
  </si>
  <si>
    <t>UQCR10</t>
  </si>
  <si>
    <t>cytochrome b-c1 complex subunit 9 (LOC100333064), mRNA [Source:RefSeq mRNA;Acc:NM_001302478]</t>
  </si>
  <si>
    <t>ENSDARG00000098839</t>
  </si>
  <si>
    <t>BX640584.2</t>
  </si>
  <si>
    <t>ENSDARG00000101795</t>
  </si>
  <si>
    <t>CABZ01033394.1</t>
  </si>
  <si>
    <t>ENSDARG00000090869</t>
  </si>
  <si>
    <t>FO904898.4</t>
  </si>
  <si>
    <t>ENSDARG00000017121</t>
  </si>
  <si>
    <t>mafba</t>
  </si>
  <si>
    <t>v-maf avian musculoaponeurotic fibrosarcoma oncogene homolog Ba [Source:ZFIN;Acc:ZDB-GENE-980526-515]</t>
  </si>
  <si>
    <t>ENSDARG00000100234</t>
  </si>
  <si>
    <t>BX511246.1</t>
  </si>
  <si>
    <t>ENSDARG00000031534</t>
  </si>
  <si>
    <t>TRIM35.11</t>
  </si>
  <si>
    <t>tripartite motif containing 35 [Source:HGNC Symbol;Acc:HGNC:16285]</t>
  </si>
  <si>
    <t>ENSDARG00000103751</t>
  </si>
  <si>
    <t>BX855614.4</t>
  </si>
  <si>
    <t>ENSDARG00000060962</t>
  </si>
  <si>
    <t>CT030144.1</t>
  </si>
  <si>
    <t>ENSDARG00000014139</t>
  </si>
  <si>
    <t>srp72</t>
  </si>
  <si>
    <t>signal recognition particle 72 [Source:ZFIN;Acc:ZDB-GENE-030131-5546]</t>
  </si>
  <si>
    <t>ENSDARG00000089303</t>
  </si>
  <si>
    <t>C11orf24</t>
  </si>
  <si>
    <t>chromosome 11 open reading frame 24 [Source:HGNC Symbol;Acc:HGNC:1174]</t>
  </si>
  <si>
    <t>ENSDARG00000078652</t>
  </si>
  <si>
    <t>ZFYVE1</t>
  </si>
  <si>
    <t>zinc finger, FYVE domain containing 1 [Source:HGNC Symbol;Acc:HGNC:13180]</t>
  </si>
  <si>
    <t>ENSDARG00000101800</t>
  </si>
  <si>
    <t>PSTK</t>
  </si>
  <si>
    <t>phosphoseryl-tRNA kinase [Source:HGNC Symbol;Acc:HGNC:28578]</t>
  </si>
  <si>
    <t>ENSDARG00000088927</t>
  </si>
  <si>
    <t>CR450793.1</t>
  </si>
  <si>
    <t>ENSDARG00000079626</t>
  </si>
  <si>
    <t>elf2b</t>
  </si>
  <si>
    <t>E74-like factor 2b (ets domain transcription factor) [Source:ZFIN;Acc:ZDB-GENE-031215-1]</t>
  </si>
  <si>
    <t>ENSDARG00000104945</t>
  </si>
  <si>
    <t>sncb</t>
  </si>
  <si>
    <t>synuclein, beta [Source:ZFIN;Acc:ZDB-GENE-040426-1615]</t>
  </si>
  <si>
    <t>ENSDARG00000103244</t>
  </si>
  <si>
    <t>CABZ01081752.3</t>
  </si>
  <si>
    <t>ENSDARG00000079220</t>
  </si>
  <si>
    <t>wdr20a</t>
  </si>
  <si>
    <t>WD repeat domain 20a [Source:ZFIN;Acc:ZDB-GENE-120406-3]</t>
  </si>
  <si>
    <t>ENSDARG00000088087</t>
  </si>
  <si>
    <t>KDM6B</t>
  </si>
  <si>
    <t>lysine (K)-specific demethylase 6B [Source:HGNC Symbol;Acc:HGNC:29012]</t>
  </si>
  <si>
    <t>ENSDARG00000100264</t>
  </si>
  <si>
    <t>thumpd1</t>
  </si>
  <si>
    <t>THUMP domain containing 1 [Source:ZFIN;Acc:ZDB-GENE-040426-1805]</t>
  </si>
  <si>
    <t>ENSDARG00000086420</t>
  </si>
  <si>
    <t>CABZ01046949.1</t>
  </si>
  <si>
    <t>ENSDARG00000071424</t>
  </si>
  <si>
    <t>ap3d1</t>
  </si>
  <si>
    <t>adaptor-related protein complex 3, delta 1 subunit [Source:ZFIN;Acc:ZDB-GENE-050208-437]</t>
  </si>
  <si>
    <t>ENSDARG00000100872</t>
  </si>
  <si>
    <t>OTUD1</t>
  </si>
  <si>
    <t>OTU deubiquitinase 1 [Source:HGNC Symbol;Acc:HGNC:27346]</t>
  </si>
  <si>
    <t>ENSDARG00000076221</t>
  </si>
  <si>
    <t>zgc:198419</t>
  </si>
  <si>
    <t>zgc:198419 [Source:ZFIN;Acc:ZDB-GENE-030131-7540]</t>
  </si>
  <si>
    <t>ENSDARG00000001259</t>
  </si>
  <si>
    <t>GAS2</t>
  </si>
  <si>
    <t>growth arrest specific 2 [Source:HGNC Symbol;Acc:HGNC:4167]</t>
  </si>
  <si>
    <t>ENSDARG00000089986</t>
  </si>
  <si>
    <t>TP53INP2</t>
  </si>
  <si>
    <t>tumor protein p53 inducible nuclear protein 2 [Source:HGNC Symbol;Acc:HGNC:16104]</t>
  </si>
  <si>
    <t>ENSDARG00000087144</t>
  </si>
  <si>
    <t>FAM183A</t>
  </si>
  <si>
    <t>family with sequence similarity 183 member A [Source:HGNC Symbol;Acc:HGNC:34347]</t>
  </si>
  <si>
    <t>ENSDARG00000105278</t>
  </si>
  <si>
    <t>wu:fa19b12</t>
  </si>
  <si>
    <t>wu:fa19b12 [Source:ZFIN;Acc:ZDB-GENE-030131-5231]</t>
  </si>
  <si>
    <t>ENSDARG00000068400</t>
  </si>
  <si>
    <t>znf131</t>
  </si>
  <si>
    <t>zinc finger protein 131 [Source:ZFIN;Acc:ZDB-GENE-040426-1563]</t>
  </si>
  <si>
    <t>ENSDARG00000067727</t>
  </si>
  <si>
    <t>BCL11B</t>
  </si>
  <si>
    <t>B-cell CLL/lymphoma 11B (zinc finger protein) [Source:HGNC Symbol;Acc:HGNC:13222]</t>
  </si>
  <si>
    <t>ENSDARG00000040121</t>
  </si>
  <si>
    <t>psma2</t>
  </si>
  <si>
    <t>proteasome subunit alpha 2 [Source:ZFIN;Acc:ZDB-GENE-050522-479]</t>
  </si>
  <si>
    <t>ENSDARG00000089756</t>
  </si>
  <si>
    <t>traf3ip2b</t>
  </si>
  <si>
    <t>TRAF3 interacting protein 2b [Source:ZFIN;Acc:ZDB-GENE-031118-74]</t>
  </si>
  <si>
    <t>ENSDARG00000020371</t>
  </si>
  <si>
    <t>g6pc3</t>
  </si>
  <si>
    <t>glucose 6 phosphatase, catalytic, 3 [Source:ZFIN;Acc:ZDB-GENE-061215-19]</t>
  </si>
  <si>
    <t>ENSDARG00000037910</t>
  </si>
  <si>
    <t>filip1l</t>
  </si>
  <si>
    <t>filamin A interacting protein 1-like [Source:ZFIN;Acc:ZDB-GENE-070410-7]</t>
  </si>
  <si>
    <t>ENSDARG00000101020</t>
  </si>
  <si>
    <t>khdrbs3</t>
  </si>
  <si>
    <t>KH domain containing, RNA binding, signal transduction associated 3 [Source:ZFIN;Acc:ZDB-GENE-130530-892]</t>
  </si>
  <si>
    <t>ENSDARG00000100060</t>
  </si>
  <si>
    <t>exosc7</t>
  </si>
  <si>
    <t>exosome component 7 [Source:ZFIN;Acc:ZDB-GENE-050417-47]</t>
  </si>
  <si>
    <t>ENSDARG00000090943</t>
  </si>
  <si>
    <t>CABZ01033205.2</t>
  </si>
  <si>
    <t>ENSDARG00000005913</t>
  </si>
  <si>
    <t>TGM1</t>
  </si>
  <si>
    <t>TGM1.2</t>
  </si>
  <si>
    <t>transglutaminase 1 [Source:HGNC Symbol;Acc:HGNC:11777]</t>
  </si>
  <si>
    <t>ENSDARG00000099744</t>
  </si>
  <si>
    <t>gap43</t>
  </si>
  <si>
    <t>growth associated protein 43 [Source:ZFIN;Acc:ZDB-GENE-990415-87]</t>
  </si>
  <si>
    <t>ENSDARG00000041332</t>
  </si>
  <si>
    <t>tmem33</t>
  </si>
  <si>
    <t>transmembrane protein 33 [Source:ZFIN;Acc:ZDB-GENE-030131-5425]</t>
  </si>
  <si>
    <t>ENSDARG00000100224</t>
  </si>
  <si>
    <t>USP15</t>
  </si>
  <si>
    <t>ubiquitin specific peptidase 15 [Source:HGNC Symbol;Acc:HGNC:12613]</t>
  </si>
  <si>
    <t>ENSDARG00000104117</t>
  </si>
  <si>
    <t>fzd4</t>
  </si>
  <si>
    <t>frizzled class receptor 4 [Source:ZFIN;Acc:ZDB-GENE-990415-217]</t>
  </si>
  <si>
    <t>ENSDARG00000105046</t>
  </si>
  <si>
    <t>ccnf</t>
  </si>
  <si>
    <t>cyclin F [Source:ZFIN;Acc:ZDB-GENE-021030-2]</t>
  </si>
  <si>
    <t>ENSDARG00000100832</t>
  </si>
  <si>
    <t>CABZ01009451.1</t>
  </si>
  <si>
    <t>ENSDARG00000086059</t>
  </si>
  <si>
    <t>CABZ01067746.1</t>
  </si>
  <si>
    <t>ENSDARG00000038300</t>
  </si>
  <si>
    <t>rnf34a</t>
  </si>
  <si>
    <t>ring finger protein 34a [Source:ZFIN;Acc:ZDB-GENE-030131-6135]</t>
  </si>
  <si>
    <t>ENSDARG00000006253</t>
  </si>
  <si>
    <t>mier3a</t>
  </si>
  <si>
    <t>mesoderm induction early response 1, family member 3 a [Source:ZFIN;Acc:ZDB-GENE-050913-97]</t>
  </si>
  <si>
    <t>ENSDARG00000103823</t>
  </si>
  <si>
    <t>RBMS1</t>
  </si>
  <si>
    <t>RNA binding motif, single stranded interacting protein 1 [Source:HGNC Symbol;Acc:HGNC:9907]</t>
  </si>
  <si>
    <t>ENSDARG00000076380</t>
  </si>
  <si>
    <t>hnrnpa0l.1</t>
  </si>
  <si>
    <t>ENSDARG00000089340</t>
  </si>
  <si>
    <t>rhobtb2b</t>
  </si>
  <si>
    <t>Rho-related BTB domain containing 2b [Source:ZFIN;Acc:ZDB-GENE-071125-1]</t>
  </si>
  <si>
    <t>ENSDARG00000104959</t>
  </si>
  <si>
    <t>dnajc17</t>
  </si>
  <si>
    <t>DnaJ (Hsp40) homolog, subfamily C, member 17 [Source:ZFIN;Acc:ZDB-GENE-040426-894]</t>
  </si>
  <si>
    <t>ENSDARG00000059870</t>
  </si>
  <si>
    <t>clk2b</t>
  </si>
  <si>
    <t>CDC-like kinase 2b [Source:ZFIN;Acc:ZDB-GENE-060929-1126]</t>
  </si>
  <si>
    <t>ENSDARG00000103455</t>
  </si>
  <si>
    <t>MFSD7</t>
  </si>
  <si>
    <t>major facilitator superfamily domain containing 7 [Source:HGNC Symbol;Acc:HGNC:26177]</t>
  </si>
  <si>
    <t>ENSDARG00000037229</t>
  </si>
  <si>
    <t>denr</t>
  </si>
  <si>
    <t>density-regulated protein [Source:ZFIN;Acc:ZDB-GENE-040718-450]</t>
  </si>
  <si>
    <t>ENSDARG00000098968</t>
  </si>
  <si>
    <t>RSBN1</t>
  </si>
  <si>
    <t>round spermatid basic protein 1 [Source:HGNC Symbol;Acc:HGNC:25642]</t>
  </si>
  <si>
    <t>ENSDARG00000040921</t>
  </si>
  <si>
    <t>BX324215.1</t>
  </si>
  <si>
    <t>ENSDARG00000004525</t>
  </si>
  <si>
    <t>zgc:63882</t>
  </si>
  <si>
    <t>zgc:63882 [Source:ZFIN;Acc:ZDB-GENE-040426-1286]</t>
  </si>
  <si>
    <t>ENSDARG00000027564</t>
  </si>
  <si>
    <t>CABZ01052588.1</t>
  </si>
  <si>
    <t>ENSDARG00000089914</t>
  </si>
  <si>
    <t>CLINT1</t>
  </si>
  <si>
    <t>clathrin interactor 1 [Source:HGNC Symbol;Acc:HGNC:23186]</t>
  </si>
  <si>
    <t>ENSDARG00000087401</t>
  </si>
  <si>
    <t>SLC25A34</t>
  </si>
  <si>
    <t>solute carrier family 25 member 34 [Source:HGNC Symbol;Acc:HGNC:27653]</t>
  </si>
  <si>
    <t>ENSDARG00000017067</t>
  </si>
  <si>
    <t>chordc1b</t>
  </si>
  <si>
    <t>cysteine and histidine-rich domain (CHORD) containing 1b [Source:ZFIN;Acc:ZDB-GENE-040426-1288]</t>
  </si>
  <si>
    <t>ENSDARG00000060238</t>
  </si>
  <si>
    <t>uacab</t>
  </si>
  <si>
    <t>uveal autoantigen with coiled-coil domains and ankyrin repeats b [Source:ZFIN;Acc:ZDB-GENE-030521-32]</t>
  </si>
  <si>
    <t>ENSDARG00000011999</t>
  </si>
  <si>
    <t>ybey</t>
  </si>
  <si>
    <t>ybeY metallopeptidase [Source:ZFIN;Acc:ZDB-GENE-030131-437]</t>
  </si>
  <si>
    <t>ENSDARG00000074487</t>
  </si>
  <si>
    <t>CR762483.1</t>
  </si>
  <si>
    <t>ENSDARG00000089463</t>
  </si>
  <si>
    <t>dhx58</t>
  </si>
  <si>
    <t>DEXH (Asp-Glu-X-His) box polypeptide 58 [Source:ZFIN;Acc:ZDB-GENE-120612-3]</t>
  </si>
  <si>
    <t>ENSDARG00000087012</t>
  </si>
  <si>
    <t>BX004816.4</t>
  </si>
  <si>
    <t>ENSDARG00000053200</t>
  </si>
  <si>
    <t>dis3l</t>
  </si>
  <si>
    <t>DIS3 like exosome 3'-5' exoribonuclease [Source:ZFIN;Acc:ZDB-GENE-070209-95]</t>
  </si>
  <si>
    <t>ENSDARG00000091087</t>
  </si>
  <si>
    <t>BX530067.1</t>
  </si>
  <si>
    <t>ENSDARG00000077839</t>
  </si>
  <si>
    <t>DHX30</t>
  </si>
  <si>
    <t>DEAH (Asp-Glu-Ala-His) box helicase 30 [Source:HGNC Symbol;Acc:HGNC:16716]</t>
  </si>
  <si>
    <t>ENSDARG00000104637</t>
  </si>
  <si>
    <t>fam219b</t>
  </si>
  <si>
    <t>family with sequence similarity 219, member B [Source:ZFIN;Acc:ZDB-GENE-050327-82]</t>
  </si>
  <si>
    <t>ENSDARG00000089434</t>
  </si>
  <si>
    <t>etv7</t>
  </si>
  <si>
    <t>ets variant 7 [Source:ZFIN;Acc:ZDB-GENE-070209-53]</t>
  </si>
  <si>
    <t>ENSDARG00000014273</t>
  </si>
  <si>
    <t>camk2d2</t>
  </si>
  <si>
    <t>calcium/calmodulin-dependent protein kinase (CaM kinase) II delta 2 [Source:ZFIN;Acc:ZDB-GENE-040718-277]</t>
  </si>
  <si>
    <t>ENSDARG00000076302</t>
  </si>
  <si>
    <t>dtx1</t>
  </si>
  <si>
    <t>deltex1 [Source:EntrezGene;Acc:570481]</t>
  </si>
  <si>
    <t>ENSDARG00000077815</t>
  </si>
  <si>
    <t>cdc26</t>
  </si>
  <si>
    <t>cell division cycle 26 homolog [Source:ZFIN;Acc:ZDB-GENE-040822-18]</t>
  </si>
  <si>
    <t>ENSDARG00000058716</t>
  </si>
  <si>
    <t>cept1a</t>
  </si>
  <si>
    <t>choline/ethanolamine phosphotransferase 1a [Source:ZFIN;Acc:ZDB-GENE-081105-47]</t>
  </si>
  <si>
    <t>ENSDARG00000102401</t>
  </si>
  <si>
    <t>znf1001</t>
  </si>
  <si>
    <t>zinc finger protein 1001 [Source:ZFIN;Acc:ZDB-GENE-080213-7]</t>
  </si>
  <si>
    <t>ENSDARG00000079605</t>
  </si>
  <si>
    <t>prmt5</t>
  </si>
  <si>
    <t>protein arginine methyltransferase 5 [Source:ZFIN;Acc:ZDB-GENE-030616-585]</t>
  </si>
  <si>
    <t>ENSDARG00000074752</t>
  </si>
  <si>
    <t>hlfa</t>
  </si>
  <si>
    <t>hepatic leukemia factor a [Source:ZFIN;Acc:ZDB-GENE-061013-159]</t>
  </si>
  <si>
    <t>ENSDARG00000100626</t>
  </si>
  <si>
    <t>CABZ01080599.1</t>
  </si>
  <si>
    <t>ENSDARG00000091072</t>
  </si>
  <si>
    <t>CIB3</t>
  </si>
  <si>
    <t>calcium and integrin binding family member 3 [Source:HGNC Symbol;Acc:HGNC:24580]</t>
  </si>
  <si>
    <t>ENSDARG00000098772</t>
  </si>
  <si>
    <t>gig2d</t>
  </si>
  <si>
    <t>grass carp reovirus (GCRV)-induced gene 2d [Source:ZFIN;Acc:ZDB-GENE-130517-1]</t>
  </si>
  <si>
    <t>ENSDARG00000101941</t>
  </si>
  <si>
    <t>CR450726.1</t>
  </si>
  <si>
    <t>ENSDARG00000100514</t>
  </si>
  <si>
    <t>cfap20</t>
  </si>
  <si>
    <t>cilia and flagella associated protein 20 [Source:ZFIN;Acc:ZDB-GENE-040426-1784]</t>
  </si>
  <si>
    <t>ENSDARG00000099015</t>
  </si>
  <si>
    <t>wacb</t>
  </si>
  <si>
    <t>WW domain containing adaptor with coiled-coil b [Source:ZFIN;Acc:ZDB-GENE-041010-46]</t>
  </si>
  <si>
    <t>ENSDARG00000060054</t>
  </si>
  <si>
    <t>epc1b</t>
  </si>
  <si>
    <t>enhancer of polycomb homolog 1 (Drosophila) b [Source:ZFIN;Acc:ZDB-GENE-090609-1]</t>
  </si>
  <si>
    <t>ENSDARG00000093198</t>
  </si>
  <si>
    <t>C3</t>
  </si>
  <si>
    <t>complement component 3 [Source:HGNC Symbol;Acc:HGNC:1318]</t>
  </si>
  <si>
    <t>ENSDARG00000079463</t>
  </si>
  <si>
    <t>MAN2B2</t>
  </si>
  <si>
    <t>mannosidase, alpha, class 2B, member 2 [Source:HGNC Symbol;Acc:HGNC:29623]</t>
  </si>
  <si>
    <t>ENSDARG00000013822</t>
  </si>
  <si>
    <t>anapc16</t>
  </si>
  <si>
    <t>anaphase promoting complex subunit 16 [Source:ZFIN;Acc:ZDB-GENE-050417-430]</t>
  </si>
  <si>
    <t>ENSDARG00000089032</t>
  </si>
  <si>
    <t>ZNF384</t>
  </si>
  <si>
    <t>si:ch211-154o6.2 [Source:ZFIN;Acc:ZDB-GENE-030131-2855]</t>
  </si>
  <si>
    <t>ENSDARG00000089357</t>
  </si>
  <si>
    <t>fam73b</t>
  </si>
  <si>
    <t>family with sequence similarity 73, member B [Source:ZFIN;Acc:ZDB-GENE-050320-135]</t>
  </si>
  <si>
    <t>ENSDARG00000056829</t>
  </si>
  <si>
    <t>CR559945.1</t>
  </si>
  <si>
    <t>ENSDARG00000014506</t>
  </si>
  <si>
    <t>tmem126a</t>
  </si>
  <si>
    <t>transmembrane protein 126A [Source:ZFIN;Acc:ZDB-GENE-040426-1770]</t>
  </si>
  <si>
    <t>ENSDARG00000044935</t>
  </si>
  <si>
    <t>hpdb</t>
  </si>
  <si>
    <t>4-hydroxyphenylpyruvate dioxygenase b [Source:ZFIN;Acc:ZDB-GENE-040808-62]</t>
  </si>
  <si>
    <t>ENSDARG00000022461</t>
  </si>
  <si>
    <t>nudt15</t>
  </si>
  <si>
    <t>nudix (nucleoside diphosphate linked moiety X)-type motif 15 [Source:ZFIN;Acc:ZDB-GENE-040625-95]</t>
  </si>
  <si>
    <t>ENSDARG00000103777</t>
  </si>
  <si>
    <t>znf1001.1</t>
  </si>
  <si>
    <t>ENSDARG00000051886</t>
  </si>
  <si>
    <t>ankrd11</t>
  </si>
  <si>
    <t>ankyrin repeat domain 11 [Source:ZFIN;Acc:ZDB-GENE-030131-3932]</t>
  </si>
  <si>
    <t>ENSDARG00000103135</t>
  </si>
  <si>
    <t>stoml2</t>
  </si>
  <si>
    <t>stomatin (EPB72)-like 2 [Source:ZFIN;Acc:ZDB-GENE-040426-1139]</t>
  </si>
  <si>
    <t>ENSDARG00000099978</t>
  </si>
  <si>
    <t>GLCCI1</t>
  </si>
  <si>
    <t>glucocorticoid induced 1 [Source:HGNC Symbol;Acc:HGNC:18713]</t>
  </si>
  <si>
    <t>ENSDARG00000101481</t>
  </si>
  <si>
    <t>rbp5</t>
  </si>
  <si>
    <t>retinol binding protein 1a, cellular [Source:ZFIN;Acc:ZDB-GENE-020320-1]</t>
  </si>
  <si>
    <t>ENSDARG00000013828</t>
  </si>
  <si>
    <t>snx13</t>
  </si>
  <si>
    <t>sorting nexin 13 [Source:ZFIN;Acc:ZDB-GENE-050306-12]</t>
  </si>
  <si>
    <t>ENSDARG00000102963</t>
  </si>
  <si>
    <t>SIRT6</t>
  </si>
  <si>
    <t>sirtuin 6 [Source:HGNC Symbol;Acc:HGNC:14934]</t>
  </si>
  <si>
    <t>ENSDARG00000098874</t>
  </si>
  <si>
    <t>exoc6b</t>
  </si>
  <si>
    <t>exocyst complex component 6B [Source:ZFIN;Acc:ZDB-GENE-060929-132]</t>
  </si>
  <si>
    <t>ENSDARG00000061432</t>
  </si>
  <si>
    <t>zgc:194330</t>
  </si>
  <si>
    <t>zgc:194330 [Source:ZFIN;Acc:ZDB-GENE-080722-3]</t>
  </si>
  <si>
    <t>ENSDARG00000103579</t>
  </si>
  <si>
    <t>FO704584.2</t>
  </si>
  <si>
    <t>ENSDARG00000068916</t>
  </si>
  <si>
    <t>ppp1r35</t>
  </si>
  <si>
    <t>protein phosphatase 1, regulatory subunit 35 [Source:ZFIN;Acc:ZDB-GENE-060825-232]</t>
  </si>
  <si>
    <t>ENSDARG00000083738</t>
  </si>
  <si>
    <t>SCARNA13</t>
  </si>
  <si>
    <t>Small Cajal body specific RNA 13 [Source:RFAM;Acc:RF00231]</t>
  </si>
  <si>
    <t>ENSDARG00000102110</t>
  </si>
  <si>
    <t>CCPG1</t>
  </si>
  <si>
    <t>cell cycle progression 1 [Source:HGNC Symbol;Acc:HGNC:24227]</t>
  </si>
  <si>
    <t>ENSDARG00000101793</t>
  </si>
  <si>
    <t>mfn1b.1</t>
  </si>
  <si>
    <t>ENSDARG00000013044</t>
  </si>
  <si>
    <t>ndufv2</t>
  </si>
  <si>
    <t>NADH dehydrogenase (ubiquinone) flavoprotein 2 [Source:ZFIN;Acc:ZDB-GENE-040426-1713]</t>
  </si>
  <si>
    <t>ENSDARG00000102545</t>
  </si>
  <si>
    <t>BX537137.2</t>
  </si>
  <si>
    <t>ENSDARG00000070431</t>
  </si>
  <si>
    <t>fip1l1b</t>
  </si>
  <si>
    <t>FIP1 like 1b (S. cerevisiae) [Source:ZFIN;Acc:ZDB-GENE-041010-138]</t>
  </si>
  <si>
    <t>ENSDARG00000103394</t>
  </si>
  <si>
    <t>KIF5B</t>
  </si>
  <si>
    <t>kinesin family member 5B [Source:HGNC Symbol;Acc:HGNC:6324]</t>
  </si>
  <si>
    <t>ENSDARG00000073789</t>
  </si>
  <si>
    <t>BX537350.1</t>
  </si>
  <si>
    <t>ENSDARG00000042887</t>
  </si>
  <si>
    <t>TNPO2</t>
  </si>
  <si>
    <t>transportin 2 [Source:HGNC Symbol;Acc:HGNC:19998]</t>
  </si>
  <si>
    <t>ENSDARG00000100664</t>
  </si>
  <si>
    <t>wdr1</t>
  </si>
  <si>
    <t>WD repeat domain 1 [Source:ZFIN;Acc:ZDB-GENE-040426-804]</t>
  </si>
  <si>
    <t>ENSDARG00000098371</t>
  </si>
  <si>
    <t>BX511078.1</t>
  </si>
  <si>
    <t>ENSDARG00000053530</t>
  </si>
  <si>
    <t>cyp4f3</t>
  </si>
  <si>
    <t>cytochrome P450, family 4, subfamily F, polypeptide 3 [Source:ZFIN;Acc:ZDB-GENE-070410-108]</t>
  </si>
  <si>
    <t>ENSDARG00000098544</t>
  </si>
  <si>
    <t>ncdn</t>
  </si>
  <si>
    <t>neurochondrin [Source:ZFIN;Acc:ZDB-GENE-061220-6]</t>
  </si>
  <si>
    <t>ENSDARG00000099654</t>
  </si>
  <si>
    <t>CABZ01072765.1</t>
  </si>
  <si>
    <t>ENSDARG00000058044</t>
  </si>
  <si>
    <t>rab1ba</t>
  </si>
  <si>
    <t>zRAB1B, member RAS oncogene family a [Source:ZFIN;Acc:ZDB-GENE-040426-873]</t>
  </si>
  <si>
    <t>ENSDARG00000103841</t>
  </si>
  <si>
    <t>CU024870.1</t>
  </si>
  <si>
    <t>ENSDARG00000091660</t>
  </si>
  <si>
    <t>fgfbp1b.1</t>
  </si>
  <si>
    <t>ENSDARG00000029234</t>
  </si>
  <si>
    <t>stxbp5b</t>
  </si>
  <si>
    <t>syntaxin binding protein 5b (tomosyn) [Source:ZFIN;Acc:ZDB-GENE-090821-5]</t>
  </si>
  <si>
    <t>ENSDARG00000052387</t>
  </si>
  <si>
    <t>pou2f3</t>
  </si>
  <si>
    <t>POU class 2 homeobox 3 [Source:ZFIN;Acc:ZDB-GENE-060512-299]</t>
  </si>
  <si>
    <t>ENSDARG00000104316</t>
  </si>
  <si>
    <t>SPATS2</t>
  </si>
  <si>
    <t>spermatogenesis associated, serine rich 2 [Source:HGNC Symbol;Acc:HGNC:18650]</t>
  </si>
  <si>
    <t>ENSDARG00000042608</t>
  </si>
  <si>
    <t>ICA1</t>
  </si>
  <si>
    <t>islet cell autoantigen 1 [Source:HGNC Symbol;Acc:HGNC:5343]</t>
  </si>
  <si>
    <t>ENSDARG00000088069</t>
  </si>
  <si>
    <t>CR759879.1</t>
  </si>
  <si>
    <t>ENSDARG00000101693</t>
  </si>
  <si>
    <t>stk19.1</t>
  </si>
  <si>
    <t>ENSDARG00000038891</t>
  </si>
  <si>
    <t>AL954146.1</t>
  </si>
  <si>
    <t>ENSDARG00000057408</t>
  </si>
  <si>
    <t>CABZ01067232.1</t>
  </si>
  <si>
    <t>ENSDARG00000042785</t>
  </si>
  <si>
    <t>pitx1</t>
  </si>
  <si>
    <t>paired-like homeodomain 1 [Source:ZFIN;Acc:ZDB-GENE-060421-3623]</t>
  </si>
  <si>
    <t>ENSDARG00000037079</t>
  </si>
  <si>
    <t>cfap36</t>
  </si>
  <si>
    <t>cilia and flagella associated protein 36 [Source:ZFIN;Acc:ZDB-GENE-060421-8162]</t>
  </si>
  <si>
    <t>ENSDARG00000054805</t>
  </si>
  <si>
    <t>btr09</t>
  </si>
  <si>
    <t>bloodthirsty-related gene family, member 9 [Source:ZFIN;Acc:ZDB-GENE-080722-46]</t>
  </si>
  <si>
    <t>ENSDARG00000099425</t>
  </si>
  <si>
    <t>CFI</t>
  </si>
  <si>
    <t>complement factor I [Source:HGNC Symbol;Acc:HGNC:5394]</t>
  </si>
  <si>
    <t>ENSDARG00000101735</t>
  </si>
  <si>
    <t>chn1</t>
  </si>
  <si>
    <t>chimerin 1 [Source:ZFIN;Acc:ZDB-GENE-040426-1934]</t>
  </si>
  <si>
    <t>ENSDARG00000074572</t>
  </si>
  <si>
    <t>G3BP2</t>
  </si>
  <si>
    <t>zgc:56304 [Source:ZFIN;Acc:ZDB-GENE-040426-2698]</t>
  </si>
  <si>
    <t>ENSDARG00000104439</t>
  </si>
  <si>
    <t>cldnd1a</t>
  </si>
  <si>
    <t>claudin domain containing 1a [Source:ZFIN;Acc:ZDB-GENE-030131-7568]</t>
  </si>
  <si>
    <t>ENSDARG00000104596</t>
  </si>
  <si>
    <t>gtf2a1l</t>
  </si>
  <si>
    <t>general transcription factor IIA, 1-like [Source:ZFIN;Acc:ZDB-GENE-060929-28]</t>
  </si>
  <si>
    <t>ENSDARG00000079065</t>
  </si>
  <si>
    <t>ANKRD50</t>
  </si>
  <si>
    <t>zgc:172215 [Source:ZFIN;Acc:ZDB-GENE-080204-63]</t>
  </si>
  <si>
    <t>ENSDARG00000098239</t>
  </si>
  <si>
    <t>zgc:85932</t>
  </si>
  <si>
    <t>zgc:85932 [Source:ZFIN;Acc:ZDB-GENE-040426-2460]</t>
  </si>
  <si>
    <t>ENSDARG00000103158</t>
  </si>
  <si>
    <t>CABZ01078098.1</t>
  </si>
  <si>
    <t>ENSDARG00000101725</t>
  </si>
  <si>
    <t>CR391963.1</t>
  </si>
  <si>
    <t>ENSDARG00000100661</t>
  </si>
  <si>
    <t>BX248122.1</t>
  </si>
  <si>
    <t>ENSDARG00000006300</t>
  </si>
  <si>
    <t>psmd9</t>
  </si>
  <si>
    <t>proteasome 26S subunit, non-ATPase 9 [Source:ZFIN;Acc:ZDB-GENE-030131-431]</t>
  </si>
  <si>
    <t>ENSDARG00000037182</t>
  </si>
  <si>
    <t>surf2</t>
  </si>
  <si>
    <t>surfeit 2 [Source:ZFIN;Acc:ZDB-GENE-040801-86]</t>
  </si>
  <si>
    <t>ENSDARG00000100350</t>
  </si>
  <si>
    <t>FO681350.1</t>
  </si>
  <si>
    <t>ENSDARG00000007531</t>
  </si>
  <si>
    <t>zcchc9</t>
  </si>
  <si>
    <t>zinc finger, CCHC domain containing 9 [Source:ZFIN;Acc:ZDB-GENE-031030-9]</t>
  </si>
  <si>
    <t>ENSDARG00000076638</t>
  </si>
  <si>
    <t>MEX3A</t>
  </si>
  <si>
    <t>mex-3 RNA binding family member A [Source:HGNC Symbol;Acc:HGNC:33482]</t>
  </si>
  <si>
    <t>ENSDARG00000091359</t>
  </si>
  <si>
    <t>CAMSAP3</t>
  </si>
  <si>
    <t>CAMSAP3.1</t>
  </si>
  <si>
    <t>calmodulin regulated spectrin associated protein family member 3 [Source:HGNC Symbol;Acc:HGNC:29307]</t>
  </si>
  <si>
    <t>ENSDARG00000062552</t>
  </si>
  <si>
    <t>lpar6a</t>
  </si>
  <si>
    <t>lysophosphatidic acid receptor 6a [Source:ZFIN;Acc:ZDB-GENE-061013-343]</t>
  </si>
  <si>
    <t>ENSDARG00000069929</t>
  </si>
  <si>
    <t>CABZ01053976.1</t>
  </si>
  <si>
    <t>ENSDARG00000101814</t>
  </si>
  <si>
    <t>lpar3</t>
  </si>
  <si>
    <t>lysophosphatidic acid receptor 3 [Source:ZFIN;Acc:ZDB-GENE-120202-1]</t>
  </si>
  <si>
    <t>ENSDARG00000035808</t>
  </si>
  <si>
    <t>clcn4</t>
  </si>
  <si>
    <t>chloride channel, voltage-sensitive 4 [Source:ZFIN;Acc:ZDB-GENE-061013-353]</t>
  </si>
  <si>
    <t>ENSDARG00000019487</t>
  </si>
  <si>
    <t>tmx1</t>
  </si>
  <si>
    <t>thioredoxin-related transmembrane protein 1 [Source:ZFIN;Acc:ZDB-GENE-030131-2327]</t>
  </si>
  <si>
    <t>ENSDARG00000087243</t>
  </si>
  <si>
    <t>zgc:100918</t>
  </si>
  <si>
    <t>zgc:100918 [Source:ZFIN;Acc:ZDB-GENE-040927-2]</t>
  </si>
  <si>
    <t>ENSDARG00000101782</t>
  </si>
  <si>
    <t>CR388132.2</t>
  </si>
  <si>
    <t>ENSDARG00000102797</t>
  </si>
  <si>
    <t>CABZ01114898.1</t>
  </si>
  <si>
    <t>ENSDARG00000095067</t>
  </si>
  <si>
    <t>TC2N</t>
  </si>
  <si>
    <t>tandem C2 domains, nuclear [Source:HGNC Symbol;Acc:HGNC:19859]</t>
  </si>
  <si>
    <t>ENSDARG00000079684</t>
  </si>
  <si>
    <t>taf6l</t>
  </si>
  <si>
    <t>TAF6-like RNA polymerase II, p300/CBP-associated factor (PCAF)-associated factor [Source:ZFIN;Acc:ZDB-GENE-030131-6789]</t>
  </si>
  <si>
    <t>ENSDARG00000102658</t>
  </si>
  <si>
    <t>BX005085.4</t>
  </si>
  <si>
    <t>ENSDARG00000099847</t>
  </si>
  <si>
    <t>CT573234.1</t>
  </si>
  <si>
    <t>ENSDARG00000087525</t>
  </si>
  <si>
    <t>CABZ01045212.1</t>
  </si>
  <si>
    <t>ENSDARG00000039665</t>
  </si>
  <si>
    <t>FO834840.1</t>
  </si>
  <si>
    <t>ENSDARG00000102027</t>
  </si>
  <si>
    <t>CU467646.6</t>
  </si>
  <si>
    <t>ENSDARG00000104357</t>
  </si>
  <si>
    <t>TMEM229A</t>
  </si>
  <si>
    <t>transmembrane protein 229A [Source:HGNC Symbol;Acc:HGNC:37279]</t>
  </si>
  <si>
    <t>ENSDARG00000100303</t>
  </si>
  <si>
    <t>CU638714.1</t>
  </si>
  <si>
    <t>ENSDARG00000103665</t>
  </si>
  <si>
    <t>BRPF1</t>
  </si>
  <si>
    <t>bromodomain and PHD finger containing 1 [Source:HGNC Symbol;Acc:HGNC:14255]</t>
  </si>
  <si>
    <t>ENSDARG00000100227</t>
  </si>
  <si>
    <t>SLC7A1</t>
  </si>
  <si>
    <t>solute carrier family 7 (cationic amino acid transporter, y+ system), member 1 [Source:HGNC Symbol;Acc:HGNC:11057]</t>
  </si>
  <si>
    <t>ENSDARG00000099359</t>
  </si>
  <si>
    <t>BX649497.2</t>
  </si>
  <si>
    <t>ENSDARG00000028071</t>
  </si>
  <si>
    <t>bmp1a</t>
  </si>
  <si>
    <t>bone morphogenetic protein 1a [Source:ZFIN;Acc:ZDB-GENE-060818-1]</t>
  </si>
  <si>
    <t>ENSDARG00000035776</t>
  </si>
  <si>
    <t>n6amt1</t>
  </si>
  <si>
    <t>N-6 adenine-specific DNA methyltransferase 1 (putative) [Source:ZFIN;Acc:ZDB-GENE-040718-206]</t>
  </si>
  <si>
    <t>ENSDARG00000069796</t>
  </si>
  <si>
    <t>znf1124.1</t>
  </si>
  <si>
    <t>ENSDARG00000090839</t>
  </si>
  <si>
    <t>FO704682.1</t>
  </si>
  <si>
    <t>ENSDARG00000069630</t>
  </si>
  <si>
    <t>tat</t>
  </si>
  <si>
    <t>tyrosine aminotransferase [Source:ZFIN;Acc:ZDB-GENE-030131-1144]</t>
  </si>
  <si>
    <t>ENSDARG00000100417</t>
  </si>
  <si>
    <t>CT978957.1</t>
  </si>
  <si>
    <t>ENSDARG00000098992</t>
  </si>
  <si>
    <t>zgc:114119</t>
  </si>
  <si>
    <t>zgc:114119 [Source:ZFIN;Acc:ZDB-GENE-050913-56]</t>
  </si>
  <si>
    <t>ENSDARG00000079760</t>
  </si>
  <si>
    <t>zgc:112998</t>
  </si>
  <si>
    <t>zgc:112998 [Source:ZFIN;Acc:ZDB-GENE-050320-134]</t>
  </si>
  <si>
    <t>ENSDARG00000052954</t>
  </si>
  <si>
    <t>rab25b</t>
  </si>
  <si>
    <t>RAB25, member RAS oncogene family b [Source:ZFIN;Acc:ZDB-GENE-050706-113]</t>
  </si>
  <si>
    <t>ENSDARG00000059606</t>
  </si>
  <si>
    <t>ccdc84</t>
  </si>
  <si>
    <t>coiled-coil domain containing 84 [Source:ZFIN;Acc:ZDB-GENE-060929-1174]</t>
  </si>
  <si>
    <t>ENSDARG00000086786</t>
  </si>
  <si>
    <t>mfsd10</t>
  </si>
  <si>
    <t>major facilitator superfamily domain containing 10 [Source:ZFIN;Acc:ZDB-GENE-050417-154]</t>
  </si>
  <si>
    <t>ENSDARG00000060109</t>
  </si>
  <si>
    <t>aggf1</t>
  </si>
  <si>
    <t>angiogenic factor with G patch and FHA domains 1 [Source:ZFIN;Acc:ZDB-GENE-060929-836]</t>
  </si>
  <si>
    <t>ENSDARG00000091413</t>
  </si>
  <si>
    <t>TIMM22</t>
  </si>
  <si>
    <t>translocase of inner mitochondrial membrane 22 homolog (yeast) [Source:HGNC Symbol;Acc:HGNC:17317]</t>
  </si>
  <si>
    <t>ENSDARG00000035390</t>
  </si>
  <si>
    <t>tnpo1</t>
  </si>
  <si>
    <t>transportin 1 [Source:ZFIN;Acc:ZDB-GENE-080819-1]</t>
  </si>
  <si>
    <t>ENSDARG00000090720</t>
  </si>
  <si>
    <t>grem1a</t>
  </si>
  <si>
    <t>grem1a.1</t>
  </si>
  <si>
    <t>gremlin 1a, DAN family BMP antagonist [Source:ZFIN;Acc:ZDB-GENE-040625-1]</t>
  </si>
  <si>
    <t>ENSDARG00000068732</t>
  </si>
  <si>
    <t>spry4</t>
  </si>
  <si>
    <t>sprouty homolog 4 (Drosophila) [Source:ZFIN;Acc:ZDB-GENE-010803-2]</t>
  </si>
  <si>
    <t>ENSDARG00000101805</t>
  </si>
  <si>
    <t>PXMP4</t>
  </si>
  <si>
    <t>peroxisomal membrane protein 4 [Source:HGNC Symbol;Acc:HGNC:15920]</t>
  </si>
  <si>
    <t>ENSDARG00000090219</t>
  </si>
  <si>
    <t>wdr45</t>
  </si>
  <si>
    <t>WD repeat domain 45 [Source:ZFIN;Acc:ZDB-GENE-040426-990]</t>
  </si>
  <si>
    <t>ENSDARG00000077549</t>
  </si>
  <si>
    <t>AIFM2</t>
  </si>
  <si>
    <t>apoptosis inducing factor, mitochondria associated 2 [Source:HGNC Symbol;Acc:HGNC:21411]</t>
  </si>
  <si>
    <t>ENSDARG00000089055</t>
  </si>
  <si>
    <t>ube2ka</t>
  </si>
  <si>
    <t>ubiquitin-conjugating enzyme E2Ka (UBC1 homolog, yeast) [Source:ZFIN;Acc:ZDB-GENE-050320-48]</t>
  </si>
  <si>
    <t>ENSDARG00000084053</t>
  </si>
  <si>
    <t>5S_rRNA.632</t>
  </si>
  <si>
    <t>ENSDARG00000080694</t>
  </si>
  <si>
    <t>SNORA5</t>
  </si>
  <si>
    <t>SNORA5.3</t>
  </si>
  <si>
    <t>Small nucleolar RNA SNORA5 [Source:RFAM;Acc:RF00392]</t>
  </si>
  <si>
    <t>ENSDARG00000104095</t>
  </si>
  <si>
    <t>CR388225.1</t>
  </si>
  <si>
    <t>ENSDARG00000089957</t>
  </si>
  <si>
    <t>lgi2a</t>
  </si>
  <si>
    <t>leucine-rich repeat LGI family, member 2a [Source:ZFIN;Acc:ZDB-GENE-060217-2]</t>
  </si>
  <si>
    <t>ENSDARG00000100614</t>
  </si>
  <si>
    <t>zgc:171497</t>
  </si>
  <si>
    <t>zgc:171497 [Source:ZFIN;Acc:ZDB-GENE-080220-58]</t>
  </si>
  <si>
    <t>ENSDARG00000102620</t>
  </si>
  <si>
    <t>MTMR3</t>
  </si>
  <si>
    <t>myotubularin related protein 3 [Source:HGNC Symbol;Acc:HGNC:7451]</t>
  </si>
  <si>
    <t>ENSDARG00000003803</t>
  </si>
  <si>
    <t>LHX3</t>
  </si>
  <si>
    <t>LIM homeobox 3 [Source:HGNC Symbol;Acc:HGNC:6595]</t>
  </si>
  <si>
    <t>ENSDARG00000071636</t>
  </si>
  <si>
    <t>BX511034.2</t>
  </si>
  <si>
    <t>ENSDARG00000103225</t>
  </si>
  <si>
    <t>UBLCP1</t>
  </si>
  <si>
    <t>ubiquitin like domain containing CTD phosphatase 1 [Source:HGNC Symbol;Acc:HGNC:28110]</t>
  </si>
  <si>
    <t>ENSDARG00000099786</t>
  </si>
  <si>
    <t>ACTN4</t>
  </si>
  <si>
    <t>actinin, alpha 4 [Source:HGNC Symbol;Acc:HGNC:166]</t>
  </si>
  <si>
    <t>ENSDARG00000039724</t>
  </si>
  <si>
    <t>OSBPL8</t>
  </si>
  <si>
    <t>oxysterol binding protein like 8 [Source:HGNC Symbol;Acc:HGNC:16396]</t>
  </si>
  <si>
    <t>ENSDARG00000098362</t>
  </si>
  <si>
    <t>CABZ01081748.1</t>
  </si>
  <si>
    <t>ENSDARG00000014717</t>
  </si>
  <si>
    <t>DYNC1H1</t>
  </si>
  <si>
    <t>dynein, cytoplasmic 1, heavy chain 1 [Source:HGNC Symbol;Acc:HGNC:2961]</t>
  </si>
  <si>
    <t>ENSDARG00000100954</t>
  </si>
  <si>
    <t>CABZ01100338.1</t>
  </si>
  <si>
    <t>ENSDARG00000105296</t>
  </si>
  <si>
    <t>AP3B2</t>
  </si>
  <si>
    <t>adaptor related protein complex 3, beta 2 subunit [Source:HGNC Symbol;Acc:HGNC:567]</t>
  </si>
  <si>
    <t>ENSDARG00000042742</t>
  </si>
  <si>
    <t>stx6</t>
  </si>
  <si>
    <t>syntaxin 6 [Source:ZFIN;Acc:ZDB-GENE-030131-858]</t>
  </si>
  <si>
    <t>ENSDARG00000005163</t>
  </si>
  <si>
    <t>efr3a</t>
  </si>
  <si>
    <t>EFR3 homolog A (S. cerevisiae) [Source:ZFIN;Acc:ZDB-GENE-040426-1681]</t>
  </si>
  <si>
    <t>ENSDARG00000087759</t>
  </si>
  <si>
    <t>cnih4</t>
  </si>
  <si>
    <t>cornichon family AMPA receptor auxiliary protein 4 [Source:ZFIN;Acc:ZDB-GENE-030131-868]</t>
  </si>
  <si>
    <t>ENSDARG00000100793</t>
  </si>
  <si>
    <t>CR450785.1</t>
  </si>
  <si>
    <t>ENSDARG00000011897</t>
  </si>
  <si>
    <t>TSG101</t>
  </si>
  <si>
    <t>tumor susceptibility 101 [Source:HGNC Symbol;Acc:HGNC:15971]</t>
  </si>
  <si>
    <t>ENSDARG00000087206</t>
  </si>
  <si>
    <t>CCT2</t>
  </si>
  <si>
    <t>CCT2.1</t>
  </si>
  <si>
    <t>chaperonin containing TCP1, subunit 2 (beta) [Source:HGNC Symbol;Acc:HGNC:1615]</t>
  </si>
  <si>
    <t>ENSDARG00000104528</t>
  </si>
  <si>
    <t>cldn10b</t>
  </si>
  <si>
    <t>claudin 10b [Source:ZFIN;Acc:ZDB-GENE-050522-42]</t>
  </si>
  <si>
    <t>ENSDARG00000078139</t>
  </si>
  <si>
    <t>appl2</t>
  </si>
  <si>
    <t>adaptor protein, phosphotyrosine interaction, PH domain and leucine zipper containing 2 [Source:ZFIN;Acc:ZDB-GENE-081016-2]</t>
  </si>
  <si>
    <t>ENSDARG00000079584</t>
  </si>
  <si>
    <t>zgc:194930</t>
  </si>
  <si>
    <t>zgc:194930 [Source:ZFIN;Acc:ZDB-GENE-081022-166]</t>
  </si>
  <si>
    <t>ENSDARG00000003197</t>
  </si>
  <si>
    <t>wdr21</t>
  </si>
  <si>
    <t>WD repeat domain 21 [Source:ZFIN;Acc:ZDB-GENE-040109-2]</t>
  </si>
  <si>
    <t>ENSDARG00000103369</t>
  </si>
  <si>
    <t>taldo1</t>
  </si>
  <si>
    <t>transaldolase 1 [Source:ZFIN;Acc:ZDB-GENE-030131-3277]</t>
  </si>
  <si>
    <t>ENSDARG00000101324</t>
  </si>
  <si>
    <t>apoa1b</t>
  </si>
  <si>
    <t>apolipoprotein A-Ib [Source:ZFIN;Acc:ZDB-GENE-050302-172]</t>
  </si>
  <si>
    <t>ENSDARG00000071881</t>
  </si>
  <si>
    <t>arl9</t>
  </si>
  <si>
    <t>ADP-ribosylation factor-like 9 [Source:ZFIN;Acc:ZDB-GENE-060825-210]</t>
  </si>
  <si>
    <t>ENSDARG00000102429</t>
  </si>
  <si>
    <t>FO704688.1</t>
  </si>
  <si>
    <t>ENSDARG00000075482</t>
  </si>
  <si>
    <t>zgc:173587</t>
  </si>
  <si>
    <t>zgc:173587 [Source:ZFIN;Acc:ZDB-GENE-071004-56]</t>
  </si>
  <si>
    <t>ENSDARG00000010023</t>
  </si>
  <si>
    <t>CU856539.1</t>
  </si>
  <si>
    <t>ENSDARG00000102724</t>
  </si>
  <si>
    <t>zgc:153039</t>
  </si>
  <si>
    <t>zgc:153039 [Source:ZFIN;Acc:ZDB-GENE-060929-736]</t>
  </si>
  <si>
    <t>ENSDARG00000025703</t>
  </si>
  <si>
    <t>dmgdh</t>
  </si>
  <si>
    <t>dimethylglycine dehydrogenase [Source:ZFIN;Acc:ZDB-GENE-080227-8]</t>
  </si>
  <si>
    <t>ENSDARG00000086107</t>
  </si>
  <si>
    <t>MTERF1</t>
  </si>
  <si>
    <t>mitochondrial transcription termination factor 1 [Source:HGNC Symbol;Acc:HGNC:21463]</t>
  </si>
  <si>
    <t>ENSDARG00000102091</t>
  </si>
  <si>
    <t>GTF3C1</t>
  </si>
  <si>
    <t>general transcription factor IIIC subunit 1 [Source:HGNC Symbol;Acc:HGNC:4664]</t>
  </si>
  <si>
    <t>ENSDARG00000021550</t>
  </si>
  <si>
    <t>rad23b</t>
  </si>
  <si>
    <t>RAD23 homolog B, nucleotide excision repair protein [Source:ZFIN;Acc:ZDB-GENE-040426-1487]</t>
  </si>
  <si>
    <t>ENSDARG00000100453</t>
  </si>
  <si>
    <t>CABZ01050105.1</t>
  </si>
  <si>
    <t>ENSDARG00000103741</t>
  </si>
  <si>
    <t>BX649620.1</t>
  </si>
  <si>
    <t>ENSDARG00000073859</t>
  </si>
  <si>
    <t>kif13bb</t>
  </si>
  <si>
    <t>kinesin family member 13Bb [Source:ZFIN;Acc:ZDB-GENE-090908-5]</t>
  </si>
  <si>
    <t>ENSDARG00000089701</t>
  </si>
  <si>
    <t>TRABD2A</t>
  </si>
  <si>
    <t>wu:fc66h01 [Source:ZFIN;Acc:ZDB-GENE-030131-4053]</t>
  </si>
  <si>
    <t>ENSDARG00000101203</t>
  </si>
  <si>
    <t>ZNF513</t>
  </si>
  <si>
    <t>zinc finger protein 513 [Source:HGNC Symbol;Acc:HGNC:26498]</t>
  </si>
  <si>
    <t>ENSDARG00000102418</t>
  </si>
  <si>
    <t>KLHL25</t>
  </si>
  <si>
    <t>kelch like family member 25 [Source:HGNC Symbol;Acc:HGNC:25732]</t>
  </si>
  <si>
    <t>ENSDARG00000103860</t>
  </si>
  <si>
    <t>CABZ01067024.1</t>
  </si>
  <si>
    <t>ENSDARG00000088375</t>
  </si>
  <si>
    <t>zgc:174704</t>
  </si>
  <si>
    <t>zgc:174704 [Source:ZFIN;Acc:ZDB-GENE-080218-5]</t>
  </si>
  <si>
    <t>ENSDARG00000090575</t>
  </si>
  <si>
    <t>RNF213</t>
  </si>
  <si>
    <t>RNF213.1</t>
  </si>
  <si>
    <t>ring finger protein 213 [Source:HGNC Symbol;Acc:HGNC:14539]</t>
  </si>
  <si>
    <t>ENSDARG00000104136</t>
  </si>
  <si>
    <t>CR450780.5</t>
  </si>
  <si>
    <t>ENSDARG00000063578</t>
  </si>
  <si>
    <t>DGKI</t>
  </si>
  <si>
    <t>diacylglycerol kinase, iota [Source:HGNC Symbol;Acc:HGNC:2855]</t>
  </si>
  <si>
    <t>ENSDARG00000104062</t>
  </si>
  <si>
    <t>BX572103.7</t>
  </si>
  <si>
    <t>ENSDARG00000078058</t>
  </si>
  <si>
    <t>dip2a</t>
  </si>
  <si>
    <t>disco-interacting protein 2 homolog A [Source:ZFIN;Acc:ZDB-GENE-091204-2]</t>
  </si>
  <si>
    <t>ENSDARG00000102586</t>
  </si>
  <si>
    <t>zgc:152938</t>
  </si>
  <si>
    <t>zgc:152938 [Source:ZFIN;Acc:ZDB-GENE-061013-458]</t>
  </si>
  <si>
    <t>ENSDARG00000101492</t>
  </si>
  <si>
    <t>CR847895.3</t>
  </si>
  <si>
    <t>ENSDARG00000023495</t>
  </si>
  <si>
    <t>ift74</t>
  </si>
  <si>
    <t>intraflagellar transport 74 [Source:ZFIN;Acc:ZDB-GENE-040718-81]</t>
  </si>
  <si>
    <t>ENSDARG00000059711</t>
  </si>
  <si>
    <t>nol6</t>
  </si>
  <si>
    <t>nucleolar protein 6 (RNA-associated) [Source:ZFIN;Acc:ZDB-GENE-030131-6294]</t>
  </si>
  <si>
    <t>ENSDARG00000078214</t>
  </si>
  <si>
    <t>mybbp1a</t>
  </si>
  <si>
    <t>MYB binding protein (P160) 1a [Source:ZFIN;Acc:ZDB-GENE-030131-9864]</t>
  </si>
  <si>
    <t>ENSDARG00000100750</t>
  </si>
  <si>
    <t>znf1047.2</t>
  </si>
  <si>
    <t>zinc finger protein 1047 [Source:ZFIN;Acc:ZDB-GENE-110914-204]</t>
  </si>
  <si>
    <t>ENSDARG00000099596</t>
  </si>
  <si>
    <t>btd</t>
  </si>
  <si>
    <t>biotinidase [Source:ZFIN;Acc:ZDB-GENE-060825-186]</t>
  </si>
  <si>
    <t>ENSDARG00000073836</t>
  </si>
  <si>
    <t>CR788316.1</t>
  </si>
  <si>
    <t>ENSDARG00000102371</t>
  </si>
  <si>
    <t>CU570769.1</t>
  </si>
  <si>
    <t>ENSDARG00000100849</t>
  </si>
  <si>
    <t>BX005417.1</t>
  </si>
  <si>
    <t>ENSDARG00000091236</t>
  </si>
  <si>
    <t>CABZ01058646.1</t>
  </si>
  <si>
    <t>ENSDARG00000104516</t>
  </si>
  <si>
    <t>polr3d</t>
  </si>
  <si>
    <t>polymerase (RNA) III (DNA directed) polypeptide D [Source:ZFIN;Acc:ZDB-GENE-040426-1017]</t>
  </si>
  <si>
    <t>ENSDARG00000100534</t>
  </si>
  <si>
    <t>irak4</t>
  </si>
  <si>
    <t>interleukin-1 receptor-associated kinase 4 [Source:ZFIN;Acc:ZDB-GENE-040426-738]</t>
  </si>
  <si>
    <t>ENSDARG00000041299</t>
  </si>
  <si>
    <t>MSI1.1</t>
  </si>
  <si>
    <t>zgc:110796 [Source:ZFIN;Acc:ZDB-GENE-050306-36]</t>
  </si>
  <si>
    <t>ENSDARG00000098769</t>
  </si>
  <si>
    <t>slitrk6</t>
  </si>
  <si>
    <t>SLIT and NTRK-like family, member 6 [Source:ZFIN;Acc:ZDB-GENE-030131-2816]</t>
  </si>
  <si>
    <t>ENSDARG00000076339</t>
  </si>
  <si>
    <t>CLN5</t>
  </si>
  <si>
    <t>ceroid-lipofuscinosis, neuronal 5 [Source:HGNC Symbol;Acc:HGNC:2076]</t>
  </si>
  <si>
    <t>ENSDARG00000101246</t>
  </si>
  <si>
    <t>MTMR4</t>
  </si>
  <si>
    <t>zgc:63645 [Source:ZFIN;Acc:ZDB-GENE-040426-1208]</t>
  </si>
  <si>
    <t>ENSDARG00000104644</t>
  </si>
  <si>
    <t>BRF2</t>
  </si>
  <si>
    <t>BRF2, RNA polymerase III transcription initiation factor 50 kDa subunit [Source:HGNC Symbol;Acc:HGNC:17298]</t>
  </si>
  <si>
    <t>ENSDARG00000099566</t>
  </si>
  <si>
    <t>LMBRD2</t>
  </si>
  <si>
    <t>LMBR1 domain containing 2 [Source:HGNC Symbol;Acc:HGNC:25287]</t>
  </si>
  <si>
    <t>ENSDARG00000099245</t>
  </si>
  <si>
    <t>CABZ01081752.1</t>
  </si>
  <si>
    <t>ENSDARG00000044072</t>
  </si>
  <si>
    <t>TATDN3</t>
  </si>
  <si>
    <t>TatD DNase domain containing 3 [Source:HGNC Symbol;Acc:HGNC:27010]</t>
  </si>
  <si>
    <t>ENSDARG00000087687</t>
  </si>
  <si>
    <t>TMEM100</t>
  </si>
  <si>
    <t>transmembrane protein 100 [Source:HGNC Symbol;Acc:HGNC:25607]</t>
  </si>
  <si>
    <t>ENSDARG00000099500</t>
  </si>
  <si>
    <t>CLEC3B</t>
  </si>
  <si>
    <t>C-type lectin domain family 3 member B [Source:HGNC Symbol;Acc:HGNC:11891]</t>
  </si>
  <si>
    <t>ENSDARG00000069608</t>
  </si>
  <si>
    <t>palm2</t>
  </si>
  <si>
    <t>palm2.1</t>
  </si>
  <si>
    <t>paralemmin 2 [Source:ZFIN;Acc:ZDB-GENE-050208-62]</t>
  </si>
  <si>
    <t>ENSDARG00000058946</t>
  </si>
  <si>
    <t>CU856539.2</t>
  </si>
  <si>
    <t>ENSDARG00000014439</t>
  </si>
  <si>
    <t>dgkza</t>
  </si>
  <si>
    <t>diacylglycerol kinase, zeta a [Source:ZFIN;Acc:ZDB-GENE-111104-3]</t>
  </si>
  <si>
    <t>ENSDARG00000100901</t>
  </si>
  <si>
    <t>C7orf72</t>
  </si>
  <si>
    <t>chromosome 7 open reading frame 72 [Source:HGNC Symbol;Acc:HGNC:22564]</t>
  </si>
  <si>
    <t>ENSDARG00000101139</t>
  </si>
  <si>
    <t>agpat2</t>
  </si>
  <si>
    <t>1-acylglycerol-3-phosphate O-acyltransferase 2 (lysophosphatidic acid acyltransferase, beta) [Source:ZFIN;Acc:ZDB-GENE-061103-541]</t>
  </si>
  <si>
    <t>ENSDARG00000020493</t>
  </si>
  <si>
    <t>lgi1a</t>
  </si>
  <si>
    <t>leucine-rich, glioma inactivated 1a [Source:ZFIN;Acc:ZDB-GENE-030131-1731]</t>
  </si>
  <si>
    <t>ENSDARG00000077804</t>
  </si>
  <si>
    <t>HGSNAT</t>
  </si>
  <si>
    <t>heparan-alpha-glucosaminide N-acetyltransferase [Source:HGNC Symbol;Acc:HGNC:26527]</t>
  </si>
  <si>
    <t>ENSDARG00000102877</t>
  </si>
  <si>
    <t>bphl</t>
  </si>
  <si>
    <t>biphenyl hydrolase-like (serine hydrolase) [Source:EntrezGene;Acc:402804]</t>
  </si>
  <si>
    <t>ENSDARG00000090617</t>
  </si>
  <si>
    <t>CTIF</t>
  </si>
  <si>
    <t>CBP80/20-dependent translation initiation factor [Source:HGNC Symbol;Acc:HGNC:23925]</t>
  </si>
  <si>
    <t>ENSDARG00000100084</t>
  </si>
  <si>
    <t>SECISBP2L</t>
  </si>
  <si>
    <t>SECIS binding protein 2-like [Source:HGNC Symbol;Acc:HGNC:28997]</t>
  </si>
  <si>
    <t>ENSDARG00000099311</t>
  </si>
  <si>
    <t>CR927215.1</t>
  </si>
  <si>
    <t>ENSDARG00000101316</t>
  </si>
  <si>
    <t>CABZ01104045.1</t>
  </si>
  <si>
    <t>ENSDARG00000063414</t>
  </si>
  <si>
    <t>tmem5</t>
  </si>
  <si>
    <t>transmembrane protein 5 [Source:ZFIN;Acc:ZDB-GENE-060929-1018]</t>
  </si>
  <si>
    <t>ENSDARG00000069867</t>
  </si>
  <si>
    <t>CABZ01085857.1</t>
  </si>
  <si>
    <t>ENSDARG00000003934</t>
  </si>
  <si>
    <t>nxnl2</t>
  </si>
  <si>
    <t>nucleoredoxin-like 2 [Source:ZFIN;Acc:ZDB-GENE-041212-55]</t>
  </si>
  <si>
    <t>ENSDARG00000101189</t>
  </si>
  <si>
    <t>CR589947.2</t>
  </si>
  <si>
    <t>ENSDARG00000105192</t>
  </si>
  <si>
    <t>CABZ01057122.1</t>
  </si>
  <si>
    <t>ENSDARG00000068291</t>
  </si>
  <si>
    <t>TMEM208</t>
  </si>
  <si>
    <t>zgc:77041 [Source:ZFIN;Acc:ZDB-GENE-040426-2523]</t>
  </si>
  <si>
    <t>ENSDARG00000101572</t>
  </si>
  <si>
    <t>cep128.1</t>
  </si>
  <si>
    <t>ENSDARG00000042029</t>
  </si>
  <si>
    <t>mbd3b</t>
  </si>
  <si>
    <t>methyl-CpG binding domain protein 3b [Source:ZFIN;Acc:ZDB-GENE-030131-9792]</t>
  </si>
  <si>
    <t>ENSDARG00000074757</t>
  </si>
  <si>
    <t>arv1</t>
  </si>
  <si>
    <t>ARV1 homolog, fatty acid homeostasis modulator [Source:ZFIN;Acc:ZDB-GENE-080204-35]</t>
  </si>
  <si>
    <t>ENSDARG00000105000</t>
  </si>
  <si>
    <t>C2CD2</t>
  </si>
  <si>
    <t>C2 calcium-dependent domain containing 2 [Source:HGNC Symbol;Acc:HGNC:1266]</t>
  </si>
  <si>
    <t>ENSDARG00000074844</t>
  </si>
  <si>
    <t>CABZ01061495.1</t>
  </si>
  <si>
    <t>ENSDARG00000017595</t>
  </si>
  <si>
    <t>ccdc6b</t>
  </si>
  <si>
    <t>coiled-coil domain containing 6b [Source:ZFIN;Acc:ZDB-GENE-040426-869]</t>
  </si>
  <si>
    <t>ENSDARG00000101930</t>
  </si>
  <si>
    <t>CU914622.2</t>
  </si>
  <si>
    <t>ENSDARG00000099519</t>
  </si>
  <si>
    <t>zgc:66475</t>
  </si>
  <si>
    <t>zgc:66475 [Source:ZFIN;Acc:ZDB-GENE-040426-1644]</t>
  </si>
  <si>
    <t>ENSDARG00000087352</t>
  </si>
  <si>
    <t>DNAH2</t>
  </si>
  <si>
    <t>dynein, axonemal, heavy chain 2 [Source:HGNC Symbol;Acc:HGNC:2948]</t>
  </si>
  <si>
    <t>ENSDARG00000105237</t>
  </si>
  <si>
    <t>MCC</t>
  </si>
  <si>
    <t>mutated in colorectal cancers [Source:HGNC Symbol;Acc:HGNC:6935]</t>
  </si>
  <si>
    <t>ENSDARG00000029305</t>
  </si>
  <si>
    <t>baiap2l1a</t>
  </si>
  <si>
    <t>BAI1-associated protein 2-like 1a [Source:ZFIN;Acc:ZDB-GENE-031201-1]</t>
  </si>
  <si>
    <t>ENSDARG00000099997</t>
  </si>
  <si>
    <t>cox20</t>
  </si>
  <si>
    <t>COX20 cytochrome c oxidase assembly factor [Source:ZFIN;Acc:ZDB-GENE-040718-467]</t>
  </si>
  <si>
    <t>ENSDARG00000053326</t>
  </si>
  <si>
    <t>gna11b</t>
  </si>
  <si>
    <t>guanine nucleotide binding protein (G protein), alpha 11b (Gq class) [Source:ZFIN;Acc:ZDB-GENE-041121-9]</t>
  </si>
  <si>
    <t>ENSDARG00000100181</t>
  </si>
  <si>
    <t>LAMP1</t>
  </si>
  <si>
    <t>lysosomal-associated membrane protein 1 [Source:HGNC Symbol;Acc:HGNC:6499]</t>
  </si>
  <si>
    <t>ENSDARG00000071725</t>
  </si>
  <si>
    <t>zgc:174919</t>
  </si>
  <si>
    <t>zgc:174919 [Source:ZFIN;Acc:ZDB-GENE-080220-12]</t>
  </si>
  <si>
    <t>ENSDARG00000103908</t>
  </si>
  <si>
    <t>FH</t>
  </si>
  <si>
    <t>fumarate hydratase [Source:HGNC Symbol;Acc:HGNC:3700]</t>
  </si>
  <si>
    <t>ENSDARG00000099937</t>
  </si>
  <si>
    <t>LRRC52.1</t>
  </si>
  <si>
    <t>leucine rich repeat containing 52 [Source:HGNC Symbol;Acc:HGNC:32156]</t>
  </si>
  <si>
    <t>ENSDARG00000059349</t>
  </si>
  <si>
    <t>CABZ01090374.1</t>
  </si>
  <si>
    <t>ENSDARG00000089961</t>
  </si>
  <si>
    <t>APOLD1</t>
  </si>
  <si>
    <t>APOLD1.1</t>
  </si>
  <si>
    <t>apolipoprotein L domain containing 1 [Source:HGNC Symbol;Acc:HGNC:25268]</t>
  </si>
  <si>
    <t>ENSDARG00000067630</t>
  </si>
  <si>
    <t>zgc:154075</t>
  </si>
  <si>
    <t>zgc:154075 [Source:ZFIN;Acc:ZDB-GENE-060929-910]</t>
  </si>
  <si>
    <t>ENSDARG00000103083</t>
  </si>
  <si>
    <t>ddb1.1</t>
  </si>
  <si>
    <t>ENSDARG00000074554</t>
  </si>
  <si>
    <t>tspan31</t>
  </si>
  <si>
    <t>tetraspanin 31 [Source:ZFIN;Acc:ZDB-GENE-040426-1123]</t>
  </si>
  <si>
    <t>ENSDARG00000039960</t>
  </si>
  <si>
    <t>ST7</t>
  </si>
  <si>
    <t>suppression of tumorigenicity 7 [Source:HGNC Symbol;Acc:HGNC:11351]</t>
  </si>
  <si>
    <t>ENSDARG00000103720</t>
  </si>
  <si>
    <t>ZFP36</t>
  </si>
  <si>
    <t>zgc:162730 [Source:ZFIN;Acc:ZDB-GENE-030131-6366]</t>
  </si>
  <si>
    <t>ENSDARG00000077706</t>
  </si>
  <si>
    <t>CT025887.1</t>
  </si>
  <si>
    <t>ENSDARG00000089086</t>
  </si>
  <si>
    <t>mustn1</t>
  </si>
  <si>
    <t>musculoskeletal, embryonic nuclear protein 1 [Source:EntrezGene;Acc:563713]</t>
  </si>
  <si>
    <t>ENSDARG00000003398</t>
  </si>
  <si>
    <t>rbpja</t>
  </si>
  <si>
    <t>recombination signal binding protein for immunoglobulin kappa J region a [Source:ZFIN;Acc:ZDB-GENE-031117-1]</t>
  </si>
  <si>
    <t>ENSDARG00000099080</t>
  </si>
  <si>
    <t>sbno1</t>
  </si>
  <si>
    <t>strawberry notch homolog 1 (Drosophila) [Source:ZFIN;Acc:ZDB-GENE-080522-2]</t>
  </si>
  <si>
    <t>ENSDARG00000013302</t>
  </si>
  <si>
    <t>gpx8</t>
  </si>
  <si>
    <t>glutathione peroxidase 8 (putative) [Source:ZFIN;Acc:ZDB-GENE-040426-965]</t>
  </si>
  <si>
    <t>ENSDARG00000103696</t>
  </si>
  <si>
    <t>CABZ01064968.1</t>
  </si>
  <si>
    <t>ENSDARG00000032458</t>
  </si>
  <si>
    <t>mark2b</t>
  </si>
  <si>
    <t>MAP/microtubule affinity-regulating kinase 2b [Source:ZFIN;Acc:ZDB-GENE-080215-4]</t>
  </si>
  <si>
    <t>ENSDARG00000103731</t>
  </si>
  <si>
    <t>CABZ01064968.2</t>
  </si>
  <si>
    <t>ENSDARG00000079483</t>
  </si>
  <si>
    <t>CLIP1</t>
  </si>
  <si>
    <t>CAP-Gly domain containing linker protein 1 [Source:HGNC Symbol;Acc:HGNC:10461]</t>
  </si>
  <si>
    <t>ENSDARG00000073753</t>
  </si>
  <si>
    <t>tacc1</t>
  </si>
  <si>
    <t>transforming, acidic coiled-coil containing protein 1 [Source:ZFIN;Acc:ZDB-GENE-090521-5]</t>
  </si>
  <si>
    <t>ENSDARG00000005549</t>
  </si>
  <si>
    <t>ZNF710</t>
  </si>
  <si>
    <t>zinc finger protein 710 [Source:HGNC Symbol;Acc:HGNC:25352]</t>
  </si>
  <si>
    <t>ENSDARG00000103923</t>
  </si>
  <si>
    <t>tfap4</t>
  </si>
  <si>
    <t>transcription factor AP-4 (activating enhancer binding protein 4) [Source:ZFIN;Acc:ZDB-GENE-090810-1]</t>
  </si>
  <si>
    <t>ENSDARG00000057353</t>
  </si>
  <si>
    <t>EHBP1L1</t>
  </si>
  <si>
    <t>EH domain binding protein 1 like 1 [Source:HGNC Symbol;Acc:HGNC:30682]</t>
  </si>
  <si>
    <t>ENSDARG00000079441</t>
  </si>
  <si>
    <t>BX649448.1</t>
  </si>
  <si>
    <t>ENSDARG00000102610</t>
  </si>
  <si>
    <t>R3HDM2</t>
  </si>
  <si>
    <t>R3H domain containing 2 [Source:HGNC Symbol;Acc:HGNC:29167]</t>
  </si>
  <si>
    <t>ENSDARG00000079165</t>
  </si>
  <si>
    <t>CR356247.1</t>
  </si>
  <si>
    <t>ENSDARG00000052417</t>
  </si>
  <si>
    <t>im:6904045</t>
  </si>
  <si>
    <t>im:6904045 [Source:ZFIN;Acc:ZDB-GENE-050506-75]</t>
  </si>
  <si>
    <t>ENSDARG00000101894</t>
  </si>
  <si>
    <t>stk10</t>
  </si>
  <si>
    <t>serine/threonine kinase 10 [Source:ZFIN;Acc:ZDB-GENE-040426-1136]</t>
  </si>
  <si>
    <t>ENSDARG00000102066</t>
  </si>
  <si>
    <t>ntn4</t>
  </si>
  <si>
    <t>netrin 4 [Source:ZFIN;Acc:ZDB-GENE-050310-1]</t>
  </si>
  <si>
    <t>ENSDARG00000090568</t>
  </si>
  <si>
    <t>MRPL52</t>
  </si>
  <si>
    <t>mitochondrial ribosomal protein L52 [Source:HGNC Symbol;Acc:HGNC:16655]</t>
  </si>
  <si>
    <t>ENSDARG00000103725</t>
  </si>
  <si>
    <t>znf341</t>
  </si>
  <si>
    <t>zinc finger protein 341 [Source:ZFIN;Acc:ZDB-GENE-080204-99]</t>
  </si>
  <si>
    <t>ENSDARG00000105002</t>
  </si>
  <si>
    <t>FP103009.1</t>
  </si>
  <si>
    <t>ENSDARG00000105263</t>
  </si>
  <si>
    <t>BX908792.2</t>
  </si>
  <si>
    <t>ENSDARG00000076590</t>
  </si>
  <si>
    <t>atad2</t>
  </si>
  <si>
    <t>ATPase family, AAA domain containing 2 [Source:ZFIN;Acc:ZDB-GENE-030131-7003]</t>
  </si>
  <si>
    <t>ENSDARG00000002506</t>
  </si>
  <si>
    <t>zgc:92818</t>
  </si>
  <si>
    <t>zgc:92818 [Source:ZFIN;Acc:ZDB-GENE-040718-217]</t>
  </si>
  <si>
    <t>ENSDARG00000004796</t>
  </si>
  <si>
    <t>mgrn1b</t>
  </si>
  <si>
    <t>mahogunin, ring finger 1b [Source:ZFIN;Acc:ZDB-GENE-110401-3]</t>
  </si>
  <si>
    <t>ENSDARG00000059871</t>
  </si>
  <si>
    <t>shrprbck1r</t>
  </si>
  <si>
    <t>sharpin and rbck1 related [Source:ZFIN;Acc:ZDB-GENE-080220-52]</t>
  </si>
  <si>
    <t>ENSDARG00000099043</t>
  </si>
  <si>
    <t>CR847895.1</t>
  </si>
  <si>
    <t>ENSDARG00000101627</t>
  </si>
  <si>
    <t>ssr1</t>
  </si>
  <si>
    <t>signal sequence receptor, alpha [Source:ZFIN;Acc:ZDB-GENE-030826-28]</t>
  </si>
  <si>
    <t>ENSDARG00000104750</t>
  </si>
  <si>
    <t>BX323023.2</t>
  </si>
  <si>
    <t>ENSDARG00000099199</t>
  </si>
  <si>
    <t>itchb</t>
  </si>
  <si>
    <t>itchy E3 ubiquitin protein ligase b [Source:ZFIN;Acc:ZDB-GENE-131024-2]</t>
  </si>
  <si>
    <t>ENSDARG00000059581</t>
  </si>
  <si>
    <t>mbd5</t>
  </si>
  <si>
    <t>methyl-CpG binding domain protein 5 [Source:ZFIN;Acc:ZDB-GENE-070209-125]</t>
  </si>
  <si>
    <t>ENSDARG00000102536</t>
  </si>
  <si>
    <t>zgc:174646</t>
  </si>
  <si>
    <t>zgc:174646 [Source:ZFIN;Acc:ZDB-GENE-080305-6]</t>
  </si>
  <si>
    <t>ENSDARG00000045978</t>
  </si>
  <si>
    <t>chchd6b</t>
  </si>
  <si>
    <t>coiled-coil-helix-coiled-coil-helix domain containing 6b [Source:ZFIN;Acc:ZDB-GENE-041114-95]</t>
  </si>
  <si>
    <t>ENSDARG00000075564</t>
  </si>
  <si>
    <t>fam13a</t>
  </si>
  <si>
    <t>family with sequence similarity 13, member A [Source:ZFIN;Acc:ZDB-GENE-050208-102]</t>
  </si>
  <si>
    <t>ENSDARG00000017315</t>
  </si>
  <si>
    <t>larp7</t>
  </si>
  <si>
    <t>La ribonucleoprotein domain family, member 7 [Source:ZFIN;Acc:ZDB-GENE-030131-6896]</t>
  </si>
  <si>
    <t>ENSDARG00000105157</t>
  </si>
  <si>
    <t>BX649434.2</t>
  </si>
  <si>
    <t>ENSDARG00000099908</t>
  </si>
  <si>
    <t>MTFP1</t>
  </si>
  <si>
    <t>mitochondrial fission process 1 [Source:HGNC Symbol;Acc:HGNC:26945]</t>
  </si>
  <si>
    <t>ENSDARG00000104496</t>
  </si>
  <si>
    <t>CR388042.3</t>
  </si>
  <si>
    <t>ENSDARG00000089598</t>
  </si>
  <si>
    <t>CABZ01054396.1</t>
  </si>
  <si>
    <t>ENSDARG00000076104</t>
  </si>
  <si>
    <t>SEMA4B</t>
  </si>
  <si>
    <t>sema domain, immunoglobulin domain (Ig), transmembrane domain (TM) and short cytoplasmic domain, (semaphorin) 4B [Source:HGNC Symbol;Acc:HGNC:10730]</t>
  </si>
  <si>
    <t>ENSDARG00000089651</t>
  </si>
  <si>
    <t>CR936465.1</t>
  </si>
  <si>
    <t>ENSDARG00000027491</t>
  </si>
  <si>
    <t>uros</t>
  </si>
  <si>
    <t>uroporphyrinogen III synthase [Source:ZFIN;Acc:ZDB-GENE-040323-2]</t>
  </si>
  <si>
    <t>ENSDARG00000099418</t>
  </si>
  <si>
    <t>BX649198.1</t>
  </si>
  <si>
    <t>ENSDARG00000077298</t>
  </si>
  <si>
    <t>gas1a</t>
  </si>
  <si>
    <t>growth arrest-specific 1a [Source:ZFIN;Acc:ZDB-GENE-050302-155]</t>
  </si>
  <si>
    <t>ENSDARG00000087131</t>
  </si>
  <si>
    <t>ifnlr1</t>
  </si>
  <si>
    <t>interferon lambda receptor 1 [Source:ZFIN;Acc:ZDB-GENE-071120-5]</t>
  </si>
  <si>
    <t>ENSDARG00000103672</t>
  </si>
  <si>
    <t>cirbpa</t>
  </si>
  <si>
    <t>cold inducible RNA binding protein a [Source:ZFIN;Acc:ZDB-GENE-050417-329]</t>
  </si>
  <si>
    <t>ENSDARG00000038505</t>
  </si>
  <si>
    <t>polr2h</t>
  </si>
  <si>
    <t>info polymerase (RNA) II (DNA directed) polypeptide H [Source:ZFIN;Acc:ZDB-GENE-050417-66]</t>
  </si>
  <si>
    <t>ENSDARG00000099411</t>
  </si>
  <si>
    <t>zgc:158343</t>
  </si>
  <si>
    <t>zgc:158343 [Source:ZFIN;Acc:ZDB-GENE-061201-9]</t>
  </si>
  <si>
    <t>ENSDARG00000102549</t>
  </si>
  <si>
    <t>CR450729.2</t>
  </si>
  <si>
    <t>ENSDARG00000102803</t>
  </si>
  <si>
    <t>CABZ01087091.1</t>
  </si>
  <si>
    <t>ENSDARG00000088062</t>
  </si>
  <si>
    <t>PPHLN1</t>
  </si>
  <si>
    <t>periphilin 1 [Source:HGNC Symbol;Acc:HGNC:19369]</t>
  </si>
  <si>
    <t>ENSDARG00000040668</t>
  </si>
  <si>
    <t>lrtomt</t>
  </si>
  <si>
    <t>leucine rich transmembrane and O-methyltransferase domain containing [Source:ZFIN;Acc:ZDB-GENE-060929-962]</t>
  </si>
  <si>
    <t>ENSDARG00000105050</t>
  </si>
  <si>
    <t>FO681288.2</t>
  </si>
  <si>
    <t>ENSDARG00000099129</t>
  </si>
  <si>
    <t>phlda1</t>
  </si>
  <si>
    <t>pleckstrin homology-like domain, family A, member 1 [Source:ZFIN;Acc:ZDB-GENE-041010-103]</t>
  </si>
  <si>
    <t>ENSDARG00000017128</t>
  </si>
  <si>
    <t>MYOF</t>
  </si>
  <si>
    <t>myoferlin [Source:HGNC Symbol;Acc:HGNC:3656]</t>
  </si>
  <si>
    <t>ENSDARG00000003846</t>
  </si>
  <si>
    <t>mrpl21</t>
  </si>
  <si>
    <t>mitochondrial ribosomal protein L21 [Source:ZFIN;Acc:ZDB-GENE-061027-183]</t>
  </si>
  <si>
    <t>ENSDARG00000079712</t>
  </si>
  <si>
    <t>GAL3ST4</t>
  </si>
  <si>
    <t>galactose-3-O-sulfotransferase 4 [Source:HGNC Symbol;Acc:HGNC:24145]</t>
  </si>
  <si>
    <t>ENSDARG00000105176</t>
  </si>
  <si>
    <t>FO704618.1</t>
  </si>
  <si>
    <t>ENSDARG00000077903</t>
  </si>
  <si>
    <t>zgc:194551</t>
  </si>
  <si>
    <t>zgc:194551 [Source:ZFIN;Acc:ZDB-GENE-030131-4878]</t>
  </si>
  <si>
    <t>ENSDARG00000103002</t>
  </si>
  <si>
    <t>nptna</t>
  </si>
  <si>
    <t>neuroplastin a [Source:ZFIN;Acc:ZDB-GENE-030804-7]</t>
  </si>
  <si>
    <t>ENSDARG00000062220</t>
  </si>
  <si>
    <t>plekha7b</t>
  </si>
  <si>
    <t>pleckstrin homology domain containing, family A member 7b [Source:ZFIN;Acc:ZDB-GENE-091014-2]</t>
  </si>
  <si>
    <t>ENSDARG00000023820</t>
  </si>
  <si>
    <t>faxdc2</t>
  </si>
  <si>
    <t>fatty acid hydroxylase domain containing 2 [Source:ZFIN;Acc:ZDB-GENE-040426-2907]</t>
  </si>
  <si>
    <t>ENSDARG00000103132</t>
  </si>
  <si>
    <t>dnaaf2</t>
  </si>
  <si>
    <t>dynein, axonemal, assembly factor 2 [Source:ZFIN;Acc:ZDB-GENE-050809-128]</t>
  </si>
  <si>
    <t>ENSDARG00000088225</t>
  </si>
  <si>
    <t>STRADB</t>
  </si>
  <si>
    <t>STE20-related kinase adaptor beta [Source:HGNC Symbol;Acc:HGNC:13205]</t>
  </si>
  <si>
    <t>ENSDARG00000091720</t>
  </si>
  <si>
    <t>wu:fe17e08</t>
  </si>
  <si>
    <t>wu:fe17e08 [Source:ZFIN;Acc:ZDB-GENE-030131-4988]</t>
  </si>
  <si>
    <t>ENSDARG00000101105</t>
  </si>
  <si>
    <t>CR382372.1</t>
  </si>
  <si>
    <t>ENSDARG00000098477</t>
  </si>
  <si>
    <t>tec</t>
  </si>
  <si>
    <t>tec protein tyrosine kinase [Source:ZFIN;Acc:ZDB-GENE-030131-7499]</t>
  </si>
  <si>
    <t>ENSDARG00000100778</t>
  </si>
  <si>
    <t>CR450780.3</t>
  </si>
  <si>
    <t>ENSDARG00000036629</t>
  </si>
  <si>
    <t>rps14</t>
  </si>
  <si>
    <t>ribosomal protein S14 [Source:ZFIN;Acc:ZDB-GENE-030131-8631]</t>
  </si>
  <si>
    <t>ENSDARG00000099195</t>
  </si>
  <si>
    <t>ier2</t>
  </si>
  <si>
    <t>immediate early response 2 [Source:ZFIN;Acc:ZDB-GENE-030131-9126]</t>
  </si>
  <si>
    <t>ENSDARG00000080001</t>
  </si>
  <si>
    <t>si:dkey-208m12.2.1</t>
  </si>
  <si>
    <t>ENSDARG00000100427</t>
  </si>
  <si>
    <t>BX547934.1</t>
  </si>
  <si>
    <t>ENSDARG00000005456</t>
  </si>
  <si>
    <t>katnb1</t>
  </si>
  <si>
    <t>katanin p80 (WD repeat containing) subunit B 1 [Source:ZFIN;Acc:ZDB-GENE-040426-1954]</t>
  </si>
  <si>
    <t>ENSDARG00000102150</t>
  </si>
  <si>
    <t>CR352258.2</t>
  </si>
  <si>
    <t>ENSDARG00000104301</t>
  </si>
  <si>
    <t>zgc:193726</t>
  </si>
  <si>
    <t>zgc:193726 [Source:ZFIN;Acc:ZDB-GENE-081022-35]</t>
  </si>
  <si>
    <t>ENSDARG00000100331</t>
  </si>
  <si>
    <t>SMIM10</t>
  </si>
  <si>
    <t>small integral membrane protein 10 [Source:HGNC Symbol;Acc:HGNC:41913]</t>
  </si>
  <si>
    <t>ENSDARG00000099243</t>
  </si>
  <si>
    <t>CR855389.1</t>
  </si>
  <si>
    <t>ENSDARG00000099534</t>
  </si>
  <si>
    <t>CABZ01066926.1</t>
  </si>
  <si>
    <t>ENSDARG00000101076</t>
  </si>
  <si>
    <t>irx3a</t>
  </si>
  <si>
    <t>iroquois homeobox 3a [Source:ZFIN;Acc:ZDB-GENE-991119-5]</t>
  </si>
  <si>
    <t>ENSDARG00000032372</t>
  </si>
  <si>
    <t>CCDC180</t>
  </si>
  <si>
    <t>coiled-coil domain containing 180 [Source:HGNC Symbol;Acc:HGNC:29303]</t>
  </si>
  <si>
    <t>ENSDARG00000013072</t>
  </si>
  <si>
    <t>MMP15</t>
  </si>
  <si>
    <t>matrix metallopeptidase 15 [Source:HGNC Symbol;Acc:HGNC:7161]</t>
  </si>
  <si>
    <t>ENSDARG00000077777</t>
  </si>
  <si>
    <t>tmsb4x</t>
  </si>
  <si>
    <t>thymosin, beta 4 x [Source:ZFIN;Acc:ZDB-GENE-030131-8304]</t>
  </si>
  <si>
    <t>ENSDARG00000104343</t>
  </si>
  <si>
    <t>PPIC</t>
  </si>
  <si>
    <t>peptidylprolyl isomerase C (cyclophilin C) [Source:HGNC Symbol;Acc:HGNC:9256]</t>
  </si>
  <si>
    <t>ENSDARG00000016016</t>
  </si>
  <si>
    <t>dbnlb</t>
  </si>
  <si>
    <t>drebrin-like b [Source:ZFIN;Acc:ZDB-GENE-050522-293]</t>
  </si>
  <si>
    <t>ENSDARG00000102212</t>
  </si>
  <si>
    <t>RNH1.19</t>
  </si>
  <si>
    <t>ENSDARG00000101539</t>
  </si>
  <si>
    <t>znf997.1</t>
  </si>
  <si>
    <t>ENSDARG00000105225</t>
  </si>
  <si>
    <t>KCTD15</t>
  </si>
  <si>
    <t>potassium channel tetramerization domain containing 15 [Source:HGNC Symbol;Acc:HGNC:23297]</t>
  </si>
  <si>
    <t>ENSDARG00000104567</t>
  </si>
  <si>
    <t>KDM5A</t>
  </si>
  <si>
    <t>lysine (K)-specific demethylase 5A [Source:HGNC Symbol;Acc:HGNC:9886]</t>
  </si>
  <si>
    <t>ENSDARG00000104066</t>
  </si>
  <si>
    <t>dnaja2</t>
  </si>
  <si>
    <t>DnaJ (Hsp40) homolog, subfamily A, member 2 [Source:ZFIN;Acc:ZDB-GENE-040426-2884]</t>
  </si>
  <si>
    <t>ENSDARG00000098600</t>
  </si>
  <si>
    <t>pithd1</t>
  </si>
  <si>
    <t>PITH (C-terminal proteasome-interacting domain of thioredoxin-like) domain containing 1 [Source:ZFIN;Acc:ZDB-GENE-040426-2366]</t>
  </si>
  <si>
    <t>ENSDARG00000104505</t>
  </si>
  <si>
    <t>RCCD1</t>
  </si>
  <si>
    <t>RCC1 domain containing 1 [Source:HGNC Symbol;Acc:HGNC:30457]</t>
  </si>
  <si>
    <t>ENSDARG00000102449</t>
  </si>
  <si>
    <t>CABZ01048402.1</t>
  </si>
  <si>
    <t>ENSDARG00000103723</t>
  </si>
  <si>
    <t>zgc:173702</t>
  </si>
  <si>
    <t>zgc:173702 [Source:ZFIN;Acc:ZDB-GENE-080208-3]</t>
  </si>
  <si>
    <t>ENSDARG00000091514</t>
  </si>
  <si>
    <t>CT737190.1</t>
  </si>
  <si>
    <t>ENSDARG00000044812</t>
  </si>
  <si>
    <t>TTC17</t>
  </si>
  <si>
    <t>Tetratricopeptide repeat protein 17  [Source:UniProtKB/Swiss-Prot;Acc:E7F211]</t>
  </si>
  <si>
    <t>ENSDARG00000075163</t>
  </si>
  <si>
    <t>cxcl20</t>
  </si>
  <si>
    <t>chemokine (C-X-C motif) ligand 20 [Source:ZFIN;Acc:ZDB-GENE-111004-2]</t>
  </si>
  <si>
    <t>ENSDARG00000104152</t>
  </si>
  <si>
    <t>CABZ01054391.1</t>
  </si>
  <si>
    <t>ENSDARG00000076651</t>
  </si>
  <si>
    <t>CABZ01068600.1</t>
  </si>
  <si>
    <t>ENSDARG00000100918</t>
  </si>
  <si>
    <t>prc1a</t>
  </si>
  <si>
    <t>protein regulator of cytokinesis 1a [Source:ZFIN;Acc:ZDB-GENE-020801-3]</t>
  </si>
  <si>
    <t>ENSDARG00000087402</t>
  </si>
  <si>
    <t>TPM1</t>
  </si>
  <si>
    <t>zgc:171719 [Source:ZFIN;Acc:ZDB-GENE-070822-17]</t>
  </si>
  <si>
    <t>ENSDARG00000090570</t>
  </si>
  <si>
    <t>naa40</t>
  </si>
  <si>
    <t>naa40.1</t>
  </si>
  <si>
    <t>N(alpha)-acetyltransferase 40, NatD catalytic subunit, homolog (S. cerevisiae) [Source:ZFIN;Acc:ZDB-GENE-050417-105]</t>
  </si>
  <si>
    <t>ENSDARG00000021984</t>
  </si>
  <si>
    <t>ndufa2</t>
  </si>
  <si>
    <t>NADH dehydrogenase (ubiquinone) 1 alpha subcomplex, 2 [Source:ZFIN;Acc:ZDB-GENE-050522-377]</t>
  </si>
  <si>
    <t>ENSDARG00000024873</t>
  </si>
  <si>
    <t>AL935174.1</t>
  </si>
  <si>
    <t>ENSDARG00000102657</t>
  </si>
  <si>
    <t>LMAN2L</t>
  </si>
  <si>
    <t>lectin, mannose-binding 2-like [Source:HGNC Symbol;Acc:HGNC:19263]</t>
  </si>
  <si>
    <t>ENSDARG00000103523</t>
  </si>
  <si>
    <t>nudt6</t>
  </si>
  <si>
    <t>nudix (nucleoside diphosphate linked moiety X)-type motif 6 [Source:ZFIN;Acc:ZDB-GENE-070410-44]</t>
  </si>
  <si>
    <t>ENSDARG00000091124</t>
  </si>
  <si>
    <t>rps19bp1</t>
  </si>
  <si>
    <t>ribosomal protein S19 binding protein 1 [Source:ZFIN;Acc:ZDB-GENE-110316-2]</t>
  </si>
  <si>
    <t>ENSDARG00000011094</t>
  </si>
  <si>
    <t>ccna2</t>
  </si>
  <si>
    <t>cyclin A2 [Source:ZFIN;Acc:ZDB-GENE-020418-1]</t>
  </si>
  <si>
    <t>ENSDARG00000105011</t>
  </si>
  <si>
    <t>pigb</t>
  </si>
  <si>
    <t>phosphatidylinositol glycan anchor biosynthesis, class B [Source:ZFIN;Acc:ZDB-GENE-040426-1216]</t>
  </si>
  <si>
    <t>ENSDARG00000062568</t>
  </si>
  <si>
    <t>mrpl2</t>
  </si>
  <si>
    <t>mitochondrial ribosomal protein L2 [Source:ZFIN;Acc:ZDB-GENE-050809-12]</t>
  </si>
  <si>
    <t>ENSDARG00000074560</t>
  </si>
  <si>
    <t>CHST9</t>
  </si>
  <si>
    <t>si:ch211-269c21.2 [Source:ZFIN;Acc:ZDB-GENE-090313-104]</t>
  </si>
  <si>
    <t>ENSDARG00000005559</t>
  </si>
  <si>
    <t>pou4f1</t>
  </si>
  <si>
    <t>POU class 4 homeobox 1 [Source:ZFIN;Acc:ZDB-GENE-000523-2]</t>
  </si>
  <si>
    <t>ENSDARG00000100207</t>
  </si>
  <si>
    <t>CR792418.1</t>
  </si>
  <si>
    <t>ENSDARG00000090462</t>
  </si>
  <si>
    <t>mrpl20</t>
  </si>
  <si>
    <t>mitochondrial ribosomal protein L20 [Source:ZFIN;Acc:ZDB-GENE-030131-5299]</t>
  </si>
  <si>
    <t>ENSDARG00000056830</t>
  </si>
  <si>
    <t>HNRNPUL2</t>
  </si>
  <si>
    <t>si:ch211-107m4.1 [Source:ZFIN;Acc:ZDB-GENE-081107-3]</t>
  </si>
  <si>
    <t>ENSDARG00000090585</t>
  </si>
  <si>
    <t>gpc1b</t>
  </si>
  <si>
    <t>glypican 1b [Source:ZFIN;Acc:ZDB-GENE-040426-1306]</t>
  </si>
  <si>
    <t>ENSDARG00000102800</t>
  </si>
  <si>
    <t>CABZ01081752.2</t>
  </si>
  <si>
    <t>ENSDARG00000045940</t>
  </si>
  <si>
    <t>lsm12b</t>
  </si>
  <si>
    <t>LSM12 homolog b [Source:ZFIN;Acc:ZDB-GENE-040426-2164]</t>
  </si>
  <si>
    <t>ENSDARG00000076624</t>
  </si>
  <si>
    <t>ptprb</t>
  </si>
  <si>
    <t>protein tyrosine phosphatase, receptor type, b [Source:ZFIN;Acc:ZDB-GENE-101108-3]</t>
  </si>
  <si>
    <t>ENSDARG00000102141</t>
  </si>
  <si>
    <t>CABZ01102632.1</t>
  </si>
  <si>
    <t>ENSDARG00000015482</t>
  </si>
  <si>
    <t>zgc:113518</t>
  </si>
  <si>
    <t>zgc:113518 [Source:ZFIN;Acc:ZDB-GENE-050220-9]</t>
  </si>
  <si>
    <t>ENSDARG00000103022</t>
  </si>
  <si>
    <t>CR513785.1</t>
  </si>
  <si>
    <t>ENSDARG00000101270</t>
  </si>
  <si>
    <t>klhl8</t>
  </si>
  <si>
    <t>kelch-like family member 8 [Source:ZFIN;Acc:ZDB-GENE-070209-226]</t>
  </si>
  <si>
    <t>ENSDARG00000104511</t>
  </si>
  <si>
    <t>SCARNA2</t>
  </si>
  <si>
    <t>Small Cajal body-specific RNA 2 [Source:RFAM;Acc:RF01268]</t>
  </si>
  <si>
    <t>ENSDARG00000089856</t>
  </si>
  <si>
    <t>CIT</t>
  </si>
  <si>
    <t>citron rho-interacting serine/threonine kinase [Source:HGNC Symbol;Acc:HGNC:1985]</t>
  </si>
  <si>
    <t>ENSDARG00000101315</t>
  </si>
  <si>
    <t>CABZ01039820.1</t>
  </si>
  <si>
    <t>ENSDARG00000067832</t>
  </si>
  <si>
    <t>zgc:136336</t>
  </si>
  <si>
    <t>zgc:136336 [Source:ZFIN;Acc:ZDB-GENE-060512-84]</t>
  </si>
  <si>
    <t>ENSDARG00000103846</t>
  </si>
  <si>
    <t>hspa5</t>
  </si>
  <si>
    <t>heat shock protein 5 [Source:ZFIN;Acc:ZDB-GENE-031001-11]</t>
  </si>
  <si>
    <t>ENSDARG00000104414</t>
  </si>
  <si>
    <t>shmt2</t>
  </si>
  <si>
    <t>serine hydroxymethyltransferase 2 (mitochondrial) [Source:ZFIN;Acc:ZDB-GENE-071213-1]</t>
  </si>
  <si>
    <t>ENSDARG00000035697</t>
  </si>
  <si>
    <t>zgc:110697</t>
  </si>
  <si>
    <t>zgc:110697 [Source:ZFIN;Acc:ZDB-GENE-050417-414]</t>
  </si>
  <si>
    <t>ENSDARG00000051711</t>
  </si>
  <si>
    <t>FCGRT.6</t>
  </si>
  <si>
    <t>Fc fragment of IgG, receptor, transporter, alpha [Source:HGNC Symbol;Acc:HGNC:3621]</t>
  </si>
  <si>
    <t>ENSDARG00000101813</t>
  </si>
  <si>
    <t>nap1l1</t>
  </si>
  <si>
    <t>nucleosome assembly protein 1-like 1 [Source:ZFIN;Acc:ZDB-GENE-030516-2]</t>
  </si>
  <si>
    <t>ENSDARG00000074029</t>
  </si>
  <si>
    <t>STX19</t>
  </si>
  <si>
    <t>syntaxin 19 [Source:HGNC Symbol;Acc:HGNC:19300]</t>
  </si>
  <si>
    <t>ENSDARG00000070043</t>
  </si>
  <si>
    <t>dars</t>
  </si>
  <si>
    <t>aspartyl-tRNA synthetase [Source:ZFIN;Acc:ZDB-GENE-061110-135]</t>
  </si>
  <si>
    <t>ENSDARG00000088999</t>
  </si>
  <si>
    <t>METTL4</t>
  </si>
  <si>
    <t>methyltransferase like 4 [Source:HGNC Symbol;Acc:HGNC:24726]</t>
  </si>
  <si>
    <t>ENSDARG00000063539</t>
  </si>
  <si>
    <t>slc25a15a</t>
  </si>
  <si>
    <t>solute carrier family 25 (mitochondrial carrier; ornithine transporter) member 15a [Source:ZFIN;Acc:ZDB-GENE-070112-1072]</t>
  </si>
  <si>
    <t>ENSDARG00000100935</t>
  </si>
  <si>
    <t>CR847898.2</t>
  </si>
  <si>
    <t>ENSDARG00000075385</t>
  </si>
  <si>
    <t>TARS2</t>
  </si>
  <si>
    <t>threonyl-tRNA synthetase 2, mitochondrial (putative) [Source:HGNC Symbol;Acc:HGNC:30740]</t>
  </si>
  <si>
    <t>ENSDARG00000102505</t>
  </si>
  <si>
    <t>trim32</t>
  </si>
  <si>
    <t>tripartite motif containing 32 [Source:ZFIN;Acc:ZDB-GENE-060428-1]</t>
  </si>
  <si>
    <t>ENSDARG00000095030</t>
  </si>
  <si>
    <t>FP016229.1</t>
  </si>
  <si>
    <t>ENSDARG00000101499</t>
  </si>
  <si>
    <t>ccl39.3</t>
  </si>
  <si>
    <t>ccl39.3.1</t>
  </si>
  <si>
    <t>chemokine (C-C motif) ligand 39, duplicate 3 [Source:ZFIN;Acc:ZDB-GENE-131121-94]</t>
  </si>
  <si>
    <t>ENSDARG00000077145</t>
  </si>
  <si>
    <t>ADCY3</t>
  </si>
  <si>
    <t>adenylate cyclase type 3  [Source:RefSeq peptide;Acc:NP_001156014]</t>
  </si>
  <si>
    <t>ENSDARG00000098502</t>
  </si>
  <si>
    <t>egr2a</t>
  </si>
  <si>
    <t>egr2a.1</t>
  </si>
  <si>
    <t>early growth response 2a [Source:ZFIN;Acc:ZDB-GENE-030723-6]</t>
  </si>
  <si>
    <t>ENSDARG00000076442</t>
  </si>
  <si>
    <t>zgc:174310</t>
  </si>
  <si>
    <t>zgc:174310 [Source:ZFIN;Acc:ZDB-GENE-081022-6]</t>
  </si>
  <si>
    <t>ENSDARG00000100169</t>
  </si>
  <si>
    <t>BX323573.2</t>
  </si>
  <si>
    <t>ENSDARG00000103970</t>
  </si>
  <si>
    <t>CABZ01066717.2</t>
  </si>
  <si>
    <t>ENSDARG00000098447</t>
  </si>
  <si>
    <t>BX321873.1</t>
  </si>
  <si>
    <t>ENSDARG00000039164</t>
  </si>
  <si>
    <t>FCGRT.7</t>
  </si>
  <si>
    <t>ENSDARG00000104917</t>
  </si>
  <si>
    <t>BX321887.3</t>
  </si>
  <si>
    <t>ENSDARG00000079145</t>
  </si>
  <si>
    <t>CABZ01077217.1</t>
  </si>
  <si>
    <t>ENSDARG00000099048</t>
  </si>
  <si>
    <t>znf1070</t>
  </si>
  <si>
    <t>zinc finger protein 1070 [Source:ZFIN;Acc:ZDB-GENE-080212-4]</t>
  </si>
  <si>
    <t>ENSDARG00000101239</t>
  </si>
  <si>
    <t>hsd17b4</t>
  </si>
  <si>
    <t>hydroxysteroid (17-beta) dehydrogenase 4 [Source:ZFIN;Acc:ZDB-GENE-040421-1]</t>
  </si>
  <si>
    <t>ENSDARG00000053695</t>
  </si>
  <si>
    <t>zgc:162948</t>
  </si>
  <si>
    <t>zgc:162948 [Source:ZFIN;Acc:ZDB-GENE-070424-46]</t>
  </si>
  <si>
    <t>ENSDARG00000086927</t>
  </si>
  <si>
    <t>pik3c2b</t>
  </si>
  <si>
    <t>phosphatidylinositol-4-phosphate 3-kinase, catalytic subunit type 2 beta [Source:ZFIN;Acc:ZDB-GENE-050309-145]</t>
  </si>
  <si>
    <t>ENSDARG00000089382</t>
  </si>
  <si>
    <t>zgc:158463</t>
  </si>
  <si>
    <t>zgc:158463 [Source:ZFIN;Acc:ZDB-GENE-070410-9]</t>
  </si>
  <si>
    <t>ENSDARG00000036245</t>
  </si>
  <si>
    <t>WIPF3</t>
  </si>
  <si>
    <t>sb:cb649 [Source:ZFIN;Acc:ZDB-GENE-030804-15]</t>
  </si>
  <si>
    <t>ENSDARG00000099252</t>
  </si>
  <si>
    <t>ipcef1</t>
  </si>
  <si>
    <t>interaction protein for cytohesin exchange factors 1 [Source:ZFIN;Acc:ZDB-GENE-060929-172]</t>
  </si>
  <si>
    <t>ENSDARG00000101858</t>
  </si>
  <si>
    <t>DST.2</t>
  </si>
  <si>
    <t>dystonin [Source:HGNC Symbol;Acc:HGNC:1090]</t>
  </si>
  <si>
    <t>ENSDARG00000100847</t>
  </si>
  <si>
    <t>ESRRB</t>
  </si>
  <si>
    <t>estrogen-related receptor beta [Source:HGNC Symbol;Acc:HGNC:3473]</t>
  </si>
  <si>
    <t>ENSDARG00000067801</t>
  </si>
  <si>
    <t>SEMA4D</t>
  </si>
  <si>
    <t>sema domain, immunoglobulin domain (Ig), transmembrane domain (TM) and short cytoplasmic domain, (semaphorin) 4D [Source:HGNC Symbol;Acc:HGNC:10732]</t>
  </si>
  <si>
    <t>ENSDARG00000074715</t>
  </si>
  <si>
    <t>stk17a</t>
  </si>
  <si>
    <t>serine/threonine kinase 17a [Source:ZFIN;Acc:ZDB-GENE-030131-5556]</t>
  </si>
  <si>
    <t>ENSDARG00000090886</t>
  </si>
  <si>
    <t>CU856539.4</t>
  </si>
  <si>
    <t>ENSDARG00000100309</t>
  </si>
  <si>
    <t>zgc:136308</t>
  </si>
  <si>
    <t>zgc:136308 [Source:ZFIN;Acc:ZDB-GENE-060512-206]</t>
  </si>
  <si>
    <t>ENSDARG00000088768</t>
  </si>
  <si>
    <t>PQLC1</t>
  </si>
  <si>
    <t>PQ loop repeat containing 1 [Source:HGNC Symbol;Acc:HGNC:26188]</t>
  </si>
  <si>
    <t>ENSDARG00000104795</t>
  </si>
  <si>
    <t>CT826376.2</t>
  </si>
  <si>
    <t>ENSDARG00000032769</t>
  </si>
  <si>
    <t>slc38a9</t>
  </si>
  <si>
    <t>solute carrier family 38, member 9 [Source:ZFIN;Acc:ZDB-GENE-061013-597]</t>
  </si>
  <si>
    <t>ENSDARG00000098081</t>
  </si>
  <si>
    <t>FO704905.1</t>
  </si>
  <si>
    <t>ENSDARG00000073821</t>
  </si>
  <si>
    <t>zgc:113397</t>
  </si>
  <si>
    <t>zgc:113397 [Source:ZFIN;Acc:ZDB-GENE-050913-13]</t>
  </si>
  <si>
    <t>ENSDARG00000021112</t>
  </si>
  <si>
    <t>c1d</t>
  </si>
  <si>
    <t>C1D nuclear receptor corepressor [Source:ZFIN;Acc:ZDB-GENE-041024-8]</t>
  </si>
  <si>
    <t>ENSDARG00000068104</t>
  </si>
  <si>
    <t>CABZ01041002.1</t>
  </si>
  <si>
    <t>ENSDARG00000039687</t>
  </si>
  <si>
    <t>zgc:194221</t>
  </si>
  <si>
    <t>zgc:194221 [Source:ZFIN;Acc:ZDB-GENE-081022-77]</t>
  </si>
  <si>
    <t>ENSDARG00000004405</t>
  </si>
  <si>
    <t>snx10a</t>
  </si>
  <si>
    <t>sorting nexin 10a [Source:ZFIN;Acc:ZDB-GENE-050809-44]</t>
  </si>
  <si>
    <t>ENSDARG00000069361</t>
  </si>
  <si>
    <t>spa17</t>
  </si>
  <si>
    <t>sperm autoantigenic protein 17 [Source:ZFIN;Acc:ZDB-GENE-061027-337]</t>
  </si>
  <si>
    <t>ENSDARG00000034916</t>
  </si>
  <si>
    <t>hat1</t>
  </si>
  <si>
    <t>histone acetyltransferase 1 [Source:ZFIN;Acc:ZDB-GENE-040912-99]</t>
  </si>
  <si>
    <t>ENSDARG00000100631</t>
  </si>
  <si>
    <t>klhl12</t>
  </si>
  <si>
    <t>kelch-like family member 12 [Source:ZFIN;Acc:ZDB-GENE-041114-205]</t>
  </si>
  <si>
    <t>ENSDARG00000052517</t>
  </si>
  <si>
    <t>AL954146.2</t>
  </si>
  <si>
    <t>ENSDARG00000079272</t>
  </si>
  <si>
    <t>tmem14cb</t>
  </si>
  <si>
    <t>transmembrane protein 14Cb [Source:ZFIN;Acc:ZDB-GENE-040912-34]</t>
  </si>
  <si>
    <t>ENSDARG00000059209</t>
  </si>
  <si>
    <t>abhd13</t>
  </si>
  <si>
    <t>abhydrolase domain containing 13 [Source:ZFIN;Acc:ZDB-GENE-051120-54]</t>
  </si>
  <si>
    <t>ENSDARG00000087452</t>
  </si>
  <si>
    <t>PELI3</t>
  </si>
  <si>
    <t>pellino E3 ubiquitin protein ligase family member 3 [Source:HGNC Symbol;Acc:HGNC:30010]</t>
  </si>
  <si>
    <t>ENSDARG00000098212</t>
  </si>
  <si>
    <t>CABZ01024848.1</t>
  </si>
  <si>
    <t>ENSDARG00000099429</t>
  </si>
  <si>
    <t>mrps15</t>
  </si>
  <si>
    <t>mitochondrial ribosomal protein S15 [Source:ZFIN;Acc:ZDB-GENE-040718-188]</t>
  </si>
  <si>
    <t>ENSDARG00000104765</t>
  </si>
  <si>
    <t>chek1</t>
  </si>
  <si>
    <t>checkpoint kinase 1 [Source:ZFIN;Acc:ZDB-GENE-040426-896]</t>
  </si>
  <si>
    <t>ENSDARG00000104864</t>
  </si>
  <si>
    <t>KLHDC2</t>
  </si>
  <si>
    <t>kelch domain containing 2 [Source:HGNC Symbol;Acc:HGNC:20231]</t>
  </si>
  <si>
    <t>ENSDARG00000103449</t>
  </si>
  <si>
    <t>CR391944.2</t>
  </si>
  <si>
    <t>ENSDARG00000077237</t>
  </si>
  <si>
    <t>RFX7.1</t>
  </si>
  <si>
    <t>ENSDARG00000058949</t>
  </si>
  <si>
    <t>CU856539.3</t>
  </si>
  <si>
    <t>ENSDARG00000037012</t>
  </si>
  <si>
    <t>slc3a2b</t>
  </si>
  <si>
    <t>solute carrier family 3 (amino acid transporter heavy chain), member 2b [Source:ZFIN;Acc:ZDB-GENE-040122-2]</t>
  </si>
  <si>
    <t>ENSDARG00000098215</t>
  </si>
  <si>
    <t>BICD2</t>
  </si>
  <si>
    <t>bicaudal D homolog 2 (Drosophila) [Source:HGNC Symbol;Acc:HGNC:17208]</t>
  </si>
  <si>
    <t>ENSDARG00000078683</t>
  </si>
  <si>
    <t>RNF14.1</t>
  </si>
  <si>
    <t>ENSDARG00000091727</t>
  </si>
  <si>
    <t>RNF14.2</t>
  </si>
  <si>
    <t>ENSDARG00000090195</t>
  </si>
  <si>
    <t>mtx3</t>
  </si>
  <si>
    <t>metaxin 3 [Source:ZFIN;Acc:ZDB-GENE-021210-3]</t>
  </si>
  <si>
    <t>ENSDARG00000101982</t>
  </si>
  <si>
    <t>spryd3</t>
  </si>
  <si>
    <t>SPRY domain containing 3 [Source:ZFIN;Acc:ZDB-GENE-070928-22]</t>
  </si>
  <si>
    <t>ENSDARG00000060631</t>
  </si>
  <si>
    <t>GARNL3</t>
  </si>
  <si>
    <t>GTPase-activating Rap/Ran-GAP domain-like protein 3  [Source:UniProtKB/Swiss-Prot;Acc:A5PF44]</t>
  </si>
  <si>
    <t>ENSDARG00000104128</t>
  </si>
  <si>
    <t>SNX2</t>
  </si>
  <si>
    <t>sorting nexin 2 [Source:HGNC Symbol;Acc:HGNC:11173]</t>
  </si>
  <si>
    <t>ENSDARG00000055690</t>
  </si>
  <si>
    <t>THAP6</t>
  </si>
  <si>
    <t>THAP6.1</t>
  </si>
  <si>
    <t>THAP domain containing 6 [Source:HGNC Symbol;Acc:HGNC:23189]</t>
  </si>
  <si>
    <t>ENSDARG00000062190</t>
  </si>
  <si>
    <t>PDE3B</t>
  </si>
  <si>
    <t>phosphodiesterase 3B [Source:HGNC Symbol;Acc:HGNC:8779]</t>
  </si>
  <si>
    <t>ENSDARG00000099214</t>
  </si>
  <si>
    <t>h2afvb</t>
  </si>
  <si>
    <t>H2A histone family, member Vb [Source:ZFIN;Acc:ZDB-GENE-050506-24]</t>
  </si>
  <si>
    <t>ENSDARG00000001929</t>
  </si>
  <si>
    <t>pink1</t>
  </si>
  <si>
    <t>PTEN induced putative kinase 1 [Source:ZFIN;Acc:ZDB-GENE-041212-53]</t>
  </si>
  <si>
    <t>ENSDARG00000098625</t>
  </si>
  <si>
    <t>efna5b</t>
  </si>
  <si>
    <t>ephrin-A5b [Source:ZFIN;Acc:ZDB-GENE-980526-186]</t>
  </si>
  <si>
    <t>ENSDARG00000041294</t>
  </si>
  <si>
    <t>noxo1a</t>
  </si>
  <si>
    <t>NADPH oxidase organizer 1a [Source:ZFIN;Acc:ZDB-GENE-030131-9700]</t>
  </si>
  <si>
    <t>ENSDARG00000104363</t>
  </si>
  <si>
    <t>CARTPT</t>
  </si>
  <si>
    <t>CARTPT.1</t>
  </si>
  <si>
    <t>CART prepropeptide [Source:HGNC Symbol;Acc:HGNC:24323]</t>
  </si>
  <si>
    <t>ENSDARG00000026895</t>
  </si>
  <si>
    <t>tor1l3</t>
  </si>
  <si>
    <t>torsin family 1 like 3 [Source:ZFIN;Acc:ZDB-GENE-040426-1859]</t>
  </si>
  <si>
    <t>ENSDARG00000098967</t>
  </si>
  <si>
    <t>RABGAP1</t>
  </si>
  <si>
    <t>RAB GTPase activating protein 1 [Source:HGNC Symbol;Acc:HGNC:17155]</t>
  </si>
  <si>
    <t>ENSDARG00000015793</t>
  </si>
  <si>
    <t>creb3l1</t>
  </si>
  <si>
    <t>cAMP responsive element binding protein 3-like 1 [Source:ZFIN;Acc:ZDB-GENE-030219-181]</t>
  </si>
  <si>
    <t>ENSDARG00000058830</t>
  </si>
  <si>
    <t>zdhhc3b</t>
  </si>
  <si>
    <t>zinc finger, DHHC-type containing 3b [Source:ZFIN;Acc:ZDB-GENE-061110-19]</t>
  </si>
  <si>
    <t>ENSDARG00000087018</t>
  </si>
  <si>
    <t>PRKD2</t>
  </si>
  <si>
    <t>protein kinase D2 [Source:HGNC Symbol;Acc:HGNC:17293]</t>
  </si>
  <si>
    <t>ENSDARG00000105159</t>
  </si>
  <si>
    <t>PHKA1</t>
  </si>
  <si>
    <t>phosphorylase kinase, alpha 1 (muscle) [Source:HGNC Symbol;Acc:HGNC:8925]</t>
  </si>
  <si>
    <t>ENSDARG00000102965</t>
  </si>
  <si>
    <t>BAHD1</t>
  </si>
  <si>
    <t>bromo adjacent homology domain containing 1 [Source:HGNC Symbol;Acc:HGNC:29153]</t>
  </si>
  <si>
    <t>ENSDARG00000102261</t>
  </si>
  <si>
    <t>RSPH1</t>
  </si>
  <si>
    <t>radial spoke head 1 homolog (Chlamydomonas) [Source:HGNC Symbol;Acc:HGNC:12371]</t>
  </si>
  <si>
    <t>ENSDARG00000067831</t>
  </si>
  <si>
    <t>tbata</t>
  </si>
  <si>
    <t>thymus, brain and testes associated [Source:ZFIN;Acc:ZDB-GENE-121030-4]</t>
  </si>
  <si>
    <t>ENSDARG00000103148</t>
  </si>
  <si>
    <t>pvrl4</t>
  </si>
  <si>
    <t>poliovirus receptor-related 4 [Source:ZFIN;Acc:ZDB-GENE-070912-114]</t>
  </si>
  <si>
    <t>ENSDARG00000059055</t>
  </si>
  <si>
    <t>ft2</t>
  </si>
  <si>
    <t>alpha(1,3)fucosyltransferase gene 2 [Source:ZFIN;Acc:ZDB-GENE-990715-18]</t>
  </si>
  <si>
    <t>ENSDARG00000100499</t>
  </si>
  <si>
    <t>CPEB4</t>
  </si>
  <si>
    <t>cytoplasmic polyadenylation element binding protein 4 [Source:HGNC Symbol;Acc:HGNC:21747]</t>
  </si>
  <si>
    <t>ENSDARG00000089177</t>
  </si>
  <si>
    <t>cyp46a1.3</t>
  </si>
  <si>
    <t>cytochrome P450, family 46, subfamily A, polypeptide 1, tandem duplicate 3 [Source:ZFIN;Acc:ZDB-GENE-060519-40]</t>
  </si>
  <si>
    <t>ENSDARG00000088862</t>
  </si>
  <si>
    <t>STXBP6</t>
  </si>
  <si>
    <t>syntaxin binding protein 6 (amisyn) [Source:HGNC Symbol;Acc:HGNC:19666]</t>
  </si>
  <si>
    <t>ENSDARG00000099056</t>
  </si>
  <si>
    <t>ACAA2</t>
  </si>
  <si>
    <t>acetyl-CoA acyltransferase 2 [Source:HGNC Symbol;Acc:HGNC:83]</t>
  </si>
  <si>
    <t>ENSDARG00000067668</t>
  </si>
  <si>
    <t>CEP57</t>
  </si>
  <si>
    <t>centrosomal protein 57kDa [Source:HGNC Symbol;Acc:HGNC:30794]</t>
  </si>
  <si>
    <t>ENSDARG00000103472</t>
  </si>
  <si>
    <t>nedd8l</t>
  </si>
  <si>
    <t>neural precursor cell expressed, developmentally down-regulated 8, like [Source:ZFIN;Acc:ZDB-GENE-040718-295]</t>
  </si>
  <si>
    <t>ENSDARG00000055504</t>
  </si>
  <si>
    <t>CD68</t>
  </si>
  <si>
    <t>wu:fb66f03 [Source:ZFIN;Acc:ZDB-GENE-030131-1312]</t>
  </si>
  <si>
    <t>ENSDARG00000101633</t>
  </si>
  <si>
    <t>CABZ01050166.1</t>
  </si>
  <si>
    <t>ENSDARG00000076673</t>
  </si>
  <si>
    <t>DSP</t>
  </si>
  <si>
    <t>desmoplakin [Source:HGNC Symbol;Acc:HGNC:3052]</t>
  </si>
  <si>
    <t>ENSDARG00000045530</t>
  </si>
  <si>
    <t>si:ch211-244b2.4</t>
  </si>
  <si>
    <t>si:ch211-244b2.4 [Source:ZFIN;Acc:ZDB-GENE-030131-8699]</t>
  </si>
  <si>
    <t>ENSDARG00000061301</t>
  </si>
  <si>
    <t>gmpr2</t>
  </si>
  <si>
    <t>guanosine monophosphate reductase 2 [Source:ZFIN;Acc:ZDB-GENE-030131-1238]</t>
  </si>
  <si>
    <t>ENSDARG00000104014</t>
  </si>
  <si>
    <t>MARK1</t>
  </si>
  <si>
    <t>MAP/microtubule affinity-regulating kinase 1 [Source:HGNC Symbol;Acc:HGNC:6896]</t>
  </si>
  <si>
    <t>ENSDARG00000098058</t>
  </si>
  <si>
    <t>CABZ01073832.1</t>
  </si>
  <si>
    <t>ENSDARG00000030665</t>
  </si>
  <si>
    <t>TCERG1</t>
  </si>
  <si>
    <t>transcription elongation regulator 1 [Source:HGNC Symbol;Acc:HGNC:15630]</t>
  </si>
  <si>
    <t>ENSDARG00000100088</t>
  </si>
  <si>
    <t>CU915738.1</t>
  </si>
  <si>
    <t>ENSDARG00000063359</t>
  </si>
  <si>
    <t>ARSI</t>
  </si>
  <si>
    <t>arylsulfatase family member I [Source:HGNC Symbol;Acc:HGNC:32521]</t>
  </si>
  <si>
    <t>ENSDARG00000098655</t>
  </si>
  <si>
    <t>KIF1C.1</t>
  </si>
  <si>
    <t>kinesin family member 1C [Source:HGNC Symbol;Acc:HGNC:6317]</t>
  </si>
  <si>
    <t>ENSDARG00000103796</t>
  </si>
  <si>
    <t>BX088712.2</t>
  </si>
  <si>
    <t>ENSDARG00000101560</t>
  </si>
  <si>
    <t>psma1</t>
  </si>
  <si>
    <t>proteasome subunit alpha 1 [Source:ZFIN;Acc:ZDB-GENE-040801-15]</t>
  </si>
  <si>
    <t>ENSDARG00000099419</t>
  </si>
  <si>
    <t>ME1</t>
  </si>
  <si>
    <t>malic enzyme 1, NADP(+)-dependent, cytosolic [Source:HGNC Symbol;Acc:HGNC:6983]</t>
  </si>
  <si>
    <t>ENSDARG00000036473</t>
  </si>
  <si>
    <t>SNAPC2</t>
  </si>
  <si>
    <t>small nuclear RNA activating complex polypeptide 2 [Source:HGNC Symbol;Acc:HGNC:11135]</t>
  </si>
  <si>
    <t>ENSDARG00000104584</t>
  </si>
  <si>
    <t>CABZ01050663.1</t>
  </si>
  <si>
    <t>ENSDARG00000100484</t>
  </si>
  <si>
    <t>CR450808.1</t>
  </si>
  <si>
    <t>ENSDARG00000060954</t>
  </si>
  <si>
    <t>tmcc1b</t>
  </si>
  <si>
    <t>transmembrane and coiled-coil domain family 1b [Source:ZFIN;Acc:ZDB-GENE-061013-154]</t>
  </si>
  <si>
    <t>ENSDARG00000093361</t>
  </si>
  <si>
    <t>BX323023.1</t>
  </si>
  <si>
    <t>ENSDARG00000015050</t>
  </si>
  <si>
    <t>calm3a.1</t>
  </si>
  <si>
    <t>ENSDARG00000035763</t>
  </si>
  <si>
    <t>stx18</t>
  </si>
  <si>
    <t>syntaxin 18 [Source:ZFIN;Acc:ZDB-GENE-050522-397]</t>
  </si>
  <si>
    <t>ENSDARG00000076861</t>
  </si>
  <si>
    <t>tmem79b</t>
  </si>
  <si>
    <t>transmembrane protein 79b [Source:ZFIN;Acc:ZDB-GENE-120807-1]</t>
  </si>
  <si>
    <t>ENSDARG00000086752</t>
  </si>
  <si>
    <t>CABZ01069013.1</t>
  </si>
  <si>
    <t>ENSDARG00000078615</t>
  </si>
  <si>
    <t>CABZ01085419.1</t>
  </si>
  <si>
    <t>ENSDARG00000069056</t>
  </si>
  <si>
    <t>ranbp3b</t>
  </si>
  <si>
    <t>RAN binding protein 3b [Source:ZFIN;Acc:ZDB-GENE-040426-1627]</t>
  </si>
  <si>
    <t>ENSDARG00000059658</t>
  </si>
  <si>
    <t>mrm1</t>
  </si>
  <si>
    <t>mitochondrial rRNA methyltransferase 1 homolog (S. cerevisiae) [Source:ZFIN;Acc:ZDB-GENE-060526-229]</t>
  </si>
  <si>
    <t>ENSDARG00000043237</t>
  </si>
  <si>
    <t>nfil3-2</t>
  </si>
  <si>
    <t>nuclear factor, interleukin 3 regulated, member 2 [Source:ZFIN;Acc:ZDB-GENE-110929-1]</t>
  </si>
  <si>
    <t>ENSDARG00000103357</t>
  </si>
  <si>
    <t>otud4.7</t>
  </si>
  <si>
    <t>ENSDARG00000098236</t>
  </si>
  <si>
    <t>BX324142.1</t>
  </si>
  <si>
    <t>ENSDARG00000104789</t>
  </si>
  <si>
    <t>KIAA0141</t>
  </si>
  <si>
    <t>KIAA0141 [Source:HGNC Symbol;Acc:HGNC:28969]</t>
  </si>
  <si>
    <t>ENSDARG00000054746</t>
  </si>
  <si>
    <t>uggt1</t>
  </si>
  <si>
    <t>UDP-glucose glycoprotein glucosyltransferase 1 [Source:ZFIN;Acc:ZDB-GENE-061103-619]</t>
  </si>
  <si>
    <t>ENSDARG00000104160</t>
  </si>
  <si>
    <t>CR628395.2</t>
  </si>
  <si>
    <t>ENSDARG00000100068</t>
  </si>
  <si>
    <t>BX936350.1</t>
  </si>
  <si>
    <t>ENSDARG00000101908</t>
  </si>
  <si>
    <t>rab3ip</t>
  </si>
  <si>
    <t>RAB3A interacting protein (rabin3) [Source:ZFIN;Acc:ZDB-GENE-050522-323]</t>
  </si>
  <si>
    <t>ENSDARG00000043371</t>
  </si>
  <si>
    <t>mdh2</t>
  </si>
  <si>
    <t>malate dehydrogenase 2, NAD (mitochondrial) [Source:ZFIN;Acc:ZDB-GENE-040426-2143]</t>
  </si>
  <si>
    <t>ENSDARG00000101675</t>
  </si>
  <si>
    <t>zgc:123107</t>
  </si>
  <si>
    <t>zgc:123107 [Source:ZFIN;Acc:ZDB-GENE-051113-192]</t>
  </si>
  <si>
    <t>ENSDARG00000009702</t>
  </si>
  <si>
    <t>ascl1b.1</t>
  </si>
  <si>
    <t>ENSDARG00000074367</t>
  </si>
  <si>
    <t>CR381676.1</t>
  </si>
  <si>
    <t>ENSDARG00000086495</t>
  </si>
  <si>
    <t>BX546500.1</t>
  </si>
  <si>
    <t>ENSDARG00000088463</t>
  </si>
  <si>
    <t>FO904873.1</t>
  </si>
  <si>
    <t>ENSDARG00000098788</t>
  </si>
  <si>
    <t>pcdh2g16</t>
  </si>
  <si>
    <t>protocadherin 2 gamma 16 [Source:ZFIN;Acc:ZDB-GENE-050610-6]</t>
  </si>
  <si>
    <t>ENSDARG00000036895</t>
  </si>
  <si>
    <t>dap1b.1</t>
  </si>
  <si>
    <t>ENSDARG00000101306</t>
  </si>
  <si>
    <t>mrpl15</t>
  </si>
  <si>
    <t>mitochondrial ribosomal protein L15 [Source:ZFIN;Acc:ZDB-GENE-040801-168]</t>
  </si>
  <si>
    <t>ENSDARG00000010596</t>
  </si>
  <si>
    <t>slc7a6os</t>
  </si>
  <si>
    <t>solute carrier family 7, member 6 opposite strand [Source:ZFIN;Acc:ZDB-GENE-041114-32]</t>
  </si>
  <si>
    <t>ENSDARG00000105127</t>
  </si>
  <si>
    <t>si:ch211-155e24.3</t>
  </si>
  <si>
    <t>si:ch211-155e24.3 [Source:ZFIN;Acc:ZDB-GENE-070912-116]</t>
  </si>
  <si>
    <t>ENSDARG00000090901</t>
  </si>
  <si>
    <t>si:ch211-256e16.11.1</t>
  </si>
  <si>
    <t>ENSDARG00000077537</t>
  </si>
  <si>
    <t>nudt19</t>
  </si>
  <si>
    <t>nudix (nucleoside diphosphate linked moiety X)-type motif 19 [Source:ZFIN;Acc:ZDB-GENE-081022-80]</t>
  </si>
  <si>
    <t>ENSDARG00000042561</t>
  </si>
  <si>
    <t>lpar2b</t>
  </si>
  <si>
    <t>lysophosphatidic acid receptor 2b [Source:ZFIN;Acc:ZDB-GENE-051120-99]</t>
  </si>
  <si>
    <t>ENSDARG00000103185</t>
  </si>
  <si>
    <t>aspscr1.1</t>
  </si>
  <si>
    <t>ENSDARG00000101618</t>
  </si>
  <si>
    <t>ube2c</t>
  </si>
  <si>
    <t>ubiquitin-conjugating enzyme E2C [Source:ZFIN;Acc:ZDB-GENE-051030-48]</t>
  </si>
  <si>
    <t>ENSDARG00000090169</t>
  </si>
  <si>
    <t>si:dkey-1f1.3.1</t>
  </si>
  <si>
    <t>ENSDARG00000023394</t>
  </si>
  <si>
    <t>slc37a2</t>
  </si>
  <si>
    <t>solute carrier family 37 (glucose-6-phosphate transporter), member 2 [Source:ZFIN;Acc:ZDB-GENE-040426-1949]</t>
  </si>
  <si>
    <t>ENSDARG00000035770</t>
  </si>
  <si>
    <t>ube2c.1</t>
  </si>
  <si>
    <t>ENSDARG00000101746</t>
  </si>
  <si>
    <t>znf1102.2</t>
  </si>
  <si>
    <t>ENSDARG00000104407</t>
  </si>
  <si>
    <t>BX649453.3</t>
  </si>
  <si>
    <t>ENSDARG00000102473</t>
  </si>
  <si>
    <t>zgc:171673</t>
  </si>
  <si>
    <t>zgc:171673 [Source:ZFIN;Acc:ZDB-GENE-071004-20]</t>
  </si>
  <si>
    <t>ENSDARG00000089428</t>
  </si>
  <si>
    <t>rab12</t>
  </si>
  <si>
    <t>RAB12, member RAS oncogene family [Source:ZFIN;Acc:ZDB-GENE-050522-555]</t>
  </si>
  <si>
    <t>ENSDARG00000086555</t>
  </si>
  <si>
    <t>zgc:163040</t>
  </si>
  <si>
    <t>zgc:163040.2</t>
  </si>
  <si>
    <t>zgc:163040 [Source:ZFIN;Acc:ZDB-GENE-070424-79]</t>
  </si>
  <si>
    <t>ENSDARG00000098507</t>
  </si>
  <si>
    <t>lyar</t>
  </si>
  <si>
    <t>Ly1 antibody reactive homolog (mouse) [Source:ZFIN;Acc:ZDB-GENE-040426-1414]</t>
  </si>
  <si>
    <t>ENSDARG00000101915</t>
  </si>
  <si>
    <t>pin1</t>
  </si>
  <si>
    <t>protein (peptidyl-prolyl cis/trans isomerase) NIMA-interacting 1 [Source:ZFIN;Acc:ZDB-GENE-040426-1714]</t>
  </si>
  <si>
    <t>ENSDARG00000099619</t>
  </si>
  <si>
    <t>GTF3C1.1</t>
  </si>
  <si>
    <t>ENSDARG00000102749</t>
  </si>
  <si>
    <t>CABZ01021450.3</t>
  </si>
  <si>
    <t>ENSDARG00000104163</t>
  </si>
  <si>
    <t>CABZ01071912.1</t>
  </si>
  <si>
    <t>ENSDARG00000099521</t>
  </si>
  <si>
    <t>CU466240.1</t>
  </si>
  <si>
    <t>ENSDARG00000100651</t>
  </si>
  <si>
    <t>PDCL3</t>
  </si>
  <si>
    <t>phosducin like 3 [Source:HGNC Symbol;Acc:HGNC:28860]</t>
  </si>
  <si>
    <t>ENSDARG00000099196</t>
  </si>
  <si>
    <t>cplx3a</t>
  </si>
  <si>
    <t>cplx3a.1</t>
  </si>
  <si>
    <t>complexin 3a [Source:ZFIN;Acc:ZDB-GENE-090313-349]</t>
  </si>
  <si>
    <t>ENSDARG00000105284</t>
  </si>
  <si>
    <t>Metazoa_SRP</t>
  </si>
  <si>
    <t>Metazoa_SRP.79</t>
  </si>
  <si>
    <t>Metazoan signal recognition particle RNA [Source:RFAM;Acc:RF00017]</t>
  </si>
  <si>
    <t>ENSDARG00000063670</t>
  </si>
  <si>
    <t>gtf2a1l.1</t>
  </si>
  <si>
    <t>ENSDARG00000105254</t>
  </si>
  <si>
    <t>RAB37</t>
  </si>
  <si>
    <t>RAB37, member RAS oncogene family [Source:HGNC Symbol;Acc:HGNC:30268]</t>
  </si>
  <si>
    <t>ENSDARG00000098664</t>
  </si>
  <si>
    <t>si:dkeyp-53d3.3</t>
  </si>
  <si>
    <t>si:dkeyp-53d3.3 [Source:ZFIN;Acc:ZDB-GENE-050208-644]</t>
  </si>
  <si>
    <t>ENSDARG00000103859</t>
  </si>
  <si>
    <t>KRTCAP2</t>
  </si>
  <si>
    <t>keratinocyte associated protein 2 [Source:HGNC Symbol;Acc:HGNC:28942]</t>
  </si>
  <si>
    <t>ENSDARG00000074995</t>
  </si>
  <si>
    <t>eif2b5</t>
  </si>
  <si>
    <t>eukaryotic translation initiation factor 2B, subunit 5 epsilon [Source:ZFIN;Acc:ZDB-GENE-030131-5364]</t>
  </si>
  <si>
    <t>ENSDARG00000102794</t>
  </si>
  <si>
    <t>FQ311890.1</t>
  </si>
  <si>
    <t>ENSDARG00000062748</t>
  </si>
  <si>
    <t>pkn1b</t>
  </si>
  <si>
    <t>protein kinase N1b [Source:ZFIN;Acc:ZDB-GENE-070424-87]</t>
  </si>
  <si>
    <t>ENSDARG00000025220</t>
  </si>
  <si>
    <t>sppl3</t>
  </si>
  <si>
    <t>signal peptide peptidase 3 [Source:ZFIN;Acc:ZDB-GENE-050913-71]</t>
  </si>
  <si>
    <t>ENSDARG00000076117</t>
  </si>
  <si>
    <t>STARD5</t>
  </si>
  <si>
    <t>StAR related lipid transfer domain containing 5 [Source:HGNC Symbol;Acc:HGNC:18065]</t>
  </si>
  <si>
    <t>ENSDARG00000103817</t>
  </si>
  <si>
    <t>TMEM42.1</t>
  </si>
  <si>
    <t>transmembrane protein 42 [Source:HGNC Symbol;Acc:HGNC:28444]</t>
  </si>
  <si>
    <t>ENSDARG00000002794</t>
  </si>
  <si>
    <t>RNF14.3</t>
  </si>
  <si>
    <t>ENSDARG00000086455</t>
  </si>
  <si>
    <t>clpxa.1</t>
  </si>
  <si>
    <t>ENSDARG00000088309</t>
  </si>
  <si>
    <t>CT573337.1</t>
  </si>
  <si>
    <t>ENSDARG00000100952</t>
  </si>
  <si>
    <t>wu:fj16a03</t>
  </si>
  <si>
    <t>wu:fj16a03 [Source:EntrezGene;Acc:335475]</t>
  </si>
  <si>
    <t>ENSDARG00000052658</t>
  </si>
  <si>
    <t>pptc7b</t>
  </si>
  <si>
    <t>PTC7 protein phosphatase homolog b [Source:ZFIN;Acc:ZDB-GENE-081105-111]</t>
  </si>
  <si>
    <t>ENSDARG00000061372</t>
  </si>
  <si>
    <t>cog7</t>
  </si>
  <si>
    <t>component of oligomeric golgi complex 7 [Source:ZFIN;Acc:ZDB-GENE-061013-463]</t>
  </si>
  <si>
    <t>ENSDARG00000033508</t>
  </si>
  <si>
    <t>CTXN3</t>
  </si>
  <si>
    <t>cortexin 3 [Source:HGNC Symbol;Acc:HGNC:31110]</t>
  </si>
  <si>
    <t>ENSDARG00000046054</t>
  </si>
  <si>
    <t>SLC27A3</t>
  </si>
  <si>
    <t>solute carrier family 27 (fatty acid transporter), member 3 [Source:HGNC Symbol;Acc:HGNC:10997]</t>
  </si>
  <si>
    <t>ENSDARG00000012947</t>
  </si>
  <si>
    <t>ska2</t>
  </si>
  <si>
    <t>spindle and kinetochore associated complex subunit 2 [Source:ZFIN;Acc:ZDB-GENE-041008-202]</t>
  </si>
  <si>
    <t>ENSDARG00000069190</t>
  </si>
  <si>
    <t>zgc:172339</t>
  </si>
  <si>
    <t>zgc:172339 [Source:ZFIN;Acc:ZDB-GENE-080204-115]</t>
  </si>
  <si>
    <t>ENSDARG00000089995</t>
  </si>
  <si>
    <t>BX511080.1</t>
  </si>
  <si>
    <t>ENSDARG00000088663</t>
  </si>
  <si>
    <t>lman2lb</t>
  </si>
  <si>
    <t>lectin, mannose-binding 2-like b [Source:ZFIN;Acc:ZDB-GENE-060929-256]</t>
  </si>
  <si>
    <t>ENSDARG00000025693</t>
  </si>
  <si>
    <t>tmem9b</t>
  </si>
  <si>
    <t>TMEM9 domain family, member B [Source:ZFIN;Acc:ZDB-GENE-030131-4656]</t>
  </si>
  <si>
    <t>ENSDARG00000094780</t>
  </si>
  <si>
    <t>L3MBTL4</t>
  </si>
  <si>
    <t>l(3)mbt-like 4 (Drosophila) [Source:HGNC Symbol;Acc:HGNC:26677]</t>
  </si>
  <si>
    <t>ENSDARG00000102257</t>
  </si>
  <si>
    <t>soul3</t>
  </si>
  <si>
    <t>heme-binding protein soul3 [Source:ZFIN;Acc:ZDB-GENE-060825-287]</t>
  </si>
  <si>
    <t>ENSDARG00000089922</t>
  </si>
  <si>
    <t>DSN1</t>
  </si>
  <si>
    <t>DSN1 homolog, MIS12 kinetochore complex component [Source:HGNC Symbol;Acc:HGNC:16165]</t>
  </si>
  <si>
    <t>ENSDARG00000061725</t>
  </si>
  <si>
    <t>MAST3</t>
  </si>
  <si>
    <t>microtubule associated serine/threonine kinase 3 [Source:HGNC Symbol;Acc:HGNC:19036]</t>
  </si>
  <si>
    <t>ENSDARG00000079780</t>
  </si>
  <si>
    <t>HNRNPUL1</t>
  </si>
  <si>
    <t>heterogeneous nuclear ribonucleoprotein U-like 1 [Source:HGNC Symbol;Acc:HGNC:17011]</t>
  </si>
  <si>
    <t>ENSDARG00000062542</t>
  </si>
  <si>
    <t>fgf12b</t>
  </si>
  <si>
    <t>fibroblast growth factor 12b [Source:ZFIN;Acc:ZDB-GENE-060825-134]</t>
  </si>
  <si>
    <t>ENSDARG00000035544</t>
  </si>
  <si>
    <t>etnppl</t>
  </si>
  <si>
    <t>ethanolamine-phosphate phospho-lyase [Source:ZFIN;Acc:ZDB-GENE-040426-1133]</t>
  </si>
  <si>
    <t>ENSDARG00000036305</t>
  </si>
  <si>
    <t>phf23b</t>
  </si>
  <si>
    <t>PHD finger protein 23b [Source:ZFIN;Acc:ZDB-GENE-030131-5895]</t>
  </si>
  <si>
    <t>ENSDARG00000099894</t>
  </si>
  <si>
    <t>CT030737.1</t>
  </si>
  <si>
    <t>ENSDARG00000099760</t>
  </si>
  <si>
    <t>CT573263.1</t>
  </si>
  <si>
    <t>ENSDARG00000036136</t>
  </si>
  <si>
    <t>tipin</t>
  </si>
  <si>
    <t>timeless interacting protein [Source:ZFIN;Acc:ZDB-GENE-040801-189]</t>
  </si>
  <si>
    <t>ENSDARG00000098312</t>
  </si>
  <si>
    <t>scarb2</t>
  </si>
  <si>
    <t>scavenger receptor class B, member 2 [Source:ZFIN;Acc:ZDB-GENE-020419-29]</t>
  </si>
  <si>
    <t>ENSDARG00000008035</t>
  </si>
  <si>
    <t>zgc:113516</t>
  </si>
  <si>
    <t>zgc:113516 [Source:ZFIN;Acc:ZDB-GENE-050320-154]</t>
  </si>
  <si>
    <t>ENSDARG00000104367</t>
  </si>
  <si>
    <t>zgc:194469</t>
  </si>
  <si>
    <t>zgc:194469 [Source:ZFIN;Acc:ZDB-GENE-081022-114]</t>
  </si>
  <si>
    <t>ENSDARG00000076836</t>
  </si>
  <si>
    <t>gpx4b</t>
  </si>
  <si>
    <t>glutathione peroxidase 4b [Source:ZFIN;Acc:ZDB-GENE-030410-3]</t>
  </si>
  <si>
    <t>ENSDARG00000101091</t>
  </si>
  <si>
    <t>BX322597.1</t>
  </si>
  <si>
    <t>ENSDARG00000098192</t>
  </si>
  <si>
    <t>CABZ01002718.1</t>
  </si>
  <si>
    <t>ENSDARG00000042725</t>
  </si>
  <si>
    <t>cebpb</t>
  </si>
  <si>
    <t>CCAAT/enhancer binding protein (C/EBP), beta [Source:ZFIN;Acc:ZDB-GENE-020111-3]</t>
  </si>
  <si>
    <t>ENSDARG00000070697</t>
  </si>
  <si>
    <t>RNF223</t>
  </si>
  <si>
    <t>RNF223.1</t>
  </si>
  <si>
    <t>ring finger protein 223 [Source:HGNC Symbol;Acc:HGNC:40020]</t>
  </si>
  <si>
    <t>ENSDARG00000102083</t>
  </si>
  <si>
    <t>CR792415.1</t>
  </si>
  <si>
    <t>Gene.name.unique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</si>
</sst>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8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9.5" bestFit="1" customWidth="1"/>
    <col min="2" max="2" width="18.5" bestFit="1" customWidth="1"/>
    <col min="3" max="3" width="18.1640625" bestFit="1" customWidth="1"/>
    <col min="4" max="4" width="33.5" bestFit="1" customWidth="1"/>
    <col min="5" max="5" width="155.5" bestFit="1" customWidth="1"/>
  </cols>
  <sheetData>
    <row r="1" spans="1:5" x14ac:dyDescent="0.2">
      <c r="A1" t="s">
        <v>0</v>
      </c>
      <c r="B1" t="s">
        <v>1</v>
      </c>
      <c r="C1" t="s">
        <v>45929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">
        <v>5</v>
      </c>
      <c r="D2" t="str">
        <f>HYPERLINK("https://zfin.org/")</f>
        <v>https://zfin.org/</v>
      </c>
    </row>
    <row r="3" spans="1:5" x14ac:dyDescent="0.2">
      <c r="A3" t="s">
        <v>6</v>
      </c>
      <c r="B3" t="s">
        <v>7</v>
      </c>
      <c r="C3" t="s">
        <v>7</v>
      </c>
      <c r="D3" t="str">
        <f>HYPERLINK("https://zfin.org/")</f>
        <v>https://zfin.org/</v>
      </c>
    </row>
    <row r="4" spans="1:5" x14ac:dyDescent="0.2">
      <c r="A4" t="s">
        <v>8</v>
      </c>
      <c r="B4" t="s">
        <v>9</v>
      </c>
      <c r="C4" t="s">
        <v>9</v>
      </c>
      <c r="D4" t="str">
        <f>HYPERLINK("https://zfin.org/")</f>
        <v>https://zfin.org/</v>
      </c>
    </row>
    <row r="5" spans="1:5" x14ac:dyDescent="0.2">
      <c r="A5" t="s">
        <v>10</v>
      </c>
      <c r="B5" t="s">
        <v>11</v>
      </c>
      <c r="C5" t="s">
        <v>11</v>
      </c>
      <c r="D5" t="str">
        <f>HYPERLINK("https://zfin.org/ZDB-GENE-011205-7")</f>
        <v>https://zfin.org/ZDB-GENE-011205-7</v>
      </c>
      <c r="E5" t="s">
        <v>12</v>
      </c>
    </row>
    <row r="6" spans="1:5" x14ac:dyDescent="0.2">
      <c r="A6" t="s">
        <v>13</v>
      </c>
      <c r="B6" t="s">
        <v>14</v>
      </c>
      <c r="C6" t="s">
        <v>14</v>
      </c>
      <c r="D6" t="str">
        <f>HYPERLINK("https://zfin.org/ZDB-GENE-011205-8")</f>
        <v>https://zfin.org/ZDB-GENE-011205-8</v>
      </c>
      <c r="E6" t="s">
        <v>15</v>
      </c>
    </row>
    <row r="7" spans="1:5" x14ac:dyDescent="0.2">
      <c r="A7" t="s">
        <v>16</v>
      </c>
      <c r="B7" t="s">
        <v>17</v>
      </c>
      <c r="C7" t="s">
        <v>17</v>
      </c>
      <c r="D7" t="str">
        <f>HYPERLINK("https://zfin.org/")</f>
        <v>https://zfin.org/</v>
      </c>
    </row>
    <row r="8" spans="1:5" x14ac:dyDescent="0.2">
      <c r="A8" t="s">
        <v>18</v>
      </c>
      <c r="B8" t="s">
        <v>19</v>
      </c>
      <c r="C8" t="s">
        <v>19</v>
      </c>
      <c r="D8" t="str">
        <f>HYPERLINK("https://zfin.org/ZDB-GENE-011205-14")</f>
        <v>https://zfin.org/ZDB-GENE-011205-14</v>
      </c>
      <c r="E8" t="s">
        <v>20</v>
      </c>
    </row>
    <row r="9" spans="1:5" x14ac:dyDescent="0.2">
      <c r="A9" t="s">
        <v>21</v>
      </c>
      <c r="B9" t="s">
        <v>22</v>
      </c>
      <c r="C9" t="s">
        <v>22</v>
      </c>
      <c r="D9" t="str">
        <f>HYPERLINK("https://zfin.org/ZDB-GENE-011205-15")</f>
        <v>https://zfin.org/ZDB-GENE-011205-15</v>
      </c>
      <c r="E9" t="s">
        <v>23</v>
      </c>
    </row>
    <row r="10" spans="1:5" x14ac:dyDescent="0.2">
      <c r="A10" t="s">
        <v>24</v>
      </c>
      <c r="B10" t="s">
        <v>25</v>
      </c>
      <c r="C10" t="s">
        <v>25</v>
      </c>
      <c r="D10" t="str">
        <f>HYPERLINK("https://zfin.org/ZDB-GENE-011205-19")</f>
        <v>https://zfin.org/ZDB-GENE-011205-19</v>
      </c>
      <c r="E10" t="s">
        <v>26</v>
      </c>
    </row>
    <row r="11" spans="1:5" x14ac:dyDescent="0.2">
      <c r="A11" t="s">
        <v>27</v>
      </c>
      <c r="B11" t="s">
        <v>28</v>
      </c>
      <c r="C11" t="s">
        <v>28</v>
      </c>
      <c r="D11" t="str">
        <f>HYPERLINK("https://zfin.org/ZDB-GENE-011205-18")</f>
        <v>https://zfin.org/ZDB-GENE-011205-18</v>
      </c>
      <c r="E11" t="s">
        <v>29</v>
      </c>
    </row>
    <row r="12" spans="1:5" x14ac:dyDescent="0.2">
      <c r="A12" t="s">
        <v>30</v>
      </c>
      <c r="B12" t="s">
        <v>31</v>
      </c>
      <c r="C12" t="s">
        <v>31</v>
      </c>
      <c r="D12" t="str">
        <f>HYPERLINK("https://zfin.org/ZDB-GENE-011205-16")</f>
        <v>https://zfin.org/ZDB-GENE-011205-16</v>
      </c>
      <c r="E12" t="s">
        <v>32</v>
      </c>
    </row>
    <row r="13" spans="1:5" x14ac:dyDescent="0.2">
      <c r="A13" t="s">
        <v>33</v>
      </c>
      <c r="B13" t="s">
        <v>34</v>
      </c>
      <c r="C13" t="s">
        <v>34</v>
      </c>
      <c r="D13" t="str">
        <f>HYPERLINK("https://zfin.org/ZDB-GENE-011205-9")</f>
        <v>https://zfin.org/ZDB-GENE-011205-9</v>
      </c>
      <c r="E13" t="s">
        <v>35</v>
      </c>
    </row>
    <row r="14" spans="1:5" x14ac:dyDescent="0.2">
      <c r="A14" t="s">
        <v>36</v>
      </c>
      <c r="B14" t="s">
        <v>37</v>
      </c>
      <c r="C14" t="s">
        <v>37</v>
      </c>
      <c r="D14" t="str">
        <f>HYPERLINK("https://zfin.org/ZDB-GENE-011205-11")</f>
        <v>https://zfin.org/ZDB-GENE-011205-11</v>
      </c>
      <c r="E14" t="s">
        <v>38</v>
      </c>
    </row>
    <row r="15" spans="1:5" x14ac:dyDescent="0.2">
      <c r="A15" t="s">
        <v>39</v>
      </c>
      <c r="B15" t="s">
        <v>40</v>
      </c>
      <c r="C15" t="s">
        <v>40</v>
      </c>
      <c r="D15" t="str">
        <f>HYPERLINK("https://zfin.org/ZDB-GENE-011205-10")</f>
        <v>https://zfin.org/ZDB-GENE-011205-10</v>
      </c>
      <c r="E15" t="s">
        <v>41</v>
      </c>
    </row>
    <row r="16" spans="1:5" x14ac:dyDescent="0.2">
      <c r="A16" t="s">
        <v>42</v>
      </c>
      <c r="B16" t="s">
        <v>43</v>
      </c>
      <c r="C16" t="s">
        <v>43</v>
      </c>
      <c r="D16" t="str">
        <f>HYPERLINK("https://zfin.org/")</f>
        <v>https://zfin.org/</v>
      </c>
    </row>
    <row r="17" spans="1:5" x14ac:dyDescent="0.2">
      <c r="A17" t="s">
        <v>44</v>
      </c>
      <c r="B17" t="s">
        <v>45</v>
      </c>
      <c r="C17" t="s">
        <v>45</v>
      </c>
      <c r="D17" t="str">
        <f>HYPERLINK("https://zfin.org/")</f>
        <v>https://zfin.org/</v>
      </c>
    </row>
    <row r="18" spans="1:5" x14ac:dyDescent="0.2">
      <c r="A18" t="s">
        <v>46</v>
      </c>
      <c r="B18" t="s">
        <v>47</v>
      </c>
      <c r="C18" t="s">
        <v>47</v>
      </c>
      <c r="D18" t="str">
        <f>HYPERLINK("https://zfin.org/ZDB-GENE-011205-12")</f>
        <v>https://zfin.org/ZDB-GENE-011205-12</v>
      </c>
      <c r="E18" t="s">
        <v>48</v>
      </c>
    </row>
    <row r="19" spans="1:5" x14ac:dyDescent="0.2">
      <c r="A19" t="s">
        <v>49</v>
      </c>
      <c r="B19" t="s">
        <v>50</v>
      </c>
      <c r="C19" t="s">
        <v>50</v>
      </c>
      <c r="D19" t="str">
        <f>HYPERLINK("https://zfin.org/ZDB-GENE-011205-13")</f>
        <v>https://zfin.org/ZDB-GENE-011205-13</v>
      </c>
      <c r="E19" t="s">
        <v>51</v>
      </c>
    </row>
    <row r="20" spans="1:5" x14ac:dyDescent="0.2">
      <c r="A20" t="s">
        <v>52</v>
      </c>
      <c r="B20" t="s">
        <v>53</v>
      </c>
      <c r="C20" t="s">
        <v>53</v>
      </c>
      <c r="D20" t="str">
        <f>HYPERLINK("https://zfin.org/ZDB-GENE-011205-17")</f>
        <v>https://zfin.org/ZDB-GENE-011205-17</v>
      </c>
      <c r="E20" t="s">
        <v>54</v>
      </c>
    </row>
    <row r="21" spans="1:5" x14ac:dyDescent="0.2">
      <c r="A21" t="s">
        <v>55</v>
      </c>
      <c r="B21" t="s">
        <v>56</v>
      </c>
      <c r="C21" t="s">
        <v>56</v>
      </c>
      <c r="D21" t="str">
        <f>HYPERLINK("https://zfin.org/")</f>
        <v>https://zfin.org/</v>
      </c>
    </row>
    <row r="22" spans="1:5" x14ac:dyDescent="0.2">
      <c r="A22" t="s">
        <v>57</v>
      </c>
      <c r="B22" t="s">
        <v>58</v>
      </c>
      <c r="C22" t="s">
        <v>58</v>
      </c>
      <c r="D22" t="str">
        <f>HYPERLINK("https://zfin.org/ZDB-GENE-990415-56")</f>
        <v>https://zfin.org/ZDB-GENE-990415-56</v>
      </c>
      <c r="E22" t="s">
        <v>59</v>
      </c>
    </row>
    <row r="23" spans="1:5" x14ac:dyDescent="0.2">
      <c r="A23" t="s">
        <v>60</v>
      </c>
      <c r="B23" t="s">
        <v>61</v>
      </c>
      <c r="C23" t="s">
        <v>61</v>
      </c>
      <c r="D23" t="str">
        <f>HYPERLINK("https://zfin.org/ZDB-GENE-030131-9049")</f>
        <v>https://zfin.org/ZDB-GENE-030131-9049</v>
      </c>
      <c r="E23" t="s">
        <v>62</v>
      </c>
    </row>
    <row r="24" spans="1:5" x14ac:dyDescent="0.2">
      <c r="A24" t="s">
        <v>63</v>
      </c>
      <c r="B24" t="s">
        <v>64</v>
      </c>
      <c r="C24" t="s">
        <v>64</v>
      </c>
      <c r="D24" t="str">
        <f>HYPERLINK("https://zfin.org/ZDB-GENE-040426-1977")</f>
        <v>https://zfin.org/ZDB-GENE-040426-1977</v>
      </c>
      <c r="E24" t="s">
        <v>65</v>
      </c>
    </row>
    <row r="25" spans="1:5" x14ac:dyDescent="0.2">
      <c r="A25" t="s">
        <v>66</v>
      </c>
      <c r="B25" t="s">
        <v>67</v>
      </c>
      <c r="C25" t="s">
        <v>67</v>
      </c>
      <c r="D25" t="str">
        <f>HYPERLINK("https://zfin.org/ZDB-GENE-141212-382")</f>
        <v>https://zfin.org/ZDB-GENE-141212-382</v>
      </c>
      <c r="E25" t="s">
        <v>68</v>
      </c>
    </row>
    <row r="26" spans="1:5" x14ac:dyDescent="0.2">
      <c r="A26" t="s">
        <v>69</v>
      </c>
      <c r="B26" t="s">
        <v>70</v>
      </c>
      <c r="C26" t="s">
        <v>70</v>
      </c>
      <c r="D26" t="str">
        <f>HYPERLINK("https://zfin.org/ZDB-GENE-141212-308")</f>
        <v>https://zfin.org/ZDB-GENE-141212-308</v>
      </c>
      <c r="E26" t="s">
        <v>71</v>
      </c>
    </row>
    <row r="27" spans="1:5" x14ac:dyDescent="0.2">
      <c r="A27" t="s">
        <v>72</v>
      </c>
      <c r="B27" t="s">
        <v>73</v>
      </c>
      <c r="C27" t="s">
        <v>73</v>
      </c>
      <c r="D27" t="str">
        <f>HYPERLINK("https://zfin.org/ZDB-GENE-100922-222")</f>
        <v>https://zfin.org/ZDB-GENE-100922-222</v>
      </c>
      <c r="E27" t="s">
        <v>74</v>
      </c>
    </row>
    <row r="28" spans="1:5" x14ac:dyDescent="0.2">
      <c r="A28" t="s">
        <v>75</v>
      </c>
      <c r="B28" t="s">
        <v>76</v>
      </c>
      <c r="C28" t="s">
        <v>76</v>
      </c>
      <c r="D28" t="str">
        <f>HYPERLINK("https://zfin.org/ZDB-GENE-040426-2461")</f>
        <v>https://zfin.org/ZDB-GENE-040426-2461</v>
      </c>
      <c r="E28" t="s">
        <v>77</v>
      </c>
    </row>
    <row r="29" spans="1:5" x14ac:dyDescent="0.2">
      <c r="A29" t="s">
        <v>78</v>
      </c>
      <c r="B29" t="s">
        <v>79</v>
      </c>
      <c r="C29" t="s">
        <v>79</v>
      </c>
      <c r="D29" t="str">
        <f>HYPERLINK("https://zfin.org/ZDB-GENE-081030-1")</f>
        <v>https://zfin.org/ZDB-GENE-081030-1</v>
      </c>
      <c r="E29" t="s">
        <v>80</v>
      </c>
    </row>
    <row r="30" spans="1:5" x14ac:dyDescent="0.2">
      <c r="A30" t="s">
        <v>81</v>
      </c>
      <c r="B30" t="s">
        <v>82</v>
      </c>
      <c r="C30" t="s">
        <v>82</v>
      </c>
      <c r="D30" t="str">
        <f>HYPERLINK("https://zfin.org/ZDB-GENE-110419-3")</f>
        <v>https://zfin.org/ZDB-GENE-110419-3</v>
      </c>
      <c r="E30" t="s">
        <v>83</v>
      </c>
    </row>
    <row r="31" spans="1:5" x14ac:dyDescent="0.2">
      <c r="A31" t="s">
        <v>84</v>
      </c>
      <c r="B31" t="s">
        <v>85</v>
      </c>
      <c r="C31" t="s">
        <v>85</v>
      </c>
      <c r="D31" t="str">
        <f>HYPERLINK("https://zfin.org/ZDB-GENE-130530-962")</f>
        <v>https://zfin.org/ZDB-GENE-130530-962</v>
      </c>
      <c r="E31" t="s">
        <v>86</v>
      </c>
    </row>
    <row r="32" spans="1:5" x14ac:dyDescent="0.2">
      <c r="A32" t="s">
        <v>87</v>
      </c>
      <c r="B32" t="s">
        <v>88</v>
      </c>
      <c r="C32" t="s">
        <v>88</v>
      </c>
      <c r="D32" t="str">
        <f>HYPERLINK("https://zfin.org/ZDB-GENE-050522-224")</f>
        <v>https://zfin.org/ZDB-GENE-050522-224</v>
      </c>
      <c r="E32" t="s">
        <v>89</v>
      </c>
    </row>
    <row r="33" spans="1:5" x14ac:dyDescent="0.2">
      <c r="A33" t="s">
        <v>90</v>
      </c>
      <c r="B33" t="s">
        <v>91</v>
      </c>
      <c r="C33" t="s">
        <v>91</v>
      </c>
      <c r="D33" t="str">
        <f>HYPERLINK("https://zfin.org/ZDB-GENE-040704-33")</f>
        <v>https://zfin.org/ZDB-GENE-040704-33</v>
      </c>
      <c r="E33" t="s">
        <v>92</v>
      </c>
    </row>
    <row r="34" spans="1:5" x14ac:dyDescent="0.2">
      <c r="A34" t="s">
        <v>93</v>
      </c>
      <c r="B34" t="s">
        <v>94</v>
      </c>
      <c r="C34" t="s">
        <v>94</v>
      </c>
      <c r="D34" t="str">
        <f>HYPERLINK("https://zfin.org/ZDB-GENE-131127-439")</f>
        <v>https://zfin.org/ZDB-GENE-131127-439</v>
      </c>
      <c r="E34" t="s">
        <v>95</v>
      </c>
    </row>
    <row r="35" spans="1:5" x14ac:dyDescent="0.2">
      <c r="A35" t="s">
        <v>96</v>
      </c>
      <c r="B35" t="s">
        <v>97</v>
      </c>
      <c r="C35" t="s">
        <v>97</v>
      </c>
      <c r="D35" t="str">
        <f>HYPERLINK("https://zfin.org/ZDB-GENE-131127-271")</f>
        <v>https://zfin.org/ZDB-GENE-131127-271</v>
      </c>
      <c r="E35" t="s">
        <v>98</v>
      </c>
    </row>
    <row r="36" spans="1:5" x14ac:dyDescent="0.2">
      <c r="A36" t="s">
        <v>99</v>
      </c>
      <c r="B36" t="s">
        <v>100</v>
      </c>
      <c r="C36" t="s">
        <v>100</v>
      </c>
      <c r="D36" t="str">
        <f>HYPERLINK("https://zfin.org/ZDB-GENE-090312-152")</f>
        <v>https://zfin.org/ZDB-GENE-090312-152</v>
      </c>
      <c r="E36" t="s">
        <v>101</v>
      </c>
    </row>
    <row r="37" spans="1:5" x14ac:dyDescent="0.2">
      <c r="A37" t="s">
        <v>102</v>
      </c>
      <c r="B37" t="s">
        <v>103</v>
      </c>
      <c r="C37" t="s">
        <v>103</v>
      </c>
      <c r="D37" t="str">
        <f>HYPERLINK("https://zfin.org/ZDB-GENE-100922-230")</f>
        <v>https://zfin.org/ZDB-GENE-100922-230</v>
      </c>
      <c r="E37" t="s">
        <v>104</v>
      </c>
    </row>
    <row r="38" spans="1:5" x14ac:dyDescent="0.2">
      <c r="A38" t="s">
        <v>105</v>
      </c>
      <c r="B38" t="s">
        <v>106</v>
      </c>
      <c r="C38" t="s">
        <v>106</v>
      </c>
      <c r="D38" t="str">
        <f>HYPERLINK("https://zfin.org/ZDB-GENE-060519-23")</f>
        <v>https://zfin.org/ZDB-GENE-060519-23</v>
      </c>
      <c r="E38" t="s">
        <v>107</v>
      </c>
    </row>
    <row r="39" spans="1:5" x14ac:dyDescent="0.2">
      <c r="A39" t="s">
        <v>108</v>
      </c>
      <c r="B39" t="s">
        <v>109</v>
      </c>
      <c r="C39" t="s">
        <v>109</v>
      </c>
      <c r="D39" t="str">
        <f>HYPERLINK("https://zfin.org/ZDB-GENE-070705-430")</f>
        <v>https://zfin.org/ZDB-GENE-070705-430</v>
      </c>
      <c r="E39" t="s">
        <v>110</v>
      </c>
    </row>
    <row r="40" spans="1:5" x14ac:dyDescent="0.2">
      <c r="A40" t="s">
        <v>111</v>
      </c>
      <c r="B40" t="s">
        <v>112</v>
      </c>
      <c r="C40" t="s">
        <v>112</v>
      </c>
      <c r="D40" t="str">
        <f>HYPERLINK("https://zfin.org/ZDB-GENE-040426-1350")</f>
        <v>https://zfin.org/ZDB-GENE-040426-1350</v>
      </c>
      <c r="E40" t="s">
        <v>113</v>
      </c>
    </row>
    <row r="41" spans="1:5" x14ac:dyDescent="0.2">
      <c r="A41" t="s">
        <v>114</v>
      </c>
      <c r="B41" t="s">
        <v>115</v>
      </c>
      <c r="C41" t="s">
        <v>115</v>
      </c>
      <c r="D41" t="str">
        <f>HYPERLINK("https://zfin.org/ZDB-GENE-041114-170")</f>
        <v>https://zfin.org/ZDB-GENE-041114-170</v>
      </c>
      <c r="E41" t="s">
        <v>116</v>
      </c>
    </row>
    <row r="42" spans="1:5" x14ac:dyDescent="0.2">
      <c r="A42" t="s">
        <v>117</v>
      </c>
      <c r="B42" t="s">
        <v>118</v>
      </c>
      <c r="C42" t="s">
        <v>118</v>
      </c>
      <c r="D42" t="str">
        <f>HYPERLINK("https://zfin.org/ZDB-GENE-031204-3")</f>
        <v>https://zfin.org/ZDB-GENE-031204-3</v>
      </c>
      <c r="E42" t="s">
        <v>119</v>
      </c>
    </row>
    <row r="43" spans="1:5" x14ac:dyDescent="0.2">
      <c r="A43" t="s">
        <v>120</v>
      </c>
      <c r="B43" t="s">
        <v>121</v>
      </c>
      <c r="C43" t="s">
        <v>121</v>
      </c>
      <c r="D43" t="str">
        <f>HYPERLINK("https://zfin.org/ZDB-GENE-040718-283")</f>
        <v>https://zfin.org/ZDB-GENE-040718-283</v>
      </c>
      <c r="E43" t="s">
        <v>122</v>
      </c>
    </row>
    <row r="44" spans="1:5" x14ac:dyDescent="0.2">
      <c r="A44" t="s">
        <v>123</v>
      </c>
      <c r="B44" t="s">
        <v>124</v>
      </c>
      <c r="C44" t="s">
        <v>124</v>
      </c>
      <c r="D44" t="str">
        <f>HYPERLINK("https://zfin.org/ZDB-GENE-081107-6")</f>
        <v>https://zfin.org/ZDB-GENE-081107-6</v>
      </c>
      <c r="E44" t="s">
        <v>125</v>
      </c>
    </row>
    <row r="45" spans="1:5" x14ac:dyDescent="0.2">
      <c r="A45" t="s">
        <v>126</v>
      </c>
      <c r="B45" t="s">
        <v>127</v>
      </c>
      <c r="C45" t="s">
        <v>127</v>
      </c>
      <c r="D45" t="str">
        <f>HYPERLINK("https://zfin.org/ZDB-GENE-131121-84")</f>
        <v>https://zfin.org/ZDB-GENE-131121-84</v>
      </c>
      <c r="E45" t="s">
        <v>128</v>
      </c>
    </row>
    <row r="46" spans="1:5" x14ac:dyDescent="0.2">
      <c r="A46" t="s">
        <v>129</v>
      </c>
      <c r="B46" t="s">
        <v>130</v>
      </c>
      <c r="C46" t="s">
        <v>130</v>
      </c>
      <c r="D46" t="str">
        <f>HYPERLINK("https://zfin.org/ZDB-GENE-030131-400")</f>
        <v>https://zfin.org/ZDB-GENE-030131-400</v>
      </c>
      <c r="E46" t="s">
        <v>131</v>
      </c>
    </row>
    <row r="47" spans="1:5" x14ac:dyDescent="0.2">
      <c r="A47" t="s">
        <v>132</v>
      </c>
      <c r="B47" t="s">
        <v>133</v>
      </c>
      <c r="C47" t="s">
        <v>133</v>
      </c>
      <c r="D47" t="str">
        <f>HYPERLINK("https://zfin.org/ZDB-GENE-131119-14")</f>
        <v>https://zfin.org/ZDB-GENE-131119-14</v>
      </c>
      <c r="E47" t="s">
        <v>134</v>
      </c>
    </row>
    <row r="48" spans="1:5" x14ac:dyDescent="0.2">
      <c r="A48" t="s">
        <v>135</v>
      </c>
      <c r="B48" t="s">
        <v>136</v>
      </c>
      <c r="C48" t="s">
        <v>136</v>
      </c>
      <c r="D48" t="str">
        <f>HYPERLINK("https://zfin.org/ZDB-GENE-030131-998")</f>
        <v>https://zfin.org/ZDB-GENE-030131-998</v>
      </c>
      <c r="E48" t="s">
        <v>137</v>
      </c>
    </row>
    <row r="49" spans="1:5" x14ac:dyDescent="0.2">
      <c r="A49" t="s">
        <v>138</v>
      </c>
      <c r="B49" t="s">
        <v>139</v>
      </c>
      <c r="C49" t="s">
        <v>139</v>
      </c>
      <c r="D49" t="str">
        <f>HYPERLINK("https://zfin.org/ZDB-GENE-070912-666")</f>
        <v>https://zfin.org/ZDB-GENE-070912-666</v>
      </c>
      <c r="E49" t="s">
        <v>140</v>
      </c>
    </row>
    <row r="50" spans="1:5" x14ac:dyDescent="0.2">
      <c r="A50" t="s">
        <v>141</v>
      </c>
      <c r="B50" t="s">
        <v>142</v>
      </c>
      <c r="C50" t="s">
        <v>142</v>
      </c>
      <c r="D50" t="str">
        <f>HYPERLINK("https://zfin.org/ZDB-GENE-050327-32")</f>
        <v>https://zfin.org/ZDB-GENE-050327-32</v>
      </c>
      <c r="E50" t="s">
        <v>143</v>
      </c>
    </row>
    <row r="51" spans="1:5" x14ac:dyDescent="0.2">
      <c r="A51" t="s">
        <v>144</v>
      </c>
      <c r="B51" t="s">
        <v>145</v>
      </c>
      <c r="C51" t="s">
        <v>145</v>
      </c>
      <c r="D51" t="str">
        <f>HYPERLINK("https://zfin.org/ZDB-GENE-040426-1126")</f>
        <v>https://zfin.org/ZDB-GENE-040426-1126</v>
      </c>
      <c r="E51" t="s">
        <v>146</v>
      </c>
    </row>
    <row r="52" spans="1:5" x14ac:dyDescent="0.2">
      <c r="A52" t="s">
        <v>147</v>
      </c>
      <c r="B52" t="s">
        <v>148</v>
      </c>
      <c r="C52" t="s">
        <v>148</v>
      </c>
      <c r="D52" t="str">
        <f>HYPERLINK("https://zfin.org/ZDB-GENE-070705-413")</f>
        <v>https://zfin.org/ZDB-GENE-070705-413</v>
      </c>
      <c r="E52" t="s">
        <v>149</v>
      </c>
    </row>
    <row r="53" spans="1:5" x14ac:dyDescent="0.2">
      <c r="A53" t="s">
        <v>150</v>
      </c>
      <c r="B53" t="s">
        <v>151</v>
      </c>
      <c r="C53" t="s">
        <v>151</v>
      </c>
      <c r="D53" t="str">
        <f>HYPERLINK("https://zfin.org/ZDB-GENE-131121-84")</f>
        <v>https://zfin.org/ZDB-GENE-131121-84</v>
      </c>
      <c r="E53" t="s">
        <v>152</v>
      </c>
    </row>
    <row r="54" spans="1:5" x14ac:dyDescent="0.2">
      <c r="A54" t="s">
        <v>153</v>
      </c>
      <c r="B54" t="s">
        <v>139</v>
      </c>
      <c r="C54" t="s">
        <v>154</v>
      </c>
      <c r="D54" t="str">
        <f>HYPERLINK("https://zfin.org/ZDB-GENE-070912-666")</f>
        <v>https://zfin.org/ZDB-GENE-070912-666</v>
      </c>
      <c r="E54" t="s">
        <v>140</v>
      </c>
    </row>
    <row r="55" spans="1:5" x14ac:dyDescent="0.2">
      <c r="A55" t="s">
        <v>155</v>
      </c>
      <c r="B55" t="s">
        <v>156</v>
      </c>
      <c r="C55" t="s">
        <v>156</v>
      </c>
      <c r="D55" t="str">
        <f>HYPERLINK("https://zfin.org/ZDB-GENE-030131-3280")</f>
        <v>https://zfin.org/ZDB-GENE-030131-3280</v>
      </c>
      <c r="E55" t="s">
        <v>157</v>
      </c>
    </row>
    <row r="56" spans="1:5" x14ac:dyDescent="0.2">
      <c r="A56" t="s">
        <v>158</v>
      </c>
      <c r="B56" t="s">
        <v>159</v>
      </c>
      <c r="C56" t="s">
        <v>159</v>
      </c>
      <c r="D56" t="str">
        <f>HYPERLINK("https://zfin.org/ZDB-GENE-060929-624")</f>
        <v>https://zfin.org/ZDB-GENE-060929-624</v>
      </c>
      <c r="E56" t="s">
        <v>160</v>
      </c>
    </row>
    <row r="57" spans="1:5" x14ac:dyDescent="0.2">
      <c r="A57" t="s">
        <v>161</v>
      </c>
      <c r="B57" t="s">
        <v>162</v>
      </c>
      <c r="C57" t="s">
        <v>162</v>
      </c>
      <c r="D57" t="str">
        <f>HYPERLINK("https://zfin.org/ZDB-GENE-040825-4")</f>
        <v>https://zfin.org/ZDB-GENE-040825-4</v>
      </c>
      <c r="E57" t="s">
        <v>163</v>
      </c>
    </row>
    <row r="58" spans="1:5" x14ac:dyDescent="0.2">
      <c r="A58" t="s">
        <v>164</v>
      </c>
      <c r="B58" t="s">
        <v>165</v>
      </c>
      <c r="C58" t="s">
        <v>165</v>
      </c>
      <c r="D58" t="str">
        <f>HYPERLINK("https://zfin.org/ZDB-GENE-131121-52")</f>
        <v>https://zfin.org/ZDB-GENE-131121-52</v>
      </c>
      <c r="E58" t="s">
        <v>166</v>
      </c>
    </row>
    <row r="59" spans="1:5" x14ac:dyDescent="0.2">
      <c r="A59" t="s">
        <v>167</v>
      </c>
      <c r="B59" t="s">
        <v>168</v>
      </c>
      <c r="C59" t="s">
        <v>168</v>
      </c>
      <c r="D59" t="str">
        <f>HYPERLINK("https://zfin.org/ZDB-GENE-030131-2628")</f>
        <v>https://zfin.org/ZDB-GENE-030131-2628</v>
      </c>
      <c r="E59" t="s">
        <v>169</v>
      </c>
    </row>
    <row r="60" spans="1:5" x14ac:dyDescent="0.2">
      <c r="A60" t="s">
        <v>170</v>
      </c>
      <c r="B60" t="s">
        <v>171</v>
      </c>
      <c r="C60" t="s">
        <v>171</v>
      </c>
      <c r="D60" t="str">
        <f>HYPERLINK("https://zfin.org/ZDB-GENE-050222-3")</f>
        <v>https://zfin.org/ZDB-GENE-050222-3</v>
      </c>
      <c r="E60" t="s">
        <v>172</v>
      </c>
    </row>
    <row r="61" spans="1:5" x14ac:dyDescent="0.2">
      <c r="A61" t="s">
        <v>173</v>
      </c>
      <c r="B61" t="s">
        <v>174</v>
      </c>
      <c r="C61" t="s">
        <v>174</v>
      </c>
      <c r="D61" t="str">
        <f>HYPERLINK("https://zfin.org/ZDB-GENE-100922-163")</f>
        <v>https://zfin.org/ZDB-GENE-100922-163</v>
      </c>
      <c r="E61" t="s">
        <v>175</v>
      </c>
    </row>
    <row r="62" spans="1:5" x14ac:dyDescent="0.2">
      <c r="A62" t="s">
        <v>176</v>
      </c>
      <c r="B62" t="s">
        <v>177</v>
      </c>
      <c r="C62" t="s">
        <v>177</v>
      </c>
      <c r="D62" t="str">
        <f>HYPERLINK("https://zfin.org/ZDB-GENE-000629-1")</f>
        <v>https://zfin.org/ZDB-GENE-000629-1</v>
      </c>
      <c r="E62" t="s">
        <v>178</v>
      </c>
    </row>
    <row r="63" spans="1:5" x14ac:dyDescent="0.2">
      <c r="A63" t="s">
        <v>179</v>
      </c>
      <c r="B63" t="s">
        <v>180</v>
      </c>
      <c r="C63" t="s">
        <v>180</v>
      </c>
      <c r="D63" t="str">
        <f>HYPERLINK("https://zfin.org/ZDB-GENE-030131-4589")</f>
        <v>https://zfin.org/ZDB-GENE-030131-4589</v>
      </c>
      <c r="E63" t="s">
        <v>181</v>
      </c>
    </row>
    <row r="64" spans="1:5" x14ac:dyDescent="0.2">
      <c r="A64" t="s">
        <v>182</v>
      </c>
      <c r="B64" t="s">
        <v>183</v>
      </c>
      <c r="C64" t="s">
        <v>183</v>
      </c>
      <c r="D64" t="str">
        <f>HYPERLINK("https://zfin.org/ZDB-GENE-131127-77")</f>
        <v>https://zfin.org/ZDB-GENE-131127-77</v>
      </c>
      <c r="E64" t="s">
        <v>184</v>
      </c>
    </row>
    <row r="65" spans="1:5" x14ac:dyDescent="0.2">
      <c r="A65" t="s">
        <v>185</v>
      </c>
      <c r="B65" t="s">
        <v>186</v>
      </c>
      <c r="C65" t="s">
        <v>186</v>
      </c>
      <c r="D65" t="str">
        <f>HYPERLINK("https://zfin.org/ZDB-GENE-131127-396")</f>
        <v>https://zfin.org/ZDB-GENE-131127-396</v>
      </c>
      <c r="E65" t="s">
        <v>187</v>
      </c>
    </row>
    <row r="66" spans="1:5" x14ac:dyDescent="0.2">
      <c r="A66" t="s">
        <v>188</v>
      </c>
      <c r="B66" t="s">
        <v>189</v>
      </c>
      <c r="C66" t="s">
        <v>189</v>
      </c>
      <c r="D66" t="str">
        <f>HYPERLINK("https://zfin.org/ZDB-GENE-131121-627")</f>
        <v>https://zfin.org/ZDB-GENE-131121-627</v>
      </c>
      <c r="E66" t="s">
        <v>190</v>
      </c>
    </row>
    <row r="67" spans="1:5" x14ac:dyDescent="0.2">
      <c r="A67" t="s">
        <v>191</v>
      </c>
      <c r="B67" t="s">
        <v>192</v>
      </c>
      <c r="C67" t="s">
        <v>192</v>
      </c>
      <c r="D67" t="str">
        <f>HYPERLINK("https://zfin.org/ZDB-GENE-070705-255")</f>
        <v>https://zfin.org/ZDB-GENE-070705-255</v>
      </c>
      <c r="E67" t="s">
        <v>193</v>
      </c>
    </row>
    <row r="68" spans="1:5" x14ac:dyDescent="0.2">
      <c r="A68" t="s">
        <v>194</v>
      </c>
      <c r="B68" t="s">
        <v>195</v>
      </c>
      <c r="C68" t="s">
        <v>195</v>
      </c>
      <c r="D68" t="str">
        <f>HYPERLINK("https://zfin.org/ZDB-GENE-040426-1254")</f>
        <v>https://zfin.org/ZDB-GENE-040426-1254</v>
      </c>
      <c r="E68" t="s">
        <v>196</v>
      </c>
    </row>
    <row r="69" spans="1:5" x14ac:dyDescent="0.2">
      <c r="A69" t="s">
        <v>197</v>
      </c>
      <c r="B69" t="s">
        <v>198</v>
      </c>
      <c r="C69" t="s">
        <v>198</v>
      </c>
      <c r="D69" t="str">
        <f>HYPERLINK("https://zfin.org/ZDB-GENE-030131-5479")</f>
        <v>https://zfin.org/ZDB-GENE-030131-5479</v>
      </c>
      <c r="E69" t="s">
        <v>199</v>
      </c>
    </row>
    <row r="70" spans="1:5" x14ac:dyDescent="0.2">
      <c r="A70" t="s">
        <v>200</v>
      </c>
      <c r="B70" t="s">
        <v>201</v>
      </c>
      <c r="C70" t="s">
        <v>201</v>
      </c>
      <c r="D70" t="str">
        <f>HYPERLINK("https://zfin.org/ZDB-GENE-050522-210")</f>
        <v>https://zfin.org/ZDB-GENE-050522-210</v>
      </c>
      <c r="E70" t="s">
        <v>202</v>
      </c>
    </row>
    <row r="71" spans="1:5" x14ac:dyDescent="0.2">
      <c r="A71" t="s">
        <v>203</v>
      </c>
      <c r="B71" t="s">
        <v>204</v>
      </c>
      <c r="C71" t="s">
        <v>204</v>
      </c>
      <c r="D71" t="str">
        <f>HYPERLINK("https://zfin.org/ZDB-GENE-101223-1")</f>
        <v>https://zfin.org/ZDB-GENE-101223-1</v>
      </c>
      <c r="E71" t="s">
        <v>205</v>
      </c>
    </row>
    <row r="72" spans="1:5" x14ac:dyDescent="0.2">
      <c r="A72" t="s">
        <v>206</v>
      </c>
      <c r="B72" t="s">
        <v>207</v>
      </c>
      <c r="C72" t="s">
        <v>207</v>
      </c>
      <c r="D72" t="str">
        <f>HYPERLINK("https://zfin.org/ZDB-GENE-040808-24")</f>
        <v>https://zfin.org/ZDB-GENE-040808-24</v>
      </c>
      <c r="E72" t="s">
        <v>208</v>
      </c>
    </row>
    <row r="73" spans="1:5" x14ac:dyDescent="0.2">
      <c r="A73" t="s">
        <v>209</v>
      </c>
      <c r="B73" t="s">
        <v>210</v>
      </c>
      <c r="C73" t="s">
        <v>210</v>
      </c>
      <c r="D73" t="str">
        <f>HYPERLINK("https://zfin.org/ZDB-GENE-040426-1284")</f>
        <v>https://zfin.org/ZDB-GENE-040426-1284</v>
      </c>
      <c r="E73" t="s">
        <v>211</v>
      </c>
    </row>
    <row r="74" spans="1:5" x14ac:dyDescent="0.2">
      <c r="A74" t="s">
        <v>212</v>
      </c>
      <c r="B74" t="s">
        <v>213</v>
      </c>
      <c r="C74" t="s">
        <v>213</v>
      </c>
      <c r="D74" t="str">
        <f>HYPERLINK("https://zfin.org/ZDB-GENE-070705-256")</f>
        <v>https://zfin.org/ZDB-GENE-070705-256</v>
      </c>
      <c r="E74" t="s">
        <v>214</v>
      </c>
    </row>
    <row r="75" spans="1:5" x14ac:dyDescent="0.2">
      <c r="A75" t="s">
        <v>215</v>
      </c>
      <c r="B75" t="s">
        <v>216</v>
      </c>
      <c r="C75" t="s">
        <v>216</v>
      </c>
      <c r="D75" t="str">
        <f>HYPERLINK("https://zfin.org/ZDB-GENE-040426-1115")</f>
        <v>https://zfin.org/ZDB-GENE-040426-1115</v>
      </c>
      <c r="E75" t="s">
        <v>217</v>
      </c>
    </row>
    <row r="76" spans="1:5" x14ac:dyDescent="0.2">
      <c r="A76" t="s">
        <v>218</v>
      </c>
      <c r="B76" t="s">
        <v>219</v>
      </c>
      <c r="C76" t="s">
        <v>219</v>
      </c>
      <c r="D76" t="str">
        <f>HYPERLINK("https://zfin.org/ZDB-GENE-041114-149")</f>
        <v>https://zfin.org/ZDB-GENE-041114-149</v>
      </c>
      <c r="E76" t="s">
        <v>220</v>
      </c>
    </row>
    <row r="77" spans="1:5" x14ac:dyDescent="0.2">
      <c r="A77" t="s">
        <v>221</v>
      </c>
      <c r="B77" t="s">
        <v>222</v>
      </c>
      <c r="C77" t="s">
        <v>222</v>
      </c>
      <c r="D77" t="str">
        <f>HYPERLINK("https://zfin.org/ZDB-GENE-070705-414")</f>
        <v>https://zfin.org/ZDB-GENE-070705-414</v>
      </c>
      <c r="E77" t="s">
        <v>223</v>
      </c>
    </row>
    <row r="78" spans="1:5" x14ac:dyDescent="0.2">
      <c r="A78" t="s">
        <v>224</v>
      </c>
      <c r="B78" t="s">
        <v>225</v>
      </c>
      <c r="C78" t="s">
        <v>225</v>
      </c>
      <c r="D78" t="str">
        <f>HYPERLINK("https://zfin.org/ZDB-GENE-131127-528")</f>
        <v>https://zfin.org/ZDB-GENE-131127-528</v>
      </c>
      <c r="E78" t="s">
        <v>226</v>
      </c>
    </row>
    <row r="79" spans="1:5" x14ac:dyDescent="0.2">
      <c r="A79" t="s">
        <v>227</v>
      </c>
      <c r="B79" t="s">
        <v>228</v>
      </c>
      <c r="C79" t="s">
        <v>228</v>
      </c>
      <c r="D79" t="str">
        <f>HYPERLINK("https://zfin.org/ZDB-GENE-050913-155")</f>
        <v>https://zfin.org/ZDB-GENE-050913-155</v>
      </c>
      <c r="E79" t="s">
        <v>229</v>
      </c>
    </row>
    <row r="80" spans="1:5" x14ac:dyDescent="0.2">
      <c r="A80" t="s">
        <v>230</v>
      </c>
      <c r="B80" t="s">
        <v>231</v>
      </c>
      <c r="C80" t="s">
        <v>231</v>
      </c>
      <c r="D80" t="str">
        <f>HYPERLINK("https://zfin.org/ZDB-GENE-060623-10")</f>
        <v>https://zfin.org/ZDB-GENE-060623-10</v>
      </c>
      <c r="E80" t="s">
        <v>232</v>
      </c>
    </row>
    <row r="81" spans="1:5" x14ac:dyDescent="0.2">
      <c r="A81" t="s">
        <v>233</v>
      </c>
      <c r="B81" t="s">
        <v>234</v>
      </c>
      <c r="C81" t="s">
        <v>234</v>
      </c>
      <c r="D81" t="str">
        <f>HYPERLINK("https://zfin.org/ZDB-GENE-090710-3")</f>
        <v>https://zfin.org/ZDB-GENE-090710-3</v>
      </c>
      <c r="E81" t="s">
        <v>235</v>
      </c>
    </row>
    <row r="82" spans="1:5" x14ac:dyDescent="0.2">
      <c r="A82" t="s">
        <v>236</v>
      </c>
      <c r="B82" t="s">
        <v>237</v>
      </c>
      <c r="C82" t="s">
        <v>237</v>
      </c>
      <c r="D82" t="str">
        <f>HYPERLINK("https://zfin.org/ZDB-GENE-050417-162")</f>
        <v>https://zfin.org/ZDB-GENE-050417-162</v>
      </c>
      <c r="E82" t="s">
        <v>238</v>
      </c>
    </row>
    <row r="83" spans="1:5" x14ac:dyDescent="0.2">
      <c r="A83" t="s">
        <v>239</v>
      </c>
      <c r="B83" t="s">
        <v>240</v>
      </c>
      <c r="C83" t="s">
        <v>240</v>
      </c>
      <c r="D83" t="str">
        <f>HYPERLINK("https://zfin.org/ZDB-GENE-040801-184")</f>
        <v>https://zfin.org/ZDB-GENE-040801-184</v>
      </c>
      <c r="E83" t="s">
        <v>241</v>
      </c>
    </row>
    <row r="84" spans="1:5" x14ac:dyDescent="0.2">
      <c r="A84" t="s">
        <v>242</v>
      </c>
      <c r="B84" t="s">
        <v>243</v>
      </c>
      <c r="C84" t="s">
        <v>243</v>
      </c>
      <c r="D84" t="str">
        <f>HYPERLINK("https://zfin.org/ZDB-GENE-141210-7")</f>
        <v>https://zfin.org/ZDB-GENE-141210-7</v>
      </c>
      <c r="E84" t="s">
        <v>244</v>
      </c>
    </row>
    <row r="85" spans="1:5" x14ac:dyDescent="0.2">
      <c r="A85" t="s">
        <v>245</v>
      </c>
      <c r="B85" t="s">
        <v>246</v>
      </c>
      <c r="C85" t="s">
        <v>246</v>
      </c>
      <c r="D85" t="str">
        <f>HYPERLINK("https://zfin.org/ZDB-GENE-110512-2")</f>
        <v>https://zfin.org/ZDB-GENE-110512-2</v>
      </c>
      <c r="E85" t="s">
        <v>247</v>
      </c>
    </row>
    <row r="86" spans="1:5" x14ac:dyDescent="0.2">
      <c r="A86" t="s">
        <v>248</v>
      </c>
      <c r="B86" t="s">
        <v>249</v>
      </c>
      <c r="C86" t="s">
        <v>249</v>
      </c>
      <c r="D86" t="str">
        <f>HYPERLINK("https://zfin.org/ZDB-GENE-130103-6")</f>
        <v>https://zfin.org/ZDB-GENE-130103-6</v>
      </c>
      <c r="E86" t="s">
        <v>250</v>
      </c>
    </row>
    <row r="87" spans="1:5" x14ac:dyDescent="0.2">
      <c r="A87" t="s">
        <v>251</v>
      </c>
      <c r="B87" t="s">
        <v>252</v>
      </c>
      <c r="C87" t="s">
        <v>252</v>
      </c>
      <c r="D87" t="str">
        <f>HYPERLINK("https://zfin.org/ZDB-GENE-141212-350")</f>
        <v>https://zfin.org/ZDB-GENE-141212-350</v>
      </c>
      <c r="E87" t="s">
        <v>253</v>
      </c>
    </row>
    <row r="88" spans="1:5" x14ac:dyDescent="0.2">
      <c r="A88" t="s">
        <v>254</v>
      </c>
      <c r="B88" t="s">
        <v>255</v>
      </c>
      <c r="C88" t="s">
        <v>255</v>
      </c>
      <c r="D88" t="str">
        <f>HYPERLINK("https://zfin.org/ZDB-GENE-040426-986")</f>
        <v>https://zfin.org/ZDB-GENE-040426-986</v>
      </c>
      <c r="E88" t="s">
        <v>256</v>
      </c>
    </row>
    <row r="89" spans="1:5" x14ac:dyDescent="0.2">
      <c r="A89" t="s">
        <v>257</v>
      </c>
      <c r="B89" t="s">
        <v>258</v>
      </c>
      <c r="C89" t="s">
        <v>258</v>
      </c>
      <c r="D89" t="str">
        <f>HYPERLINK("https://zfin.org/ZDB-GENE-040426-2534")</f>
        <v>https://zfin.org/ZDB-GENE-040426-2534</v>
      </c>
      <c r="E89" t="s">
        <v>259</v>
      </c>
    </row>
    <row r="90" spans="1:5" x14ac:dyDescent="0.2">
      <c r="A90" t="s">
        <v>260</v>
      </c>
      <c r="B90" t="s">
        <v>261</v>
      </c>
      <c r="C90" t="s">
        <v>261</v>
      </c>
      <c r="D90" t="str">
        <f>HYPERLINK("https://zfin.org/ZDB-GENE-030407-3")</f>
        <v>https://zfin.org/ZDB-GENE-030407-3</v>
      </c>
      <c r="E90" t="s">
        <v>262</v>
      </c>
    </row>
    <row r="91" spans="1:5" x14ac:dyDescent="0.2">
      <c r="A91" t="s">
        <v>263</v>
      </c>
      <c r="B91" t="s">
        <v>264</v>
      </c>
      <c r="C91" t="s">
        <v>264</v>
      </c>
      <c r="D91" t="str">
        <f>HYPERLINK("https://zfin.org/ZDB-GENE-040426-2415")</f>
        <v>https://zfin.org/ZDB-GENE-040426-2415</v>
      </c>
      <c r="E91" t="s">
        <v>265</v>
      </c>
    </row>
    <row r="92" spans="1:5" x14ac:dyDescent="0.2">
      <c r="A92" t="s">
        <v>266</v>
      </c>
      <c r="B92" t="s">
        <v>267</v>
      </c>
      <c r="C92" t="s">
        <v>267</v>
      </c>
      <c r="D92" t="str">
        <f>HYPERLINK("https://zfin.org/ZDB-GENE-040426-2771")</f>
        <v>https://zfin.org/ZDB-GENE-040426-2771</v>
      </c>
      <c r="E92" t="s">
        <v>268</v>
      </c>
    </row>
    <row r="93" spans="1:5" x14ac:dyDescent="0.2">
      <c r="A93" t="s">
        <v>269</v>
      </c>
      <c r="B93" t="s">
        <v>270</v>
      </c>
      <c r="C93" t="s">
        <v>270</v>
      </c>
      <c r="D93" t="str">
        <f>HYPERLINK("https://zfin.org/ZDB-GENE-100922-60")</f>
        <v>https://zfin.org/ZDB-GENE-100922-60</v>
      </c>
      <c r="E93" t="s">
        <v>271</v>
      </c>
    </row>
    <row r="94" spans="1:5" x14ac:dyDescent="0.2">
      <c r="A94" t="s">
        <v>272</v>
      </c>
      <c r="B94" t="s">
        <v>273</v>
      </c>
      <c r="C94" t="s">
        <v>273</v>
      </c>
      <c r="D94" t="str">
        <f>HYPERLINK("https://zfin.org/ZDB-GENE-040801-71")</f>
        <v>https://zfin.org/ZDB-GENE-040801-71</v>
      </c>
      <c r="E94" t="s">
        <v>274</v>
      </c>
    </row>
    <row r="95" spans="1:5" x14ac:dyDescent="0.2">
      <c r="A95" t="s">
        <v>275</v>
      </c>
      <c r="B95" t="s">
        <v>276</v>
      </c>
      <c r="C95" t="s">
        <v>276</v>
      </c>
      <c r="D95" t="str">
        <f>HYPERLINK("https://zfin.org/ZDB-GENE-080722-7")</f>
        <v>https://zfin.org/ZDB-GENE-080722-7</v>
      </c>
      <c r="E95" t="s">
        <v>277</v>
      </c>
    </row>
    <row r="96" spans="1:5" x14ac:dyDescent="0.2">
      <c r="A96" t="s">
        <v>278</v>
      </c>
      <c r="B96" t="s">
        <v>279</v>
      </c>
      <c r="C96" t="s">
        <v>279</v>
      </c>
      <c r="D96" t="str">
        <f>HYPERLINK("https://zfin.org/ZDB-GENE-020430-2")</f>
        <v>https://zfin.org/ZDB-GENE-020430-2</v>
      </c>
      <c r="E96" t="s">
        <v>280</v>
      </c>
    </row>
    <row r="97" spans="1:5" x14ac:dyDescent="0.2">
      <c r="A97" t="s">
        <v>281</v>
      </c>
      <c r="B97" t="s">
        <v>282</v>
      </c>
      <c r="C97" t="s">
        <v>282</v>
      </c>
      <c r="D97" t="str">
        <f>HYPERLINK("https://zfin.org/ZDB-GENE-070705-542")</f>
        <v>https://zfin.org/ZDB-GENE-070705-542</v>
      </c>
      <c r="E97" t="s">
        <v>283</v>
      </c>
    </row>
    <row r="98" spans="1:5" x14ac:dyDescent="0.2">
      <c r="A98" t="s">
        <v>284</v>
      </c>
      <c r="B98" t="s">
        <v>285</v>
      </c>
      <c r="C98" t="s">
        <v>285</v>
      </c>
      <c r="D98" t="str">
        <f>HYPERLINK("https://zfin.org/ZDB-GENE-141211-29")</f>
        <v>https://zfin.org/ZDB-GENE-141211-29</v>
      </c>
      <c r="E98" t="s">
        <v>286</v>
      </c>
    </row>
    <row r="99" spans="1:5" x14ac:dyDescent="0.2">
      <c r="A99" t="s">
        <v>287</v>
      </c>
      <c r="B99" t="s">
        <v>288</v>
      </c>
      <c r="C99" t="s">
        <v>288</v>
      </c>
      <c r="D99" t="str">
        <f>HYPERLINK("https://zfin.org/ZDB-GENE-070112-1312")</f>
        <v>https://zfin.org/ZDB-GENE-070112-1312</v>
      </c>
      <c r="E99" t="s">
        <v>289</v>
      </c>
    </row>
    <row r="100" spans="1:5" x14ac:dyDescent="0.2">
      <c r="A100" t="s">
        <v>290</v>
      </c>
      <c r="B100" t="s">
        <v>291</v>
      </c>
      <c r="C100" t="s">
        <v>291</v>
      </c>
      <c r="D100" t="str">
        <f>HYPERLINK("https://zfin.org/ZDB-GENE-090312-136")</f>
        <v>https://zfin.org/ZDB-GENE-090312-136</v>
      </c>
      <c r="E100" t="s">
        <v>292</v>
      </c>
    </row>
    <row r="101" spans="1:5" x14ac:dyDescent="0.2">
      <c r="A101" t="s">
        <v>293</v>
      </c>
      <c r="B101" t="s">
        <v>294</v>
      </c>
      <c r="C101" t="s">
        <v>294</v>
      </c>
      <c r="D101" t="str">
        <f>HYPERLINK("https://zfin.org/ZDB-GENE-030131-2194")</f>
        <v>https://zfin.org/ZDB-GENE-030131-2194</v>
      </c>
      <c r="E101" t="s">
        <v>295</v>
      </c>
    </row>
    <row r="102" spans="1:5" x14ac:dyDescent="0.2">
      <c r="A102" t="s">
        <v>296</v>
      </c>
      <c r="B102" t="s">
        <v>297</v>
      </c>
      <c r="C102" t="s">
        <v>297</v>
      </c>
      <c r="D102" t="str">
        <f>HYPERLINK("https://zfin.org/ZDB-GENE-141216-377")</f>
        <v>https://zfin.org/ZDB-GENE-141216-377</v>
      </c>
      <c r="E102" t="s">
        <v>298</v>
      </c>
    </row>
    <row r="103" spans="1:5" x14ac:dyDescent="0.2">
      <c r="A103" t="s">
        <v>299</v>
      </c>
      <c r="B103" t="s">
        <v>300</v>
      </c>
      <c r="C103" t="s">
        <v>300</v>
      </c>
      <c r="D103" t="str">
        <f>HYPERLINK("https://zfin.org/ZDB-GENE-040718-115")</f>
        <v>https://zfin.org/ZDB-GENE-040718-115</v>
      </c>
      <c r="E103" t="s">
        <v>301</v>
      </c>
    </row>
    <row r="104" spans="1:5" x14ac:dyDescent="0.2">
      <c r="A104" t="s">
        <v>302</v>
      </c>
      <c r="B104" t="s">
        <v>303</v>
      </c>
      <c r="C104" t="s">
        <v>303</v>
      </c>
      <c r="D104" t="str">
        <f>HYPERLINK("https://zfin.org/ZDB-GENE-040426-2323")</f>
        <v>https://zfin.org/ZDB-GENE-040426-2323</v>
      </c>
      <c r="E104" t="s">
        <v>304</v>
      </c>
    </row>
    <row r="105" spans="1:5" x14ac:dyDescent="0.2">
      <c r="A105" t="s">
        <v>305</v>
      </c>
      <c r="B105" t="s">
        <v>306</v>
      </c>
      <c r="C105" t="s">
        <v>306</v>
      </c>
      <c r="D105" t="str">
        <f>HYPERLINK("https://zfin.org/ZDB-GENE-070424-194")</f>
        <v>https://zfin.org/ZDB-GENE-070424-194</v>
      </c>
      <c r="E105" t="s">
        <v>307</v>
      </c>
    </row>
    <row r="106" spans="1:5" x14ac:dyDescent="0.2">
      <c r="A106" t="s">
        <v>308</v>
      </c>
      <c r="B106" t="s">
        <v>309</v>
      </c>
      <c r="C106" t="s">
        <v>309</v>
      </c>
      <c r="D106" t="str">
        <f>HYPERLINK("https://zfin.org/ZDB-GENE-100922-229")</f>
        <v>https://zfin.org/ZDB-GENE-100922-229</v>
      </c>
      <c r="E106" t="s">
        <v>310</v>
      </c>
    </row>
    <row r="107" spans="1:5" x14ac:dyDescent="0.2">
      <c r="A107" t="s">
        <v>311</v>
      </c>
      <c r="B107" t="s">
        <v>312</v>
      </c>
      <c r="C107" t="s">
        <v>312</v>
      </c>
      <c r="D107" t="str">
        <f>HYPERLINK("https://zfin.org/ZDB-GENE-050522-336")</f>
        <v>https://zfin.org/ZDB-GENE-050522-336</v>
      </c>
      <c r="E107" t="s">
        <v>313</v>
      </c>
    </row>
    <row r="108" spans="1:5" x14ac:dyDescent="0.2">
      <c r="A108" t="s">
        <v>314</v>
      </c>
      <c r="B108" t="s">
        <v>315</v>
      </c>
      <c r="C108" t="s">
        <v>315</v>
      </c>
      <c r="D108" t="str">
        <f>HYPERLINK("https://zfin.org/ZDB-GENE-080508-1")</f>
        <v>https://zfin.org/ZDB-GENE-080508-1</v>
      </c>
      <c r="E108" t="s">
        <v>316</v>
      </c>
    </row>
    <row r="109" spans="1:5" x14ac:dyDescent="0.2">
      <c r="A109" t="s">
        <v>317</v>
      </c>
      <c r="B109" t="s">
        <v>318</v>
      </c>
      <c r="C109" t="s">
        <v>318</v>
      </c>
      <c r="D109" t="str">
        <f>HYPERLINK("https://zfin.org/ZDB-GENE-061013-24")</f>
        <v>https://zfin.org/ZDB-GENE-061013-24</v>
      </c>
      <c r="E109" t="s">
        <v>319</v>
      </c>
    </row>
    <row r="110" spans="1:5" x14ac:dyDescent="0.2">
      <c r="A110" t="s">
        <v>320</v>
      </c>
      <c r="B110" t="s">
        <v>321</v>
      </c>
      <c r="C110" t="s">
        <v>321</v>
      </c>
      <c r="D110" t="str">
        <f>HYPERLINK("https://zfin.org/ZDB-GENE-040912-156")</f>
        <v>https://zfin.org/ZDB-GENE-040912-156</v>
      </c>
      <c r="E110" t="s">
        <v>322</v>
      </c>
    </row>
    <row r="111" spans="1:5" x14ac:dyDescent="0.2">
      <c r="A111" t="s">
        <v>323</v>
      </c>
      <c r="B111" t="s">
        <v>324</v>
      </c>
      <c r="C111" t="s">
        <v>324</v>
      </c>
      <c r="D111" t="str">
        <f>HYPERLINK("https://zfin.org/ZDB-GENE-120215-190")</f>
        <v>https://zfin.org/ZDB-GENE-120215-190</v>
      </c>
      <c r="E111" t="s">
        <v>325</v>
      </c>
    </row>
    <row r="112" spans="1:5" x14ac:dyDescent="0.2">
      <c r="A112" t="s">
        <v>326</v>
      </c>
      <c r="B112" t="s">
        <v>327</v>
      </c>
      <c r="C112" t="s">
        <v>327</v>
      </c>
      <c r="D112" t="str">
        <f>HYPERLINK("https://zfin.org/ZDB-GENE-080219-45")</f>
        <v>https://zfin.org/ZDB-GENE-080219-45</v>
      </c>
      <c r="E112" t="s">
        <v>328</v>
      </c>
    </row>
    <row r="113" spans="1:5" x14ac:dyDescent="0.2">
      <c r="A113" t="s">
        <v>329</v>
      </c>
      <c r="B113" t="s">
        <v>330</v>
      </c>
      <c r="C113" t="s">
        <v>330</v>
      </c>
      <c r="D113" t="str">
        <f>HYPERLINK("https://zfin.org/ZDB-GENE-041114-20")</f>
        <v>https://zfin.org/ZDB-GENE-041114-20</v>
      </c>
      <c r="E113" t="s">
        <v>331</v>
      </c>
    </row>
    <row r="114" spans="1:5" x14ac:dyDescent="0.2">
      <c r="A114" t="s">
        <v>332</v>
      </c>
      <c r="B114" t="s">
        <v>333</v>
      </c>
      <c r="C114" t="s">
        <v>333</v>
      </c>
      <c r="D114" t="str">
        <f>HYPERLINK("https://zfin.org/ZDB-GENE-030131-7320")</f>
        <v>https://zfin.org/ZDB-GENE-030131-7320</v>
      </c>
      <c r="E114" t="s">
        <v>334</v>
      </c>
    </row>
    <row r="115" spans="1:5" x14ac:dyDescent="0.2">
      <c r="A115" t="s">
        <v>335</v>
      </c>
      <c r="B115" t="s">
        <v>336</v>
      </c>
      <c r="C115" t="s">
        <v>336</v>
      </c>
      <c r="D115" t="str">
        <f>HYPERLINK("https://zfin.org/ZDB-GENE-000616-13")</f>
        <v>https://zfin.org/ZDB-GENE-000616-13</v>
      </c>
      <c r="E115" t="s">
        <v>337</v>
      </c>
    </row>
    <row r="116" spans="1:5" x14ac:dyDescent="0.2">
      <c r="A116" t="s">
        <v>338</v>
      </c>
      <c r="B116" t="s">
        <v>339</v>
      </c>
      <c r="C116" t="s">
        <v>339</v>
      </c>
      <c r="D116" t="str">
        <f>HYPERLINK("https://zfin.org/ZDB-GENE-100922-118")</f>
        <v>https://zfin.org/ZDB-GENE-100922-118</v>
      </c>
      <c r="E116" t="s">
        <v>340</v>
      </c>
    </row>
    <row r="117" spans="1:5" x14ac:dyDescent="0.2">
      <c r="A117" t="s">
        <v>341</v>
      </c>
      <c r="B117" t="s">
        <v>342</v>
      </c>
      <c r="C117" t="s">
        <v>342</v>
      </c>
      <c r="D117" t="str">
        <f>HYPERLINK("https://zfin.org/ZDB-GENE-011115-1")</f>
        <v>https://zfin.org/ZDB-GENE-011115-1</v>
      </c>
      <c r="E117" t="s">
        <v>343</v>
      </c>
    </row>
    <row r="118" spans="1:5" x14ac:dyDescent="0.2">
      <c r="A118" t="s">
        <v>344</v>
      </c>
      <c r="B118" t="s">
        <v>345</v>
      </c>
      <c r="C118" t="s">
        <v>345</v>
      </c>
      <c r="D118" t="str">
        <f>HYPERLINK("https://zfin.org/ZDB-GENE-030131-4324")</f>
        <v>https://zfin.org/ZDB-GENE-030131-4324</v>
      </c>
      <c r="E118" t="s">
        <v>346</v>
      </c>
    </row>
    <row r="119" spans="1:5" x14ac:dyDescent="0.2">
      <c r="A119" t="s">
        <v>347</v>
      </c>
      <c r="B119" t="s">
        <v>348</v>
      </c>
      <c r="C119" t="s">
        <v>348</v>
      </c>
      <c r="D119" t="str">
        <f>HYPERLINK("https://zfin.org/ZDB-GENE-070410-22")</f>
        <v>https://zfin.org/ZDB-GENE-070410-22</v>
      </c>
      <c r="E119" t="s">
        <v>349</v>
      </c>
    </row>
    <row r="120" spans="1:5" x14ac:dyDescent="0.2">
      <c r="A120" t="s">
        <v>350</v>
      </c>
      <c r="B120" t="s">
        <v>351</v>
      </c>
      <c r="C120" t="s">
        <v>351</v>
      </c>
      <c r="D120" t="str">
        <f>HYPERLINK("https://zfin.org/ZDB-GENE-070117-2205")</f>
        <v>https://zfin.org/ZDB-GENE-070117-2205</v>
      </c>
      <c r="E120" t="s">
        <v>352</v>
      </c>
    </row>
    <row r="121" spans="1:5" x14ac:dyDescent="0.2">
      <c r="A121" t="s">
        <v>353</v>
      </c>
      <c r="B121" t="s">
        <v>354</v>
      </c>
      <c r="C121" t="s">
        <v>354</v>
      </c>
      <c r="D121" t="str">
        <f>HYPERLINK("https://zfin.org/ZDB-GENE-030424-3")</f>
        <v>https://zfin.org/ZDB-GENE-030424-3</v>
      </c>
      <c r="E121" t="s">
        <v>355</v>
      </c>
    </row>
    <row r="122" spans="1:5" x14ac:dyDescent="0.2">
      <c r="A122" t="s">
        <v>356</v>
      </c>
      <c r="B122" t="s">
        <v>357</v>
      </c>
      <c r="C122" t="s">
        <v>357</v>
      </c>
      <c r="D122" t="str">
        <f>HYPERLINK("https://zfin.org/ZDB-GENE-030131-8364")</f>
        <v>https://zfin.org/ZDB-GENE-030131-8364</v>
      </c>
      <c r="E122" t="s">
        <v>358</v>
      </c>
    </row>
    <row r="123" spans="1:5" x14ac:dyDescent="0.2">
      <c r="A123" t="s">
        <v>359</v>
      </c>
      <c r="B123" t="s">
        <v>360</v>
      </c>
      <c r="C123" t="s">
        <v>360</v>
      </c>
      <c r="D123" t="str">
        <f>HYPERLINK("https://zfin.org/ZDB-GENE-030127-1")</f>
        <v>https://zfin.org/ZDB-GENE-030127-1</v>
      </c>
      <c r="E123" t="s">
        <v>361</v>
      </c>
    </row>
    <row r="124" spans="1:5" x14ac:dyDescent="0.2">
      <c r="A124" t="s">
        <v>362</v>
      </c>
      <c r="B124" t="s">
        <v>363</v>
      </c>
      <c r="C124" t="s">
        <v>363</v>
      </c>
      <c r="D124" t="str">
        <f>HYPERLINK("https://zfin.org/ZDB-GENE-041212-47")</f>
        <v>https://zfin.org/ZDB-GENE-041212-47</v>
      </c>
      <c r="E124" t="s">
        <v>364</v>
      </c>
    </row>
    <row r="125" spans="1:5" x14ac:dyDescent="0.2">
      <c r="A125" t="s">
        <v>365</v>
      </c>
      <c r="B125" t="s">
        <v>366</v>
      </c>
      <c r="C125" t="s">
        <v>366</v>
      </c>
      <c r="D125" t="str">
        <f>HYPERLINK("https://zfin.org/ZDB-GENE-030326-4")</f>
        <v>https://zfin.org/ZDB-GENE-030326-4</v>
      </c>
      <c r="E125" t="s">
        <v>367</v>
      </c>
    </row>
    <row r="126" spans="1:5" x14ac:dyDescent="0.2">
      <c r="A126" t="s">
        <v>368</v>
      </c>
      <c r="B126" t="s">
        <v>369</v>
      </c>
      <c r="C126" t="s">
        <v>369</v>
      </c>
      <c r="D126" t="str">
        <f>HYPERLINK("https://zfin.org/ZDB-GENE-040426-2632")</f>
        <v>https://zfin.org/ZDB-GENE-040426-2632</v>
      </c>
      <c r="E126" t="s">
        <v>370</v>
      </c>
    </row>
    <row r="127" spans="1:5" x14ac:dyDescent="0.2">
      <c r="A127" t="s">
        <v>371</v>
      </c>
      <c r="B127" t="s">
        <v>372</v>
      </c>
      <c r="C127" t="s">
        <v>372</v>
      </c>
      <c r="D127" t="str">
        <f>HYPERLINK("https://zfin.org/ZDB-GENE-070424-54")</f>
        <v>https://zfin.org/ZDB-GENE-070424-54</v>
      </c>
      <c r="E127" t="s">
        <v>373</v>
      </c>
    </row>
    <row r="128" spans="1:5" x14ac:dyDescent="0.2">
      <c r="A128" t="s">
        <v>374</v>
      </c>
      <c r="B128" t="s">
        <v>375</v>
      </c>
      <c r="C128" t="s">
        <v>375</v>
      </c>
      <c r="D128" t="str">
        <f>HYPERLINK("https://zfin.org/ZDB-GENE-030131-6450")</f>
        <v>https://zfin.org/ZDB-GENE-030131-6450</v>
      </c>
      <c r="E128" t="s">
        <v>376</v>
      </c>
    </row>
    <row r="129" spans="1:5" x14ac:dyDescent="0.2">
      <c r="A129" t="s">
        <v>377</v>
      </c>
      <c r="B129" t="s">
        <v>378</v>
      </c>
      <c r="C129" t="s">
        <v>378</v>
      </c>
      <c r="D129" t="str">
        <f>HYPERLINK("https://zfin.org/ZDB-GENE-081104-74")</f>
        <v>https://zfin.org/ZDB-GENE-081104-74</v>
      </c>
      <c r="E129" t="s">
        <v>379</v>
      </c>
    </row>
    <row r="130" spans="1:5" x14ac:dyDescent="0.2">
      <c r="A130" t="s">
        <v>380</v>
      </c>
      <c r="B130" t="s">
        <v>381</v>
      </c>
      <c r="C130" t="s">
        <v>381</v>
      </c>
      <c r="D130" t="str">
        <f>HYPERLINK("https://zfin.org/ZDB-GENE-040426-1795")</f>
        <v>https://zfin.org/ZDB-GENE-040426-1795</v>
      </c>
      <c r="E130" t="s">
        <v>382</v>
      </c>
    </row>
    <row r="131" spans="1:5" x14ac:dyDescent="0.2">
      <c r="A131" t="s">
        <v>383</v>
      </c>
      <c r="B131" t="s">
        <v>384</v>
      </c>
      <c r="C131" t="s">
        <v>384</v>
      </c>
      <c r="D131" t="str">
        <f>HYPERLINK("https://zfin.org/ZDB-GENE-040426-1223")</f>
        <v>https://zfin.org/ZDB-GENE-040426-1223</v>
      </c>
      <c r="E131" t="s">
        <v>385</v>
      </c>
    </row>
    <row r="132" spans="1:5" x14ac:dyDescent="0.2">
      <c r="A132" t="s">
        <v>386</v>
      </c>
      <c r="B132" t="s">
        <v>387</v>
      </c>
      <c r="C132" t="s">
        <v>387</v>
      </c>
      <c r="D132" t="str">
        <f>HYPERLINK("https://zfin.org/ZDB-GENE-020802-3")</f>
        <v>https://zfin.org/ZDB-GENE-020802-3</v>
      </c>
      <c r="E132" t="s">
        <v>388</v>
      </c>
    </row>
    <row r="133" spans="1:5" x14ac:dyDescent="0.2">
      <c r="A133" t="s">
        <v>389</v>
      </c>
      <c r="B133" t="s">
        <v>390</v>
      </c>
      <c r="C133" t="s">
        <v>390</v>
      </c>
      <c r="D133" t="str">
        <f>HYPERLINK("https://zfin.org/ZDB-GENE-131126-26")</f>
        <v>https://zfin.org/ZDB-GENE-131126-26</v>
      </c>
      <c r="E133" t="s">
        <v>391</v>
      </c>
    </row>
    <row r="134" spans="1:5" x14ac:dyDescent="0.2">
      <c r="A134" t="s">
        <v>392</v>
      </c>
      <c r="B134" t="s">
        <v>393</v>
      </c>
      <c r="C134" t="s">
        <v>393</v>
      </c>
      <c r="D134" t="str">
        <f>HYPERLINK("https://zfin.org/ZDB-GENE-030131-4922")</f>
        <v>https://zfin.org/ZDB-GENE-030131-4922</v>
      </c>
      <c r="E134" t="s">
        <v>394</v>
      </c>
    </row>
    <row r="135" spans="1:5" x14ac:dyDescent="0.2">
      <c r="A135" t="s">
        <v>395</v>
      </c>
      <c r="B135" t="s">
        <v>396</v>
      </c>
      <c r="C135" t="s">
        <v>396</v>
      </c>
      <c r="D135" t="str">
        <f>HYPERLINK("https://zfin.org/ZDB-GENE-111028-1")</f>
        <v>https://zfin.org/ZDB-GENE-111028-1</v>
      </c>
      <c r="E135" t="s">
        <v>397</v>
      </c>
    </row>
    <row r="136" spans="1:5" x14ac:dyDescent="0.2">
      <c r="A136" t="s">
        <v>398</v>
      </c>
      <c r="B136" t="s">
        <v>399</v>
      </c>
      <c r="C136" t="s">
        <v>399</v>
      </c>
      <c r="D136" t="str">
        <f>HYPERLINK("https://zfin.org/ZDB-GENE-050522-168")</f>
        <v>https://zfin.org/ZDB-GENE-050522-168</v>
      </c>
      <c r="E136" t="s">
        <v>400</v>
      </c>
    </row>
    <row r="137" spans="1:5" x14ac:dyDescent="0.2">
      <c r="A137" t="s">
        <v>401</v>
      </c>
      <c r="B137" t="s">
        <v>402</v>
      </c>
      <c r="C137" t="s">
        <v>402</v>
      </c>
      <c r="D137" t="str">
        <f>HYPERLINK("https://zfin.org/ZDB-GENE-131121-284")</f>
        <v>https://zfin.org/ZDB-GENE-131121-284</v>
      </c>
      <c r="E137" t="s">
        <v>403</v>
      </c>
    </row>
    <row r="138" spans="1:5" x14ac:dyDescent="0.2">
      <c r="A138" t="s">
        <v>404</v>
      </c>
      <c r="B138" t="s">
        <v>405</v>
      </c>
      <c r="C138" t="s">
        <v>405</v>
      </c>
      <c r="D138" t="str">
        <f>HYPERLINK("https://zfin.org/ZDB-GENE-050522-367")</f>
        <v>https://zfin.org/ZDB-GENE-050522-367</v>
      </c>
      <c r="E138" t="s">
        <v>406</v>
      </c>
    </row>
    <row r="139" spans="1:5" x14ac:dyDescent="0.2">
      <c r="A139" t="s">
        <v>407</v>
      </c>
      <c r="B139" t="s">
        <v>408</v>
      </c>
      <c r="C139" t="s">
        <v>408</v>
      </c>
      <c r="D139" t="str">
        <f>HYPERLINK("https://zfin.org/ZDB-GENE-030131-6759")</f>
        <v>https://zfin.org/ZDB-GENE-030131-6759</v>
      </c>
      <c r="E139" t="s">
        <v>409</v>
      </c>
    </row>
    <row r="140" spans="1:5" x14ac:dyDescent="0.2">
      <c r="A140" t="s">
        <v>410</v>
      </c>
      <c r="B140" t="s">
        <v>411</v>
      </c>
      <c r="C140" t="s">
        <v>411</v>
      </c>
      <c r="D140" t="str">
        <f>HYPERLINK("https://zfin.org/ZDB-GENE-140106-68")</f>
        <v>https://zfin.org/ZDB-GENE-140106-68</v>
      </c>
      <c r="E140" t="s">
        <v>412</v>
      </c>
    </row>
    <row r="141" spans="1:5" x14ac:dyDescent="0.2">
      <c r="A141" t="s">
        <v>413</v>
      </c>
      <c r="B141" t="s">
        <v>414</v>
      </c>
      <c r="C141" t="s">
        <v>414</v>
      </c>
      <c r="D141" t="str">
        <f>HYPERLINK("https://zfin.org/ZDB-GENE-041114-98")</f>
        <v>https://zfin.org/ZDB-GENE-041114-98</v>
      </c>
      <c r="E141" t="s">
        <v>415</v>
      </c>
    </row>
    <row r="142" spans="1:5" x14ac:dyDescent="0.2">
      <c r="A142" t="s">
        <v>416</v>
      </c>
      <c r="B142" t="s">
        <v>417</v>
      </c>
      <c r="C142" t="s">
        <v>417</v>
      </c>
      <c r="D142" t="str">
        <f>HYPERLINK("https://zfin.org/")</f>
        <v>https://zfin.org/</v>
      </c>
    </row>
    <row r="143" spans="1:5" x14ac:dyDescent="0.2">
      <c r="A143" t="s">
        <v>418</v>
      </c>
      <c r="B143" t="s">
        <v>419</v>
      </c>
      <c r="C143" t="s">
        <v>419</v>
      </c>
      <c r="D143" t="str">
        <f>HYPERLINK("https://zfin.org/ZDB-GENE-040426-1968")</f>
        <v>https://zfin.org/ZDB-GENE-040426-1968</v>
      </c>
      <c r="E143" t="s">
        <v>420</v>
      </c>
    </row>
    <row r="144" spans="1:5" x14ac:dyDescent="0.2">
      <c r="A144" t="s">
        <v>421</v>
      </c>
      <c r="B144" t="s">
        <v>422</v>
      </c>
      <c r="C144" t="s">
        <v>422</v>
      </c>
      <c r="D144" t="str">
        <f>HYPERLINK("https://zfin.org/ZDB-GENE-040426-871")</f>
        <v>https://zfin.org/ZDB-GENE-040426-871</v>
      </c>
      <c r="E144" t="s">
        <v>423</v>
      </c>
    </row>
    <row r="145" spans="1:5" x14ac:dyDescent="0.2">
      <c r="A145" t="s">
        <v>424</v>
      </c>
      <c r="B145" t="s">
        <v>425</v>
      </c>
      <c r="C145" t="s">
        <v>425</v>
      </c>
      <c r="D145" t="str">
        <f>HYPERLINK("https://zfin.org/ZDB-GENE-030131-684")</f>
        <v>https://zfin.org/ZDB-GENE-030131-684</v>
      </c>
      <c r="E145" t="s">
        <v>426</v>
      </c>
    </row>
    <row r="146" spans="1:5" x14ac:dyDescent="0.2">
      <c r="A146" t="s">
        <v>427</v>
      </c>
      <c r="B146" t="s">
        <v>428</v>
      </c>
      <c r="C146" t="s">
        <v>428</v>
      </c>
      <c r="D146" t="str">
        <f>HYPERLINK("https://zfin.org/ZDB-GENE-070424-74")</f>
        <v>https://zfin.org/ZDB-GENE-070424-74</v>
      </c>
      <c r="E146" t="s">
        <v>429</v>
      </c>
    </row>
    <row r="147" spans="1:5" x14ac:dyDescent="0.2">
      <c r="A147" t="s">
        <v>430</v>
      </c>
      <c r="B147" t="s">
        <v>431</v>
      </c>
      <c r="C147" t="s">
        <v>431</v>
      </c>
      <c r="D147" t="str">
        <f>HYPERLINK("https://zfin.org/ZDB-GENE-040924-1")</f>
        <v>https://zfin.org/ZDB-GENE-040924-1</v>
      </c>
      <c r="E147" t="s">
        <v>432</v>
      </c>
    </row>
    <row r="148" spans="1:5" x14ac:dyDescent="0.2">
      <c r="A148" t="s">
        <v>433</v>
      </c>
      <c r="B148" t="s">
        <v>434</v>
      </c>
      <c r="C148" t="s">
        <v>434</v>
      </c>
      <c r="D148" t="str">
        <f>HYPERLINK("https://zfin.org/ZDB-GENE-020419-40")</f>
        <v>https://zfin.org/ZDB-GENE-020419-40</v>
      </c>
      <c r="E148" t="s">
        <v>435</v>
      </c>
    </row>
    <row r="149" spans="1:5" x14ac:dyDescent="0.2">
      <c r="A149" t="s">
        <v>436</v>
      </c>
      <c r="B149" t="s">
        <v>437</v>
      </c>
      <c r="C149" t="s">
        <v>437</v>
      </c>
      <c r="D149" t="str">
        <f>HYPERLINK("https://zfin.org/ZDB-GENE-000322-6")</f>
        <v>https://zfin.org/ZDB-GENE-000322-6</v>
      </c>
      <c r="E149" t="s">
        <v>438</v>
      </c>
    </row>
    <row r="150" spans="1:5" x14ac:dyDescent="0.2">
      <c r="A150" t="s">
        <v>439</v>
      </c>
      <c r="B150" t="s">
        <v>440</v>
      </c>
      <c r="C150" t="s">
        <v>440</v>
      </c>
      <c r="D150" t="str">
        <f>HYPERLINK("https://zfin.org/ZDB-GENE-030131-6349")</f>
        <v>https://zfin.org/ZDB-GENE-030131-6349</v>
      </c>
      <c r="E150" t="s">
        <v>441</v>
      </c>
    </row>
    <row r="151" spans="1:5" x14ac:dyDescent="0.2">
      <c r="A151" t="s">
        <v>442</v>
      </c>
      <c r="B151" t="s">
        <v>443</v>
      </c>
      <c r="C151" t="s">
        <v>443</v>
      </c>
      <c r="D151" t="str">
        <f>HYPERLINK("https://zfin.org/ZDB-GENE-030131-2527")</f>
        <v>https://zfin.org/ZDB-GENE-030131-2527</v>
      </c>
      <c r="E151" t="s">
        <v>444</v>
      </c>
    </row>
    <row r="152" spans="1:5" x14ac:dyDescent="0.2">
      <c r="A152" t="s">
        <v>445</v>
      </c>
      <c r="B152" t="s">
        <v>446</v>
      </c>
      <c r="C152" t="s">
        <v>446</v>
      </c>
      <c r="D152" t="str">
        <f>HYPERLINK("https://zfin.org/ZDB-GENE-070720-15")</f>
        <v>https://zfin.org/ZDB-GENE-070720-15</v>
      </c>
      <c r="E152" t="s">
        <v>447</v>
      </c>
    </row>
    <row r="153" spans="1:5" x14ac:dyDescent="0.2">
      <c r="A153" t="s">
        <v>448</v>
      </c>
      <c r="B153" t="s">
        <v>449</v>
      </c>
      <c r="C153" t="s">
        <v>449</v>
      </c>
      <c r="D153" t="str">
        <f>HYPERLINK("https://zfin.org/ZDB-GENE-050522-331")</f>
        <v>https://zfin.org/ZDB-GENE-050522-331</v>
      </c>
      <c r="E153" t="s">
        <v>450</v>
      </c>
    </row>
    <row r="154" spans="1:5" x14ac:dyDescent="0.2">
      <c r="A154" t="s">
        <v>451</v>
      </c>
      <c r="B154" t="s">
        <v>452</v>
      </c>
      <c r="C154" t="s">
        <v>452</v>
      </c>
      <c r="D154" t="str">
        <f>HYPERLINK("https://zfin.org/ZDB-GENE-060825-212")</f>
        <v>https://zfin.org/ZDB-GENE-060825-212</v>
      </c>
      <c r="E154" t="s">
        <v>453</v>
      </c>
    </row>
    <row r="155" spans="1:5" x14ac:dyDescent="0.2">
      <c r="A155" t="s">
        <v>454</v>
      </c>
      <c r="B155" t="s">
        <v>455</v>
      </c>
      <c r="C155" t="s">
        <v>455</v>
      </c>
      <c r="D155" t="str">
        <f>HYPERLINK("https://zfin.org/ZDB-GENE-040426-1215")</f>
        <v>https://zfin.org/ZDB-GENE-040426-1215</v>
      </c>
      <c r="E155" t="s">
        <v>456</v>
      </c>
    </row>
    <row r="156" spans="1:5" x14ac:dyDescent="0.2">
      <c r="A156" t="s">
        <v>457</v>
      </c>
      <c r="B156" t="s">
        <v>458</v>
      </c>
      <c r="C156" t="s">
        <v>458</v>
      </c>
      <c r="D156" t="str">
        <f>HYPERLINK("https://zfin.org/ZDB-GENE-040426-1863")</f>
        <v>https://zfin.org/ZDB-GENE-040426-1863</v>
      </c>
      <c r="E156" t="s">
        <v>459</v>
      </c>
    </row>
    <row r="157" spans="1:5" x14ac:dyDescent="0.2">
      <c r="A157" t="s">
        <v>460</v>
      </c>
      <c r="B157" t="s">
        <v>461</v>
      </c>
      <c r="C157" t="s">
        <v>461</v>
      </c>
      <c r="D157" t="str">
        <f>HYPERLINK("https://zfin.org/ZDB-GENE-120215-134")</f>
        <v>https://zfin.org/ZDB-GENE-120215-134</v>
      </c>
      <c r="E157" t="s">
        <v>462</v>
      </c>
    </row>
    <row r="158" spans="1:5" x14ac:dyDescent="0.2">
      <c r="A158" t="s">
        <v>463</v>
      </c>
      <c r="B158" t="s">
        <v>464</v>
      </c>
      <c r="C158" t="s">
        <v>464</v>
      </c>
      <c r="D158" t="str">
        <f>HYPERLINK("https://zfin.org/ZDB-GENE-030131-8256")</f>
        <v>https://zfin.org/ZDB-GENE-030131-8256</v>
      </c>
      <c r="E158" t="s">
        <v>465</v>
      </c>
    </row>
    <row r="159" spans="1:5" x14ac:dyDescent="0.2">
      <c r="A159" t="s">
        <v>466</v>
      </c>
      <c r="B159" t="s">
        <v>467</v>
      </c>
      <c r="C159" t="s">
        <v>467</v>
      </c>
      <c r="D159" t="str">
        <f>HYPERLINK("https://zfin.org/ZDB-GENE-131119-18")</f>
        <v>https://zfin.org/ZDB-GENE-131119-18</v>
      </c>
      <c r="E159" t="s">
        <v>468</v>
      </c>
    </row>
    <row r="160" spans="1:5" x14ac:dyDescent="0.2">
      <c r="A160" t="s">
        <v>469</v>
      </c>
      <c r="B160" t="s">
        <v>470</v>
      </c>
      <c r="C160" t="s">
        <v>470</v>
      </c>
      <c r="D160" t="str">
        <f>HYPERLINK("https://zfin.org/ZDB-GENE-070907-1")</f>
        <v>https://zfin.org/ZDB-GENE-070907-1</v>
      </c>
      <c r="E160" t="s">
        <v>471</v>
      </c>
    </row>
    <row r="161" spans="1:5" x14ac:dyDescent="0.2">
      <c r="A161" t="s">
        <v>472</v>
      </c>
      <c r="B161" t="s">
        <v>473</v>
      </c>
      <c r="C161" t="s">
        <v>473</v>
      </c>
      <c r="D161" t="str">
        <f>HYPERLINK("https://zfin.org/ZDB-GENE-030131-576")</f>
        <v>https://zfin.org/ZDB-GENE-030131-576</v>
      </c>
      <c r="E161" t="s">
        <v>474</v>
      </c>
    </row>
    <row r="162" spans="1:5" x14ac:dyDescent="0.2">
      <c r="A162" t="s">
        <v>475</v>
      </c>
      <c r="B162" t="s">
        <v>476</v>
      </c>
      <c r="C162" t="s">
        <v>476</v>
      </c>
      <c r="D162" t="str">
        <f>HYPERLINK("https://zfin.org/ZDB-GENE-031110-4")</f>
        <v>https://zfin.org/ZDB-GENE-031110-4</v>
      </c>
      <c r="E162" t="s">
        <v>477</v>
      </c>
    </row>
    <row r="163" spans="1:5" x14ac:dyDescent="0.2">
      <c r="A163" t="s">
        <v>478</v>
      </c>
      <c r="B163" t="s">
        <v>479</v>
      </c>
      <c r="C163" t="s">
        <v>479</v>
      </c>
      <c r="D163" t="str">
        <f>HYPERLINK("https://zfin.org/ZDB-GENE-070112-242")</f>
        <v>https://zfin.org/ZDB-GENE-070112-242</v>
      </c>
      <c r="E163" t="s">
        <v>480</v>
      </c>
    </row>
    <row r="164" spans="1:5" x14ac:dyDescent="0.2">
      <c r="A164" t="s">
        <v>481</v>
      </c>
      <c r="B164" t="s">
        <v>482</v>
      </c>
      <c r="C164" t="s">
        <v>482</v>
      </c>
      <c r="D164" t="str">
        <f>HYPERLINK("https://zfin.org/ZDB-GENE-040426-2294")</f>
        <v>https://zfin.org/ZDB-GENE-040426-2294</v>
      </c>
      <c r="E164" t="s">
        <v>483</v>
      </c>
    </row>
    <row r="165" spans="1:5" x14ac:dyDescent="0.2">
      <c r="A165" t="s">
        <v>484</v>
      </c>
      <c r="B165" t="s">
        <v>485</v>
      </c>
      <c r="C165" t="s">
        <v>485</v>
      </c>
      <c r="D165" t="str">
        <f>HYPERLINK("https://zfin.org/ZDB-GENE-990415-89")</f>
        <v>https://zfin.org/ZDB-GENE-990415-89</v>
      </c>
      <c r="E165" t="s">
        <v>486</v>
      </c>
    </row>
    <row r="166" spans="1:5" x14ac:dyDescent="0.2">
      <c r="A166" t="s">
        <v>487</v>
      </c>
      <c r="B166" t="s">
        <v>488</v>
      </c>
      <c r="C166" t="s">
        <v>488</v>
      </c>
      <c r="D166" t="str">
        <f>HYPERLINK("https://zfin.org/ZDB-GENE-020419-27")</f>
        <v>https://zfin.org/ZDB-GENE-020419-27</v>
      </c>
      <c r="E166" t="s">
        <v>489</v>
      </c>
    </row>
    <row r="167" spans="1:5" x14ac:dyDescent="0.2">
      <c r="A167" t="s">
        <v>490</v>
      </c>
      <c r="B167" t="s">
        <v>491</v>
      </c>
      <c r="C167" t="s">
        <v>491</v>
      </c>
      <c r="D167" t="str">
        <f>HYPERLINK("https://zfin.org/")</f>
        <v>https://zfin.org/</v>
      </c>
    </row>
    <row r="168" spans="1:5" x14ac:dyDescent="0.2">
      <c r="A168" t="s">
        <v>492</v>
      </c>
      <c r="B168" t="s">
        <v>493</v>
      </c>
      <c r="C168" t="s">
        <v>493</v>
      </c>
      <c r="D168" t="str">
        <f>HYPERLINK("https://zfin.org/ZDB-GENE-071115-4")</f>
        <v>https://zfin.org/ZDB-GENE-071115-4</v>
      </c>
      <c r="E168" t="s">
        <v>494</v>
      </c>
    </row>
    <row r="169" spans="1:5" x14ac:dyDescent="0.2">
      <c r="A169" t="s">
        <v>495</v>
      </c>
      <c r="B169" t="s">
        <v>496</v>
      </c>
      <c r="C169" t="s">
        <v>496</v>
      </c>
      <c r="D169" t="str">
        <f>HYPERLINK("https://zfin.org/ZDB-GENE-000831-2")</f>
        <v>https://zfin.org/ZDB-GENE-000831-2</v>
      </c>
      <c r="E169" t="s">
        <v>497</v>
      </c>
    </row>
    <row r="170" spans="1:5" x14ac:dyDescent="0.2">
      <c r="A170" t="s">
        <v>498</v>
      </c>
      <c r="B170" t="s">
        <v>499</v>
      </c>
      <c r="C170" t="s">
        <v>499</v>
      </c>
      <c r="D170" t="str">
        <f>HYPERLINK("https://zfin.org/ZDB-GENE-050417-408")</f>
        <v>https://zfin.org/ZDB-GENE-050417-408</v>
      </c>
      <c r="E170" t="s">
        <v>500</v>
      </c>
    </row>
    <row r="171" spans="1:5" x14ac:dyDescent="0.2">
      <c r="A171" t="s">
        <v>501</v>
      </c>
      <c r="B171" t="s">
        <v>502</v>
      </c>
      <c r="C171" t="s">
        <v>502</v>
      </c>
      <c r="D171" t="str">
        <f>HYPERLINK("https://zfin.org/ZDB-GENE-060526-65")</f>
        <v>https://zfin.org/ZDB-GENE-060526-65</v>
      </c>
      <c r="E171" t="s">
        <v>503</v>
      </c>
    </row>
    <row r="172" spans="1:5" x14ac:dyDescent="0.2">
      <c r="A172" t="s">
        <v>504</v>
      </c>
      <c r="B172" t="s">
        <v>505</v>
      </c>
      <c r="C172" t="s">
        <v>505</v>
      </c>
      <c r="D172" t="str">
        <f>HYPERLINK("https://zfin.org/ZDB-GENE-040718-221")</f>
        <v>https://zfin.org/ZDB-GENE-040718-221</v>
      </c>
      <c r="E172" t="s">
        <v>506</v>
      </c>
    </row>
    <row r="173" spans="1:5" x14ac:dyDescent="0.2">
      <c r="A173" t="s">
        <v>507</v>
      </c>
      <c r="B173" t="s">
        <v>508</v>
      </c>
      <c r="C173" t="s">
        <v>508</v>
      </c>
      <c r="D173" t="str">
        <f>HYPERLINK("https://zfin.org/ZDB-GENE-060810-185")</f>
        <v>https://zfin.org/ZDB-GENE-060810-185</v>
      </c>
      <c r="E173" t="s">
        <v>509</v>
      </c>
    </row>
    <row r="174" spans="1:5" x14ac:dyDescent="0.2">
      <c r="A174" t="s">
        <v>510</v>
      </c>
      <c r="B174" t="s">
        <v>511</v>
      </c>
      <c r="C174" t="s">
        <v>511</v>
      </c>
      <c r="D174" t="str">
        <f>HYPERLINK("https://zfin.org/ZDB-GENE-141215-64")</f>
        <v>https://zfin.org/ZDB-GENE-141215-64</v>
      </c>
      <c r="E174" t="s">
        <v>512</v>
      </c>
    </row>
    <row r="175" spans="1:5" x14ac:dyDescent="0.2">
      <c r="A175" t="s">
        <v>513</v>
      </c>
      <c r="B175" t="s">
        <v>514</v>
      </c>
      <c r="C175" t="s">
        <v>514</v>
      </c>
      <c r="D175" t="str">
        <f>HYPERLINK("https://zfin.org/ZDB-GENE-060929-1206")</f>
        <v>https://zfin.org/ZDB-GENE-060929-1206</v>
      </c>
      <c r="E175" t="s">
        <v>515</v>
      </c>
    </row>
    <row r="176" spans="1:5" x14ac:dyDescent="0.2">
      <c r="A176" t="s">
        <v>516</v>
      </c>
      <c r="B176" t="s">
        <v>517</v>
      </c>
      <c r="C176" t="s">
        <v>517</v>
      </c>
      <c r="D176" t="str">
        <f>HYPERLINK("https://zfin.org/ZDB-GENE-060825-59")</f>
        <v>https://zfin.org/ZDB-GENE-060825-59</v>
      </c>
      <c r="E176" t="s">
        <v>518</v>
      </c>
    </row>
    <row r="177" spans="1:5" x14ac:dyDescent="0.2">
      <c r="A177" t="s">
        <v>519</v>
      </c>
      <c r="B177" t="s">
        <v>520</v>
      </c>
      <c r="C177" t="s">
        <v>520</v>
      </c>
      <c r="D177" t="str">
        <f>HYPERLINK("https://zfin.org/ZDB-GENE-021206-14")</f>
        <v>https://zfin.org/ZDB-GENE-021206-14</v>
      </c>
      <c r="E177" t="s">
        <v>521</v>
      </c>
    </row>
    <row r="178" spans="1:5" x14ac:dyDescent="0.2">
      <c r="A178" t="s">
        <v>522</v>
      </c>
      <c r="B178" t="s">
        <v>523</v>
      </c>
      <c r="C178" t="s">
        <v>523</v>
      </c>
      <c r="D178" t="str">
        <f>HYPERLINK("https://zfin.org/ZDB-GENE-040625-162")</f>
        <v>https://zfin.org/ZDB-GENE-040625-162</v>
      </c>
      <c r="E178" t="s">
        <v>524</v>
      </c>
    </row>
    <row r="179" spans="1:5" x14ac:dyDescent="0.2">
      <c r="A179" t="s">
        <v>525</v>
      </c>
      <c r="B179" t="s">
        <v>526</v>
      </c>
      <c r="C179" t="s">
        <v>526</v>
      </c>
      <c r="D179" t="str">
        <f>HYPERLINK("https://zfin.org/ZDB-GENE-040924-3")</f>
        <v>https://zfin.org/ZDB-GENE-040924-3</v>
      </c>
      <c r="E179" t="s">
        <v>527</v>
      </c>
    </row>
    <row r="180" spans="1:5" x14ac:dyDescent="0.2">
      <c r="A180" t="s">
        <v>528</v>
      </c>
      <c r="B180" t="s">
        <v>529</v>
      </c>
      <c r="C180" t="s">
        <v>529</v>
      </c>
      <c r="D180" t="str">
        <f>HYPERLINK("https://zfin.org/ZDB-GENE-081205-1")</f>
        <v>https://zfin.org/ZDB-GENE-081205-1</v>
      </c>
      <c r="E180" t="s">
        <v>530</v>
      </c>
    </row>
    <row r="181" spans="1:5" x14ac:dyDescent="0.2">
      <c r="A181" t="s">
        <v>531</v>
      </c>
      <c r="B181" t="s">
        <v>532</v>
      </c>
      <c r="C181" t="s">
        <v>532</v>
      </c>
      <c r="D181" t="str">
        <f>HYPERLINK("https://zfin.org/ZDB-GENE-070327-2")</f>
        <v>https://zfin.org/ZDB-GENE-070327-2</v>
      </c>
      <c r="E181" t="s">
        <v>533</v>
      </c>
    </row>
    <row r="182" spans="1:5" x14ac:dyDescent="0.2">
      <c r="A182" t="s">
        <v>534</v>
      </c>
      <c r="B182" t="s">
        <v>535</v>
      </c>
      <c r="C182" t="s">
        <v>535</v>
      </c>
      <c r="D182" t="str">
        <f>HYPERLINK("https://zfin.org/ZDB-GENE-040426-726")</f>
        <v>https://zfin.org/ZDB-GENE-040426-726</v>
      </c>
      <c r="E182" t="s">
        <v>536</v>
      </c>
    </row>
    <row r="183" spans="1:5" x14ac:dyDescent="0.2">
      <c r="A183" t="s">
        <v>537</v>
      </c>
      <c r="B183" t="s">
        <v>538</v>
      </c>
      <c r="C183" t="s">
        <v>538</v>
      </c>
      <c r="D183" t="str">
        <f>HYPERLINK("https://zfin.org/ZDB-GENE-050522-2")</f>
        <v>https://zfin.org/ZDB-GENE-050522-2</v>
      </c>
      <c r="E183" t="s">
        <v>539</v>
      </c>
    </row>
    <row r="184" spans="1:5" x14ac:dyDescent="0.2">
      <c r="A184" t="s">
        <v>540</v>
      </c>
      <c r="B184" t="s">
        <v>541</v>
      </c>
      <c r="C184" t="s">
        <v>541</v>
      </c>
      <c r="D184" t="str">
        <f>HYPERLINK("https://zfin.org/ZDB-GENE-030131-8491")</f>
        <v>https://zfin.org/ZDB-GENE-030131-8491</v>
      </c>
      <c r="E184" t="s">
        <v>542</v>
      </c>
    </row>
    <row r="185" spans="1:5" x14ac:dyDescent="0.2">
      <c r="A185" t="s">
        <v>543</v>
      </c>
      <c r="B185" t="s">
        <v>544</v>
      </c>
      <c r="C185" t="s">
        <v>544</v>
      </c>
      <c r="D185" t="str">
        <f>HYPERLINK("https://zfin.org/ZDB-GENE-160113-66")</f>
        <v>https://zfin.org/ZDB-GENE-160113-66</v>
      </c>
      <c r="E185" t="s">
        <v>545</v>
      </c>
    </row>
    <row r="186" spans="1:5" x14ac:dyDescent="0.2">
      <c r="A186" t="s">
        <v>546</v>
      </c>
      <c r="B186" t="s">
        <v>547</v>
      </c>
      <c r="C186" t="s">
        <v>547</v>
      </c>
      <c r="D186" t="str">
        <f>HYPERLINK("https://zfin.org/ZDB-GENE-120215-137")</f>
        <v>https://zfin.org/ZDB-GENE-120215-137</v>
      </c>
      <c r="E186" t="s">
        <v>548</v>
      </c>
    </row>
    <row r="187" spans="1:5" x14ac:dyDescent="0.2">
      <c r="A187" t="s">
        <v>549</v>
      </c>
      <c r="B187" t="s">
        <v>550</v>
      </c>
      <c r="C187" t="s">
        <v>550</v>
      </c>
      <c r="D187" t="str">
        <f>HYPERLINK("https://zfin.org/ZDB-GENE-060929-124")</f>
        <v>https://zfin.org/ZDB-GENE-060929-124</v>
      </c>
      <c r="E187" t="s">
        <v>551</v>
      </c>
    </row>
    <row r="188" spans="1:5" x14ac:dyDescent="0.2">
      <c r="A188" t="s">
        <v>552</v>
      </c>
      <c r="B188" t="s">
        <v>553</v>
      </c>
      <c r="C188" t="s">
        <v>553</v>
      </c>
      <c r="D188" t="str">
        <f>HYPERLINK("https://zfin.org/ZDB-GENE-071004-32")</f>
        <v>https://zfin.org/ZDB-GENE-071004-32</v>
      </c>
      <c r="E188" t="s">
        <v>554</v>
      </c>
    </row>
    <row r="189" spans="1:5" x14ac:dyDescent="0.2">
      <c r="A189" t="s">
        <v>555</v>
      </c>
      <c r="B189" t="s">
        <v>556</v>
      </c>
      <c r="C189" t="s">
        <v>556</v>
      </c>
      <c r="D189" t="str">
        <f>HYPERLINK("https://zfin.org/ZDB-GENE-160113-107")</f>
        <v>https://zfin.org/ZDB-GENE-160113-107</v>
      </c>
      <c r="E189" t="s">
        <v>557</v>
      </c>
    </row>
    <row r="190" spans="1:5" x14ac:dyDescent="0.2">
      <c r="A190" t="s">
        <v>558</v>
      </c>
      <c r="B190" t="s">
        <v>559</v>
      </c>
      <c r="C190" t="s">
        <v>559</v>
      </c>
      <c r="D190" t="str">
        <f>HYPERLINK("https://zfin.org/ZDB-GENE-030131-4837")</f>
        <v>https://zfin.org/ZDB-GENE-030131-4837</v>
      </c>
      <c r="E190" t="s">
        <v>560</v>
      </c>
    </row>
    <row r="191" spans="1:5" x14ac:dyDescent="0.2">
      <c r="A191" t="s">
        <v>561</v>
      </c>
      <c r="B191" t="s">
        <v>562</v>
      </c>
      <c r="C191" t="s">
        <v>562</v>
      </c>
      <c r="D191" t="str">
        <f>HYPERLINK("https://zfin.org/ZDB-GENE-040912-171")</f>
        <v>https://zfin.org/ZDB-GENE-040912-171</v>
      </c>
      <c r="E191" t="s">
        <v>563</v>
      </c>
    </row>
    <row r="192" spans="1:5" x14ac:dyDescent="0.2">
      <c r="A192" t="s">
        <v>564</v>
      </c>
      <c r="B192" t="s">
        <v>565</v>
      </c>
      <c r="C192" t="s">
        <v>565</v>
      </c>
      <c r="D192" t="str">
        <f>HYPERLINK("https://zfin.org/ZDB-GENE-040426-1387")</f>
        <v>https://zfin.org/ZDB-GENE-040426-1387</v>
      </c>
      <c r="E192" t="s">
        <v>566</v>
      </c>
    </row>
    <row r="193" spans="1:5" x14ac:dyDescent="0.2">
      <c r="A193" t="s">
        <v>567</v>
      </c>
      <c r="B193" t="s">
        <v>568</v>
      </c>
      <c r="C193" t="s">
        <v>568</v>
      </c>
      <c r="D193" t="str">
        <f>HYPERLINK("https://zfin.org/ZDB-GENE-050522-333")</f>
        <v>https://zfin.org/ZDB-GENE-050522-333</v>
      </c>
      <c r="E193" t="s">
        <v>569</v>
      </c>
    </row>
    <row r="194" spans="1:5" x14ac:dyDescent="0.2">
      <c r="A194" t="s">
        <v>570</v>
      </c>
      <c r="B194" t="s">
        <v>571</v>
      </c>
      <c r="C194" t="s">
        <v>571</v>
      </c>
      <c r="D194" t="str">
        <f>HYPERLINK("https://zfin.org/ZDB-GENE-100922-227")</f>
        <v>https://zfin.org/ZDB-GENE-100922-227</v>
      </c>
      <c r="E194" t="s">
        <v>572</v>
      </c>
    </row>
    <row r="195" spans="1:5" x14ac:dyDescent="0.2">
      <c r="A195" t="s">
        <v>573</v>
      </c>
      <c r="B195" t="s">
        <v>574</v>
      </c>
      <c r="C195" t="s">
        <v>574</v>
      </c>
      <c r="D195" t="str">
        <f>HYPERLINK("https://zfin.org/ZDB-GENE-030131-3527")</f>
        <v>https://zfin.org/ZDB-GENE-030131-3527</v>
      </c>
      <c r="E195" t="s">
        <v>575</v>
      </c>
    </row>
    <row r="196" spans="1:5" x14ac:dyDescent="0.2">
      <c r="A196" t="s">
        <v>576</v>
      </c>
      <c r="B196" t="s">
        <v>577</v>
      </c>
      <c r="C196" t="s">
        <v>577</v>
      </c>
      <c r="D196" t="str">
        <f>HYPERLINK("https://zfin.org/ZDB-GENE-050522-510")</f>
        <v>https://zfin.org/ZDB-GENE-050522-510</v>
      </c>
      <c r="E196" t="s">
        <v>578</v>
      </c>
    </row>
    <row r="197" spans="1:5" x14ac:dyDescent="0.2">
      <c r="A197" t="s">
        <v>579</v>
      </c>
      <c r="B197" t="s">
        <v>580</v>
      </c>
      <c r="C197" t="s">
        <v>580</v>
      </c>
      <c r="D197" t="str">
        <f>HYPERLINK("https://zfin.org/ZDB-GENE-050417-257")</f>
        <v>https://zfin.org/ZDB-GENE-050417-257</v>
      </c>
      <c r="E197" t="s">
        <v>581</v>
      </c>
    </row>
    <row r="198" spans="1:5" x14ac:dyDescent="0.2">
      <c r="A198" t="s">
        <v>582</v>
      </c>
      <c r="B198" t="s">
        <v>583</v>
      </c>
      <c r="C198" t="s">
        <v>583</v>
      </c>
      <c r="D198" t="str">
        <f>HYPERLINK("https://zfin.org/ZDB-GENE-030131-1329")</f>
        <v>https://zfin.org/ZDB-GENE-030131-1329</v>
      </c>
      <c r="E198" t="s">
        <v>584</v>
      </c>
    </row>
    <row r="199" spans="1:5" x14ac:dyDescent="0.2">
      <c r="A199" t="s">
        <v>585</v>
      </c>
      <c r="B199" t="s">
        <v>586</v>
      </c>
      <c r="C199" t="s">
        <v>586</v>
      </c>
      <c r="D199" t="str">
        <f>HYPERLINK("https://zfin.org/ZDB-GENE-131121-121")</f>
        <v>https://zfin.org/ZDB-GENE-131121-121</v>
      </c>
      <c r="E199" t="s">
        <v>587</v>
      </c>
    </row>
    <row r="200" spans="1:5" x14ac:dyDescent="0.2">
      <c r="A200" t="s">
        <v>588</v>
      </c>
      <c r="B200" t="s">
        <v>589</v>
      </c>
      <c r="C200" t="s">
        <v>589</v>
      </c>
      <c r="D200" t="str">
        <f>HYPERLINK("https://zfin.org/ZDB-GENE-160113-88")</f>
        <v>https://zfin.org/ZDB-GENE-160113-88</v>
      </c>
      <c r="E200" t="s">
        <v>590</v>
      </c>
    </row>
    <row r="201" spans="1:5" x14ac:dyDescent="0.2">
      <c r="A201" t="s">
        <v>591</v>
      </c>
      <c r="B201" t="s">
        <v>592</v>
      </c>
      <c r="C201" t="s">
        <v>592</v>
      </c>
      <c r="D201" t="str">
        <f>HYPERLINK("https://zfin.org/ZDB-GENE-040426-1891")</f>
        <v>https://zfin.org/ZDB-GENE-040426-1891</v>
      </c>
      <c r="E201" t="s">
        <v>593</v>
      </c>
    </row>
    <row r="202" spans="1:5" x14ac:dyDescent="0.2">
      <c r="A202" t="s">
        <v>594</v>
      </c>
      <c r="B202" t="s">
        <v>595</v>
      </c>
      <c r="C202" t="s">
        <v>595</v>
      </c>
      <c r="D202" t="str">
        <f>HYPERLINK("https://zfin.org/ZDB-GENE-060720-44")</f>
        <v>https://zfin.org/ZDB-GENE-060720-44</v>
      </c>
      <c r="E202" t="s">
        <v>596</v>
      </c>
    </row>
    <row r="203" spans="1:5" x14ac:dyDescent="0.2">
      <c r="A203" t="s">
        <v>597</v>
      </c>
      <c r="B203" t="s">
        <v>598</v>
      </c>
      <c r="C203" t="s">
        <v>598</v>
      </c>
      <c r="D203" t="str">
        <f>HYPERLINK("https://zfin.org/ZDB-GENE-030131-6296")</f>
        <v>https://zfin.org/ZDB-GENE-030131-6296</v>
      </c>
      <c r="E203" t="s">
        <v>599</v>
      </c>
    </row>
    <row r="204" spans="1:5" x14ac:dyDescent="0.2">
      <c r="A204" t="s">
        <v>600</v>
      </c>
      <c r="B204" t="s">
        <v>601</v>
      </c>
      <c r="C204" t="s">
        <v>601</v>
      </c>
      <c r="D204" t="str">
        <f>HYPERLINK("https://zfin.org/ZDB-GENE-040426-1114")</f>
        <v>https://zfin.org/ZDB-GENE-040426-1114</v>
      </c>
      <c r="E204" t="s">
        <v>602</v>
      </c>
    </row>
    <row r="205" spans="1:5" x14ac:dyDescent="0.2">
      <c r="A205" t="s">
        <v>603</v>
      </c>
      <c r="B205" t="s">
        <v>604</v>
      </c>
      <c r="C205" t="s">
        <v>604</v>
      </c>
      <c r="D205" t="str">
        <f>HYPERLINK("https://zfin.org/ZDB-GENE-030131-5417")</f>
        <v>https://zfin.org/ZDB-GENE-030131-5417</v>
      </c>
      <c r="E205" t="s">
        <v>605</v>
      </c>
    </row>
    <row r="206" spans="1:5" x14ac:dyDescent="0.2">
      <c r="A206" t="s">
        <v>606</v>
      </c>
      <c r="B206" t="s">
        <v>607</v>
      </c>
      <c r="C206" t="s">
        <v>607</v>
      </c>
      <c r="D206" t="str">
        <f>HYPERLINK("https://zfin.org/ZDB-GENE-060929-580")</f>
        <v>https://zfin.org/ZDB-GENE-060929-580</v>
      </c>
      <c r="E206" t="s">
        <v>608</v>
      </c>
    </row>
    <row r="207" spans="1:5" x14ac:dyDescent="0.2">
      <c r="A207" t="s">
        <v>609</v>
      </c>
      <c r="B207" t="s">
        <v>610</v>
      </c>
      <c r="C207" t="s">
        <v>610</v>
      </c>
      <c r="D207" t="str">
        <f>HYPERLINK("https://zfin.org/ZDB-GENE-020108-1")</f>
        <v>https://zfin.org/ZDB-GENE-020108-1</v>
      </c>
      <c r="E207" t="s">
        <v>611</v>
      </c>
    </row>
    <row r="208" spans="1:5" x14ac:dyDescent="0.2">
      <c r="A208" t="s">
        <v>612</v>
      </c>
      <c r="B208" t="s">
        <v>613</v>
      </c>
      <c r="C208" t="s">
        <v>613</v>
      </c>
      <c r="D208" t="str">
        <f>HYPERLINK("https://zfin.org/ZDB-GENE-060512-359")</f>
        <v>https://zfin.org/ZDB-GENE-060512-359</v>
      </c>
      <c r="E208" t="s">
        <v>614</v>
      </c>
    </row>
    <row r="209" spans="1:5" x14ac:dyDescent="0.2">
      <c r="A209" t="s">
        <v>615</v>
      </c>
      <c r="B209" t="s">
        <v>616</v>
      </c>
      <c r="C209" t="s">
        <v>616</v>
      </c>
      <c r="D209" t="str">
        <f>HYPERLINK("https://zfin.org/ZDB-GENE-030925-31")</f>
        <v>https://zfin.org/ZDB-GENE-030925-31</v>
      </c>
      <c r="E209" t="s">
        <v>617</v>
      </c>
    </row>
    <row r="210" spans="1:5" x14ac:dyDescent="0.2">
      <c r="A210" t="s">
        <v>618</v>
      </c>
      <c r="B210" t="s">
        <v>619</v>
      </c>
      <c r="C210" t="s">
        <v>619</v>
      </c>
      <c r="D210" t="str">
        <f>HYPERLINK("https://zfin.org/ZDB-GENE-040426-1818")</f>
        <v>https://zfin.org/ZDB-GENE-040426-1818</v>
      </c>
      <c r="E210" t="s">
        <v>620</v>
      </c>
    </row>
    <row r="211" spans="1:5" x14ac:dyDescent="0.2">
      <c r="A211" t="s">
        <v>621</v>
      </c>
      <c r="B211" t="s">
        <v>622</v>
      </c>
      <c r="C211" t="s">
        <v>622</v>
      </c>
      <c r="D211" t="str">
        <f>HYPERLINK("https://zfin.org/ZDB-GENE-090313-386")</f>
        <v>https://zfin.org/ZDB-GENE-090313-386</v>
      </c>
      <c r="E211" t="s">
        <v>623</v>
      </c>
    </row>
    <row r="212" spans="1:5" x14ac:dyDescent="0.2">
      <c r="A212" t="s">
        <v>624</v>
      </c>
      <c r="B212" t="s">
        <v>625</v>
      </c>
      <c r="C212" t="s">
        <v>625</v>
      </c>
      <c r="D212" t="str">
        <f>HYPERLINK("https://zfin.org/ZDB-GENE-160113-110")</f>
        <v>https://zfin.org/ZDB-GENE-160113-110</v>
      </c>
      <c r="E212" t="s">
        <v>626</v>
      </c>
    </row>
    <row r="213" spans="1:5" x14ac:dyDescent="0.2">
      <c r="A213" t="s">
        <v>627</v>
      </c>
      <c r="B213" t="s">
        <v>628</v>
      </c>
      <c r="C213" t="s">
        <v>628</v>
      </c>
      <c r="D213" t="str">
        <f>HYPERLINK("https://zfin.org/ZDB-GENE-131121-599")</f>
        <v>https://zfin.org/ZDB-GENE-131121-599</v>
      </c>
      <c r="E213" t="s">
        <v>629</v>
      </c>
    </row>
    <row r="214" spans="1:5" x14ac:dyDescent="0.2">
      <c r="A214" t="s">
        <v>630</v>
      </c>
      <c r="B214" t="s">
        <v>631</v>
      </c>
      <c r="C214" t="s">
        <v>631</v>
      </c>
      <c r="D214" t="str">
        <f>HYPERLINK("https://zfin.org/ZDB-GENE-040516-7")</f>
        <v>https://zfin.org/ZDB-GENE-040516-7</v>
      </c>
      <c r="E214" t="s">
        <v>632</v>
      </c>
    </row>
    <row r="215" spans="1:5" x14ac:dyDescent="0.2">
      <c r="A215" t="s">
        <v>633</v>
      </c>
      <c r="B215" t="s">
        <v>634</v>
      </c>
      <c r="C215" t="s">
        <v>634</v>
      </c>
      <c r="D215" t="str">
        <f>HYPERLINK("https://zfin.org/ZDB-GENE-050522-21")</f>
        <v>https://zfin.org/ZDB-GENE-050522-21</v>
      </c>
      <c r="E215" t="s">
        <v>635</v>
      </c>
    </row>
    <row r="216" spans="1:5" x14ac:dyDescent="0.2">
      <c r="A216" t="s">
        <v>636</v>
      </c>
      <c r="B216" t="s">
        <v>637</v>
      </c>
      <c r="C216" t="s">
        <v>637</v>
      </c>
      <c r="D216" t="str">
        <f>HYPERLINK("https://zfin.org/ZDB-GENE-090313-201")</f>
        <v>https://zfin.org/ZDB-GENE-090313-201</v>
      </c>
      <c r="E216" t="s">
        <v>638</v>
      </c>
    </row>
    <row r="217" spans="1:5" x14ac:dyDescent="0.2">
      <c r="A217" t="s">
        <v>639</v>
      </c>
      <c r="B217" t="s">
        <v>640</v>
      </c>
      <c r="C217" t="s">
        <v>640</v>
      </c>
      <c r="D217" t="str">
        <f>HYPERLINK("https://zfin.org/")</f>
        <v>https://zfin.org/</v>
      </c>
    </row>
    <row r="218" spans="1:5" x14ac:dyDescent="0.2">
      <c r="A218" t="s">
        <v>641</v>
      </c>
      <c r="B218" t="s">
        <v>642</v>
      </c>
      <c r="C218" t="s">
        <v>642</v>
      </c>
      <c r="D218" t="str">
        <f>HYPERLINK("https://zfin.org/ZDB-GENE-040801-175")</f>
        <v>https://zfin.org/ZDB-GENE-040801-175</v>
      </c>
      <c r="E218" t="s">
        <v>643</v>
      </c>
    </row>
    <row r="219" spans="1:5" x14ac:dyDescent="0.2">
      <c r="A219" t="s">
        <v>644</v>
      </c>
      <c r="B219" t="s">
        <v>645</v>
      </c>
      <c r="C219" t="s">
        <v>645</v>
      </c>
      <c r="D219" t="str">
        <f>HYPERLINK("https://zfin.org/")</f>
        <v>https://zfin.org/</v>
      </c>
    </row>
    <row r="220" spans="1:5" x14ac:dyDescent="0.2">
      <c r="A220" t="s">
        <v>646</v>
      </c>
      <c r="B220" t="s">
        <v>647</v>
      </c>
      <c r="C220" t="s">
        <v>647</v>
      </c>
      <c r="D220" t="str">
        <f>HYPERLINK("https://zfin.org/ZDB-GENE-030131-9261")</f>
        <v>https://zfin.org/ZDB-GENE-030131-9261</v>
      </c>
      <c r="E220" t="s">
        <v>648</v>
      </c>
    </row>
    <row r="221" spans="1:5" x14ac:dyDescent="0.2">
      <c r="A221" t="s">
        <v>649</v>
      </c>
      <c r="B221" t="s">
        <v>650</v>
      </c>
      <c r="C221" t="s">
        <v>650</v>
      </c>
      <c r="D221" t="str">
        <f>HYPERLINK("https://zfin.org/ZDB-GENE-041114-59")</f>
        <v>https://zfin.org/ZDB-GENE-041114-59</v>
      </c>
      <c r="E221" t="s">
        <v>651</v>
      </c>
    </row>
    <row r="222" spans="1:5" x14ac:dyDescent="0.2">
      <c r="A222" t="s">
        <v>652</v>
      </c>
      <c r="B222" t="s">
        <v>653</v>
      </c>
      <c r="C222" t="s">
        <v>653</v>
      </c>
      <c r="D222" t="str">
        <f>HYPERLINK("https://zfin.org/ZDB-GENE-990415-176")</f>
        <v>https://zfin.org/ZDB-GENE-990415-176</v>
      </c>
      <c r="E222" t="s">
        <v>654</v>
      </c>
    </row>
    <row r="223" spans="1:5" x14ac:dyDescent="0.2">
      <c r="A223" t="s">
        <v>655</v>
      </c>
      <c r="B223" t="s">
        <v>656</v>
      </c>
      <c r="C223" t="s">
        <v>656</v>
      </c>
      <c r="D223" t="str">
        <f>HYPERLINK("https://zfin.org/ZDB-GENE-080204-94")</f>
        <v>https://zfin.org/ZDB-GENE-080204-94</v>
      </c>
      <c r="E223" t="s">
        <v>657</v>
      </c>
    </row>
    <row r="224" spans="1:5" x14ac:dyDescent="0.2">
      <c r="A224" t="s">
        <v>658</v>
      </c>
      <c r="B224" t="s">
        <v>659</v>
      </c>
      <c r="C224" t="s">
        <v>659</v>
      </c>
      <c r="D224" t="str">
        <f>HYPERLINK("https://zfin.org/ZDB-GENE-160113-29")</f>
        <v>https://zfin.org/ZDB-GENE-160113-29</v>
      </c>
      <c r="E224" t="s">
        <v>660</v>
      </c>
    </row>
    <row r="225" spans="1:5" x14ac:dyDescent="0.2">
      <c r="A225" t="s">
        <v>661</v>
      </c>
      <c r="B225" t="s">
        <v>662</v>
      </c>
      <c r="C225" t="s">
        <v>662</v>
      </c>
      <c r="D225" t="str">
        <f>HYPERLINK("https://zfin.org/ZDB-GENE-070424-167")</f>
        <v>https://zfin.org/ZDB-GENE-070424-167</v>
      </c>
      <c r="E225" t="s">
        <v>663</v>
      </c>
    </row>
    <row r="226" spans="1:5" x14ac:dyDescent="0.2">
      <c r="A226" t="s">
        <v>664</v>
      </c>
      <c r="B226" t="s">
        <v>665</v>
      </c>
      <c r="C226" t="s">
        <v>665</v>
      </c>
      <c r="D226" t="str">
        <f>HYPERLINK("https://zfin.org/ZDB-GENE-020228-4")</f>
        <v>https://zfin.org/ZDB-GENE-020228-4</v>
      </c>
      <c r="E226" t="s">
        <v>666</v>
      </c>
    </row>
    <row r="227" spans="1:5" x14ac:dyDescent="0.2">
      <c r="A227" t="s">
        <v>667</v>
      </c>
      <c r="B227" t="s">
        <v>668</v>
      </c>
      <c r="C227" t="s">
        <v>668</v>
      </c>
      <c r="D227" t="str">
        <f>HYPERLINK("https://zfin.org/ZDB-GENE-110411-186")</f>
        <v>https://zfin.org/ZDB-GENE-110411-186</v>
      </c>
      <c r="E227" t="s">
        <v>669</v>
      </c>
    </row>
    <row r="228" spans="1:5" x14ac:dyDescent="0.2">
      <c r="A228" t="s">
        <v>670</v>
      </c>
      <c r="B228" t="s">
        <v>671</v>
      </c>
      <c r="C228" t="s">
        <v>671</v>
      </c>
      <c r="D228" t="str">
        <f>HYPERLINK("https://zfin.org/ZDB-GENE-141216-184")</f>
        <v>https://zfin.org/ZDB-GENE-141216-184</v>
      </c>
      <c r="E228" t="s">
        <v>672</v>
      </c>
    </row>
    <row r="229" spans="1:5" x14ac:dyDescent="0.2">
      <c r="A229" t="s">
        <v>673</v>
      </c>
      <c r="B229" t="s">
        <v>674</v>
      </c>
      <c r="C229" t="s">
        <v>674</v>
      </c>
      <c r="D229" t="str">
        <f>HYPERLINK("https://zfin.org/ZDB-GENE-041010-130")</f>
        <v>https://zfin.org/ZDB-GENE-041010-130</v>
      </c>
      <c r="E229" t="s">
        <v>675</v>
      </c>
    </row>
    <row r="230" spans="1:5" x14ac:dyDescent="0.2">
      <c r="A230" t="s">
        <v>676</v>
      </c>
      <c r="B230" t="s">
        <v>677</v>
      </c>
      <c r="C230" t="s">
        <v>677</v>
      </c>
      <c r="D230" t="str">
        <f>HYPERLINK("https://zfin.org/ZDB-GENE-040718-94")</f>
        <v>https://zfin.org/ZDB-GENE-040718-94</v>
      </c>
      <c r="E230" t="s">
        <v>678</v>
      </c>
    </row>
    <row r="231" spans="1:5" x14ac:dyDescent="0.2">
      <c r="A231" t="s">
        <v>679</v>
      </c>
      <c r="B231" t="s">
        <v>680</v>
      </c>
      <c r="C231" t="s">
        <v>680</v>
      </c>
      <c r="D231" t="str">
        <f>HYPERLINK("https://zfin.org/ZDB-GENE-031113-10")</f>
        <v>https://zfin.org/ZDB-GENE-031113-10</v>
      </c>
      <c r="E231" t="s">
        <v>681</v>
      </c>
    </row>
    <row r="232" spans="1:5" x14ac:dyDescent="0.2">
      <c r="A232" t="s">
        <v>682</v>
      </c>
      <c r="B232" t="s">
        <v>683</v>
      </c>
      <c r="C232" t="s">
        <v>683</v>
      </c>
      <c r="D232" t="str">
        <f>HYPERLINK("https://zfin.org/ZDB-GENE-060421-4031")</f>
        <v>https://zfin.org/ZDB-GENE-060421-4031</v>
      </c>
      <c r="E232" t="s">
        <v>684</v>
      </c>
    </row>
    <row r="233" spans="1:5" x14ac:dyDescent="0.2">
      <c r="A233" t="s">
        <v>685</v>
      </c>
      <c r="B233" t="s">
        <v>686</v>
      </c>
      <c r="C233" t="s">
        <v>686</v>
      </c>
      <c r="D233" t="str">
        <f>HYPERLINK("https://zfin.org/ZDB-GENE-081107-2")</f>
        <v>https://zfin.org/ZDB-GENE-081107-2</v>
      </c>
      <c r="E233" t="s">
        <v>687</v>
      </c>
    </row>
    <row r="234" spans="1:5" x14ac:dyDescent="0.2">
      <c r="A234" t="s">
        <v>688</v>
      </c>
      <c r="B234" t="s">
        <v>689</v>
      </c>
      <c r="C234" t="s">
        <v>689</v>
      </c>
      <c r="D234" t="str">
        <f>HYPERLINK("https://zfin.org/ZDB-GENE-030131-1188")</f>
        <v>https://zfin.org/ZDB-GENE-030131-1188</v>
      </c>
      <c r="E234" t="s">
        <v>690</v>
      </c>
    </row>
    <row r="235" spans="1:5" x14ac:dyDescent="0.2">
      <c r="A235" t="s">
        <v>691</v>
      </c>
      <c r="B235" t="s">
        <v>692</v>
      </c>
      <c r="C235" t="s">
        <v>692</v>
      </c>
      <c r="D235" t="str">
        <f>HYPERLINK("https://zfin.org/ZDB-GENE-050809-105")</f>
        <v>https://zfin.org/ZDB-GENE-050809-105</v>
      </c>
      <c r="E235" t="s">
        <v>693</v>
      </c>
    </row>
    <row r="236" spans="1:5" x14ac:dyDescent="0.2">
      <c r="A236" t="s">
        <v>694</v>
      </c>
      <c r="B236" t="s">
        <v>695</v>
      </c>
      <c r="C236" t="s">
        <v>695</v>
      </c>
      <c r="D236" t="str">
        <f>HYPERLINK("https://zfin.org/ZDB-GENE-030131-2209")</f>
        <v>https://zfin.org/ZDB-GENE-030131-2209</v>
      </c>
      <c r="E236" t="s">
        <v>696</v>
      </c>
    </row>
    <row r="237" spans="1:5" x14ac:dyDescent="0.2">
      <c r="A237" t="s">
        <v>697</v>
      </c>
      <c r="B237" t="s">
        <v>698</v>
      </c>
      <c r="C237" t="s">
        <v>698</v>
      </c>
      <c r="D237" t="str">
        <f>HYPERLINK("https://zfin.org/ZDB-GENE-030131-5777")</f>
        <v>https://zfin.org/ZDB-GENE-030131-5777</v>
      </c>
      <c r="E237" t="s">
        <v>699</v>
      </c>
    </row>
    <row r="238" spans="1:5" x14ac:dyDescent="0.2">
      <c r="A238" t="s">
        <v>700</v>
      </c>
      <c r="B238" t="s">
        <v>619</v>
      </c>
      <c r="C238" t="s">
        <v>701</v>
      </c>
      <c r="D238" t="str">
        <f>HYPERLINK("https://zfin.org/")</f>
        <v>https://zfin.org/</v>
      </c>
    </row>
    <row r="239" spans="1:5" x14ac:dyDescent="0.2">
      <c r="A239" t="s">
        <v>702</v>
      </c>
      <c r="B239" t="s">
        <v>703</v>
      </c>
      <c r="C239" t="s">
        <v>703</v>
      </c>
      <c r="D239" t="str">
        <f>HYPERLINK("https://zfin.org/ZDB-GENE-040426-1295")</f>
        <v>https://zfin.org/ZDB-GENE-040426-1295</v>
      </c>
      <c r="E239" t="s">
        <v>704</v>
      </c>
    </row>
    <row r="240" spans="1:5" x14ac:dyDescent="0.2">
      <c r="A240" t="s">
        <v>705</v>
      </c>
      <c r="B240" t="s">
        <v>706</v>
      </c>
      <c r="C240" t="s">
        <v>706</v>
      </c>
      <c r="D240" t="str">
        <f>HYPERLINK("https://zfin.org/ZDB-GENE-030131-6018")</f>
        <v>https://zfin.org/ZDB-GENE-030131-6018</v>
      </c>
      <c r="E240" t="s">
        <v>707</v>
      </c>
    </row>
    <row r="241" spans="1:5" x14ac:dyDescent="0.2">
      <c r="A241" t="s">
        <v>708</v>
      </c>
      <c r="B241" t="s">
        <v>709</v>
      </c>
      <c r="C241" t="s">
        <v>709</v>
      </c>
      <c r="D241" t="str">
        <f>HYPERLINK("https://zfin.org/ZDB-GENE-050522-551")</f>
        <v>https://zfin.org/ZDB-GENE-050522-551</v>
      </c>
      <c r="E241" t="s">
        <v>710</v>
      </c>
    </row>
    <row r="242" spans="1:5" x14ac:dyDescent="0.2">
      <c r="A242" t="s">
        <v>711</v>
      </c>
      <c r="B242" t="s">
        <v>712</v>
      </c>
      <c r="C242" t="s">
        <v>712</v>
      </c>
      <c r="D242" t="str">
        <f>HYPERLINK("https://zfin.org/ZDB-GENE-030916-1")</f>
        <v>https://zfin.org/ZDB-GENE-030916-1</v>
      </c>
      <c r="E242" t="s">
        <v>713</v>
      </c>
    </row>
    <row r="243" spans="1:5" x14ac:dyDescent="0.2">
      <c r="A243" t="s">
        <v>714</v>
      </c>
      <c r="B243" t="s">
        <v>715</v>
      </c>
      <c r="C243" t="s">
        <v>715</v>
      </c>
      <c r="D243" t="str">
        <f>HYPERLINK("https://zfin.org/ZDB-GENE-130206-11")</f>
        <v>https://zfin.org/ZDB-GENE-130206-11</v>
      </c>
      <c r="E243" t="s">
        <v>716</v>
      </c>
    </row>
    <row r="244" spans="1:5" x14ac:dyDescent="0.2">
      <c r="A244" t="s">
        <v>717</v>
      </c>
      <c r="B244" t="s">
        <v>718</v>
      </c>
      <c r="C244" t="s">
        <v>718</v>
      </c>
      <c r="D244" t="str">
        <f>HYPERLINK("https://zfin.org/ZDB-GENE-040801-47")</f>
        <v>https://zfin.org/ZDB-GENE-040801-47</v>
      </c>
      <c r="E244" t="s">
        <v>719</v>
      </c>
    </row>
    <row r="245" spans="1:5" x14ac:dyDescent="0.2">
      <c r="A245" t="s">
        <v>720</v>
      </c>
      <c r="B245" t="s">
        <v>721</v>
      </c>
      <c r="C245" t="s">
        <v>721</v>
      </c>
      <c r="D245" t="str">
        <f>HYPERLINK("https://zfin.org/ZDB-GENE-030131-6298")</f>
        <v>https://zfin.org/ZDB-GENE-030131-6298</v>
      </c>
      <c r="E245" t="s">
        <v>722</v>
      </c>
    </row>
    <row r="246" spans="1:5" x14ac:dyDescent="0.2">
      <c r="A246" t="s">
        <v>723</v>
      </c>
      <c r="B246" t="s">
        <v>724</v>
      </c>
      <c r="C246" t="s">
        <v>724</v>
      </c>
      <c r="D246" t="str">
        <f>HYPERLINK("https://zfin.org/ZDB-GENE-030529-2")</f>
        <v>https://zfin.org/ZDB-GENE-030529-2</v>
      </c>
      <c r="E246" t="s">
        <v>725</v>
      </c>
    </row>
    <row r="247" spans="1:5" x14ac:dyDescent="0.2">
      <c r="A247" t="s">
        <v>726</v>
      </c>
      <c r="B247" t="s">
        <v>727</v>
      </c>
      <c r="C247" t="s">
        <v>727</v>
      </c>
      <c r="D247" t="str">
        <f>HYPERLINK("https://zfin.org/ZDB-GENE-050522-524")</f>
        <v>https://zfin.org/ZDB-GENE-050522-524</v>
      </c>
      <c r="E247" t="s">
        <v>728</v>
      </c>
    </row>
    <row r="248" spans="1:5" x14ac:dyDescent="0.2">
      <c r="A248" t="s">
        <v>729</v>
      </c>
      <c r="B248" t="s">
        <v>730</v>
      </c>
      <c r="C248" t="s">
        <v>730</v>
      </c>
      <c r="D248" t="str">
        <f>HYPERLINK("https://zfin.org/ZDB-GENE-041121-14")</f>
        <v>https://zfin.org/ZDB-GENE-041121-14</v>
      </c>
      <c r="E248" t="s">
        <v>731</v>
      </c>
    </row>
    <row r="249" spans="1:5" x14ac:dyDescent="0.2">
      <c r="A249" t="s">
        <v>732</v>
      </c>
      <c r="B249" t="s">
        <v>733</v>
      </c>
      <c r="C249" t="s">
        <v>733</v>
      </c>
      <c r="D249" t="str">
        <f>HYPERLINK("https://zfin.org/ZDB-GENE-061207-43")</f>
        <v>https://zfin.org/ZDB-GENE-061207-43</v>
      </c>
      <c r="E249" t="s">
        <v>734</v>
      </c>
    </row>
    <row r="250" spans="1:5" x14ac:dyDescent="0.2">
      <c r="A250" t="s">
        <v>735</v>
      </c>
      <c r="B250" t="s">
        <v>736</v>
      </c>
      <c r="C250" t="s">
        <v>736</v>
      </c>
      <c r="D250" t="str">
        <f>HYPERLINK("https://zfin.org/ZDB-GENE-030131-5726")</f>
        <v>https://zfin.org/ZDB-GENE-030131-5726</v>
      </c>
      <c r="E250" t="s">
        <v>737</v>
      </c>
    </row>
    <row r="251" spans="1:5" x14ac:dyDescent="0.2">
      <c r="A251" t="s">
        <v>738</v>
      </c>
      <c r="B251" t="s">
        <v>739</v>
      </c>
      <c r="C251" t="s">
        <v>739</v>
      </c>
      <c r="D251" t="str">
        <f>HYPERLINK("https://zfin.org/ZDB-GENE-060421-7244")</f>
        <v>https://zfin.org/ZDB-GENE-060421-7244</v>
      </c>
      <c r="E251" t="s">
        <v>740</v>
      </c>
    </row>
    <row r="252" spans="1:5" x14ac:dyDescent="0.2">
      <c r="A252" t="s">
        <v>741</v>
      </c>
      <c r="B252" t="s">
        <v>742</v>
      </c>
      <c r="C252" t="s">
        <v>742</v>
      </c>
      <c r="D252" t="str">
        <f>HYPERLINK("https://zfin.org/ZDB-GENE-040426-1502")</f>
        <v>https://zfin.org/ZDB-GENE-040426-1502</v>
      </c>
      <c r="E252" t="s">
        <v>743</v>
      </c>
    </row>
    <row r="253" spans="1:5" x14ac:dyDescent="0.2">
      <c r="A253" t="s">
        <v>744</v>
      </c>
      <c r="B253" t="s">
        <v>745</v>
      </c>
      <c r="C253" t="s">
        <v>745</v>
      </c>
      <c r="D253" t="str">
        <f>HYPERLINK("https://zfin.org/ZDB-GENE-090313-98")</f>
        <v>https://zfin.org/ZDB-GENE-090313-98</v>
      </c>
      <c r="E253" t="s">
        <v>746</v>
      </c>
    </row>
    <row r="254" spans="1:5" x14ac:dyDescent="0.2">
      <c r="A254" t="s">
        <v>747</v>
      </c>
      <c r="B254" t="s">
        <v>748</v>
      </c>
      <c r="C254" t="s">
        <v>748</v>
      </c>
      <c r="D254" t="str">
        <f>HYPERLINK("https://zfin.org/ZDB-GENE-001212-2")</f>
        <v>https://zfin.org/ZDB-GENE-001212-2</v>
      </c>
      <c r="E254" t="s">
        <v>749</v>
      </c>
    </row>
    <row r="255" spans="1:5" x14ac:dyDescent="0.2">
      <c r="A255" t="s">
        <v>750</v>
      </c>
      <c r="B255" t="s">
        <v>751</v>
      </c>
      <c r="C255" t="s">
        <v>751</v>
      </c>
      <c r="D255" t="str">
        <f>HYPERLINK("https://zfin.org/ZDB-GENE-040718-456")</f>
        <v>https://zfin.org/ZDB-GENE-040718-456</v>
      </c>
      <c r="E255" t="s">
        <v>752</v>
      </c>
    </row>
    <row r="256" spans="1:5" x14ac:dyDescent="0.2">
      <c r="A256" t="s">
        <v>753</v>
      </c>
      <c r="B256" t="s">
        <v>754</v>
      </c>
      <c r="C256" t="s">
        <v>754</v>
      </c>
      <c r="D256" t="str">
        <f>HYPERLINK("https://zfin.org/ZDB-GENE-030131-8917")</f>
        <v>https://zfin.org/ZDB-GENE-030131-8917</v>
      </c>
      <c r="E256" t="s">
        <v>755</v>
      </c>
    </row>
    <row r="257" spans="1:5" x14ac:dyDescent="0.2">
      <c r="A257" t="s">
        <v>756</v>
      </c>
      <c r="B257" t="s">
        <v>757</v>
      </c>
      <c r="C257" t="s">
        <v>757</v>
      </c>
      <c r="D257" t="str">
        <f>HYPERLINK("https://zfin.org/ZDB-GENE-001212-1")</f>
        <v>https://zfin.org/ZDB-GENE-001212-1</v>
      </c>
      <c r="E257" t="s">
        <v>758</v>
      </c>
    </row>
    <row r="258" spans="1:5" x14ac:dyDescent="0.2">
      <c r="A258" t="s">
        <v>759</v>
      </c>
      <c r="B258" t="s">
        <v>760</v>
      </c>
      <c r="C258" t="s">
        <v>760</v>
      </c>
      <c r="D258" t="str">
        <f>HYPERLINK("https://zfin.org/ZDB-GENE-030912-11")</f>
        <v>https://zfin.org/ZDB-GENE-030912-11</v>
      </c>
      <c r="E258" t="s">
        <v>761</v>
      </c>
    </row>
    <row r="259" spans="1:5" x14ac:dyDescent="0.2">
      <c r="A259" t="s">
        <v>762</v>
      </c>
      <c r="B259" t="s">
        <v>763</v>
      </c>
      <c r="C259" t="s">
        <v>763</v>
      </c>
      <c r="D259" t="str">
        <f>HYPERLINK("https://zfin.org/ZDB-GENE-041010-214")</f>
        <v>https://zfin.org/ZDB-GENE-041010-214</v>
      </c>
      <c r="E259" t="s">
        <v>764</v>
      </c>
    </row>
    <row r="260" spans="1:5" x14ac:dyDescent="0.2">
      <c r="A260" t="s">
        <v>765</v>
      </c>
      <c r="B260" t="s">
        <v>766</v>
      </c>
      <c r="C260" t="s">
        <v>766</v>
      </c>
      <c r="D260" t="str">
        <f>HYPERLINK("https://zfin.org/ZDB-GENE-060929-52")</f>
        <v>https://zfin.org/ZDB-GENE-060929-52</v>
      </c>
      <c r="E260" t="s">
        <v>767</v>
      </c>
    </row>
    <row r="261" spans="1:5" x14ac:dyDescent="0.2">
      <c r="A261" t="s">
        <v>768</v>
      </c>
      <c r="B261" t="s">
        <v>769</v>
      </c>
      <c r="C261" t="s">
        <v>769</v>
      </c>
      <c r="D261" t="str">
        <f>HYPERLINK("https://zfin.org/ZDB-GENE-050626-124")</f>
        <v>https://zfin.org/ZDB-GENE-050626-124</v>
      </c>
      <c r="E261" t="s">
        <v>770</v>
      </c>
    </row>
    <row r="262" spans="1:5" x14ac:dyDescent="0.2">
      <c r="A262" t="s">
        <v>771</v>
      </c>
      <c r="B262" t="s">
        <v>772</v>
      </c>
      <c r="C262" t="s">
        <v>772</v>
      </c>
      <c r="D262" t="str">
        <f>HYPERLINK("https://zfin.org/ZDB-GENE-040426-1612")</f>
        <v>https://zfin.org/ZDB-GENE-040426-1612</v>
      </c>
      <c r="E262" t="s">
        <v>773</v>
      </c>
    </row>
    <row r="263" spans="1:5" x14ac:dyDescent="0.2">
      <c r="A263" t="s">
        <v>774</v>
      </c>
      <c r="B263" t="s">
        <v>775</v>
      </c>
      <c r="C263" t="s">
        <v>775</v>
      </c>
      <c r="D263" t="str">
        <f>HYPERLINK("https://zfin.org/ZDB-GENE-001212-4")</f>
        <v>https://zfin.org/ZDB-GENE-001212-4</v>
      </c>
      <c r="E263" t="s">
        <v>776</v>
      </c>
    </row>
    <row r="264" spans="1:5" x14ac:dyDescent="0.2">
      <c r="A264" t="s">
        <v>777</v>
      </c>
      <c r="B264" t="s">
        <v>778</v>
      </c>
      <c r="C264" t="s">
        <v>778</v>
      </c>
      <c r="D264" t="str">
        <f>HYPERLINK("https://zfin.org/ZDB-GENE-030131-9833")</f>
        <v>https://zfin.org/ZDB-GENE-030131-9833</v>
      </c>
      <c r="E264" t="s">
        <v>779</v>
      </c>
    </row>
    <row r="265" spans="1:5" x14ac:dyDescent="0.2">
      <c r="A265" t="s">
        <v>780</v>
      </c>
      <c r="B265" t="s">
        <v>781</v>
      </c>
      <c r="C265" t="s">
        <v>781</v>
      </c>
      <c r="D265" t="str">
        <f>HYPERLINK("https://zfin.org/ZDB-GENE-040426-1847")</f>
        <v>https://zfin.org/ZDB-GENE-040426-1847</v>
      </c>
      <c r="E265" t="s">
        <v>782</v>
      </c>
    </row>
    <row r="266" spans="1:5" x14ac:dyDescent="0.2">
      <c r="A266" t="s">
        <v>783</v>
      </c>
      <c r="B266" t="s">
        <v>784</v>
      </c>
      <c r="C266" t="s">
        <v>784</v>
      </c>
      <c r="D266" t="str">
        <f>HYPERLINK("https://zfin.org/ZDB-GENE-041007-4")</f>
        <v>https://zfin.org/ZDB-GENE-041007-4</v>
      </c>
      <c r="E266" t="s">
        <v>785</v>
      </c>
    </row>
    <row r="267" spans="1:5" x14ac:dyDescent="0.2">
      <c r="A267" t="s">
        <v>786</v>
      </c>
      <c r="B267" t="s">
        <v>787</v>
      </c>
      <c r="C267" t="s">
        <v>787</v>
      </c>
      <c r="D267" t="str">
        <f>HYPERLINK("https://zfin.org/ZDB-GENE-050417-417")</f>
        <v>https://zfin.org/ZDB-GENE-050417-417</v>
      </c>
      <c r="E267" t="s">
        <v>788</v>
      </c>
    </row>
    <row r="268" spans="1:5" x14ac:dyDescent="0.2">
      <c r="A268" t="s">
        <v>789</v>
      </c>
      <c r="B268" t="s">
        <v>790</v>
      </c>
      <c r="C268" t="s">
        <v>790</v>
      </c>
      <c r="D268" t="str">
        <f>HYPERLINK("https://zfin.org/ZDB-GENE-030131-7564")</f>
        <v>https://zfin.org/ZDB-GENE-030131-7564</v>
      </c>
      <c r="E268" t="s">
        <v>791</v>
      </c>
    </row>
    <row r="269" spans="1:5" x14ac:dyDescent="0.2">
      <c r="A269" t="s">
        <v>792</v>
      </c>
      <c r="B269" t="s">
        <v>793</v>
      </c>
      <c r="C269" t="s">
        <v>793</v>
      </c>
      <c r="D269" t="str">
        <f>HYPERLINK("https://zfin.org/ZDB-GENE-050227-20")</f>
        <v>https://zfin.org/ZDB-GENE-050227-20</v>
      </c>
      <c r="E269" t="s">
        <v>794</v>
      </c>
    </row>
    <row r="270" spans="1:5" x14ac:dyDescent="0.2">
      <c r="A270" t="s">
        <v>795</v>
      </c>
      <c r="B270" t="s">
        <v>796</v>
      </c>
      <c r="C270" t="s">
        <v>796</v>
      </c>
      <c r="D270" t="str">
        <f>HYPERLINK("https://zfin.org/ZDB-GENE-040426-1236")</f>
        <v>https://zfin.org/ZDB-GENE-040426-1236</v>
      </c>
      <c r="E270" t="s">
        <v>797</v>
      </c>
    </row>
    <row r="271" spans="1:5" x14ac:dyDescent="0.2">
      <c r="A271" t="s">
        <v>798</v>
      </c>
      <c r="B271" t="s">
        <v>799</v>
      </c>
      <c r="C271" t="s">
        <v>799</v>
      </c>
      <c r="D271" t="str">
        <f>HYPERLINK("https://zfin.org/ZDB-GENE-990415-242")</f>
        <v>https://zfin.org/ZDB-GENE-990415-242</v>
      </c>
      <c r="E271" t="s">
        <v>800</v>
      </c>
    </row>
    <row r="272" spans="1:5" x14ac:dyDescent="0.2">
      <c r="A272" t="s">
        <v>801</v>
      </c>
      <c r="B272" t="s">
        <v>802</v>
      </c>
      <c r="C272" t="s">
        <v>802</v>
      </c>
      <c r="D272" t="str">
        <f>HYPERLINK("https://zfin.org/ZDB-GENE-040912-15")</f>
        <v>https://zfin.org/ZDB-GENE-040912-15</v>
      </c>
      <c r="E272" t="s">
        <v>803</v>
      </c>
    </row>
    <row r="273" spans="1:5" x14ac:dyDescent="0.2">
      <c r="A273" t="s">
        <v>804</v>
      </c>
      <c r="B273" t="s">
        <v>805</v>
      </c>
      <c r="C273" t="s">
        <v>805</v>
      </c>
      <c r="D273" t="str">
        <f>HYPERLINK("https://zfin.org/ZDB-GENE-030131-579")</f>
        <v>https://zfin.org/ZDB-GENE-030131-579</v>
      </c>
      <c r="E273" t="s">
        <v>806</v>
      </c>
    </row>
    <row r="274" spans="1:5" x14ac:dyDescent="0.2">
      <c r="A274" t="s">
        <v>807</v>
      </c>
      <c r="B274" t="s">
        <v>808</v>
      </c>
      <c r="C274" t="s">
        <v>808</v>
      </c>
      <c r="D274" t="str">
        <f>HYPERLINK("https://zfin.org/ZDB-GENE-040426-1569")</f>
        <v>https://zfin.org/ZDB-GENE-040426-1569</v>
      </c>
      <c r="E274" t="s">
        <v>809</v>
      </c>
    </row>
    <row r="275" spans="1:5" x14ac:dyDescent="0.2">
      <c r="A275" t="s">
        <v>810</v>
      </c>
      <c r="B275" t="s">
        <v>811</v>
      </c>
      <c r="C275" t="s">
        <v>811</v>
      </c>
      <c r="D275" t="str">
        <f>HYPERLINK("https://zfin.org/ZDB-GENE-081022-93")</f>
        <v>https://zfin.org/ZDB-GENE-081022-93</v>
      </c>
      <c r="E275" t="s">
        <v>812</v>
      </c>
    </row>
    <row r="276" spans="1:5" x14ac:dyDescent="0.2">
      <c r="A276" t="s">
        <v>813</v>
      </c>
      <c r="B276" t="s">
        <v>814</v>
      </c>
      <c r="C276" t="s">
        <v>814</v>
      </c>
      <c r="D276" t="str">
        <f>HYPERLINK("https://zfin.org/ZDB-GENE-070424-166")</f>
        <v>https://zfin.org/ZDB-GENE-070424-166</v>
      </c>
      <c r="E276" t="s">
        <v>815</v>
      </c>
    </row>
    <row r="277" spans="1:5" x14ac:dyDescent="0.2">
      <c r="A277" t="s">
        <v>816</v>
      </c>
      <c r="B277" t="s">
        <v>817</v>
      </c>
      <c r="C277" t="s">
        <v>817</v>
      </c>
      <c r="D277" t="str">
        <f>HYPERLINK("https://zfin.org/ZDB-GENE-040426-2846")</f>
        <v>https://zfin.org/ZDB-GENE-040426-2846</v>
      </c>
      <c r="E277" t="s">
        <v>818</v>
      </c>
    </row>
    <row r="278" spans="1:5" x14ac:dyDescent="0.2">
      <c r="A278" t="s">
        <v>819</v>
      </c>
      <c r="B278" t="s">
        <v>820</v>
      </c>
      <c r="C278" t="s">
        <v>820</v>
      </c>
      <c r="D278" t="str">
        <f>HYPERLINK("https://zfin.org/ZDB-GENE-050522-181")</f>
        <v>https://zfin.org/ZDB-GENE-050522-181</v>
      </c>
      <c r="E278" t="s">
        <v>821</v>
      </c>
    </row>
    <row r="279" spans="1:5" x14ac:dyDescent="0.2">
      <c r="A279" t="s">
        <v>822</v>
      </c>
      <c r="B279" t="s">
        <v>823</v>
      </c>
      <c r="C279" t="s">
        <v>823</v>
      </c>
      <c r="D279" t="str">
        <f>HYPERLINK("https://zfin.org/ZDB-GENE-121214-102")</f>
        <v>https://zfin.org/ZDB-GENE-121214-102</v>
      </c>
      <c r="E279" t="s">
        <v>824</v>
      </c>
    </row>
    <row r="280" spans="1:5" x14ac:dyDescent="0.2">
      <c r="A280" t="s">
        <v>825</v>
      </c>
      <c r="B280" t="s">
        <v>826</v>
      </c>
      <c r="C280" t="s">
        <v>826</v>
      </c>
      <c r="D280" t="str">
        <f>HYPERLINK("https://zfin.org/ZDB-GENE-030131-5134")</f>
        <v>https://zfin.org/ZDB-GENE-030131-5134</v>
      </c>
      <c r="E280" t="s">
        <v>827</v>
      </c>
    </row>
    <row r="281" spans="1:5" x14ac:dyDescent="0.2">
      <c r="A281" t="s">
        <v>828</v>
      </c>
      <c r="B281" t="s">
        <v>829</v>
      </c>
      <c r="C281" t="s">
        <v>829</v>
      </c>
      <c r="D281" t="str">
        <f>HYPERLINK("https://zfin.org/ZDB-GENE-030131-1697")</f>
        <v>https://zfin.org/ZDB-GENE-030131-1697</v>
      </c>
      <c r="E281" t="s">
        <v>830</v>
      </c>
    </row>
    <row r="282" spans="1:5" x14ac:dyDescent="0.2">
      <c r="A282" t="s">
        <v>831</v>
      </c>
      <c r="B282" t="s">
        <v>832</v>
      </c>
      <c r="C282" t="s">
        <v>832</v>
      </c>
      <c r="D282" t="str">
        <f>HYPERLINK("https://zfin.org/ZDB-GENE-090512-7")</f>
        <v>https://zfin.org/ZDB-GENE-090512-7</v>
      </c>
      <c r="E282" t="s">
        <v>833</v>
      </c>
    </row>
    <row r="283" spans="1:5" x14ac:dyDescent="0.2">
      <c r="A283" t="s">
        <v>834</v>
      </c>
      <c r="B283" t="s">
        <v>835</v>
      </c>
      <c r="C283" t="s">
        <v>835</v>
      </c>
      <c r="D283" t="str">
        <f>HYPERLINK("https://zfin.org/ZDB-GENE-041210-343")</f>
        <v>https://zfin.org/ZDB-GENE-041210-343</v>
      </c>
      <c r="E283" t="s">
        <v>836</v>
      </c>
    </row>
    <row r="284" spans="1:5" x14ac:dyDescent="0.2">
      <c r="A284" t="s">
        <v>837</v>
      </c>
      <c r="B284" t="s">
        <v>838</v>
      </c>
      <c r="C284" t="s">
        <v>838</v>
      </c>
      <c r="D284" t="str">
        <f>HYPERLINK("https://zfin.org/ZDB-GENE-030131-3856")</f>
        <v>https://zfin.org/ZDB-GENE-030131-3856</v>
      </c>
      <c r="E284" t="s">
        <v>839</v>
      </c>
    </row>
    <row r="285" spans="1:5" x14ac:dyDescent="0.2">
      <c r="A285" t="s">
        <v>840</v>
      </c>
      <c r="B285" t="s">
        <v>841</v>
      </c>
      <c r="C285" t="s">
        <v>841</v>
      </c>
      <c r="D285" t="str">
        <f>HYPERLINK("https://zfin.org/ZDB-GENE-131120-27")</f>
        <v>https://zfin.org/ZDB-GENE-131120-27</v>
      </c>
      <c r="E285" t="s">
        <v>842</v>
      </c>
    </row>
    <row r="286" spans="1:5" x14ac:dyDescent="0.2">
      <c r="A286" t="s">
        <v>843</v>
      </c>
      <c r="B286" t="s">
        <v>844</v>
      </c>
      <c r="C286" t="s">
        <v>844</v>
      </c>
      <c r="D286" t="str">
        <f>HYPERLINK("https://zfin.org/ZDB-GENE-060824-5")</f>
        <v>https://zfin.org/ZDB-GENE-060824-5</v>
      </c>
      <c r="E286" t="s">
        <v>845</v>
      </c>
    </row>
    <row r="287" spans="1:5" x14ac:dyDescent="0.2">
      <c r="A287" t="s">
        <v>846</v>
      </c>
      <c r="B287" t="s">
        <v>847</v>
      </c>
      <c r="C287" t="s">
        <v>847</v>
      </c>
      <c r="D287" t="str">
        <f>HYPERLINK("https://zfin.org/ZDB-GENE-030131-2303")</f>
        <v>https://zfin.org/ZDB-GENE-030131-2303</v>
      </c>
      <c r="E287" t="s">
        <v>848</v>
      </c>
    </row>
    <row r="288" spans="1:5" x14ac:dyDescent="0.2">
      <c r="A288" t="s">
        <v>849</v>
      </c>
      <c r="B288" t="s">
        <v>850</v>
      </c>
      <c r="C288" t="s">
        <v>850</v>
      </c>
      <c r="D288" t="str">
        <f>HYPERLINK("https://zfin.org/ZDB-GENE-040718-253")</f>
        <v>https://zfin.org/ZDB-GENE-040718-253</v>
      </c>
      <c r="E288" t="s">
        <v>851</v>
      </c>
    </row>
    <row r="289" spans="1:5" x14ac:dyDescent="0.2">
      <c r="A289" t="s">
        <v>852</v>
      </c>
      <c r="B289" t="s">
        <v>853</v>
      </c>
      <c r="C289" t="s">
        <v>853</v>
      </c>
      <c r="D289" t="str">
        <f>HYPERLINK("https://zfin.org/ZDB-GENE-040120-6")</f>
        <v>https://zfin.org/ZDB-GENE-040120-6</v>
      </c>
      <c r="E289" t="s">
        <v>854</v>
      </c>
    </row>
    <row r="290" spans="1:5" x14ac:dyDescent="0.2">
      <c r="A290" t="s">
        <v>855</v>
      </c>
      <c r="B290" t="s">
        <v>856</v>
      </c>
      <c r="C290" t="s">
        <v>856</v>
      </c>
      <c r="D290" t="str">
        <f>HYPERLINK("https://zfin.org/ZDB-GENE-030131-2146")</f>
        <v>https://zfin.org/ZDB-GENE-030131-2146</v>
      </c>
      <c r="E290" t="s">
        <v>857</v>
      </c>
    </row>
    <row r="291" spans="1:5" x14ac:dyDescent="0.2">
      <c r="A291" t="s">
        <v>858</v>
      </c>
      <c r="B291" t="s">
        <v>859</v>
      </c>
      <c r="C291" t="s">
        <v>859</v>
      </c>
      <c r="D291" t="str">
        <f>HYPERLINK("https://zfin.org/ZDB-GENE-030910-3")</f>
        <v>https://zfin.org/ZDB-GENE-030910-3</v>
      </c>
      <c r="E291" t="s">
        <v>860</v>
      </c>
    </row>
    <row r="292" spans="1:5" x14ac:dyDescent="0.2">
      <c r="A292" t="s">
        <v>861</v>
      </c>
      <c r="B292" t="s">
        <v>862</v>
      </c>
      <c r="C292" t="s">
        <v>862</v>
      </c>
      <c r="D292" t="str">
        <f>HYPERLINK("https://zfin.org/ZDB-GENE-040801-11")</f>
        <v>https://zfin.org/ZDB-GENE-040801-11</v>
      </c>
      <c r="E292" t="s">
        <v>863</v>
      </c>
    </row>
    <row r="293" spans="1:5" x14ac:dyDescent="0.2">
      <c r="A293" t="s">
        <v>864</v>
      </c>
      <c r="B293" t="s">
        <v>865</v>
      </c>
      <c r="C293" t="s">
        <v>865</v>
      </c>
      <c r="D293" t="str">
        <f>HYPERLINK("https://zfin.org/ZDB-GENE-040426-2001")</f>
        <v>https://zfin.org/ZDB-GENE-040426-2001</v>
      </c>
      <c r="E293" t="s">
        <v>866</v>
      </c>
    </row>
    <row r="294" spans="1:5" x14ac:dyDescent="0.2">
      <c r="A294" t="s">
        <v>867</v>
      </c>
      <c r="B294" t="s">
        <v>868</v>
      </c>
      <c r="C294" t="s">
        <v>868</v>
      </c>
      <c r="D294" t="str">
        <f>HYPERLINK("https://zfin.org/ZDB-GENE-070912-491")</f>
        <v>https://zfin.org/ZDB-GENE-070912-491</v>
      </c>
      <c r="E294" t="s">
        <v>869</v>
      </c>
    </row>
    <row r="295" spans="1:5" x14ac:dyDescent="0.2">
      <c r="A295" t="s">
        <v>870</v>
      </c>
      <c r="B295" t="s">
        <v>871</v>
      </c>
      <c r="C295" t="s">
        <v>871</v>
      </c>
      <c r="D295" t="str">
        <f>HYPERLINK("https://zfin.org/ZDB-GENE-990415-54")</f>
        <v>https://zfin.org/ZDB-GENE-990415-54</v>
      </c>
      <c r="E295" t="s">
        <v>872</v>
      </c>
    </row>
    <row r="296" spans="1:5" x14ac:dyDescent="0.2">
      <c r="A296" t="s">
        <v>873</v>
      </c>
      <c r="B296" t="s">
        <v>874</v>
      </c>
      <c r="C296" t="s">
        <v>874</v>
      </c>
      <c r="D296" t="str">
        <f>HYPERLINK("https://zfin.org/ZDB-GENE-050913-92")</f>
        <v>https://zfin.org/ZDB-GENE-050913-92</v>
      </c>
      <c r="E296" t="s">
        <v>875</v>
      </c>
    </row>
    <row r="297" spans="1:5" x14ac:dyDescent="0.2">
      <c r="A297" t="s">
        <v>876</v>
      </c>
      <c r="B297" t="s">
        <v>877</v>
      </c>
      <c r="C297" t="s">
        <v>877</v>
      </c>
      <c r="D297" t="str">
        <f>HYPERLINK("https://zfin.org/ZDB-GENE-040718-376")</f>
        <v>https://zfin.org/ZDB-GENE-040718-376</v>
      </c>
      <c r="E297" t="s">
        <v>878</v>
      </c>
    </row>
    <row r="298" spans="1:5" x14ac:dyDescent="0.2">
      <c r="A298" t="s">
        <v>879</v>
      </c>
      <c r="B298" t="s">
        <v>880</v>
      </c>
      <c r="C298" t="s">
        <v>880</v>
      </c>
      <c r="D298" t="str">
        <f>HYPERLINK("https://zfin.org/ZDB-GENE-141216-395")</f>
        <v>https://zfin.org/ZDB-GENE-141216-395</v>
      </c>
      <c r="E298" t="s">
        <v>881</v>
      </c>
    </row>
    <row r="299" spans="1:5" x14ac:dyDescent="0.2">
      <c r="A299" t="s">
        <v>882</v>
      </c>
      <c r="B299" t="s">
        <v>883</v>
      </c>
      <c r="C299" t="s">
        <v>883</v>
      </c>
      <c r="D299" t="str">
        <f>HYPERLINK("https://zfin.org/ZDB-GENE-030131-9511")</f>
        <v>https://zfin.org/ZDB-GENE-030131-9511</v>
      </c>
      <c r="E299" t="s">
        <v>884</v>
      </c>
    </row>
    <row r="300" spans="1:5" x14ac:dyDescent="0.2">
      <c r="A300" t="s">
        <v>885</v>
      </c>
      <c r="B300" t="s">
        <v>886</v>
      </c>
      <c r="C300" t="s">
        <v>886</v>
      </c>
      <c r="D300" t="str">
        <f>HYPERLINK("https://zfin.org/ZDB-GENE-040309-1")</f>
        <v>https://zfin.org/ZDB-GENE-040309-1</v>
      </c>
      <c r="E300" t="s">
        <v>887</v>
      </c>
    </row>
    <row r="301" spans="1:5" x14ac:dyDescent="0.2">
      <c r="A301" t="s">
        <v>888</v>
      </c>
      <c r="B301" t="s">
        <v>889</v>
      </c>
      <c r="C301" t="s">
        <v>889</v>
      </c>
      <c r="D301" t="str">
        <f>HYPERLINK("https://zfin.org/ZDB-GENE-040426-2749")</f>
        <v>https://zfin.org/ZDB-GENE-040426-2749</v>
      </c>
      <c r="E301" t="s">
        <v>890</v>
      </c>
    </row>
    <row r="302" spans="1:5" x14ac:dyDescent="0.2">
      <c r="A302" t="s">
        <v>891</v>
      </c>
      <c r="B302" t="s">
        <v>892</v>
      </c>
      <c r="C302" t="s">
        <v>892</v>
      </c>
      <c r="D302" t="str">
        <f>HYPERLINK("https://zfin.org/ZDB-GENE-030131-731")</f>
        <v>https://zfin.org/ZDB-GENE-030131-731</v>
      </c>
      <c r="E302" t="s">
        <v>893</v>
      </c>
    </row>
    <row r="303" spans="1:5" x14ac:dyDescent="0.2">
      <c r="A303" t="s">
        <v>894</v>
      </c>
      <c r="B303" t="s">
        <v>895</v>
      </c>
      <c r="C303" t="s">
        <v>895</v>
      </c>
      <c r="D303" t="str">
        <f>HYPERLINK("https://zfin.org/")</f>
        <v>https://zfin.org/</v>
      </c>
    </row>
    <row r="304" spans="1:5" x14ac:dyDescent="0.2">
      <c r="A304" t="s">
        <v>896</v>
      </c>
      <c r="B304" t="s">
        <v>897</v>
      </c>
      <c r="C304" t="s">
        <v>897</v>
      </c>
      <c r="D304" t="str">
        <f>HYPERLINK("https://zfin.org/ZDB-GENE-021031-1")</f>
        <v>https://zfin.org/ZDB-GENE-021031-1</v>
      </c>
      <c r="E304" t="s">
        <v>898</v>
      </c>
    </row>
    <row r="305" spans="1:5" x14ac:dyDescent="0.2">
      <c r="A305" t="s">
        <v>899</v>
      </c>
      <c r="B305" t="s">
        <v>900</v>
      </c>
      <c r="C305" t="s">
        <v>900</v>
      </c>
      <c r="D305" t="str">
        <f>HYPERLINK("https://zfin.org/ZDB-GENE-030131-2805")</f>
        <v>https://zfin.org/ZDB-GENE-030131-2805</v>
      </c>
      <c r="E305" t="s">
        <v>901</v>
      </c>
    </row>
    <row r="306" spans="1:5" x14ac:dyDescent="0.2">
      <c r="A306" t="s">
        <v>902</v>
      </c>
      <c r="B306" t="s">
        <v>903</v>
      </c>
      <c r="C306" t="s">
        <v>903</v>
      </c>
      <c r="D306" t="str">
        <f>HYPERLINK("https://zfin.org/ZDB-GENE-030131-185")</f>
        <v>https://zfin.org/ZDB-GENE-030131-185</v>
      </c>
      <c r="E306" t="s">
        <v>904</v>
      </c>
    </row>
    <row r="307" spans="1:5" x14ac:dyDescent="0.2">
      <c r="A307" t="s">
        <v>905</v>
      </c>
      <c r="B307" t="s">
        <v>906</v>
      </c>
      <c r="C307" t="s">
        <v>906</v>
      </c>
      <c r="D307" t="str">
        <f>HYPERLINK("https://zfin.org/ZDB-GENE-040914-39")</f>
        <v>https://zfin.org/ZDB-GENE-040914-39</v>
      </c>
      <c r="E307" t="s">
        <v>907</v>
      </c>
    </row>
    <row r="308" spans="1:5" x14ac:dyDescent="0.2">
      <c r="A308" t="s">
        <v>908</v>
      </c>
      <c r="B308" t="s">
        <v>909</v>
      </c>
      <c r="C308" t="s">
        <v>909</v>
      </c>
      <c r="D308" t="str">
        <f>HYPERLINK("https://zfin.org/ZDB-GENE-030131-3942")</f>
        <v>https://zfin.org/ZDB-GENE-030131-3942</v>
      </c>
      <c r="E308" t="s">
        <v>910</v>
      </c>
    </row>
    <row r="309" spans="1:5" x14ac:dyDescent="0.2">
      <c r="A309" t="s">
        <v>911</v>
      </c>
      <c r="B309" t="s">
        <v>912</v>
      </c>
      <c r="C309" t="s">
        <v>912</v>
      </c>
      <c r="D309" t="str">
        <f>HYPERLINK("https://zfin.org/ZDB-GENE-030131-8279")</f>
        <v>https://zfin.org/ZDB-GENE-030131-8279</v>
      </c>
      <c r="E309" t="s">
        <v>913</v>
      </c>
    </row>
    <row r="310" spans="1:5" x14ac:dyDescent="0.2">
      <c r="A310" t="s">
        <v>914</v>
      </c>
      <c r="B310" t="s">
        <v>915</v>
      </c>
      <c r="C310" t="s">
        <v>915</v>
      </c>
      <c r="D310" t="str">
        <f>HYPERLINK("https://zfin.org/ZDB-GENE-040426-2920")</f>
        <v>https://zfin.org/ZDB-GENE-040426-2920</v>
      </c>
      <c r="E310" t="s">
        <v>916</v>
      </c>
    </row>
    <row r="311" spans="1:5" x14ac:dyDescent="0.2">
      <c r="A311" t="s">
        <v>917</v>
      </c>
      <c r="B311" t="s">
        <v>918</v>
      </c>
      <c r="C311" t="s">
        <v>918</v>
      </c>
      <c r="D311" t="str">
        <f>HYPERLINK("https://zfin.org/ZDB-GENE-030616-563")</f>
        <v>https://zfin.org/ZDB-GENE-030616-563</v>
      </c>
      <c r="E311" t="s">
        <v>919</v>
      </c>
    </row>
    <row r="312" spans="1:5" x14ac:dyDescent="0.2">
      <c r="A312" t="s">
        <v>920</v>
      </c>
      <c r="B312" t="s">
        <v>921</v>
      </c>
      <c r="C312" t="s">
        <v>921</v>
      </c>
      <c r="D312" t="str">
        <f>HYPERLINK("https://zfin.org/ZDB-GENE-050522-36")</f>
        <v>https://zfin.org/ZDB-GENE-050522-36</v>
      </c>
      <c r="E312" t="s">
        <v>922</v>
      </c>
    </row>
    <row r="313" spans="1:5" x14ac:dyDescent="0.2">
      <c r="A313" t="s">
        <v>923</v>
      </c>
      <c r="B313" t="s">
        <v>924</v>
      </c>
      <c r="C313" t="s">
        <v>924</v>
      </c>
      <c r="D313" t="str">
        <f>HYPERLINK("https://zfin.org/ZDB-GENE-040426-2360")</f>
        <v>https://zfin.org/ZDB-GENE-040426-2360</v>
      </c>
      <c r="E313" t="s">
        <v>925</v>
      </c>
    </row>
    <row r="314" spans="1:5" x14ac:dyDescent="0.2">
      <c r="A314" t="s">
        <v>926</v>
      </c>
      <c r="B314" t="s">
        <v>927</v>
      </c>
      <c r="C314" t="s">
        <v>927</v>
      </c>
      <c r="D314" t="str">
        <f>HYPERLINK("https://zfin.org/ZDB-GENE-090313-173")</f>
        <v>https://zfin.org/ZDB-GENE-090313-173</v>
      </c>
      <c r="E314" t="s">
        <v>928</v>
      </c>
    </row>
    <row r="315" spans="1:5" x14ac:dyDescent="0.2">
      <c r="A315" t="s">
        <v>929</v>
      </c>
      <c r="B315" t="s">
        <v>930</v>
      </c>
      <c r="C315" t="s">
        <v>930</v>
      </c>
      <c r="D315" t="str">
        <f>HYPERLINK("https://zfin.org/ZDB-GENE-070112-1242")</f>
        <v>https://zfin.org/ZDB-GENE-070112-1242</v>
      </c>
      <c r="E315" t="s">
        <v>931</v>
      </c>
    </row>
    <row r="316" spans="1:5" x14ac:dyDescent="0.2">
      <c r="A316" t="s">
        <v>932</v>
      </c>
      <c r="B316" t="s">
        <v>933</v>
      </c>
      <c r="C316" t="s">
        <v>933</v>
      </c>
      <c r="D316" t="str">
        <f>HYPERLINK("https://zfin.org/ZDB-GENE-100727-5")</f>
        <v>https://zfin.org/ZDB-GENE-100727-5</v>
      </c>
      <c r="E316" t="s">
        <v>934</v>
      </c>
    </row>
    <row r="317" spans="1:5" x14ac:dyDescent="0.2">
      <c r="A317" t="s">
        <v>935</v>
      </c>
      <c r="B317" t="s">
        <v>936</v>
      </c>
      <c r="C317" t="s">
        <v>936</v>
      </c>
      <c r="D317" t="str">
        <f>HYPERLINK("https://zfin.org/ZDB-GENE-030131-9839")</f>
        <v>https://zfin.org/ZDB-GENE-030131-9839</v>
      </c>
      <c r="E317" t="s">
        <v>937</v>
      </c>
    </row>
    <row r="318" spans="1:5" x14ac:dyDescent="0.2">
      <c r="A318" t="s">
        <v>938</v>
      </c>
      <c r="B318" t="s">
        <v>939</v>
      </c>
      <c r="C318" t="s">
        <v>939</v>
      </c>
      <c r="D318" t="str">
        <f>HYPERLINK("https://zfin.org/ZDB-GENE-030131-2767")</f>
        <v>https://zfin.org/ZDB-GENE-030131-2767</v>
      </c>
      <c r="E318" t="s">
        <v>940</v>
      </c>
    </row>
    <row r="319" spans="1:5" x14ac:dyDescent="0.2">
      <c r="A319" t="s">
        <v>941</v>
      </c>
      <c r="B319" t="s">
        <v>942</v>
      </c>
      <c r="C319" t="s">
        <v>942</v>
      </c>
      <c r="D319" t="str">
        <f>HYPERLINK("https://zfin.org/ZDB-GENE-141212-345")</f>
        <v>https://zfin.org/ZDB-GENE-141212-345</v>
      </c>
      <c r="E319" t="s">
        <v>943</v>
      </c>
    </row>
    <row r="320" spans="1:5" x14ac:dyDescent="0.2">
      <c r="A320" t="s">
        <v>944</v>
      </c>
      <c r="B320" t="s">
        <v>945</v>
      </c>
      <c r="C320" t="s">
        <v>945</v>
      </c>
      <c r="D320" t="str">
        <f>HYPERLINK("https://zfin.org/ZDB-GENE-060315-3")</f>
        <v>https://zfin.org/ZDB-GENE-060315-3</v>
      </c>
      <c r="E320" t="s">
        <v>946</v>
      </c>
    </row>
    <row r="321" spans="1:5" x14ac:dyDescent="0.2">
      <c r="A321" t="s">
        <v>947</v>
      </c>
      <c r="B321" t="s">
        <v>948</v>
      </c>
      <c r="C321" t="s">
        <v>948</v>
      </c>
      <c r="D321" t="str">
        <f>HYPERLINK("https://zfin.org/ZDB-GENE-040426-1024")</f>
        <v>https://zfin.org/ZDB-GENE-040426-1024</v>
      </c>
      <c r="E321" t="s">
        <v>949</v>
      </c>
    </row>
    <row r="322" spans="1:5" x14ac:dyDescent="0.2">
      <c r="A322" t="s">
        <v>950</v>
      </c>
      <c r="B322" t="s">
        <v>951</v>
      </c>
      <c r="C322" t="s">
        <v>951</v>
      </c>
      <c r="D322" t="str">
        <f>HYPERLINK("https://zfin.org/ZDB-GENE-040711-4")</f>
        <v>https://zfin.org/ZDB-GENE-040711-4</v>
      </c>
      <c r="E322" t="s">
        <v>952</v>
      </c>
    </row>
    <row r="323" spans="1:5" x14ac:dyDescent="0.2">
      <c r="A323" t="s">
        <v>953</v>
      </c>
      <c r="B323" t="s">
        <v>954</v>
      </c>
      <c r="C323" t="s">
        <v>954</v>
      </c>
      <c r="D323" t="str">
        <f>HYPERLINK("https://zfin.org/ZDB-GENE-050913-119")</f>
        <v>https://zfin.org/ZDB-GENE-050913-119</v>
      </c>
      <c r="E323" t="s">
        <v>955</v>
      </c>
    </row>
    <row r="324" spans="1:5" x14ac:dyDescent="0.2">
      <c r="A324" t="s">
        <v>956</v>
      </c>
      <c r="B324" t="s">
        <v>957</v>
      </c>
      <c r="C324" t="s">
        <v>957</v>
      </c>
      <c r="D324" t="str">
        <f>HYPERLINK("https://zfin.org/ZDB-GENE-030131-8756")</f>
        <v>https://zfin.org/ZDB-GENE-030131-8756</v>
      </c>
      <c r="E324" t="s">
        <v>958</v>
      </c>
    </row>
    <row r="325" spans="1:5" x14ac:dyDescent="0.2">
      <c r="A325" t="s">
        <v>959</v>
      </c>
      <c r="B325" t="s">
        <v>960</v>
      </c>
      <c r="C325" t="s">
        <v>960</v>
      </c>
      <c r="D325" t="str">
        <f>HYPERLINK("https://zfin.org/ZDB-GENE-041111-143")</f>
        <v>https://zfin.org/ZDB-GENE-041111-143</v>
      </c>
      <c r="E325" t="s">
        <v>961</v>
      </c>
    </row>
    <row r="326" spans="1:5" x14ac:dyDescent="0.2">
      <c r="A326" t="s">
        <v>962</v>
      </c>
      <c r="B326" t="s">
        <v>963</v>
      </c>
      <c r="C326" t="s">
        <v>963</v>
      </c>
      <c r="D326" t="str">
        <f>HYPERLINK("https://zfin.org/ZDB-GENE-050522-480")</f>
        <v>https://zfin.org/ZDB-GENE-050522-480</v>
      </c>
      <c r="E326" t="s">
        <v>964</v>
      </c>
    </row>
    <row r="327" spans="1:5" x14ac:dyDescent="0.2">
      <c r="A327" t="s">
        <v>965</v>
      </c>
      <c r="B327" t="s">
        <v>966</v>
      </c>
      <c r="C327" t="s">
        <v>966</v>
      </c>
      <c r="D327" t="str">
        <f>HYPERLINK("https://zfin.org/ZDB-GENE-050522-368")</f>
        <v>https://zfin.org/ZDB-GENE-050522-368</v>
      </c>
      <c r="E327" t="s">
        <v>967</v>
      </c>
    </row>
    <row r="328" spans="1:5" x14ac:dyDescent="0.2">
      <c r="A328" t="s">
        <v>968</v>
      </c>
      <c r="B328" t="s">
        <v>969</v>
      </c>
      <c r="C328" t="s">
        <v>969</v>
      </c>
      <c r="D328" t="str">
        <f>HYPERLINK("https://zfin.org/ZDB-GENE-030131-5435")</f>
        <v>https://zfin.org/ZDB-GENE-030131-5435</v>
      </c>
      <c r="E328" t="s">
        <v>970</v>
      </c>
    </row>
    <row r="329" spans="1:5" x14ac:dyDescent="0.2">
      <c r="A329" t="s">
        <v>971</v>
      </c>
      <c r="B329" t="s">
        <v>972</v>
      </c>
      <c r="C329" t="s">
        <v>972</v>
      </c>
      <c r="D329" t="str">
        <f>HYPERLINK("https://zfin.org/ZDB-GENE-080104-1")</f>
        <v>https://zfin.org/ZDB-GENE-080104-1</v>
      </c>
      <c r="E329" t="s">
        <v>973</v>
      </c>
    </row>
    <row r="330" spans="1:5" x14ac:dyDescent="0.2">
      <c r="A330" t="s">
        <v>974</v>
      </c>
      <c r="B330" t="s">
        <v>975</v>
      </c>
      <c r="C330" t="s">
        <v>975</v>
      </c>
      <c r="D330" t="str">
        <f>HYPERLINK("https://zfin.org/ZDB-GENE-030131-2207")</f>
        <v>https://zfin.org/ZDB-GENE-030131-2207</v>
      </c>
      <c r="E330" t="s">
        <v>976</v>
      </c>
    </row>
    <row r="331" spans="1:5" x14ac:dyDescent="0.2">
      <c r="A331" t="s">
        <v>977</v>
      </c>
      <c r="B331" t="s">
        <v>978</v>
      </c>
      <c r="C331" t="s">
        <v>978</v>
      </c>
      <c r="D331" t="str">
        <f>HYPERLINK("https://zfin.org/ZDB-GENE-030722-1")</f>
        <v>https://zfin.org/ZDB-GENE-030722-1</v>
      </c>
      <c r="E331" t="s">
        <v>979</v>
      </c>
    </row>
    <row r="332" spans="1:5" x14ac:dyDescent="0.2">
      <c r="A332" t="s">
        <v>980</v>
      </c>
      <c r="B332" t="s">
        <v>981</v>
      </c>
      <c r="C332" t="s">
        <v>981</v>
      </c>
      <c r="D332" t="str">
        <f>HYPERLINK("https://zfin.org/ZDB-GENE-040426-1852")</f>
        <v>https://zfin.org/ZDB-GENE-040426-1852</v>
      </c>
      <c r="E332" t="s">
        <v>982</v>
      </c>
    </row>
    <row r="333" spans="1:5" x14ac:dyDescent="0.2">
      <c r="A333" t="s">
        <v>983</v>
      </c>
      <c r="B333" t="s">
        <v>984</v>
      </c>
      <c r="C333" t="s">
        <v>984</v>
      </c>
      <c r="D333" t="str">
        <f>HYPERLINK("https://zfin.org/ZDB-GENE-041114-56")</f>
        <v>https://zfin.org/ZDB-GENE-041114-56</v>
      </c>
      <c r="E333" t="s">
        <v>985</v>
      </c>
    </row>
    <row r="334" spans="1:5" x14ac:dyDescent="0.2">
      <c r="A334" t="s">
        <v>986</v>
      </c>
      <c r="B334" t="s">
        <v>987</v>
      </c>
      <c r="C334" t="s">
        <v>987</v>
      </c>
      <c r="D334" t="str">
        <f>HYPERLINK("https://zfin.org/ZDB-GENE-030131-6849")</f>
        <v>https://zfin.org/ZDB-GENE-030131-6849</v>
      </c>
      <c r="E334" t="s">
        <v>988</v>
      </c>
    </row>
    <row r="335" spans="1:5" x14ac:dyDescent="0.2">
      <c r="A335" t="s">
        <v>989</v>
      </c>
      <c r="B335" t="s">
        <v>990</v>
      </c>
      <c r="C335" t="s">
        <v>990</v>
      </c>
      <c r="D335" t="str">
        <f>HYPERLINK("https://zfin.org/ZDB-GENE-030131-428")</f>
        <v>https://zfin.org/ZDB-GENE-030131-428</v>
      </c>
      <c r="E335" t="s">
        <v>991</v>
      </c>
    </row>
    <row r="336" spans="1:5" x14ac:dyDescent="0.2">
      <c r="A336" t="s">
        <v>992</v>
      </c>
      <c r="B336" t="s">
        <v>993</v>
      </c>
      <c r="C336" t="s">
        <v>993</v>
      </c>
      <c r="D336" t="str">
        <f>HYPERLINK("https://zfin.org/ZDB-GENE-070410-82")</f>
        <v>https://zfin.org/ZDB-GENE-070410-82</v>
      </c>
      <c r="E336" t="s">
        <v>994</v>
      </c>
    </row>
    <row r="337" spans="1:5" x14ac:dyDescent="0.2">
      <c r="A337" t="s">
        <v>995</v>
      </c>
      <c r="B337" t="s">
        <v>996</v>
      </c>
      <c r="C337" t="s">
        <v>996</v>
      </c>
      <c r="D337" t="str">
        <f>HYPERLINK("https://zfin.org/ZDB-GENE-031019-1")</f>
        <v>https://zfin.org/ZDB-GENE-031019-1</v>
      </c>
      <c r="E337" t="s">
        <v>997</v>
      </c>
    </row>
    <row r="338" spans="1:5" x14ac:dyDescent="0.2">
      <c r="A338" t="s">
        <v>998</v>
      </c>
      <c r="B338" t="s">
        <v>999</v>
      </c>
      <c r="C338" t="s">
        <v>999</v>
      </c>
      <c r="D338" t="str">
        <f>HYPERLINK("https://zfin.org/ZDB-GENE-060130-169")</f>
        <v>https://zfin.org/ZDB-GENE-060130-169</v>
      </c>
      <c r="E338" t="s">
        <v>1000</v>
      </c>
    </row>
    <row r="339" spans="1:5" x14ac:dyDescent="0.2">
      <c r="A339" t="s">
        <v>1001</v>
      </c>
      <c r="B339" t="s">
        <v>1002</v>
      </c>
      <c r="C339" t="s">
        <v>1002</v>
      </c>
      <c r="D339" t="str">
        <f>HYPERLINK("https://zfin.org/ZDB-GENE-060929-764")</f>
        <v>https://zfin.org/ZDB-GENE-060929-764</v>
      </c>
      <c r="E339" t="s">
        <v>1003</v>
      </c>
    </row>
    <row r="340" spans="1:5" x14ac:dyDescent="0.2">
      <c r="A340" t="s">
        <v>1004</v>
      </c>
      <c r="B340" t="s">
        <v>1005</v>
      </c>
      <c r="C340" t="s">
        <v>1005</v>
      </c>
      <c r="D340" t="str">
        <f>HYPERLINK("https://zfin.org/ZDB-GENE-100913-2")</f>
        <v>https://zfin.org/ZDB-GENE-100913-2</v>
      </c>
      <c r="E340" t="s">
        <v>1006</v>
      </c>
    </row>
    <row r="341" spans="1:5" x14ac:dyDescent="0.2">
      <c r="A341" t="s">
        <v>1007</v>
      </c>
      <c r="B341" t="s">
        <v>1008</v>
      </c>
      <c r="C341" t="s">
        <v>1008</v>
      </c>
      <c r="D341" t="str">
        <f>HYPERLINK("https://zfin.org/ZDB-GENE-131121-3")</f>
        <v>https://zfin.org/ZDB-GENE-131121-3</v>
      </c>
      <c r="E341" t="s">
        <v>1009</v>
      </c>
    </row>
    <row r="342" spans="1:5" x14ac:dyDescent="0.2">
      <c r="A342" t="s">
        <v>1010</v>
      </c>
      <c r="B342" t="s">
        <v>1011</v>
      </c>
      <c r="C342" t="s">
        <v>1011</v>
      </c>
      <c r="D342" t="str">
        <f>HYPERLINK("https://zfin.org/ZDB-GENE-041210-159")</f>
        <v>https://zfin.org/ZDB-GENE-041210-159</v>
      </c>
      <c r="E342" t="s">
        <v>1012</v>
      </c>
    </row>
    <row r="343" spans="1:5" x14ac:dyDescent="0.2">
      <c r="A343" t="s">
        <v>1013</v>
      </c>
      <c r="B343" t="s">
        <v>1014</v>
      </c>
      <c r="C343" t="s">
        <v>1014</v>
      </c>
      <c r="D343" t="str">
        <f>HYPERLINK("https://zfin.org/ZDB-GENE-040426-921")</f>
        <v>https://zfin.org/ZDB-GENE-040426-921</v>
      </c>
      <c r="E343" t="s">
        <v>1015</v>
      </c>
    </row>
    <row r="344" spans="1:5" x14ac:dyDescent="0.2">
      <c r="A344" t="s">
        <v>1016</v>
      </c>
      <c r="B344" t="s">
        <v>1017</v>
      </c>
      <c r="C344" t="s">
        <v>1017</v>
      </c>
      <c r="D344" t="str">
        <f>HYPERLINK("https://zfin.org/ZDB-GENE-060608-1")</f>
        <v>https://zfin.org/ZDB-GENE-060608-1</v>
      </c>
      <c r="E344" t="s">
        <v>1018</v>
      </c>
    </row>
    <row r="345" spans="1:5" x14ac:dyDescent="0.2">
      <c r="A345" t="s">
        <v>1019</v>
      </c>
      <c r="B345" t="s">
        <v>1020</v>
      </c>
      <c r="C345" t="s">
        <v>1020</v>
      </c>
      <c r="D345" t="str">
        <f>HYPERLINK("https://zfin.org/ZDB-GENE-060526-290")</f>
        <v>https://zfin.org/ZDB-GENE-060526-290</v>
      </c>
      <c r="E345" t="s">
        <v>1021</v>
      </c>
    </row>
    <row r="346" spans="1:5" x14ac:dyDescent="0.2">
      <c r="A346" t="s">
        <v>1022</v>
      </c>
      <c r="B346" t="s">
        <v>1023</v>
      </c>
      <c r="C346" t="s">
        <v>1023</v>
      </c>
      <c r="D346" t="str">
        <f>HYPERLINK("https://zfin.org/ZDB-GENE-030131-6224")</f>
        <v>https://zfin.org/ZDB-GENE-030131-6224</v>
      </c>
      <c r="E346" t="s">
        <v>1024</v>
      </c>
    </row>
    <row r="347" spans="1:5" x14ac:dyDescent="0.2">
      <c r="A347" t="s">
        <v>1025</v>
      </c>
      <c r="B347" t="s">
        <v>1026</v>
      </c>
      <c r="C347" t="s">
        <v>1026</v>
      </c>
      <c r="D347" t="str">
        <f>HYPERLINK("https://zfin.org/ZDB-GENE-060526-251")</f>
        <v>https://zfin.org/ZDB-GENE-060526-251</v>
      </c>
      <c r="E347" t="s">
        <v>1027</v>
      </c>
    </row>
    <row r="348" spans="1:5" x14ac:dyDescent="0.2">
      <c r="A348" t="s">
        <v>1028</v>
      </c>
      <c r="B348" t="s">
        <v>1029</v>
      </c>
      <c r="C348" t="s">
        <v>1029</v>
      </c>
      <c r="D348" t="str">
        <f>HYPERLINK("https://zfin.org/ZDB-GENE-040426-1231")</f>
        <v>https://zfin.org/ZDB-GENE-040426-1231</v>
      </c>
      <c r="E348" t="s">
        <v>1030</v>
      </c>
    </row>
    <row r="349" spans="1:5" x14ac:dyDescent="0.2">
      <c r="A349" t="s">
        <v>1031</v>
      </c>
      <c r="B349" t="s">
        <v>1032</v>
      </c>
      <c r="C349" t="s">
        <v>1032</v>
      </c>
      <c r="D349" t="str">
        <f>HYPERLINK("https://zfin.org/ZDB-GENE-110411-123")</f>
        <v>https://zfin.org/ZDB-GENE-110411-123</v>
      </c>
      <c r="E349" t="s">
        <v>1033</v>
      </c>
    </row>
    <row r="350" spans="1:5" x14ac:dyDescent="0.2">
      <c r="A350" t="s">
        <v>1034</v>
      </c>
      <c r="B350" t="s">
        <v>1035</v>
      </c>
      <c r="C350" t="s">
        <v>1035</v>
      </c>
      <c r="D350" t="str">
        <f>HYPERLINK("https://zfin.org/ZDB-GENE-041210-104")</f>
        <v>https://zfin.org/ZDB-GENE-041210-104</v>
      </c>
      <c r="E350" t="s">
        <v>1036</v>
      </c>
    </row>
    <row r="351" spans="1:5" x14ac:dyDescent="0.2">
      <c r="A351" t="s">
        <v>1037</v>
      </c>
      <c r="B351" t="s">
        <v>1038</v>
      </c>
      <c r="C351" t="s">
        <v>1038</v>
      </c>
      <c r="D351" t="str">
        <f>HYPERLINK("https://zfin.org/ZDB-GENE-030131-7570")</f>
        <v>https://zfin.org/ZDB-GENE-030131-7570</v>
      </c>
      <c r="E351" t="s">
        <v>1039</v>
      </c>
    </row>
    <row r="352" spans="1:5" x14ac:dyDescent="0.2">
      <c r="A352" t="s">
        <v>1040</v>
      </c>
      <c r="B352" t="s">
        <v>1041</v>
      </c>
      <c r="C352" t="s">
        <v>1041</v>
      </c>
      <c r="D352" t="str">
        <f>HYPERLINK("https://zfin.org/ZDB-GENE-080723-16")</f>
        <v>https://zfin.org/ZDB-GENE-080723-16</v>
      </c>
      <c r="E352" t="s">
        <v>1042</v>
      </c>
    </row>
    <row r="353" spans="1:5" x14ac:dyDescent="0.2">
      <c r="A353" t="s">
        <v>1043</v>
      </c>
      <c r="B353" t="s">
        <v>1044</v>
      </c>
      <c r="C353" t="s">
        <v>1044</v>
      </c>
      <c r="D353" t="str">
        <f>HYPERLINK("https://zfin.org/ZDB-GENE-070112-162")</f>
        <v>https://zfin.org/ZDB-GENE-070112-162</v>
      </c>
      <c r="E353" t="s">
        <v>1045</v>
      </c>
    </row>
    <row r="354" spans="1:5" x14ac:dyDescent="0.2">
      <c r="A354" t="s">
        <v>1046</v>
      </c>
      <c r="B354" t="s">
        <v>1047</v>
      </c>
      <c r="C354" t="s">
        <v>1047</v>
      </c>
      <c r="D354" t="str">
        <f>HYPERLINK("https://zfin.org/ZDB-GENE-010601-1")</f>
        <v>https://zfin.org/ZDB-GENE-010601-1</v>
      </c>
      <c r="E354" t="s">
        <v>1048</v>
      </c>
    </row>
    <row r="355" spans="1:5" x14ac:dyDescent="0.2">
      <c r="A355" t="s">
        <v>1049</v>
      </c>
      <c r="B355" t="s">
        <v>1050</v>
      </c>
      <c r="C355" t="s">
        <v>1050</v>
      </c>
      <c r="D355" t="str">
        <f>HYPERLINK("https://zfin.org/ZDB-GENE-040426-850")</f>
        <v>https://zfin.org/ZDB-GENE-040426-850</v>
      </c>
      <c r="E355" t="s">
        <v>1051</v>
      </c>
    </row>
    <row r="356" spans="1:5" x14ac:dyDescent="0.2">
      <c r="A356" t="s">
        <v>1052</v>
      </c>
      <c r="B356" t="s">
        <v>1053</v>
      </c>
      <c r="C356" t="s">
        <v>1053</v>
      </c>
      <c r="D356" t="str">
        <f>HYPERLINK("https://zfin.org/ZDB-GENE-040718-271")</f>
        <v>https://zfin.org/ZDB-GENE-040718-271</v>
      </c>
      <c r="E356" t="s">
        <v>1054</v>
      </c>
    </row>
    <row r="357" spans="1:5" x14ac:dyDescent="0.2">
      <c r="A357" t="s">
        <v>1055</v>
      </c>
      <c r="B357" t="s">
        <v>1056</v>
      </c>
      <c r="C357" t="s">
        <v>1057</v>
      </c>
      <c r="D357" t="str">
        <f>HYPERLINK("https://zfin.org/ZDB-GENE-131127-571")</f>
        <v>https://zfin.org/ZDB-GENE-131127-571</v>
      </c>
      <c r="E357" t="s">
        <v>1058</v>
      </c>
    </row>
    <row r="358" spans="1:5" x14ac:dyDescent="0.2">
      <c r="A358" t="s">
        <v>1059</v>
      </c>
      <c r="B358" t="s">
        <v>1060</v>
      </c>
      <c r="C358" t="s">
        <v>1060</v>
      </c>
      <c r="D358" t="str">
        <f>HYPERLINK("https://zfin.org/ZDB-GENE-040426-1479")</f>
        <v>https://zfin.org/ZDB-GENE-040426-1479</v>
      </c>
      <c r="E358" t="s">
        <v>1061</v>
      </c>
    </row>
    <row r="359" spans="1:5" x14ac:dyDescent="0.2">
      <c r="A359" t="s">
        <v>1062</v>
      </c>
      <c r="B359" t="s">
        <v>1063</v>
      </c>
      <c r="C359" t="s">
        <v>1063</v>
      </c>
      <c r="D359" t="str">
        <f>HYPERLINK("https://zfin.org/ZDB-GENE-081107-22")</f>
        <v>https://zfin.org/ZDB-GENE-081107-22</v>
      </c>
      <c r="E359" t="s">
        <v>1064</v>
      </c>
    </row>
    <row r="360" spans="1:5" x14ac:dyDescent="0.2">
      <c r="A360" t="s">
        <v>1065</v>
      </c>
      <c r="B360" t="s">
        <v>1066</v>
      </c>
      <c r="C360" t="s">
        <v>1066</v>
      </c>
      <c r="D360" t="str">
        <f>HYPERLINK("https://zfin.org/ZDB-GENE-081022-85")</f>
        <v>https://zfin.org/ZDB-GENE-081022-85</v>
      </c>
      <c r="E360" t="s">
        <v>1067</v>
      </c>
    </row>
    <row r="361" spans="1:5" x14ac:dyDescent="0.2">
      <c r="A361" t="s">
        <v>1068</v>
      </c>
      <c r="B361" t="s">
        <v>1069</v>
      </c>
      <c r="C361" t="s">
        <v>1069</v>
      </c>
      <c r="D361" t="str">
        <f>HYPERLINK("https://zfin.org/ZDB-GENE-041008-35")</f>
        <v>https://zfin.org/ZDB-GENE-041008-35</v>
      </c>
      <c r="E361" t="s">
        <v>1070</v>
      </c>
    </row>
    <row r="362" spans="1:5" x14ac:dyDescent="0.2">
      <c r="A362" t="s">
        <v>1071</v>
      </c>
      <c r="B362" t="s">
        <v>1072</v>
      </c>
      <c r="C362" t="s">
        <v>1072</v>
      </c>
      <c r="D362" t="str">
        <f>HYPERLINK("https://zfin.org/ZDB-GENE-050522-497")</f>
        <v>https://zfin.org/ZDB-GENE-050522-497</v>
      </c>
      <c r="E362" t="s">
        <v>1073</v>
      </c>
    </row>
    <row r="363" spans="1:5" x14ac:dyDescent="0.2">
      <c r="A363" t="s">
        <v>1074</v>
      </c>
      <c r="B363" t="s">
        <v>1075</v>
      </c>
      <c r="C363" t="s">
        <v>1075</v>
      </c>
      <c r="D363" t="str">
        <f>HYPERLINK("https://zfin.org/ZDB-GENE-040718-470")</f>
        <v>https://zfin.org/ZDB-GENE-040718-470</v>
      </c>
      <c r="E363" t="s">
        <v>1076</v>
      </c>
    </row>
    <row r="364" spans="1:5" x14ac:dyDescent="0.2">
      <c r="A364" t="s">
        <v>1077</v>
      </c>
      <c r="B364" t="s">
        <v>1078</v>
      </c>
      <c r="C364" t="s">
        <v>1078</v>
      </c>
      <c r="D364" t="str">
        <f>HYPERLINK("https://zfin.org/ZDB-GENE-030131-8447")</f>
        <v>https://zfin.org/ZDB-GENE-030131-8447</v>
      </c>
      <c r="E364" t="s">
        <v>1079</v>
      </c>
    </row>
    <row r="365" spans="1:5" x14ac:dyDescent="0.2">
      <c r="A365" t="s">
        <v>1080</v>
      </c>
      <c r="B365" t="s">
        <v>1081</v>
      </c>
      <c r="C365" t="s">
        <v>1081</v>
      </c>
      <c r="D365" t="str">
        <f>HYPERLINK("https://zfin.org/ZDB-GENE-041210-47")</f>
        <v>https://zfin.org/ZDB-GENE-041210-47</v>
      </c>
      <c r="E365" t="s">
        <v>1082</v>
      </c>
    </row>
    <row r="366" spans="1:5" x14ac:dyDescent="0.2">
      <c r="A366" t="s">
        <v>1083</v>
      </c>
      <c r="B366" t="s">
        <v>1084</v>
      </c>
      <c r="C366" t="s">
        <v>1084</v>
      </c>
      <c r="D366" t="str">
        <f>HYPERLINK("https://zfin.org/ZDB-GENE-030909-12")</f>
        <v>https://zfin.org/ZDB-GENE-030909-12</v>
      </c>
      <c r="E366" t="s">
        <v>1085</v>
      </c>
    </row>
    <row r="367" spans="1:5" x14ac:dyDescent="0.2">
      <c r="A367" t="s">
        <v>1086</v>
      </c>
      <c r="B367" t="s">
        <v>1087</v>
      </c>
      <c r="C367" t="s">
        <v>1087</v>
      </c>
      <c r="D367" t="str">
        <f>HYPERLINK("https://zfin.org/ZDB-GENE-030131-4869")</f>
        <v>https://zfin.org/ZDB-GENE-030131-4869</v>
      </c>
      <c r="E367" t="s">
        <v>1088</v>
      </c>
    </row>
    <row r="368" spans="1:5" x14ac:dyDescent="0.2">
      <c r="A368" t="s">
        <v>1089</v>
      </c>
      <c r="B368" t="s">
        <v>1090</v>
      </c>
      <c r="C368" t="s">
        <v>1090</v>
      </c>
      <c r="D368" t="str">
        <f>HYPERLINK("https://zfin.org/ZDB-GENE-040426-797")</f>
        <v>https://zfin.org/ZDB-GENE-040426-797</v>
      </c>
      <c r="E368" t="s">
        <v>1091</v>
      </c>
    </row>
    <row r="369" spans="1:5" x14ac:dyDescent="0.2">
      <c r="A369" t="s">
        <v>1092</v>
      </c>
      <c r="B369" t="s">
        <v>1093</v>
      </c>
      <c r="C369" t="s">
        <v>1093</v>
      </c>
      <c r="D369" t="str">
        <f>HYPERLINK("https://zfin.org/ZDB-GENE-060503-530")</f>
        <v>https://zfin.org/ZDB-GENE-060503-530</v>
      </c>
      <c r="E369" t="s">
        <v>1094</v>
      </c>
    </row>
    <row r="370" spans="1:5" x14ac:dyDescent="0.2">
      <c r="A370" t="s">
        <v>1095</v>
      </c>
      <c r="B370" t="s">
        <v>1096</v>
      </c>
      <c r="C370" t="s">
        <v>1096</v>
      </c>
      <c r="D370" t="str">
        <f>HYPERLINK("https://zfin.org/ZDB-GENE-090313-408")</f>
        <v>https://zfin.org/ZDB-GENE-090313-408</v>
      </c>
      <c r="E370" t="s">
        <v>1097</v>
      </c>
    </row>
    <row r="371" spans="1:5" x14ac:dyDescent="0.2">
      <c r="A371" t="s">
        <v>1098</v>
      </c>
      <c r="B371" t="s">
        <v>1099</v>
      </c>
      <c r="C371" t="s">
        <v>1099</v>
      </c>
      <c r="D371" t="str">
        <f>HYPERLINK("https://zfin.org/ZDB-GENE-040625-97")</f>
        <v>https://zfin.org/ZDB-GENE-040625-97</v>
      </c>
      <c r="E371" t="s">
        <v>1100</v>
      </c>
    </row>
    <row r="372" spans="1:5" x14ac:dyDescent="0.2">
      <c r="A372" t="s">
        <v>1101</v>
      </c>
      <c r="B372" t="s">
        <v>1102</v>
      </c>
      <c r="C372" t="s">
        <v>1102</v>
      </c>
      <c r="D372" t="str">
        <f>HYPERLINK("https://zfin.org/ZDB-GENE-040426-2504")</f>
        <v>https://zfin.org/ZDB-GENE-040426-2504</v>
      </c>
      <c r="E372" t="s">
        <v>1103</v>
      </c>
    </row>
    <row r="373" spans="1:5" x14ac:dyDescent="0.2">
      <c r="A373" t="s">
        <v>1104</v>
      </c>
      <c r="B373" t="s">
        <v>1105</v>
      </c>
      <c r="C373" t="s">
        <v>1105</v>
      </c>
      <c r="D373" t="str">
        <f>HYPERLINK("https://zfin.org/ZDB-GENE-040801-122")</f>
        <v>https://zfin.org/ZDB-GENE-040801-122</v>
      </c>
      <c r="E373" t="s">
        <v>1106</v>
      </c>
    </row>
    <row r="374" spans="1:5" x14ac:dyDescent="0.2">
      <c r="A374" t="s">
        <v>1107</v>
      </c>
      <c r="B374" t="s">
        <v>1108</v>
      </c>
      <c r="C374" t="s">
        <v>1108</v>
      </c>
      <c r="D374" t="str">
        <f>HYPERLINK("https://zfin.org/ZDB-GENE-041212-85")</f>
        <v>https://zfin.org/ZDB-GENE-041212-85</v>
      </c>
      <c r="E374" t="s">
        <v>1109</v>
      </c>
    </row>
    <row r="375" spans="1:5" x14ac:dyDescent="0.2">
      <c r="A375" t="s">
        <v>1110</v>
      </c>
      <c r="B375" t="s">
        <v>1111</v>
      </c>
      <c r="C375" t="s">
        <v>1111</v>
      </c>
      <c r="D375" t="str">
        <f>HYPERLINK("https://zfin.org/ZDB-GENE-050517-37")</f>
        <v>https://zfin.org/ZDB-GENE-050517-37</v>
      </c>
      <c r="E375" t="s">
        <v>1112</v>
      </c>
    </row>
    <row r="376" spans="1:5" x14ac:dyDescent="0.2">
      <c r="A376" t="s">
        <v>1113</v>
      </c>
      <c r="B376" t="s">
        <v>1114</v>
      </c>
      <c r="C376" t="s">
        <v>1114</v>
      </c>
      <c r="D376" t="str">
        <f>HYPERLINK("https://zfin.org/ZDB-GENE-070619-1")</f>
        <v>https://zfin.org/ZDB-GENE-070619-1</v>
      </c>
      <c r="E376" t="s">
        <v>1115</v>
      </c>
    </row>
    <row r="377" spans="1:5" x14ac:dyDescent="0.2">
      <c r="A377" t="s">
        <v>1116</v>
      </c>
      <c r="B377" t="s">
        <v>1117</v>
      </c>
      <c r="C377" t="s">
        <v>1117</v>
      </c>
      <c r="D377" t="str">
        <f>HYPERLINK("https://zfin.org/ZDB-GENE-040426-2635")</f>
        <v>https://zfin.org/ZDB-GENE-040426-2635</v>
      </c>
      <c r="E377" t="s">
        <v>1118</v>
      </c>
    </row>
    <row r="378" spans="1:5" x14ac:dyDescent="0.2">
      <c r="A378" t="s">
        <v>1119</v>
      </c>
      <c r="B378" t="s">
        <v>1120</v>
      </c>
      <c r="C378" t="s">
        <v>1120</v>
      </c>
      <c r="D378" t="str">
        <f>HYPERLINK("https://zfin.org/ZDB-GENE-030616-564")</f>
        <v>https://zfin.org/ZDB-GENE-030616-564</v>
      </c>
      <c r="E378" t="s">
        <v>1121</v>
      </c>
    </row>
    <row r="379" spans="1:5" x14ac:dyDescent="0.2">
      <c r="A379" t="s">
        <v>1122</v>
      </c>
      <c r="B379" t="s">
        <v>1123</v>
      </c>
      <c r="C379" t="s">
        <v>1123</v>
      </c>
      <c r="D379" t="str">
        <f>HYPERLINK("https://zfin.org/ZDB-GENE-050522-111")</f>
        <v>https://zfin.org/ZDB-GENE-050522-111</v>
      </c>
      <c r="E379" t="s">
        <v>1124</v>
      </c>
    </row>
    <row r="380" spans="1:5" x14ac:dyDescent="0.2">
      <c r="A380" t="s">
        <v>1125</v>
      </c>
      <c r="B380" t="s">
        <v>1126</v>
      </c>
      <c r="C380" t="s">
        <v>1126</v>
      </c>
      <c r="D380" t="str">
        <f>HYPERLINK("https://zfin.org/ZDB-GENE-050506-57")</f>
        <v>https://zfin.org/ZDB-GENE-050506-57</v>
      </c>
      <c r="E380" t="s">
        <v>1127</v>
      </c>
    </row>
    <row r="381" spans="1:5" x14ac:dyDescent="0.2">
      <c r="A381" t="s">
        <v>1128</v>
      </c>
      <c r="B381" t="s">
        <v>692</v>
      </c>
      <c r="C381" t="s">
        <v>1129</v>
      </c>
      <c r="D381" t="str">
        <f>HYPERLINK("https://zfin.org/")</f>
        <v>https://zfin.org/</v>
      </c>
    </row>
    <row r="382" spans="1:5" x14ac:dyDescent="0.2">
      <c r="A382" t="s">
        <v>1130</v>
      </c>
      <c r="B382" t="s">
        <v>1131</v>
      </c>
      <c r="C382" t="s">
        <v>1131</v>
      </c>
      <c r="D382" t="str">
        <f>HYPERLINK("https://zfin.org/ZDB-GENE-030131-5121")</f>
        <v>https://zfin.org/ZDB-GENE-030131-5121</v>
      </c>
      <c r="E382" t="s">
        <v>1132</v>
      </c>
    </row>
    <row r="383" spans="1:5" x14ac:dyDescent="0.2">
      <c r="A383" t="s">
        <v>1133</v>
      </c>
      <c r="B383" t="s">
        <v>1134</v>
      </c>
      <c r="C383" t="s">
        <v>1134</v>
      </c>
      <c r="D383" t="str">
        <f>HYPERLINK("https://zfin.org/ZDB-GENE-081104-98")</f>
        <v>https://zfin.org/ZDB-GENE-081104-98</v>
      </c>
      <c r="E383" t="s">
        <v>1135</v>
      </c>
    </row>
    <row r="384" spans="1:5" x14ac:dyDescent="0.2">
      <c r="A384" t="s">
        <v>1136</v>
      </c>
      <c r="B384" t="s">
        <v>1137</v>
      </c>
      <c r="C384" t="s">
        <v>1137</v>
      </c>
      <c r="D384" t="str">
        <f>HYPERLINK("https://zfin.org/ZDB-GENE-041212-63")</f>
        <v>https://zfin.org/ZDB-GENE-041212-63</v>
      </c>
      <c r="E384" t="s">
        <v>1138</v>
      </c>
    </row>
    <row r="385" spans="1:5" x14ac:dyDescent="0.2">
      <c r="A385" t="s">
        <v>1139</v>
      </c>
      <c r="B385" t="s">
        <v>1140</v>
      </c>
      <c r="C385" t="s">
        <v>1140</v>
      </c>
      <c r="D385" t="str">
        <f>HYPERLINK("https://zfin.org/ZDB-GENE-050522-503")</f>
        <v>https://zfin.org/ZDB-GENE-050522-503</v>
      </c>
      <c r="E385" t="s">
        <v>1141</v>
      </c>
    </row>
    <row r="386" spans="1:5" x14ac:dyDescent="0.2">
      <c r="A386" t="s">
        <v>1142</v>
      </c>
      <c r="B386" t="s">
        <v>1143</v>
      </c>
      <c r="C386" t="s">
        <v>1143</v>
      </c>
      <c r="D386" t="str">
        <f>HYPERLINK("https://zfin.org/ZDB-GENE-030131-377")</f>
        <v>https://zfin.org/ZDB-GENE-030131-377</v>
      </c>
      <c r="E386" t="s">
        <v>1144</v>
      </c>
    </row>
    <row r="387" spans="1:5" x14ac:dyDescent="0.2">
      <c r="A387" t="s">
        <v>1145</v>
      </c>
      <c r="B387" t="s">
        <v>1146</v>
      </c>
      <c r="C387" t="s">
        <v>1146</v>
      </c>
      <c r="D387" t="str">
        <f>HYPERLINK("https://zfin.org/ZDB-GENE-031006-4")</f>
        <v>https://zfin.org/ZDB-GENE-031006-4</v>
      </c>
      <c r="E387" t="s">
        <v>1147</v>
      </c>
    </row>
    <row r="388" spans="1:5" x14ac:dyDescent="0.2">
      <c r="A388" t="s">
        <v>1148</v>
      </c>
      <c r="B388" t="s">
        <v>1149</v>
      </c>
      <c r="C388" t="s">
        <v>1149</v>
      </c>
      <c r="D388" t="str">
        <f>HYPERLINK("https://zfin.org/ZDB-GENE-030131-3625")</f>
        <v>https://zfin.org/ZDB-GENE-030131-3625</v>
      </c>
      <c r="E388" t="s">
        <v>1150</v>
      </c>
    </row>
    <row r="389" spans="1:5" x14ac:dyDescent="0.2">
      <c r="A389" t="s">
        <v>1151</v>
      </c>
      <c r="B389" t="s">
        <v>1152</v>
      </c>
      <c r="C389" t="s">
        <v>1152</v>
      </c>
      <c r="D389" t="str">
        <f>HYPERLINK("https://zfin.org/ZDB-GENE-081028-60")</f>
        <v>https://zfin.org/ZDB-GENE-081028-60</v>
      </c>
      <c r="E389" t="s">
        <v>1153</v>
      </c>
    </row>
    <row r="390" spans="1:5" x14ac:dyDescent="0.2">
      <c r="A390" t="s">
        <v>1154</v>
      </c>
      <c r="B390" t="s">
        <v>1155</v>
      </c>
      <c r="C390" t="s">
        <v>1155</v>
      </c>
      <c r="D390" t="str">
        <f>HYPERLINK("https://zfin.org/ZDB-GENE-050306-9")</f>
        <v>https://zfin.org/ZDB-GENE-050306-9</v>
      </c>
      <c r="E390" t="s">
        <v>1156</v>
      </c>
    </row>
    <row r="391" spans="1:5" x14ac:dyDescent="0.2">
      <c r="A391" t="s">
        <v>1157</v>
      </c>
      <c r="B391" t="s">
        <v>1158</v>
      </c>
      <c r="C391" t="s">
        <v>1158</v>
      </c>
      <c r="D391" t="str">
        <f>HYPERLINK("https://zfin.org/ZDB-GENE-030616-565")</f>
        <v>https://zfin.org/ZDB-GENE-030616-565</v>
      </c>
      <c r="E391" t="s">
        <v>1159</v>
      </c>
    </row>
    <row r="392" spans="1:5" x14ac:dyDescent="0.2">
      <c r="A392" t="s">
        <v>1160</v>
      </c>
      <c r="B392" t="s">
        <v>1161</v>
      </c>
      <c r="C392" t="s">
        <v>1161</v>
      </c>
      <c r="D392" t="str">
        <f>HYPERLINK("https://zfin.org/ZDB-GENE-050522-247")</f>
        <v>https://zfin.org/ZDB-GENE-050522-247</v>
      </c>
      <c r="E392" t="s">
        <v>1162</v>
      </c>
    </row>
    <row r="393" spans="1:5" x14ac:dyDescent="0.2">
      <c r="A393" t="s">
        <v>1163</v>
      </c>
      <c r="B393" t="s">
        <v>1164</v>
      </c>
      <c r="C393" t="s">
        <v>1164</v>
      </c>
      <c r="D393" t="str">
        <f>HYPERLINK("https://zfin.org/ZDB-GENE-060929-324")</f>
        <v>https://zfin.org/ZDB-GENE-060929-324</v>
      </c>
      <c r="E393" t="s">
        <v>1165</v>
      </c>
    </row>
    <row r="394" spans="1:5" x14ac:dyDescent="0.2">
      <c r="A394" t="s">
        <v>1166</v>
      </c>
      <c r="B394" t="s">
        <v>1167</v>
      </c>
      <c r="C394" t="s">
        <v>1167</v>
      </c>
      <c r="D394" t="str">
        <f>HYPERLINK("https://zfin.org/ZDB-GENE-081028-50")</f>
        <v>https://zfin.org/ZDB-GENE-081028-50</v>
      </c>
      <c r="E394" t="s">
        <v>1168</v>
      </c>
    </row>
    <row r="395" spans="1:5" x14ac:dyDescent="0.2">
      <c r="A395" t="s">
        <v>1169</v>
      </c>
      <c r="B395" t="s">
        <v>1170</v>
      </c>
      <c r="C395" t="s">
        <v>1170</v>
      </c>
      <c r="D395" t="str">
        <f>HYPERLINK("https://zfin.org/ZDB-GENE-081028-70")</f>
        <v>https://zfin.org/ZDB-GENE-081028-70</v>
      </c>
      <c r="E395" t="s">
        <v>1171</v>
      </c>
    </row>
    <row r="396" spans="1:5" x14ac:dyDescent="0.2">
      <c r="A396" t="s">
        <v>1172</v>
      </c>
      <c r="B396" t="s">
        <v>1173</v>
      </c>
      <c r="C396" t="s">
        <v>1173</v>
      </c>
      <c r="D396" t="str">
        <f>HYPERLINK("https://zfin.org/ZDB-GENE-040426-2902")</f>
        <v>https://zfin.org/ZDB-GENE-040426-2902</v>
      </c>
      <c r="E396" t="s">
        <v>1174</v>
      </c>
    </row>
    <row r="397" spans="1:5" x14ac:dyDescent="0.2">
      <c r="A397" t="s">
        <v>1175</v>
      </c>
      <c r="B397" t="s">
        <v>1176</v>
      </c>
      <c r="C397" t="s">
        <v>1176</v>
      </c>
      <c r="D397" t="str">
        <f>HYPERLINK("https://zfin.org/ZDB-GENE-030131-6778")</f>
        <v>https://zfin.org/ZDB-GENE-030131-6778</v>
      </c>
      <c r="E397" t="s">
        <v>1177</v>
      </c>
    </row>
    <row r="398" spans="1:5" x14ac:dyDescent="0.2">
      <c r="A398" t="s">
        <v>1178</v>
      </c>
      <c r="B398" t="s">
        <v>1179</v>
      </c>
      <c r="C398" t="s">
        <v>1179</v>
      </c>
      <c r="D398" t="str">
        <f>HYPERLINK("https://zfin.org/ZDB-GENE-040718-306")</f>
        <v>https://zfin.org/ZDB-GENE-040718-306</v>
      </c>
      <c r="E398" t="s">
        <v>1180</v>
      </c>
    </row>
    <row r="399" spans="1:5" x14ac:dyDescent="0.2">
      <c r="A399" t="s">
        <v>1181</v>
      </c>
      <c r="B399" t="s">
        <v>1182</v>
      </c>
      <c r="C399" t="s">
        <v>1182</v>
      </c>
      <c r="D399" t="str">
        <f>HYPERLINK("https://zfin.org/ZDB-GENE-031001-2")</f>
        <v>https://zfin.org/ZDB-GENE-031001-2</v>
      </c>
      <c r="E399" t="s">
        <v>1183</v>
      </c>
    </row>
    <row r="400" spans="1:5" x14ac:dyDescent="0.2">
      <c r="A400" t="s">
        <v>1184</v>
      </c>
      <c r="B400" t="s">
        <v>1185</v>
      </c>
      <c r="C400" t="s">
        <v>1185</v>
      </c>
      <c r="D400" t="str">
        <f>HYPERLINK("https://zfin.org/ZDB-GENE-040426-1626")</f>
        <v>https://zfin.org/ZDB-GENE-040426-1626</v>
      </c>
      <c r="E400" t="s">
        <v>1186</v>
      </c>
    </row>
    <row r="401" spans="1:5" x14ac:dyDescent="0.2">
      <c r="A401" t="s">
        <v>1187</v>
      </c>
      <c r="B401" t="s">
        <v>1188</v>
      </c>
      <c r="C401" t="s">
        <v>1188</v>
      </c>
      <c r="D401" t="str">
        <f>HYPERLINK("https://zfin.org/ZDB-GENE-030827-5")</f>
        <v>https://zfin.org/ZDB-GENE-030827-5</v>
      </c>
      <c r="E401" t="s">
        <v>1189</v>
      </c>
    </row>
    <row r="402" spans="1:5" x14ac:dyDescent="0.2">
      <c r="A402" t="s">
        <v>1190</v>
      </c>
      <c r="B402" t="s">
        <v>1191</v>
      </c>
      <c r="C402" t="s">
        <v>1191</v>
      </c>
      <c r="D402" t="str">
        <f>HYPERLINK("https://zfin.org/ZDB-GENE-060503-3")</f>
        <v>https://zfin.org/ZDB-GENE-060503-3</v>
      </c>
      <c r="E402" t="s">
        <v>1192</v>
      </c>
    </row>
    <row r="403" spans="1:5" x14ac:dyDescent="0.2">
      <c r="A403" t="s">
        <v>1193</v>
      </c>
      <c r="B403" t="s">
        <v>1194</v>
      </c>
      <c r="C403" t="s">
        <v>1194</v>
      </c>
      <c r="D403" t="str">
        <f>HYPERLINK("https://zfin.org/ZDB-GENE-080219-4")</f>
        <v>https://zfin.org/ZDB-GENE-080219-4</v>
      </c>
      <c r="E403" t="s">
        <v>1195</v>
      </c>
    </row>
    <row r="404" spans="1:5" x14ac:dyDescent="0.2">
      <c r="A404" t="s">
        <v>1196</v>
      </c>
      <c r="B404" t="s">
        <v>1197</v>
      </c>
      <c r="C404" t="s">
        <v>1197</v>
      </c>
      <c r="D404" t="str">
        <f>HYPERLINK("https://zfin.org/ZDB-GENE-141212-239")</f>
        <v>https://zfin.org/ZDB-GENE-141212-239</v>
      </c>
      <c r="E404" t="s">
        <v>1198</v>
      </c>
    </row>
    <row r="405" spans="1:5" x14ac:dyDescent="0.2">
      <c r="A405" t="s">
        <v>1199</v>
      </c>
      <c r="B405" t="s">
        <v>1200</v>
      </c>
      <c r="C405" t="s">
        <v>1200</v>
      </c>
      <c r="D405" t="str">
        <f>HYPERLINK("https://zfin.org/ZDB-GENE-070928-4")</f>
        <v>https://zfin.org/ZDB-GENE-070928-4</v>
      </c>
      <c r="E405" t="s">
        <v>1201</v>
      </c>
    </row>
    <row r="406" spans="1:5" x14ac:dyDescent="0.2">
      <c r="A406" t="s">
        <v>1202</v>
      </c>
      <c r="B406" t="s">
        <v>1203</v>
      </c>
      <c r="C406" t="s">
        <v>1203</v>
      </c>
      <c r="D406" t="str">
        <f>HYPERLINK("https://zfin.org/ZDB-GENE-141222-32")</f>
        <v>https://zfin.org/ZDB-GENE-141222-32</v>
      </c>
      <c r="E406" t="s">
        <v>1204</v>
      </c>
    </row>
    <row r="407" spans="1:5" x14ac:dyDescent="0.2">
      <c r="A407" t="s">
        <v>1205</v>
      </c>
      <c r="B407" t="s">
        <v>1206</v>
      </c>
      <c r="C407" t="s">
        <v>1206</v>
      </c>
      <c r="D407" t="str">
        <f>HYPERLINK("https://zfin.org/ZDB-GENE-040927-17")</f>
        <v>https://zfin.org/ZDB-GENE-040927-17</v>
      </c>
      <c r="E407" t="s">
        <v>1207</v>
      </c>
    </row>
    <row r="408" spans="1:5" x14ac:dyDescent="0.2">
      <c r="A408" t="s">
        <v>1208</v>
      </c>
      <c r="B408" t="s">
        <v>1209</v>
      </c>
      <c r="C408" t="s">
        <v>1209</v>
      </c>
      <c r="D408" t="str">
        <f>HYPERLINK("https://zfin.org/ZDB-GENE-031018-3")</f>
        <v>https://zfin.org/ZDB-GENE-031018-3</v>
      </c>
      <c r="E408" t="s">
        <v>1210</v>
      </c>
    </row>
    <row r="409" spans="1:5" x14ac:dyDescent="0.2">
      <c r="A409" t="s">
        <v>1211</v>
      </c>
      <c r="B409" t="s">
        <v>1212</v>
      </c>
      <c r="C409" t="s">
        <v>1212</v>
      </c>
      <c r="D409" t="str">
        <f>HYPERLINK("https://zfin.org/ZDB-GENE-030721-5")</f>
        <v>https://zfin.org/ZDB-GENE-030721-5</v>
      </c>
      <c r="E409" t="s">
        <v>1213</v>
      </c>
    </row>
    <row r="410" spans="1:5" x14ac:dyDescent="0.2">
      <c r="A410" t="s">
        <v>1214</v>
      </c>
      <c r="B410" t="s">
        <v>1215</v>
      </c>
      <c r="C410" t="s">
        <v>1215</v>
      </c>
      <c r="D410" t="str">
        <f>HYPERLINK("https://zfin.org/ZDB-GENE-030131-9689")</f>
        <v>https://zfin.org/ZDB-GENE-030131-9689</v>
      </c>
      <c r="E410" t="s">
        <v>1216</v>
      </c>
    </row>
    <row r="411" spans="1:5" x14ac:dyDescent="0.2">
      <c r="A411" t="s">
        <v>1217</v>
      </c>
      <c r="B411" t="s">
        <v>1218</v>
      </c>
      <c r="C411" t="s">
        <v>1218</v>
      </c>
      <c r="D411" t="str">
        <f>HYPERLINK("https://zfin.org/ZDB-GENE-030131-7126")</f>
        <v>https://zfin.org/ZDB-GENE-030131-7126</v>
      </c>
      <c r="E411" t="s">
        <v>1219</v>
      </c>
    </row>
    <row r="412" spans="1:5" x14ac:dyDescent="0.2">
      <c r="A412" t="s">
        <v>1220</v>
      </c>
      <c r="B412" t="s">
        <v>1221</v>
      </c>
      <c r="C412" t="s">
        <v>1221</v>
      </c>
      <c r="D412" t="str">
        <f>HYPERLINK("https://zfin.org/ZDB-GENE-030131-911")</f>
        <v>https://zfin.org/ZDB-GENE-030131-911</v>
      </c>
      <c r="E412" t="s">
        <v>1222</v>
      </c>
    </row>
    <row r="413" spans="1:5" x14ac:dyDescent="0.2">
      <c r="A413" t="s">
        <v>1223</v>
      </c>
      <c r="B413" t="s">
        <v>1224</v>
      </c>
      <c r="C413" t="s">
        <v>1224</v>
      </c>
      <c r="D413" t="str">
        <f>HYPERLINK("https://zfin.org/ZDB-GENE-070912-680")</f>
        <v>https://zfin.org/ZDB-GENE-070912-680</v>
      </c>
      <c r="E413" t="s">
        <v>1225</v>
      </c>
    </row>
    <row r="414" spans="1:5" x14ac:dyDescent="0.2">
      <c r="A414" t="s">
        <v>1226</v>
      </c>
      <c r="B414" t="s">
        <v>1227</v>
      </c>
      <c r="C414" t="s">
        <v>1227</v>
      </c>
      <c r="D414" t="str">
        <f>HYPERLINK("https://zfin.org/ZDB-GENE-030131-5254")</f>
        <v>https://zfin.org/ZDB-GENE-030131-5254</v>
      </c>
      <c r="E414" t="s">
        <v>1228</v>
      </c>
    </row>
    <row r="415" spans="1:5" x14ac:dyDescent="0.2">
      <c r="A415" t="s">
        <v>1229</v>
      </c>
      <c r="B415" t="s">
        <v>1230</v>
      </c>
      <c r="C415" t="s">
        <v>1230</v>
      </c>
      <c r="D415" t="str">
        <f>HYPERLINK("https://zfin.org/ZDB-GENE-080218-16")</f>
        <v>https://zfin.org/ZDB-GENE-080218-16</v>
      </c>
      <c r="E415" t="s">
        <v>1231</v>
      </c>
    </row>
    <row r="416" spans="1:5" x14ac:dyDescent="0.2">
      <c r="A416" t="s">
        <v>1232</v>
      </c>
      <c r="B416" t="s">
        <v>1233</v>
      </c>
      <c r="C416" t="s">
        <v>1233</v>
      </c>
      <c r="D416" t="str">
        <f>HYPERLINK("https://zfin.org/ZDB-GENE-040426-1265")</f>
        <v>https://zfin.org/ZDB-GENE-040426-1265</v>
      </c>
      <c r="E416" t="s">
        <v>1234</v>
      </c>
    </row>
    <row r="417" spans="1:5" x14ac:dyDescent="0.2">
      <c r="A417" t="s">
        <v>1235</v>
      </c>
      <c r="B417" t="s">
        <v>1236</v>
      </c>
      <c r="C417" t="s">
        <v>1236</v>
      </c>
      <c r="D417" t="str">
        <f>HYPERLINK("https://zfin.org/ZDB-GENE-000627-1")</f>
        <v>https://zfin.org/ZDB-GENE-000627-1</v>
      </c>
      <c r="E417" t="s">
        <v>1237</v>
      </c>
    </row>
    <row r="418" spans="1:5" x14ac:dyDescent="0.2">
      <c r="A418" t="s">
        <v>1238</v>
      </c>
      <c r="B418" t="s">
        <v>1239</v>
      </c>
      <c r="C418" t="s">
        <v>1239</v>
      </c>
      <c r="D418" t="str">
        <f>HYPERLINK("https://zfin.org/ZDB-GENE-030327-6")</f>
        <v>https://zfin.org/ZDB-GENE-030327-6</v>
      </c>
      <c r="E418" t="s">
        <v>1240</v>
      </c>
    </row>
    <row r="419" spans="1:5" x14ac:dyDescent="0.2">
      <c r="A419" t="s">
        <v>1241</v>
      </c>
      <c r="B419" t="s">
        <v>1242</v>
      </c>
      <c r="C419" t="s">
        <v>1242</v>
      </c>
      <c r="D419" t="str">
        <f>HYPERLINK("https://zfin.org/ZDB-GENE-080723-74")</f>
        <v>https://zfin.org/ZDB-GENE-080723-74</v>
      </c>
      <c r="E419" t="s">
        <v>1243</v>
      </c>
    </row>
    <row r="420" spans="1:5" x14ac:dyDescent="0.2">
      <c r="A420" t="s">
        <v>1244</v>
      </c>
      <c r="B420" t="s">
        <v>1245</v>
      </c>
      <c r="C420" t="s">
        <v>1245</v>
      </c>
      <c r="D420" t="str">
        <f>HYPERLINK("https://zfin.org/ZDB-GENE-031118-96")</f>
        <v>https://zfin.org/ZDB-GENE-031118-96</v>
      </c>
      <c r="E420" t="s">
        <v>1246</v>
      </c>
    </row>
    <row r="421" spans="1:5" x14ac:dyDescent="0.2">
      <c r="A421" t="s">
        <v>1247</v>
      </c>
      <c r="B421" t="s">
        <v>1248</v>
      </c>
      <c r="C421" t="s">
        <v>1248</v>
      </c>
      <c r="D421" t="str">
        <f>HYPERLINK("https://zfin.org/ZDB-GENE-041111-195")</f>
        <v>https://zfin.org/ZDB-GENE-041111-195</v>
      </c>
      <c r="E421" t="s">
        <v>1249</v>
      </c>
    </row>
    <row r="422" spans="1:5" x14ac:dyDescent="0.2">
      <c r="A422" t="s">
        <v>1250</v>
      </c>
      <c r="B422" t="s">
        <v>1251</v>
      </c>
      <c r="C422" t="s">
        <v>1251</v>
      </c>
      <c r="D422" t="str">
        <f>HYPERLINK("https://zfin.org/ZDB-GENE-080104-2")</f>
        <v>https://zfin.org/ZDB-GENE-080104-2</v>
      </c>
      <c r="E422" t="s">
        <v>1252</v>
      </c>
    </row>
    <row r="423" spans="1:5" x14ac:dyDescent="0.2">
      <c r="A423" t="s">
        <v>1253</v>
      </c>
      <c r="B423" t="s">
        <v>1254</v>
      </c>
      <c r="C423" t="s">
        <v>1254</v>
      </c>
      <c r="D423" t="str">
        <f>HYPERLINK("https://zfin.org/ZDB-GENE-141216-131")</f>
        <v>https://zfin.org/ZDB-GENE-141216-131</v>
      </c>
      <c r="E423" t="s">
        <v>1255</v>
      </c>
    </row>
    <row r="424" spans="1:5" x14ac:dyDescent="0.2">
      <c r="A424" t="s">
        <v>1256</v>
      </c>
      <c r="B424" t="s">
        <v>1257</v>
      </c>
      <c r="C424" t="s">
        <v>1257</v>
      </c>
      <c r="D424" t="str">
        <f>HYPERLINK("https://zfin.org/ZDB-GENE-050913-120")</f>
        <v>https://zfin.org/ZDB-GENE-050913-120</v>
      </c>
      <c r="E424" t="s">
        <v>1258</v>
      </c>
    </row>
    <row r="425" spans="1:5" x14ac:dyDescent="0.2">
      <c r="A425" t="s">
        <v>1259</v>
      </c>
      <c r="B425" t="s">
        <v>1260</v>
      </c>
      <c r="C425" t="s">
        <v>1260</v>
      </c>
      <c r="D425" t="str">
        <f>HYPERLINK("https://zfin.org/ZDB-GENE-030616-252")</f>
        <v>https://zfin.org/ZDB-GENE-030616-252</v>
      </c>
      <c r="E425" t="s">
        <v>1261</v>
      </c>
    </row>
    <row r="426" spans="1:5" x14ac:dyDescent="0.2">
      <c r="A426" t="s">
        <v>1262</v>
      </c>
      <c r="B426" t="s">
        <v>1263</v>
      </c>
      <c r="C426" t="s">
        <v>1263</v>
      </c>
      <c r="D426" t="str">
        <f>HYPERLINK("https://zfin.org/ZDB-GENE-041118-20")</f>
        <v>https://zfin.org/ZDB-GENE-041118-20</v>
      </c>
      <c r="E426" t="s">
        <v>1264</v>
      </c>
    </row>
    <row r="427" spans="1:5" x14ac:dyDescent="0.2">
      <c r="A427" t="s">
        <v>1265</v>
      </c>
      <c r="B427" t="s">
        <v>1266</v>
      </c>
      <c r="C427" t="s">
        <v>1266</v>
      </c>
      <c r="D427" t="str">
        <f>HYPERLINK("https://zfin.org/ZDB-GENE-030131-2360")</f>
        <v>https://zfin.org/ZDB-GENE-030131-2360</v>
      </c>
      <c r="E427" t="s">
        <v>1267</v>
      </c>
    </row>
    <row r="428" spans="1:5" x14ac:dyDescent="0.2">
      <c r="A428" t="s">
        <v>1268</v>
      </c>
      <c r="B428" t="s">
        <v>1269</v>
      </c>
      <c r="C428" t="s">
        <v>1269</v>
      </c>
      <c r="D428" t="str">
        <f>HYPERLINK("https://zfin.org/ZDB-GENE-141212-311")</f>
        <v>https://zfin.org/ZDB-GENE-141212-311</v>
      </c>
      <c r="E428" t="s">
        <v>1270</v>
      </c>
    </row>
    <row r="429" spans="1:5" x14ac:dyDescent="0.2">
      <c r="A429" t="s">
        <v>1271</v>
      </c>
      <c r="B429" t="s">
        <v>1272</v>
      </c>
      <c r="C429" t="s">
        <v>1272</v>
      </c>
      <c r="D429" t="str">
        <f>HYPERLINK("https://zfin.org/ZDB-GENE-030131-2635")</f>
        <v>https://zfin.org/ZDB-GENE-030131-2635</v>
      </c>
      <c r="E429" t="s">
        <v>1273</v>
      </c>
    </row>
    <row r="430" spans="1:5" x14ac:dyDescent="0.2">
      <c r="A430" t="s">
        <v>1274</v>
      </c>
      <c r="B430" t="s">
        <v>1275</v>
      </c>
      <c r="C430" t="s">
        <v>1275</v>
      </c>
      <c r="D430" t="str">
        <f>HYPERLINK("https://zfin.org/ZDB-GENE-030131-1001")</f>
        <v>https://zfin.org/ZDB-GENE-030131-1001</v>
      </c>
      <c r="E430" t="s">
        <v>1276</v>
      </c>
    </row>
    <row r="431" spans="1:5" x14ac:dyDescent="0.2">
      <c r="A431" t="s">
        <v>1277</v>
      </c>
      <c r="B431" t="s">
        <v>1278</v>
      </c>
      <c r="C431" t="s">
        <v>1278</v>
      </c>
      <c r="D431" t="str">
        <f>HYPERLINK("https://zfin.org/ZDB-GENE-050320-69")</f>
        <v>https://zfin.org/ZDB-GENE-050320-69</v>
      </c>
      <c r="E431" t="s">
        <v>1279</v>
      </c>
    </row>
    <row r="432" spans="1:5" x14ac:dyDescent="0.2">
      <c r="A432" t="s">
        <v>1280</v>
      </c>
      <c r="B432" t="s">
        <v>1281</v>
      </c>
      <c r="C432" t="s">
        <v>1281</v>
      </c>
      <c r="D432" t="str">
        <f>HYPERLINK("https://zfin.org/ZDB-GENE-091204-198")</f>
        <v>https://zfin.org/ZDB-GENE-091204-198</v>
      </c>
      <c r="E432" t="s">
        <v>1282</v>
      </c>
    </row>
    <row r="433" spans="1:5" x14ac:dyDescent="0.2">
      <c r="A433" t="s">
        <v>1283</v>
      </c>
      <c r="B433" t="s">
        <v>1284</v>
      </c>
      <c r="C433" t="s">
        <v>1284</v>
      </c>
      <c r="D433" t="str">
        <f>HYPERLINK("https://zfin.org/ZDB-GENE-060130-108")</f>
        <v>https://zfin.org/ZDB-GENE-060130-108</v>
      </c>
      <c r="E433" t="s">
        <v>1285</v>
      </c>
    </row>
    <row r="434" spans="1:5" x14ac:dyDescent="0.2">
      <c r="A434" t="s">
        <v>1286</v>
      </c>
      <c r="B434" t="s">
        <v>1287</v>
      </c>
      <c r="C434" t="s">
        <v>1287</v>
      </c>
      <c r="D434" t="str">
        <f>HYPERLINK("https://zfin.org/ZDB-GENE-080722-8")</f>
        <v>https://zfin.org/ZDB-GENE-080722-8</v>
      </c>
      <c r="E434" t="s">
        <v>1288</v>
      </c>
    </row>
    <row r="435" spans="1:5" x14ac:dyDescent="0.2">
      <c r="A435" t="s">
        <v>1289</v>
      </c>
      <c r="B435" t="s">
        <v>1290</v>
      </c>
      <c r="C435" t="s">
        <v>1290</v>
      </c>
      <c r="D435" t="str">
        <f>HYPERLINK("https://zfin.org/ZDB-GENE-060526-226")</f>
        <v>https://zfin.org/ZDB-GENE-060526-226</v>
      </c>
      <c r="E435" t="s">
        <v>1291</v>
      </c>
    </row>
    <row r="436" spans="1:5" x14ac:dyDescent="0.2">
      <c r="A436" t="s">
        <v>1292</v>
      </c>
      <c r="B436" t="s">
        <v>1293</v>
      </c>
      <c r="C436" t="s">
        <v>1293</v>
      </c>
      <c r="D436" t="str">
        <f>HYPERLINK("https://zfin.org/ZDB-GENE-070705-340")</f>
        <v>https://zfin.org/ZDB-GENE-070705-340</v>
      </c>
      <c r="E436" t="s">
        <v>1294</v>
      </c>
    </row>
    <row r="437" spans="1:5" x14ac:dyDescent="0.2">
      <c r="A437" t="s">
        <v>1295</v>
      </c>
      <c r="B437" t="s">
        <v>1296</v>
      </c>
      <c r="C437" t="s">
        <v>1296</v>
      </c>
      <c r="D437" t="str">
        <f>HYPERLINK("https://zfin.org/ZDB-GENE-040426-2395")</f>
        <v>https://zfin.org/ZDB-GENE-040426-2395</v>
      </c>
      <c r="E437" t="s">
        <v>1297</v>
      </c>
    </row>
    <row r="438" spans="1:5" x14ac:dyDescent="0.2">
      <c r="A438" t="s">
        <v>1298</v>
      </c>
      <c r="B438" t="s">
        <v>1299</v>
      </c>
      <c r="C438" t="s">
        <v>1299</v>
      </c>
      <c r="D438" t="str">
        <f>HYPERLINK("https://zfin.org/ZDB-GENE-030912-6")</f>
        <v>https://zfin.org/ZDB-GENE-030912-6</v>
      </c>
      <c r="E438" t="s">
        <v>1300</v>
      </c>
    </row>
    <row r="439" spans="1:5" x14ac:dyDescent="0.2">
      <c r="A439" t="s">
        <v>1301</v>
      </c>
      <c r="B439" t="s">
        <v>1302</v>
      </c>
      <c r="C439" t="s">
        <v>1302</v>
      </c>
      <c r="D439" t="str">
        <f>HYPERLINK("https://zfin.org/ZDB-GENE-081107-66")</f>
        <v>https://zfin.org/ZDB-GENE-081107-66</v>
      </c>
      <c r="E439" t="s">
        <v>1303</v>
      </c>
    </row>
    <row r="440" spans="1:5" x14ac:dyDescent="0.2">
      <c r="A440" t="s">
        <v>1304</v>
      </c>
      <c r="B440" t="s">
        <v>1305</v>
      </c>
      <c r="C440" t="s">
        <v>1305</v>
      </c>
      <c r="D440" t="str">
        <f>HYPERLINK("https://zfin.org/ZDB-GENE-030131-8638")</f>
        <v>https://zfin.org/ZDB-GENE-030131-8638</v>
      </c>
      <c r="E440" t="s">
        <v>1306</v>
      </c>
    </row>
    <row r="441" spans="1:5" x14ac:dyDescent="0.2">
      <c r="A441" t="s">
        <v>1307</v>
      </c>
      <c r="B441" t="s">
        <v>1308</v>
      </c>
      <c r="C441" t="s">
        <v>1308</v>
      </c>
      <c r="D441" t="str">
        <f>HYPERLINK("https://zfin.org/ZDB-GENE-141216-463")</f>
        <v>https://zfin.org/ZDB-GENE-141216-463</v>
      </c>
      <c r="E441" t="s">
        <v>1309</v>
      </c>
    </row>
    <row r="442" spans="1:5" x14ac:dyDescent="0.2">
      <c r="A442" t="s">
        <v>1310</v>
      </c>
      <c r="B442" t="s">
        <v>1311</v>
      </c>
      <c r="C442" t="s">
        <v>1311</v>
      </c>
      <c r="D442" t="str">
        <f>HYPERLINK("https://zfin.org/ZDB-GENE-061019-2")</f>
        <v>https://zfin.org/ZDB-GENE-061019-2</v>
      </c>
      <c r="E442" t="s">
        <v>1312</v>
      </c>
    </row>
    <row r="443" spans="1:5" x14ac:dyDescent="0.2">
      <c r="A443" t="s">
        <v>1313</v>
      </c>
      <c r="B443" t="s">
        <v>1314</v>
      </c>
      <c r="C443" t="s">
        <v>1314</v>
      </c>
      <c r="D443" t="str">
        <f>HYPERLINK("https://zfin.org/ZDB-GENE-020419-25")</f>
        <v>https://zfin.org/ZDB-GENE-020419-25</v>
      </c>
      <c r="E443" t="s">
        <v>1315</v>
      </c>
    </row>
    <row r="444" spans="1:5" x14ac:dyDescent="0.2">
      <c r="A444" t="s">
        <v>1316</v>
      </c>
      <c r="B444" t="s">
        <v>1317</v>
      </c>
      <c r="C444" t="s">
        <v>1317</v>
      </c>
      <c r="D444" t="str">
        <f>HYPERLINK("https://zfin.org/ZDB-GENE-040912-58")</f>
        <v>https://zfin.org/ZDB-GENE-040912-58</v>
      </c>
      <c r="E444" t="s">
        <v>1318</v>
      </c>
    </row>
    <row r="445" spans="1:5" x14ac:dyDescent="0.2">
      <c r="A445" t="s">
        <v>1319</v>
      </c>
      <c r="B445" t="s">
        <v>1320</v>
      </c>
      <c r="C445" t="s">
        <v>1320</v>
      </c>
      <c r="D445" t="str">
        <f>HYPERLINK("https://zfin.org/ZDB-GENE-050417-376")</f>
        <v>https://zfin.org/ZDB-GENE-050417-376</v>
      </c>
      <c r="E445" t="s">
        <v>1321</v>
      </c>
    </row>
    <row r="446" spans="1:5" x14ac:dyDescent="0.2">
      <c r="A446" t="s">
        <v>1322</v>
      </c>
      <c r="B446" t="s">
        <v>1323</v>
      </c>
      <c r="C446" t="s">
        <v>1323</v>
      </c>
      <c r="D446" t="str">
        <f>HYPERLINK("https://zfin.org/ZDB-GENE-070912-373")</f>
        <v>https://zfin.org/ZDB-GENE-070912-373</v>
      </c>
      <c r="E446" t="s">
        <v>1324</v>
      </c>
    </row>
    <row r="447" spans="1:5" x14ac:dyDescent="0.2">
      <c r="A447" t="s">
        <v>1325</v>
      </c>
      <c r="B447" t="s">
        <v>1326</v>
      </c>
      <c r="C447" t="s">
        <v>1326</v>
      </c>
      <c r="D447" t="str">
        <f>HYPERLINK("https://zfin.org/ZDB-GENE-081028-61")</f>
        <v>https://zfin.org/ZDB-GENE-081028-61</v>
      </c>
      <c r="E447" t="s">
        <v>1327</v>
      </c>
    </row>
    <row r="448" spans="1:5" x14ac:dyDescent="0.2">
      <c r="A448" t="s">
        <v>1328</v>
      </c>
      <c r="B448" t="s">
        <v>1329</v>
      </c>
      <c r="C448" t="s">
        <v>1329</v>
      </c>
      <c r="D448" t="str">
        <f>HYPERLINK("https://zfin.org/ZDB-GENE-031030-11")</f>
        <v>https://zfin.org/ZDB-GENE-031030-11</v>
      </c>
      <c r="E448" t="s">
        <v>1330</v>
      </c>
    </row>
    <row r="449" spans="1:5" x14ac:dyDescent="0.2">
      <c r="A449" t="s">
        <v>1331</v>
      </c>
      <c r="B449" t="s">
        <v>1332</v>
      </c>
      <c r="C449" t="s">
        <v>1332</v>
      </c>
      <c r="D449" t="str">
        <f>HYPERLINK("https://zfin.org/ZDB-GENE-141212-301")</f>
        <v>https://zfin.org/ZDB-GENE-141212-301</v>
      </c>
      <c r="E449" t="s">
        <v>1333</v>
      </c>
    </row>
    <row r="450" spans="1:5" x14ac:dyDescent="0.2">
      <c r="A450" t="s">
        <v>1334</v>
      </c>
      <c r="B450" t="s">
        <v>1335</v>
      </c>
      <c r="C450" t="s">
        <v>1335</v>
      </c>
      <c r="D450" t="str">
        <f>HYPERLINK("https://zfin.org/ZDB-GENE-090313-342")</f>
        <v>https://zfin.org/ZDB-GENE-090313-342</v>
      </c>
      <c r="E450" t="s">
        <v>1336</v>
      </c>
    </row>
    <row r="451" spans="1:5" x14ac:dyDescent="0.2">
      <c r="A451" t="s">
        <v>1337</v>
      </c>
      <c r="B451" t="s">
        <v>1338</v>
      </c>
      <c r="C451" t="s">
        <v>1338</v>
      </c>
      <c r="D451" t="str">
        <f>HYPERLINK("https://zfin.org/ZDB-GENE-141216-108")</f>
        <v>https://zfin.org/ZDB-GENE-141216-108</v>
      </c>
      <c r="E451" t="s">
        <v>1339</v>
      </c>
    </row>
    <row r="452" spans="1:5" x14ac:dyDescent="0.2">
      <c r="A452" t="s">
        <v>1340</v>
      </c>
      <c r="B452" t="s">
        <v>1341</v>
      </c>
      <c r="C452" t="s">
        <v>1341</v>
      </c>
      <c r="D452" t="str">
        <f>HYPERLINK("https://zfin.org/ZDB-GENE-040718-195")</f>
        <v>https://zfin.org/ZDB-GENE-040718-195</v>
      </c>
      <c r="E452" t="s">
        <v>1342</v>
      </c>
    </row>
    <row r="453" spans="1:5" x14ac:dyDescent="0.2">
      <c r="A453" t="s">
        <v>1343</v>
      </c>
      <c r="B453" t="s">
        <v>1344</v>
      </c>
      <c r="C453" t="s">
        <v>1344</v>
      </c>
      <c r="D453" t="str">
        <f>HYPERLINK("https://zfin.org/ZDB-GENE-061110-106")</f>
        <v>https://zfin.org/ZDB-GENE-061110-106</v>
      </c>
      <c r="E453" t="s">
        <v>1345</v>
      </c>
    </row>
    <row r="454" spans="1:5" x14ac:dyDescent="0.2">
      <c r="A454" t="s">
        <v>1346</v>
      </c>
      <c r="B454" t="s">
        <v>1347</v>
      </c>
      <c r="C454" t="s">
        <v>1347</v>
      </c>
      <c r="D454" t="str">
        <f>HYPERLINK("https://zfin.org/ZDB-GENE-050417-156")</f>
        <v>https://zfin.org/ZDB-GENE-050417-156</v>
      </c>
      <c r="E454" t="s">
        <v>1348</v>
      </c>
    </row>
    <row r="455" spans="1:5" x14ac:dyDescent="0.2">
      <c r="A455" t="s">
        <v>1349</v>
      </c>
      <c r="B455" t="s">
        <v>1350</v>
      </c>
      <c r="C455" t="s">
        <v>1350</v>
      </c>
      <c r="D455" t="str">
        <f>HYPERLINK("https://zfin.org/ZDB-GENE-030131-5286")</f>
        <v>https://zfin.org/ZDB-GENE-030131-5286</v>
      </c>
      <c r="E455" t="s">
        <v>1351</v>
      </c>
    </row>
    <row r="456" spans="1:5" x14ac:dyDescent="0.2">
      <c r="A456" t="s">
        <v>1352</v>
      </c>
      <c r="B456" t="s">
        <v>1353</v>
      </c>
      <c r="C456" t="s">
        <v>1353</v>
      </c>
      <c r="D456" t="str">
        <f>HYPERLINK("https://zfin.org/")</f>
        <v>https://zfin.org/</v>
      </c>
    </row>
    <row r="457" spans="1:5" x14ac:dyDescent="0.2">
      <c r="A457" t="s">
        <v>1354</v>
      </c>
      <c r="B457" t="s">
        <v>1355</v>
      </c>
      <c r="C457" t="s">
        <v>1355</v>
      </c>
      <c r="D457" t="str">
        <f>HYPERLINK("https://zfin.org/ZDB-GENE-071004-79")</f>
        <v>https://zfin.org/ZDB-GENE-071004-79</v>
      </c>
      <c r="E457" t="s">
        <v>1356</v>
      </c>
    </row>
    <row r="458" spans="1:5" x14ac:dyDescent="0.2">
      <c r="A458" t="s">
        <v>1357</v>
      </c>
      <c r="B458" t="s">
        <v>1358</v>
      </c>
      <c r="C458" t="s">
        <v>1358</v>
      </c>
      <c r="D458" t="str">
        <f>HYPERLINK("https://zfin.org/ZDB-GENE-081107-73")</f>
        <v>https://zfin.org/ZDB-GENE-081107-73</v>
      </c>
      <c r="E458" t="s">
        <v>1359</v>
      </c>
    </row>
    <row r="459" spans="1:5" x14ac:dyDescent="0.2">
      <c r="A459" t="s">
        <v>1360</v>
      </c>
      <c r="B459" t="s">
        <v>1361</v>
      </c>
      <c r="C459" t="s">
        <v>1361</v>
      </c>
      <c r="D459" t="str">
        <f>HYPERLINK("https://zfin.org/ZDB-GENE-081022-70")</f>
        <v>https://zfin.org/ZDB-GENE-081022-70</v>
      </c>
      <c r="E459" t="s">
        <v>1362</v>
      </c>
    </row>
    <row r="460" spans="1:5" x14ac:dyDescent="0.2">
      <c r="A460" t="s">
        <v>1363</v>
      </c>
      <c r="B460" t="s">
        <v>1364</v>
      </c>
      <c r="C460" t="s">
        <v>1364</v>
      </c>
      <c r="D460" t="str">
        <f>HYPERLINK("https://zfin.org/ZDB-GENE-030616-569")</f>
        <v>https://zfin.org/ZDB-GENE-030616-569</v>
      </c>
      <c r="E460" t="s">
        <v>1365</v>
      </c>
    </row>
    <row r="461" spans="1:5" x14ac:dyDescent="0.2">
      <c r="A461" t="s">
        <v>1366</v>
      </c>
      <c r="B461" t="s">
        <v>1367</v>
      </c>
      <c r="C461" t="s">
        <v>1367</v>
      </c>
      <c r="D461" t="str">
        <f>HYPERLINK("https://zfin.org/ZDB-GENE-080403-10")</f>
        <v>https://zfin.org/ZDB-GENE-080403-10</v>
      </c>
      <c r="E461" t="s">
        <v>1368</v>
      </c>
    </row>
    <row r="462" spans="1:5" x14ac:dyDescent="0.2">
      <c r="A462" t="s">
        <v>1369</v>
      </c>
      <c r="B462" t="s">
        <v>1370</v>
      </c>
      <c r="C462" t="s">
        <v>1370</v>
      </c>
      <c r="D462" t="str">
        <f>HYPERLINK("https://zfin.org/ZDB-GENE-130514-1")</f>
        <v>https://zfin.org/ZDB-GENE-130514-1</v>
      </c>
      <c r="E462" t="s">
        <v>1371</v>
      </c>
    </row>
    <row r="463" spans="1:5" x14ac:dyDescent="0.2">
      <c r="A463" t="s">
        <v>1372</v>
      </c>
      <c r="B463" t="s">
        <v>1373</v>
      </c>
      <c r="C463" t="s">
        <v>1373</v>
      </c>
      <c r="D463" t="str">
        <f>HYPERLINK("https://zfin.org/ZDB-GENE-010319-1")</f>
        <v>https://zfin.org/ZDB-GENE-010319-1</v>
      </c>
      <c r="E463" t="s">
        <v>1374</v>
      </c>
    </row>
    <row r="464" spans="1:5" x14ac:dyDescent="0.2">
      <c r="A464" t="s">
        <v>1375</v>
      </c>
      <c r="B464" t="s">
        <v>1376</v>
      </c>
      <c r="C464" t="s">
        <v>1376</v>
      </c>
      <c r="D464" t="str">
        <f>HYPERLINK("https://zfin.org/ZDB-GENE-090313-121")</f>
        <v>https://zfin.org/ZDB-GENE-090313-121</v>
      </c>
      <c r="E464" t="s">
        <v>1377</v>
      </c>
    </row>
    <row r="465" spans="1:5" x14ac:dyDescent="0.2">
      <c r="A465" t="s">
        <v>1378</v>
      </c>
      <c r="B465" t="s">
        <v>1379</v>
      </c>
      <c r="C465" t="s">
        <v>1379</v>
      </c>
      <c r="D465" t="str">
        <f>HYPERLINK("https://zfin.org/ZDB-GENE-030131-9358")</f>
        <v>https://zfin.org/ZDB-GENE-030131-9358</v>
      </c>
      <c r="E465" t="s">
        <v>1380</v>
      </c>
    </row>
    <row r="466" spans="1:5" x14ac:dyDescent="0.2">
      <c r="A466" t="s">
        <v>1381</v>
      </c>
      <c r="B466" t="s">
        <v>1382</v>
      </c>
      <c r="C466" t="s">
        <v>1382</v>
      </c>
      <c r="D466" t="str">
        <f>HYPERLINK("https://zfin.org/ZDB-GENE-031126-4")</f>
        <v>https://zfin.org/ZDB-GENE-031126-4</v>
      </c>
      <c r="E466" t="s">
        <v>1383</v>
      </c>
    </row>
    <row r="467" spans="1:5" x14ac:dyDescent="0.2">
      <c r="A467" t="s">
        <v>1384</v>
      </c>
      <c r="B467" t="s">
        <v>1385</v>
      </c>
      <c r="C467" t="s">
        <v>1385</v>
      </c>
      <c r="D467" t="str">
        <f>HYPERLINK("https://zfin.org/ZDB-GENE-040718-103")</f>
        <v>https://zfin.org/ZDB-GENE-040718-103</v>
      </c>
      <c r="E467" t="s">
        <v>1386</v>
      </c>
    </row>
    <row r="468" spans="1:5" x14ac:dyDescent="0.2">
      <c r="A468" t="s">
        <v>1387</v>
      </c>
      <c r="B468" t="s">
        <v>1388</v>
      </c>
      <c r="C468" t="s">
        <v>1388</v>
      </c>
      <c r="D468" t="str">
        <f>HYPERLINK("https://zfin.org/ZDB-GENE-090311-29")</f>
        <v>https://zfin.org/ZDB-GENE-090311-29</v>
      </c>
      <c r="E468" t="s">
        <v>1389</v>
      </c>
    </row>
    <row r="469" spans="1:5" x14ac:dyDescent="0.2">
      <c r="A469" t="s">
        <v>1390</v>
      </c>
      <c r="B469" t="s">
        <v>1391</v>
      </c>
      <c r="C469" t="s">
        <v>1391</v>
      </c>
      <c r="D469" t="str">
        <f>HYPERLINK("https://zfin.org/ZDB-GENE-031112-10")</f>
        <v>https://zfin.org/ZDB-GENE-031112-10</v>
      </c>
      <c r="E469" t="s">
        <v>1392</v>
      </c>
    </row>
    <row r="470" spans="1:5" x14ac:dyDescent="0.2">
      <c r="A470" t="s">
        <v>1393</v>
      </c>
      <c r="B470" t="s">
        <v>1394</v>
      </c>
      <c r="C470" t="s">
        <v>1394</v>
      </c>
      <c r="D470" t="str">
        <f>HYPERLINK("https://zfin.org/ZDB-GENE-090312-139")</f>
        <v>https://zfin.org/ZDB-GENE-090312-139</v>
      </c>
      <c r="E470" t="s">
        <v>1395</v>
      </c>
    </row>
    <row r="471" spans="1:5" x14ac:dyDescent="0.2">
      <c r="A471" t="s">
        <v>1396</v>
      </c>
      <c r="B471" t="s">
        <v>1397</v>
      </c>
      <c r="C471" t="s">
        <v>1397</v>
      </c>
      <c r="D471" t="str">
        <f>HYPERLINK("https://zfin.org/ZDB-GENE-100913-1")</f>
        <v>https://zfin.org/ZDB-GENE-100913-1</v>
      </c>
      <c r="E471" t="s">
        <v>1398</v>
      </c>
    </row>
    <row r="472" spans="1:5" x14ac:dyDescent="0.2">
      <c r="A472" t="s">
        <v>1399</v>
      </c>
      <c r="B472" t="s">
        <v>1400</v>
      </c>
      <c r="C472" t="s">
        <v>1400</v>
      </c>
      <c r="D472" t="str">
        <f>HYPERLINK("https://zfin.org/ZDB-GENE-030826-26")</f>
        <v>https://zfin.org/ZDB-GENE-030826-26</v>
      </c>
      <c r="E472" t="s">
        <v>1401</v>
      </c>
    </row>
    <row r="473" spans="1:5" x14ac:dyDescent="0.2">
      <c r="A473" t="s">
        <v>1402</v>
      </c>
      <c r="B473" t="s">
        <v>1403</v>
      </c>
      <c r="C473" t="s">
        <v>1403</v>
      </c>
      <c r="D473" t="str">
        <f>HYPERLINK("https://zfin.org/ZDB-GENE-090609-3")</f>
        <v>https://zfin.org/ZDB-GENE-090609-3</v>
      </c>
      <c r="E473" t="s">
        <v>1404</v>
      </c>
    </row>
    <row r="474" spans="1:5" x14ac:dyDescent="0.2">
      <c r="A474" t="s">
        <v>1405</v>
      </c>
      <c r="B474" t="s">
        <v>1406</v>
      </c>
      <c r="C474" t="s">
        <v>1406</v>
      </c>
      <c r="D474" t="str">
        <f>HYPERLINK("https://zfin.org/ZDB-GENE-040426-710")</f>
        <v>https://zfin.org/ZDB-GENE-040426-710</v>
      </c>
      <c r="E474" t="s">
        <v>1407</v>
      </c>
    </row>
    <row r="475" spans="1:5" x14ac:dyDescent="0.2">
      <c r="A475" t="s">
        <v>1408</v>
      </c>
      <c r="B475" t="s">
        <v>1409</v>
      </c>
      <c r="C475" t="s">
        <v>1409</v>
      </c>
      <c r="D475" t="str">
        <f>HYPERLINK("https://zfin.org/ZDB-GENE-030131-9581")</f>
        <v>https://zfin.org/ZDB-GENE-030131-9581</v>
      </c>
      <c r="E475" t="s">
        <v>1410</v>
      </c>
    </row>
    <row r="476" spans="1:5" x14ac:dyDescent="0.2">
      <c r="A476" t="s">
        <v>1411</v>
      </c>
      <c r="B476" t="s">
        <v>1412</v>
      </c>
      <c r="C476" t="s">
        <v>1412</v>
      </c>
      <c r="D476" t="str">
        <f>HYPERLINK("https://zfin.org/ZDB-GENE-010226-2")</f>
        <v>https://zfin.org/ZDB-GENE-010226-2</v>
      </c>
      <c r="E476" t="s">
        <v>1413</v>
      </c>
    </row>
    <row r="477" spans="1:5" x14ac:dyDescent="0.2">
      <c r="A477" t="s">
        <v>1414</v>
      </c>
      <c r="B477" t="s">
        <v>1415</v>
      </c>
      <c r="C477" t="s">
        <v>1415</v>
      </c>
      <c r="D477" t="str">
        <f>HYPERLINK("https://zfin.org/ZDB-GENE-040801-233")</f>
        <v>https://zfin.org/ZDB-GENE-040801-233</v>
      </c>
      <c r="E477" t="s">
        <v>1416</v>
      </c>
    </row>
    <row r="478" spans="1:5" x14ac:dyDescent="0.2">
      <c r="A478" t="s">
        <v>1417</v>
      </c>
      <c r="B478" t="s">
        <v>1418</v>
      </c>
      <c r="C478" t="s">
        <v>1418</v>
      </c>
      <c r="D478" t="str">
        <f>HYPERLINK("https://zfin.org/ZDB-GENE-040426-2505")</f>
        <v>https://zfin.org/ZDB-GENE-040426-2505</v>
      </c>
      <c r="E478" t="s">
        <v>1419</v>
      </c>
    </row>
    <row r="479" spans="1:5" x14ac:dyDescent="0.2">
      <c r="A479" t="s">
        <v>1420</v>
      </c>
      <c r="B479" t="s">
        <v>1421</v>
      </c>
      <c r="C479" t="s">
        <v>1421</v>
      </c>
      <c r="D479" t="str">
        <f>HYPERLINK("https://zfin.org/ZDB-GENE-030131-1809")</f>
        <v>https://zfin.org/ZDB-GENE-030131-1809</v>
      </c>
      <c r="E479" t="s">
        <v>1422</v>
      </c>
    </row>
    <row r="480" spans="1:5" x14ac:dyDescent="0.2">
      <c r="A480" t="s">
        <v>1423</v>
      </c>
      <c r="B480" t="s">
        <v>1424</v>
      </c>
      <c r="C480" t="s">
        <v>1424</v>
      </c>
      <c r="D480" t="str">
        <f>HYPERLINK("https://zfin.org/ZDB-GENE-050522-284")</f>
        <v>https://zfin.org/ZDB-GENE-050522-284</v>
      </c>
      <c r="E480" t="s">
        <v>1425</v>
      </c>
    </row>
    <row r="481" spans="1:5" x14ac:dyDescent="0.2">
      <c r="A481" t="s">
        <v>1426</v>
      </c>
      <c r="B481" t="s">
        <v>1427</v>
      </c>
      <c r="C481" t="s">
        <v>1427</v>
      </c>
      <c r="D481" t="str">
        <f>HYPERLINK("https://zfin.org/ZDB-GENE-090313-271")</f>
        <v>https://zfin.org/ZDB-GENE-090313-271</v>
      </c>
      <c r="E481" t="s">
        <v>1428</v>
      </c>
    </row>
    <row r="482" spans="1:5" x14ac:dyDescent="0.2">
      <c r="A482" t="s">
        <v>1429</v>
      </c>
      <c r="B482" t="s">
        <v>1430</v>
      </c>
      <c r="C482" t="s">
        <v>1430</v>
      </c>
      <c r="D482" t="str">
        <f>HYPERLINK("https://zfin.org/ZDB-GENE-040801-258")</f>
        <v>https://zfin.org/ZDB-GENE-040801-258</v>
      </c>
      <c r="E482" t="s">
        <v>1431</v>
      </c>
    </row>
    <row r="483" spans="1:5" x14ac:dyDescent="0.2">
      <c r="A483" t="s">
        <v>1432</v>
      </c>
      <c r="B483" t="s">
        <v>1433</v>
      </c>
      <c r="C483" t="s">
        <v>1433</v>
      </c>
      <c r="D483" t="str">
        <f>HYPERLINK("https://zfin.org/ZDB-GENE-030131-4648")</f>
        <v>https://zfin.org/ZDB-GENE-030131-4648</v>
      </c>
      <c r="E483" t="s">
        <v>1434</v>
      </c>
    </row>
    <row r="484" spans="1:5" x14ac:dyDescent="0.2">
      <c r="A484" t="s">
        <v>1435</v>
      </c>
      <c r="B484" t="s">
        <v>1436</v>
      </c>
      <c r="C484" t="s">
        <v>1436</v>
      </c>
      <c r="D484" t="str">
        <f>HYPERLINK("https://zfin.org/ZDB-GENE-040426-1512")</f>
        <v>https://zfin.org/ZDB-GENE-040426-1512</v>
      </c>
      <c r="E484" t="s">
        <v>1437</v>
      </c>
    </row>
    <row r="485" spans="1:5" x14ac:dyDescent="0.2">
      <c r="A485" t="s">
        <v>1438</v>
      </c>
      <c r="B485" t="s">
        <v>1439</v>
      </c>
      <c r="C485" t="s">
        <v>1439</v>
      </c>
      <c r="D485" t="str">
        <f>HYPERLINK("https://zfin.org/ZDB-GENE-040808-40")</f>
        <v>https://zfin.org/ZDB-GENE-040808-40</v>
      </c>
      <c r="E485" t="s">
        <v>1440</v>
      </c>
    </row>
    <row r="486" spans="1:5" x14ac:dyDescent="0.2">
      <c r="A486" t="s">
        <v>1441</v>
      </c>
      <c r="B486" t="s">
        <v>1442</v>
      </c>
      <c r="C486" t="s">
        <v>1442</v>
      </c>
      <c r="D486" t="str">
        <f>HYPERLINK("https://zfin.org/ZDB-GENE-051014-1")</f>
        <v>https://zfin.org/ZDB-GENE-051014-1</v>
      </c>
      <c r="E486" t="s">
        <v>1443</v>
      </c>
    </row>
    <row r="487" spans="1:5" x14ac:dyDescent="0.2">
      <c r="A487" t="s">
        <v>1444</v>
      </c>
      <c r="B487" t="s">
        <v>1445</v>
      </c>
      <c r="C487" t="s">
        <v>1445</v>
      </c>
      <c r="D487" t="str">
        <f>HYPERLINK("https://zfin.org/ZDB-GENE-030131-5416")</f>
        <v>https://zfin.org/ZDB-GENE-030131-5416</v>
      </c>
      <c r="E487" t="s">
        <v>1446</v>
      </c>
    </row>
    <row r="488" spans="1:5" x14ac:dyDescent="0.2">
      <c r="A488" t="s">
        <v>1447</v>
      </c>
      <c r="B488" t="s">
        <v>1448</v>
      </c>
      <c r="C488" t="s">
        <v>1448</v>
      </c>
      <c r="D488" t="str">
        <f>HYPERLINK("https://zfin.org/ZDB-GENE-160113-119")</f>
        <v>https://zfin.org/ZDB-GENE-160113-119</v>
      </c>
      <c r="E488" t="s">
        <v>1449</v>
      </c>
    </row>
    <row r="489" spans="1:5" x14ac:dyDescent="0.2">
      <c r="A489" t="s">
        <v>1450</v>
      </c>
      <c r="B489" t="s">
        <v>1451</v>
      </c>
      <c r="C489" t="s">
        <v>1451</v>
      </c>
      <c r="D489" t="str">
        <f>HYPERLINK("https://zfin.org/ZDB-GENE-081022-139")</f>
        <v>https://zfin.org/ZDB-GENE-081022-139</v>
      </c>
      <c r="E489" t="s">
        <v>1452</v>
      </c>
    </row>
    <row r="490" spans="1:5" x14ac:dyDescent="0.2">
      <c r="A490" t="s">
        <v>1453</v>
      </c>
      <c r="B490" t="s">
        <v>1454</v>
      </c>
      <c r="C490" t="s">
        <v>1454</v>
      </c>
      <c r="D490" t="str">
        <f>HYPERLINK("https://zfin.org/ZDB-GENE-040426-984")</f>
        <v>https://zfin.org/ZDB-GENE-040426-984</v>
      </c>
      <c r="E490" t="s">
        <v>1455</v>
      </c>
    </row>
    <row r="491" spans="1:5" x14ac:dyDescent="0.2">
      <c r="A491" t="s">
        <v>1456</v>
      </c>
      <c r="B491" t="s">
        <v>1457</v>
      </c>
      <c r="C491" t="s">
        <v>1457</v>
      </c>
      <c r="D491" t="str">
        <f>HYPERLINK("https://zfin.org/ZDB-GENE-030131-1459")</f>
        <v>https://zfin.org/ZDB-GENE-030131-1459</v>
      </c>
      <c r="E491" t="s">
        <v>1458</v>
      </c>
    </row>
    <row r="492" spans="1:5" x14ac:dyDescent="0.2">
      <c r="A492" t="s">
        <v>1459</v>
      </c>
      <c r="B492" t="s">
        <v>1460</v>
      </c>
      <c r="C492" t="s">
        <v>1460</v>
      </c>
      <c r="D492" t="str">
        <f>HYPERLINK("https://zfin.org/ZDB-GENE-070615-8")</f>
        <v>https://zfin.org/ZDB-GENE-070615-8</v>
      </c>
      <c r="E492" t="s">
        <v>1461</v>
      </c>
    </row>
    <row r="493" spans="1:5" x14ac:dyDescent="0.2">
      <c r="A493" t="s">
        <v>1462</v>
      </c>
      <c r="B493" t="s">
        <v>1463</v>
      </c>
      <c r="C493" t="s">
        <v>1463</v>
      </c>
      <c r="D493" t="str">
        <f>HYPERLINK("https://zfin.org/ZDB-GENE-030821-2")</f>
        <v>https://zfin.org/ZDB-GENE-030821-2</v>
      </c>
      <c r="E493" t="s">
        <v>1464</v>
      </c>
    </row>
    <row r="494" spans="1:5" x14ac:dyDescent="0.2">
      <c r="A494" t="s">
        <v>1465</v>
      </c>
      <c r="B494" t="s">
        <v>1466</v>
      </c>
      <c r="C494" t="s">
        <v>1466</v>
      </c>
      <c r="D494" t="str">
        <f>HYPERLINK("https://zfin.org/ZDB-GENE-070912-386")</f>
        <v>https://zfin.org/ZDB-GENE-070912-386</v>
      </c>
      <c r="E494" t="s">
        <v>1467</v>
      </c>
    </row>
    <row r="495" spans="1:5" x14ac:dyDescent="0.2">
      <c r="A495" t="s">
        <v>1468</v>
      </c>
      <c r="B495" t="s">
        <v>1469</v>
      </c>
      <c r="C495" t="s">
        <v>1469</v>
      </c>
      <c r="D495" t="str">
        <f>HYPERLINK("https://zfin.org/ZDB-GENE-040718-153")</f>
        <v>https://zfin.org/ZDB-GENE-040718-153</v>
      </c>
      <c r="E495" t="s">
        <v>1470</v>
      </c>
    </row>
    <row r="496" spans="1:5" x14ac:dyDescent="0.2">
      <c r="A496" t="s">
        <v>1471</v>
      </c>
      <c r="B496" t="s">
        <v>1472</v>
      </c>
      <c r="C496" t="s">
        <v>1472</v>
      </c>
      <c r="D496" t="str">
        <f>HYPERLINK("https://zfin.org/ZDB-GENE-040912-143")</f>
        <v>https://zfin.org/ZDB-GENE-040912-143</v>
      </c>
      <c r="E496" t="s">
        <v>1473</v>
      </c>
    </row>
    <row r="497" spans="1:5" x14ac:dyDescent="0.2">
      <c r="A497" t="s">
        <v>1474</v>
      </c>
      <c r="B497" t="s">
        <v>1475</v>
      </c>
      <c r="C497" t="s">
        <v>1475</v>
      </c>
      <c r="D497" t="str">
        <f>HYPERLINK("https://zfin.org/ZDB-GENE-061013-607")</f>
        <v>https://zfin.org/ZDB-GENE-061013-607</v>
      </c>
      <c r="E497" t="s">
        <v>1476</v>
      </c>
    </row>
    <row r="498" spans="1:5" x14ac:dyDescent="0.2">
      <c r="A498" t="s">
        <v>1477</v>
      </c>
      <c r="B498" t="s">
        <v>1478</v>
      </c>
      <c r="C498" t="s">
        <v>1478</v>
      </c>
      <c r="D498" t="str">
        <f>HYPERLINK("https://zfin.org/ZDB-GENE-040426-2722")</f>
        <v>https://zfin.org/ZDB-GENE-040426-2722</v>
      </c>
      <c r="E498" t="s">
        <v>1479</v>
      </c>
    </row>
    <row r="499" spans="1:5" x14ac:dyDescent="0.2">
      <c r="A499" t="s">
        <v>1480</v>
      </c>
      <c r="B499" t="s">
        <v>1481</v>
      </c>
      <c r="C499" t="s">
        <v>1481</v>
      </c>
      <c r="D499" t="str">
        <f>HYPERLINK("https://zfin.org/ZDB-GENE-041210-295")</f>
        <v>https://zfin.org/ZDB-GENE-041210-295</v>
      </c>
      <c r="E499" t="s">
        <v>1482</v>
      </c>
    </row>
    <row r="500" spans="1:5" x14ac:dyDescent="0.2">
      <c r="A500" t="s">
        <v>1483</v>
      </c>
      <c r="B500" t="s">
        <v>1484</v>
      </c>
      <c r="C500" t="s">
        <v>1484</v>
      </c>
      <c r="D500" t="str">
        <f>HYPERLINK("https://zfin.org/ZDB-GENE-030616-617")</f>
        <v>https://zfin.org/ZDB-GENE-030616-617</v>
      </c>
      <c r="E500" t="s">
        <v>1485</v>
      </c>
    </row>
    <row r="501" spans="1:5" x14ac:dyDescent="0.2">
      <c r="A501" t="s">
        <v>1486</v>
      </c>
      <c r="B501" t="s">
        <v>1487</v>
      </c>
      <c r="C501" t="s">
        <v>1487</v>
      </c>
      <c r="D501" t="str">
        <f>HYPERLINK("https://zfin.org/ZDB-GENE-070705-197")</f>
        <v>https://zfin.org/ZDB-GENE-070705-197</v>
      </c>
      <c r="E501" t="s">
        <v>1488</v>
      </c>
    </row>
    <row r="502" spans="1:5" x14ac:dyDescent="0.2">
      <c r="A502" t="s">
        <v>1489</v>
      </c>
      <c r="B502" t="s">
        <v>1490</v>
      </c>
      <c r="C502" t="s">
        <v>1490</v>
      </c>
      <c r="D502" t="str">
        <f>HYPERLINK("https://zfin.org/ZDB-GENE-060810-31")</f>
        <v>https://zfin.org/ZDB-GENE-060810-31</v>
      </c>
      <c r="E502" t="s">
        <v>1491</v>
      </c>
    </row>
    <row r="503" spans="1:5" x14ac:dyDescent="0.2">
      <c r="A503" t="s">
        <v>1492</v>
      </c>
      <c r="B503" t="s">
        <v>1493</v>
      </c>
      <c r="C503" t="s">
        <v>1493</v>
      </c>
      <c r="D503" t="str">
        <f>HYPERLINK("https://zfin.org/ZDB-GENE-040728-3")</f>
        <v>https://zfin.org/ZDB-GENE-040728-3</v>
      </c>
      <c r="E503" t="s">
        <v>1494</v>
      </c>
    </row>
    <row r="504" spans="1:5" x14ac:dyDescent="0.2">
      <c r="A504" t="s">
        <v>1495</v>
      </c>
      <c r="B504" t="s">
        <v>1496</v>
      </c>
      <c r="C504" t="s">
        <v>1496</v>
      </c>
      <c r="D504" t="str">
        <f>HYPERLINK("https://zfin.org/ZDB-GENE-160113-83")</f>
        <v>https://zfin.org/ZDB-GENE-160113-83</v>
      </c>
      <c r="E504" t="s">
        <v>1497</v>
      </c>
    </row>
    <row r="505" spans="1:5" x14ac:dyDescent="0.2">
      <c r="A505" t="s">
        <v>1498</v>
      </c>
      <c r="B505" t="s">
        <v>1499</v>
      </c>
      <c r="C505" t="s">
        <v>1499</v>
      </c>
      <c r="D505" t="str">
        <f>HYPERLINK("https://zfin.org/ZDB-GENE-120406-5")</f>
        <v>https://zfin.org/ZDB-GENE-120406-5</v>
      </c>
      <c r="E505" t="s">
        <v>1500</v>
      </c>
    </row>
    <row r="506" spans="1:5" x14ac:dyDescent="0.2">
      <c r="A506" t="s">
        <v>1501</v>
      </c>
      <c r="B506" t="s">
        <v>1502</v>
      </c>
      <c r="C506" t="s">
        <v>1502</v>
      </c>
      <c r="D506" t="str">
        <f>HYPERLINK("https://zfin.org/ZDB-GENE-110411-215")</f>
        <v>https://zfin.org/ZDB-GENE-110411-215</v>
      </c>
      <c r="E506" t="s">
        <v>1503</v>
      </c>
    </row>
    <row r="507" spans="1:5" x14ac:dyDescent="0.2">
      <c r="A507" t="s">
        <v>1504</v>
      </c>
      <c r="B507" t="s">
        <v>1505</v>
      </c>
      <c r="C507" t="s">
        <v>1505</v>
      </c>
      <c r="D507" t="str">
        <f>HYPERLINK("https://zfin.org/ZDB-GENE-040513-7")</f>
        <v>https://zfin.org/ZDB-GENE-040513-7</v>
      </c>
      <c r="E507" t="s">
        <v>1506</v>
      </c>
    </row>
    <row r="508" spans="1:5" x14ac:dyDescent="0.2">
      <c r="A508" t="s">
        <v>1507</v>
      </c>
      <c r="B508" t="s">
        <v>1508</v>
      </c>
      <c r="C508" t="s">
        <v>1508</v>
      </c>
      <c r="D508" t="str">
        <f>HYPERLINK("https://zfin.org/ZDB-GENE-050320-73")</f>
        <v>https://zfin.org/ZDB-GENE-050320-73</v>
      </c>
      <c r="E508" t="s">
        <v>1509</v>
      </c>
    </row>
    <row r="509" spans="1:5" x14ac:dyDescent="0.2">
      <c r="A509" t="s">
        <v>1510</v>
      </c>
      <c r="B509" t="s">
        <v>1511</v>
      </c>
      <c r="C509" t="s">
        <v>1511</v>
      </c>
      <c r="D509" t="str">
        <f>HYPERLINK("https://zfin.org/ZDB-GENE-120215-130")</f>
        <v>https://zfin.org/ZDB-GENE-120215-130</v>
      </c>
      <c r="E509" t="s">
        <v>1512</v>
      </c>
    </row>
    <row r="510" spans="1:5" x14ac:dyDescent="0.2">
      <c r="A510" t="s">
        <v>1513</v>
      </c>
      <c r="B510" t="s">
        <v>1514</v>
      </c>
      <c r="C510" t="s">
        <v>1514</v>
      </c>
      <c r="D510" t="str">
        <f>HYPERLINK("https://zfin.org/ZDB-GENE-040426-2841")</f>
        <v>https://zfin.org/ZDB-GENE-040426-2841</v>
      </c>
      <c r="E510" t="s">
        <v>1515</v>
      </c>
    </row>
    <row r="511" spans="1:5" x14ac:dyDescent="0.2">
      <c r="A511" t="s">
        <v>1516</v>
      </c>
      <c r="B511" t="s">
        <v>1517</v>
      </c>
      <c r="C511" t="s">
        <v>1517</v>
      </c>
      <c r="D511" t="str">
        <f>HYPERLINK("https://zfin.org/ZDB-GENE-030131-7012")</f>
        <v>https://zfin.org/ZDB-GENE-030131-7012</v>
      </c>
      <c r="E511" t="s">
        <v>1518</v>
      </c>
    </row>
    <row r="512" spans="1:5" x14ac:dyDescent="0.2">
      <c r="A512" t="s">
        <v>1519</v>
      </c>
      <c r="B512" t="s">
        <v>1520</v>
      </c>
      <c r="C512" t="s">
        <v>1520</v>
      </c>
      <c r="D512" t="str">
        <f>HYPERLINK("https://zfin.org/ZDB-GENE-081027-5")</f>
        <v>https://zfin.org/ZDB-GENE-081027-5</v>
      </c>
      <c r="E512" t="s">
        <v>1521</v>
      </c>
    </row>
    <row r="513" spans="1:5" x14ac:dyDescent="0.2">
      <c r="A513" t="s">
        <v>1522</v>
      </c>
      <c r="B513" t="s">
        <v>1523</v>
      </c>
      <c r="C513" t="s">
        <v>1523</v>
      </c>
      <c r="D513" t="str">
        <f>HYPERLINK("https://zfin.org/ZDB-GENE-021205-1")</f>
        <v>https://zfin.org/ZDB-GENE-021205-1</v>
      </c>
      <c r="E513" t="s">
        <v>1524</v>
      </c>
    </row>
    <row r="514" spans="1:5" x14ac:dyDescent="0.2">
      <c r="A514" t="s">
        <v>1525</v>
      </c>
      <c r="B514" t="s">
        <v>1526</v>
      </c>
      <c r="C514" t="s">
        <v>1526</v>
      </c>
      <c r="D514" t="str">
        <f>HYPERLINK("https://zfin.org/ZDB-GENE-040907-1")</f>
        <v>https://zfin.org/ZDB-GENE-040907-1</v>
      </c>
      <c r="E514" t="s">
        <v>1527</v>
      </c>
    </row>
    <row r="515" spans="1:5" x14ac:dyDescent="0.2">
      <c r="A515" t="s">
        <v>1528</v>
      </c>
      <c r="B515" t="s">
        <v>1529</v>
      </c>
      <c r="C515" t="s">
        <v>1529</v>
      </c>
      <c r="D515" t="str">
        <f>HYPERLINK("https://zfin.org/ZDB-GENE-040426-1590")</f>
        <v>https://zfin.org/ZDB-GENE-040426-1590</v>
      </c>
      <c r="E515" t="s">
        <v>1530</v>
      </c>
    </row>
    <row r="516" spans="1:5" x14ac:dyDescent="0.2">
      <c r="A516" t="s">
        <v>1531</v>
      </c>
      <c r="B516" t="s">
        <v>1532</v>
      </c>
      <c r="C516" t="s">
        <v>1532</v>
      </c>
      <c r="D516" t="str">
        <f>HYPERLINK("https://zfin.org/ZDB-GENE-041114-164")</f>
        <v>https://zfin.org/ZDB-GENE-041114-164</v>
      </c>
      <c r="E516" t="s">
        <v>1533</v>
      </c>
    </row>
    <row r="517" spans="1:5" x14ac:dyDescent="0.2">
      <c r="A517" t="s">
        <v>1534</v>
      </c>
      <c r="B517" t="s">
        <v>1535</v>
      </c>
      <c r="C517" t="s">
        <v>1535</v>
      </c>
      <c r="D517" t="str">
        <f>HYPERLINK("https://zfin.org/ZDB-GENE-030131-683")</f>
        <v>https://zfin.org/ZDB-GENE-030131-683</v>
      </c>
      <c r="E517" t="s">
        <v>1536</v>
      </c>
    </row>
    <row r="518" spans="1:5" x14ac:dyDescent="0.2">
      <c r="A518" t="s">
        <v>1537</v>
      </c>
      <c r="B518" t="s">
        <v>1538</v>
      </c>
      <c r="C518" t="s">
        <v>1538</v>
      </c>
      <c r="D518" t="str">
        <f>HYPERLINK("https://zfin.org/ZDB-GENE-110913-145")</f>
        <v>https://zfin.org/ZDB-GENE-110913-145</v>
      </c>
      <c r="E518" t="s">
        <v>1539</v>
      </c>
    </row>
    <row r="519" spans="1:5" x14ac:dyDescent="0.2">
      <c r="A519" t="s">
        <v>1540</v>
      </c>
      <c r="B519" t="s">
        <v>1541</v>
      </c>
      <c r="C519" t="s">
        <v>1541</v>
      </c>
      <c r="D519" t="str">
        <f>HYPERLINK("https://zfin.org/ZDB-GENE-110914-23")</f>
        <v>https://zfin.org/ZDB-GENE-110914-23</v>
      </c>
      <c r="E519" t="s">
        <v>1542</v>
      </c>
    </row>
    <row r="520" spans="1:5" x14ac:dyDescent="0.2">
      <c r="A520" t="s">
        <v>1543</v>
      </c>
      <c r="B520" t="s">
        <v>1544</v>
      </c>
      <c r="C520" t="s">
        <v>1544</v>
      </c>
      <c r="D520" t="str">
        <f>HYPERLINK("https://zfin.org/ZDB-GENE-040426-1902")</f>
        <v>https://zfin.org/ZDB-GENE-040426-1902</v>
      </c>
      <c r="E520" t="s">
        <v>1545</v>
      </c>
    </row>
    <row r="521" spans="1:5" x14ac:dyDescent="0.2">
      <c r="A521" t="s">
        <v>1546</v>
      </c>
      <c r="B521" t="s">
        <v>1547</v>
      </c>
      <c r="C521" t="s">
        <v>1547</v>
      </c>
      <c r="D521" t="str">
        <f>HYPERLINK("https://zfin.org/ZDB-GENE-081104-26")</f>
        <v>https://zfin.org/ZDB-GENE-081104-26</v>
      </c>
      <c r="E521" t="s">
        <v>1548</v>
      </c>
    </row>
    <row r="522" spans="1:5" x14ac:dyDescent="0.2">
      <c r="A522" t="s">
        <v>1549</v>
      </c>
      <c r="B522" t="s">
        <v>1550</v>
      </c>
      <c r="C522" t="s">
        <v>1550</v>
      </c>
      <c r="D522" t="str">
        <f>HYPERLINK("https://zfin.org/ZDB-GENE-030131-3731")</f>
        <v>https://zfin.org/ZDB-GENE-030131-3731</v>
      </c>
      <c r="E522" t="s">
        <v>1551</v>
      </c>
    </row>
    <row r="523" spans="1:5" x14ac:dyDescent="0.2">
      <c r="A523" t="s">
        <v>1552</v>
      </c>
      <c r="B523" t="s">
        <v>1553</v>
      </c>
      <c r="C523" t="s">
        <v>1553</v>
      </c>
      <c r="D523" t="str">
        <f>HYPERLINK("https://zfin.org/ZDB-GENE-050417-71")</f>
        <v>https://zfin.org/ZDB-GENE-050417-71</v>
      </c>
      <c r="E523" t="s">
        <v>1554</v>
      </c>
    </row>
    <row r="524" spans="1:5" x14ac:dyDescent="0.2">
      <c r="A524" t="s">
        <v>1555</v>
      </c>
      <c r="B524" t="s">
        <v>1556</v>
      </c>
      <c r="C524" t="s">
        <v>1556</v>
      </c>
      <c r="D524" t="str">
        <f>HYPERLINK("https://zfin.org/ZDB-GENE-131118-27")</f>
        <v>https://zfin.org/ZDB-GENE-131118-27</v>
      </c>
      <c r="E524" t="s">
        <v>1557</v>
      </c>
    </row>
    <row r="525" spans="1:5" x14ac:dyDescent="0.2">
      <c r="A525" t="s">
        <v>1558</v>
      </c>
      <c r="B525" t="s">
        <v>1559</v>
      </c>
      <c r="C525" t="s">
        <v>1559</v>
      </c>
      <c r="D525" t="str">
        <f>HYPERLINK("https://zfin.org/ZDB-GENE-030131-3776")</f>
        <v>https://zfin.org/ZDB-GENE-030131-3776</v>
      </c>
      <c r="E525" t="s">
        <v>1560</v>
      </c>
    </row>
    <row r="526" spans="1:5" x14ac:dyDescent="0.2">
      <c r="A526" t="s">
        <v>1561</v>
      </c>
      <c r="B526" t="s">
        <v>1562</v>
      </c>
      <c r="C526" t="s">
        <v>1562</v>
      </c>
      <c r="D526" t="str">
        <f>HYPERLINK("https://zfin.org/ZDB-GENE-060502-2")</f>
        <v>https://zfin.org/ZDB-GENE-060502-2</v>
      </c>
      <c r="E526" t="s">
        <v>1563</v>
      </c>
    </row>
    <row r="527" spans="1:5" x14ac:dyDescent="0.2">
      <c r="A527" t="s">
        <v>1564</v>
      </c>
      <c r="B527" t="s">
        <v>1565</v>
      </c>
      <c r="C527" t="s">
        <v>1565</v>
      </c>
      <c r="D527" t="str">
        <f>HYPERLINK("https://zfin.org/ZDB-GENE-070910-1")</f>
        <v>https://zfin.org/ZDB-GENE-070910-1</v>
      </c>
      <c r="E527" t="s">
        <v>1566</v>
      </c>
    </row>
    <row r="528" spans="1:5" x14ac:dyDescent="0.2">
      <c r="A528" t="s">
        <v>1567</v>
      </c>
      <c r="B528" t="s">
        <v>1568</v>
      </c>
      <c r="C528" t="s">
        <v>1568</v>
      </c>
      <c r="D528" t="str">
        <f>HYPERLINK("https://zfin.org/ZDB-GENE-100922-188")</f>
        <v>https://zfin.org/ZDB-GENE-100922-188</v>
      </c>
      <c r="E528" t="s">
        <v>1569</v>
      </c>
    </row>
    <row r="529" spans="1:5" x14ac:dyDescent="0.2">
      <c r="A529" t="s">
        <v>1570</v>
      </c>
      <c r="B529" t="s">
        <v>1571</v>
      </c>
      <c r="C529" t="s">
        <v>1571</v>
      </c>
      <c r="D529" t="str">
        <f>HYPERLINK("https://zfin.org/ZDB-GENE-030429-21")</f>
        <v>https://zfin.org/ZDB-GENE-030429-21</v>
      </c>
      <c r="E529" t="s">
        <v>1572</v>
      </c>
    </row>
    <row r="530" spans="1:5" x14ac:dyDescent="0.2">
      <c r="A530" t="s">
        <v>1573</v>
      </c>
      <c r="B530" t="s">
        <v>1574</v>
      </c>
      <c r="C530" t="s">
        <v>1574</v>
      </c>
      <c r="D530" t="str">
        <f>HYPERLINK("https://zfin.org/ZDB-GENE-040718-260")</f>
        <v>https://zfin.org/ZDB-GENE-040718-260</v>
      </c>
      <c r="E530" t="s">
        <v>1575</v>
      </c>
    </row>
    <row r="531" spans="1:5" x14ac:dyDescent="0.2">
      <c r="A531" t="s">
        <v>1576</v>
      </c>
      <c r="B531" t="s">
        <v>1577</v>
      </c>
      <c r="C531" t="s">
        <v>1577</v>
      </c>
      <c r="D531" t="str">
        <f>HYPERLINK("https://zfin.org/ZDB-GENE-120215-110")</f>
        <v>https://zfin.org/ZDB-GENE-120215-110</v>
      </c>
      <c r="E531" t="s">
        <v>1578</v>
      </c>
    </row>
    <row r="532" spans="1:5" x14ac:dyDescent="0.2">
      <c r="A532" t="s">
        <v>1579</v>
      </c>
      <c r="B532" t="s">
        <v>1580</v>
      </c>
      <c r="C532" t="s">
        <v>1580</v>
      </c>
      <c r="D532" t="str">
        <f>HYPERLINK("https://zfin.org/ZDB-GENE-030904-6")</f>
        <v>https://zfin.org/ZDB-GENE-030904-6</v>
      </c>
      <c r="E532" t="s">
        <v>1581</v>
      </c>
    </row>
    <row r="533" spans="1:5" x14ac:dyDescent="0.2">
      <c r="A533" t="s">
        <v>1582</v>
      </c>
      <c r="B533" t="s">
        <v>1583</v>
      </c>
      <c r="C533" t="s">
        <v>1583</v>
      </c>
      <c r="D533" t="str">
        <f>HYPERLINK("https://zfin.org/ZDB-GENE-070824-4")</f>
        <v>https://zfin.org/ZDB-GENE-070824-4</v>
      </c>
      <c r="E533" t="s">
        <v>1584</v>
      </c>
    </row>
    <row r="534" spans="1:5" x14ac:dyDescent="0.2">
      <c r="A534" t="s">
        <v>1585</v>
      </c>
      <c r="B534" t="s">
        <v>1586</v>
      </c>
      <c r="C534" t="s">
        <v>1586</v>
      </c>
      <c r="D534" t="str">
        <f>HYPERLINK("https://zfin.org/ZDB-GENE-111214-1")</f>
        <v>https://zfin.org/ZDB-GENE-111214-1</v>
      </c>
      <c r="E534" t="s">
        <v>1587</v>
      </c>
    </row>
    <row r="535" spans="1:5" x14ac:dyDescent="0.2">
      <c r="A535" t="s">
        <v>1588</v>
      </c>
      <c r="B535" t="s">
        <v>1589</v>
      </c>
      <c r="C535" t="s">
        <v>1589</v>
      </c>
      <c r="D535" t="str">
        <f>HYPERLINK("https://zfin.org/ZDB-GENE-040824-5")</f>
        <v>https://zfin.org/ZDB-GENE-040824-5</v>
      </c>
      <c r="E535" t="s">
        <v>1590</v>
      </c>
    </row>
    <row r="536" spans="1:5" x14ac:dyDescent="0.2">
      <c r="A536" t="s">
        <v>1591</v>
      </c>
      <c r="B536" t="s">
        <v>1592</v>
      </c>
      <c r="C536" t="s">
        <v>1592</v>
      </c>
      <c r="D536" t="str">
        <f>HYPERLINK("https://zfin.org/ZDB-GENE-050417-455")</f>
        <v>https://zfin.org/ZDB-GENE-050417-455</v>
      </c>
      <c r="E536" t="s">
        <v>1593</v>
      </c>
    </row>
    <row r="537" spans="1:5" x14ac:dyDescent="0.2">
      <c r="A537" t="s">
        <v>1594</v>
      </c>
      <c r="B537" t="s">
        <v>1595</v>
      </c>
      <c r="C537" t="s">
        <v>1595</v>
      </c>
      <c r="D537" t="str">
        <f>HYPERLINK("https://zfin.org/ZDB-GENE-010601-2")</f>
        <v>https://zfin.org/ZDB-GENE-010601-2</v>
      </c>
      <c r="E537" t="s">
        <v>1596</v>
      </c>
    </row>
    <row r="538" spans="1:5" x14ac:dyDescent="0.2">
      <c r="A538" t="s">
        <v>1597</v>
      </c>
      <c r="B538" t="s">
        <v>1598</v>
      </c>
      <c r="C538" t="s">
        <v>1598</v>
      </c>
      <c r="D538" t="str">
        <f>HYPERLINK("https://zfin.org/ZDB-GENE-030131-355")</f>
        <v>https://zfin.org/ZDB-GENE-030131-355</v>
      </c>
      <c r="E538" t="s">
        <v>1599</v>
      </c>
    </row>
    <row r="539" spans="1:5" x14ac:dyDescent="0.2">
      <c r="A539" t="s">
        <v>1600</v>
      </c>
      <c r="B539" t="s">
        <v>1601</v>
      </c>
      <c r="C539" t="s">
        <v>1601</v>
      </c>
      <c r="D539" t="str">
        <f>HYPERLINK("https://zfin.org/ZDB-GENE-030131-1435")</f>
        <v>https://zfin.org/ZDB-GENE-030131-1435</v>
      </c>
      <c r="E539" t="s">
        <v>1602</v>
      </c>
    </row>
    <row r="540" spans="1:5" x14ac:dyDescent="0.2">
      <c r="A540" t="s">
        <v>1603</v>
      </c>
      <c r="B540" t="s">
        <v>1604</v>
      </c>
      <c r="C540" t="s">
        <v>1604</v>
      </c>
      <c r="D540" t="str">
        <f>HYPERLINK("https://zfin.org/ZDB-GENE-050417-324")</f>
        <v>https://zfin.org/ZDB-GENE-050417-324</v>
      </c>
      <c r="E540" t="s">
        <v>1605</v>
      </c>
    </row>
    <row r="541" spans="1:5" x14ac:dyDescent="0.2">
      <c r="A541" t="s">
        <v>1606</v>
      </c>
      <c r="B541" t="s">
        <v>1607</v>
      </c>
      <c r="C541" t="s">
        <v>1607</v>
      </c>
      <c r="D541" t="str">
        <f>HYPERLINK("https://zfin.org/ZDB-GENE-081104-345")</f>
        <v>https://zfin.org/ZDB-GENE-081104-345</v>
      </c>
      <c r="E541" t="s">
        <v>1608</v>
      </c>
    </row>
    <row r="542" spans="1:5" x14ac:dyDescent="0.2">
      <c r="A542" t="s">
        <v>1609</v>
      </c>
      <c r="B542" t="s">
        <v>1610</v>
      </c>
      <c r="C542" t="s">
        <v>1610</v>
      </c>
      <c r="D542" t="str">
        <f>HYPERLINK("https://zfin.org/ZDB-GENE-080819-3")</f>
        <v>https://zfin.org/ZDB-GENE-080819-3</v>
      </c>
      <c r="E542" t="s">
        <v>1611</v>
      </c>
    </row>
    <row r="543" spans="1:5" x14ac:dyDescent="0.2">
      <c r="A543" t="s">
        <v>1612</v>
      </c>
      <c r="B543" t="s">
        <v>1613</v>
      </c>
      <c r="C543" t="s">
        <v>1613</v>
      </c>
      <c r="D543" t="str">
        <f>HYPERLINK("https://zfin.org/ZDB-GENE-040426-2744")</f>
        <v>https://zfin.org/ZDB-GENE-040426-2744</v>
      </c>
      <c r="E543" t="s">
        <v>1614</v>
      </c>
    </row>
    <row r="544" spans="1:5" x14ac:dyDescent="0.2">
      <c r="A544" t="s">
        <v>1615</v>
      </c>
      <c r="B544" t="s">
        <v>1616</v>
      </c>
      <c r="C544" t="s">
        <v>1616</v>
      </c>
      <c r="D544" t="str">
        <f>HYPERLINK("https://zfin.org/ZDB-GENE-061103-451")</f>
        <v>https://zfin.org/ZDB-GENE-061103-451</v>
      </c>
      <c r="E544" t="s">
        <v>1617</v>
      </c>
    </row>
    <row r="545" spans="1:5" x14ac:dyDescent="0.2">
      <c r="A545" t="s">
        <v>1618</v>
      </c>
      <c r="B545" t="s">
        <v>1619</v>
      </c>
      <c r="C545" t="s">
        <v>1619</v>
      </c>
      <c r="D545" t="str">
        <f>HYPERLINK("https://zfin.org/ZDB-GENE-061103-391")</f>
        <v>https://zfin.org/ZDB-GENE-061103-391</v>
      </c>
      <c r="E545" t="s">
        <v>1620</v>
      </c>
    </row>
    <row r="546" spans="1:5" x14ac:dyDescent="0.2">
      <c r="A546" t="s">
        <v>1621</v>
      </c>
      <c r="B546" t="s">
        <v>1622</v>
      </c>
      <c r="C546" t="s">
        <v>1622</v>
      </c>
      <c r="D546" t="str">
        <f>HYPERLINK("https://zfin.org/ZDB-GENE-030131-899")</f>
        <v>https://zfin.org/ZDB-GENE-030131-899</v>
      </c>
      <c r="E546" t="s">
        <v>1623</v>
      </c>
    </row>
    <row r="547" spans="1:5" x14ac:dyDescent="0.2">
      <c r="A547" t="s">
        <v>1624</v>
      </c>
      <c r="B547" t="s">
        <v>1625</v>
      </c>
      <c r="C547" t="s">
        <v>1625</v>
      </c>
      <c r="D547" t="str">
        <f>HYPERLINK("https://zfin.org/ZDB-GENE-030219-55")</f>
        <v>https://zfin.org/ZDB-GENE-030219-55</v>
      </c>
      <c r="E547" t="s">
        <v>1626</v>
      </c>
    </row>
    <row r="548" spans="1:5" x14ac:dyDescent="0.2">
      <c r="A548" t="s">
        <v>1627</v>
      </c>
      <c r="B548" t="s">
        <v>1628</v>
      </c>
      <c r="C548" t="s">
        <v>1628</v>
      </c>
      <c r="D548" t="str">
        <f>HYPERLINK("https://zfin.org/ZDB-GENE-060526-97")</f>
        <v>https://zfin.org/ZDB-GENE-060526-97</v>
      </c>
      <c r="E548" t="s">
        <v>1629</v>
      </c>
    </row>
    <row r="549" spans="1:5" x14ac:dyDescent="0.2">
      <c r="A549" t="s">
        <v>1630</v>
      </c>
      <c r="B549" t="s">
        <v>1631</v>
      </c>
      <c r="C549" t="s">
        <v>1631</v>
      </c>
      <c r="D549" t="str">
        <f>HYPERLINK("https://zfin.org/ZDB-GENE-041210-345")</f>
        <v>https://zfin.org/ZDB-GENE-041210-345</v>
      </c>
      <c r="E549" t="s">
        <v>1632</v>
      </c>
    </row>
    <row r="550" spans="1:5" x14ac:dyDescent="0.2">
      <c r="A550" t="s">
        <v>1633</v>
      </c>
      <c r="B550" t="s">
        <v>1634</v>
      </c>
      <c r="C550" t="s">
        <v>1634</v>
      </c>
      <c r="D550" t="str">
        <f>HYPERLINK("https://zfin.org/ZDB-GENE-030131-1263")</f>
        <v>https://zfin.org/ZDB-GENE-030131-1263</v>
      </c>
      <c r="E550" t="s">
        <v>1635</v>
      </c>
    </row>
    <row r="551" spans="1:5" x14ac:dyDescent="0.2">
      <c r="A551" t="s">
        <v>1636</v>
      </c>
      <c r="B551" t="s">
        <v>1637</v>
      </c>
      <c r="C551" t="s">
        <v>1637</v>
      </c>
      <c r="D551" t="str">
        <f>HYPERLINK("https://zfin.org/ZDB-GENE-041114-119")</f>
        <v>https://zfin.org/ZDB-GENE-041114-119</v>
      </c>
      <c r="E551" t="s">
        <v>1638</v>
      </c>
    </row>
    <row r="552" spans="1:5" x14ac:dyDescent="0.2">
      <c r="A552" t="s">
        <v>1639</v>
      </c>
      <c r="B552" t="s">
        <v>1640</v>
      </c>
      <c r="C552" t="s">
        <v>1640</v>
      </c>
      <c r="D552" t="str">
        <f>HYPERLINK("https://zfin.org/ZDB-GENE-120215-178")</f>
        <v>https://zfin.org/ZDB-GENE-120215-178</v>
      </c>
      <c r="E552" t="s">
        <v>1641</v>
      </c>
    </row>
    <row r="553" spans="1:5" x14ac:dyDescent="0.2">
      <c r="A553" t="s">
        <v>1642</v>
      </c>
      <c r="B553" t="s">
        <v>1643</v>
      </c>
      <c r="C553" t="s">
        <v>1643</v>
      </c>
      <c r="D553" t="str">
        <f>HYPERLINK("https://zfin.org/ZDB-GENE-090313-328")</f>
        <v>https://zfin.org/ZDB-GENE-090313-328</v>
      </c>
      <c r="E553" t="s">
        <v>1644</v>
      </c>
    </row>
    <row r="554" spans="1:5" x14ac:dyDescent="0.2">
      <c r="A554" t="s">
        <v>1645</v>
      </c>
      <c r="B554" t="s">
        <v>1646</v>
      </c>
      <c r="C554" t="s">
        <v>1646</v>
      </c>
      <c r="D554" t="str">
        <f>HYPERLINK("https://zfin.org/ZDB-GENE-120404-3")</f>
        <v>https://zfin.org/ZDB-GENE-120404-3</v>
      </c>
      <c r="E554" t="s">
        <v>1647</v>
      </c>
    </row>
    <row r="555" spans="1:5" x14ac:dyDescent="0.2">
      <c r="A555" t="s">
        <v>1648</v>
      </c>
      <c r="B555" t="s">
        <v>1649</v>
      </c>
      <c r="C555" t="s">
        <v>1649</v>
      </c>
      <c r="D555" t="str">
        <f>HYPERLINK("https://zfin.org/ZDB-GENE-010525-1")</f>
        <v>https://zfin.org/ZDB-GENE-010525-1</v>
      </c>
      <c r="E555" t="s">
        <v>1650</v>
      </c>
    </row>
    <row r="556" spans="1:5" x14ac:dyDescent="0.2">
      <c r="A556" t="s">
        <v>1651</v>
      </c>
      <c r="B556" t="s">
        <v>1652</v>
      </c>
      <c r="C556" t="s">
        <v>1652</v>
      </c>
      <c r="D556" t="str">
        <f>HYPERLINK("https://zfin.org/ZDB-GENE-030131-9798")</f>
        <v>https://zfin.org/ZDB-GENE-030131-9798</v>
      </c>
      <c r="E556" t="s">
        <v>1653</v>
      </c>
    </row>
    <row r="557" spans="1:5" x14ac:dyDescent="0.2">
      <c r="A557" t="s">
        <v>1654</v>
      </c>
      <c r="B557" t="s">
        <v>1655</v>
      </c>
      <c r="C557" t="s">
        <v>1655</v>
      </c>
      <c r="D557" t="str">
        <f>HYPERLINK("https://zfin.org/ZDB-GENE-050522-269")</f>
        <v>https://zfin.org/ZDB-GENE-050522-269</v>
      </c>
      <c r="E557" t="s">
        <v>1656</v>
      </c>
    </row>
    <row r="558" spans="1:5" x14ac:dyDescent="0.2">
      <c r="A558" t="s">
        <v>1657</v>
      </c>
      <c r="B558" t="s">
        <v>1658</v>
      </c>
      <c r="C558" t="s">
        <v>1658</v>
      </c>
      <c r="D558" t="str">
        <f>HYPERLINK("https://zfin.org/ZDB-GENE-120906-1")</f>
        <v>https://zfin.org/ZDB-GENE-120906-1</v>
      </c>
      <c r="E558" t="s">
        <v>1659</v>
      </c>
    </row>
    <row r="559" spans="1:5" x14ac:dyDescent="0.2">
      <c r="A559" t="s">
        <v>1660</v>
      </c>
      <c r="B559" t="s">
        <v>1661</v>
      </c>
      <c r="C559" t="s">
        <v>1661</v>
      </c>
      <c r="D559" t="str">
        <f>HYPERLINK("https://zfin.org/ZDB-GENE-041210-107")</f>
        <v>https://zfin.org/ZDB-GENE-041210-107</v>
      </c>
      <c r="E559" t="s">
        <v>1662</v>
      </c>
    </row>
    <row r="560" spans="1:5" x14ac:dyDescent="0.2">
      <c r="A560" t="s">
        <v>1663</v>
      </c>
      <c r="B560" t="s">
        <v>1664</v>
      </c>
      <c r="C560" t="s">
        <v>1664</v>
      </c>
      <c r="D560" t="str">
        <f>HYPERLINK("https://zfin.org/ZDB-GENE-031113-6")</f>
        <v>https://zfin.org/ZDB-GENE-031113-6</v>
      </c>
      <c r="E560" t="s">
        <v>1665</v>
      </c>
    </row>
    <row r="561" spans="1:5" x14ac:dyDescent="0.2">
      <c r="A561" t="s">
        <v>1666</v>
      </c>
      <c r="B561" t="s">
        <v>1667</v>
      </c>
      <c r="C561" t="s">
        <v>1667</v>
      </c>
      <c r="D561" t="str">
        <f>HYPERLINK("https://zfin.org/ZDB-GENE-031030-1")</f>
        <v>https://zfin.org/ZDB-GENE-031030-1</v>
      </c>
      <c r="E561" t="s">
        <v>1668</v>
      </c>
    </row>
    <row r="562" spans="1:5" x14ac:dyDescent="0.2">
      <c r="A562" t="s">
        <v>1669</v>
      </c>
      <c r="B562" t="s">
        <v>1670</v>
      </c>
      <c r="C562" t="s">
        <v>1670</v>
      </c>
      <c r="D562" t="str">
        <f>HYPERLINK("https://zfin.org/ZDB-GENE-050913-78")</f>
        <v>https://zfin.org/ZDB-GENE-050913-78</v>
      </c>
      <c r="E562" t="s">
        <v>1671</v>
      </c>
    </row>
    <row r="563" spans="1:5" x14ac:dyDescent="0.2">
      <c r="A563" t="s">
        <v>1672</v>
      </c>
      <c r="B563" t="s">
        <v>1673</v>
      </c>
      <c r="C563" t="s">
        <v>1673</v>
      </c>
      <c r="D563" t="str">
        <f>HYPERLINK("https://zfin.org/ZDB-GENE-051120-126")</f>
        <v>https://zfin.org/ZDB-GENE-051120-126</v>
      </c>
      <c r="E563" t="s">
        <v>1674</v>
      </c>
    </row>
    <row r="564" spans="1:5" x14ac:dyDescent="0.2">
      <c r="A564" t="s">
        <v>1675</v>
      </c>
      <c r="B564" t="s">
        <v>1676</v>
      </c>
      <c r="C564" t="s">
        <v>1676</v>
      </c>
      <c r="D564" t="str">
        <f>HYPERLINK("https://zfin.org/ZDB-GENE-061013-507")</f>
        <v>https://zfin.org/ZDB-GENE-061013-507</v>
      </c>
      <c r="E564" t="s">
        <v>1677</v>
      </c>
    </row>
    <row r="565" spans="1:5" x14ac:dyDescent="0.2">
      <c r="A565" t="s">
        <v>1678</v>
      </c>
      <c r="B565" t="s">
        <v>1679</v>
      </c>
      <c r="C565" t="s">
        <v>1679</v>
      </c>
      <c r="D565" t="str">
        <f>HYPERLINK("https://zfin.org/ZDB-GENE-050327-8")</f>
        <v>https://zfin.org/ZDB-GENE-050327-8</v>
      </c>
      <c r="E565" t="s">
        <v>1680</v>
      </c>
    </row>
    <row r="566" spans="1:5" x14ac:dyDescent="0.2">
      <c r="A566" t="s">
        <v>1681</v>
      </c>
      <c r="B566" t="s">
        <v>1682</v>
      </c>
      <c r="C566" t="s">
        <v>1682</v>
      </c>
      <c r="D566" t="str">
        <f>HYPERLINK("https://zfin.org/ZDB-GENE-050419-231")</f>
        <v>https://zfin.org/ZDB-GENE-050419-231</v>
      </c>
      <c r="E566" t="s">
        <v>1683</v>
      </c>
    </row>
    <row r="567" spans="1:5" x14ac:dyDescent="0.2">
      <c r="A567" t="s">
        <v>1684</v>
      </c>
      <c r="B567" t="s">
        <v>1685</v>
      </c>
      <c r="C567" t="s">
        <v>1685</v>
      </c>
      <c r="D567" t="str">
        <f>HYPERLINK("https://zfin.org/ZDB-GENE-031118-203")</f>
        <v>https://zfin.org/ZDB-GENE-031118-203</v>
      </c>
      <c r="E567" t="s">
        <v>1686</v>
      </c>
    </row>
    <row r="568" spans="1:5" x14ac:dyDescent="0.2">
      <c r="A568" t="s">
        <v>1687</v>
      </c>
      <c r="B568" t="s">
        <v>1688</v>
      </c>
      <c r="C568" t="s">
        <v>1688</v>
      </c>
      <c r="D568" t="str">
        <f>HYPERLINK("https://zfin.org/ZDB-GENE-050320-67")</f>
        <v>https://zfin.org/ZDB-GENE-050320-67</v>
      </c>
      <c r="E568" t="s">
        <v>1689</v>
      </c>
    </row>
    <row r="569" spans="1:5" x14ac:dyDescent="0.2">
      <c r="A569" t="s">
        <v>1690</v>
      </c>
      <c r="B569" t="s">
        <v>1691</v>
      </c>
      <c r="C569" t="s">
        <v>1691</v>
      </c>
      <c r="D569" t="str">
        <f>HYPERLINK("https://zfin.org/ZDB-GENE-050517-10")</f>
        <v>https://zfin.org/ZDB-GENE-050517-10</v>
      </c>
      <c r="E569" t="s">
        <v>1692</v>
      </c>
    </row>
    <row r="570" spans="1:5" x14ac:dyDescent="0.2">
      <c r="A570" t="s">
        <v>1693</v>
      </c>
      <c r="B570" t="s">
        <v>1694</v>
      </c>
      <c r="C570" t="s">
        <v>1694</v>
      </c>
      <c r="D570" t="str">
        <f>HYPERLINK("https://zfin.org/ZDB-GENE-040724-26")</f>
        <v>https://zfin.org/ZDB-GENE-040724-26</v>
      </c>
      <c r="E570" t="s">
        <v>1695</v>
      </c>
    </row>
    <row r="571" spans="1:5" x14ac:dyDescent="0.2">
      <c r="A571" t="s">
        <v>1696</v>
      </c>
      <c r="B571" t="s">
        <v>1697</v>
      </c>
      <c r="C571" t="s">
        <v>1697</v>
      </c>
      <c r="D571" t="str">
        <f>HYPERLINK("https://zfin.org/ZDB-GENE-060815-1")</f>
        <v>https://zfin.org/ZDB-GENE-060815-1</v>
      </c>
      <c r="E571" t="s">
        <v>1698</v>
      </c>
    </row>
    <row r="572" spans="1:5" x14ac:dyDescent="0.2">
      <c r="A572" t="s">
        <v>1699</v>
      </c>
      <c r="B572" t="s">
        <v>1700</v>
      </c>
      <c r="C572" t="s">
        <v>1700</v>
      </c>
      <c r="D572" t="str">
        <f>HYPERLINK("https://zfin.org/ZDB-GENE-070705-219")</f>
        <v>https://zfin.org/ZDB-GENE-070705-219</v>
      </c>
      <c r="E572" t="s">
        <v>1701</v>
      </c>
    </row>
    <row r="573" spans="1:5" x14ac:dyDescent="0.2">
      <c r="A573" t="s">
        <v>1702</v>
      </c>
      <c r="B573" t="s">
        <v>1703</v>
      </c>
      <c r="C573" t="s">
        <v>1703</v>
      </c>
      <c r="D573" t="str">
        <f>HYPERLINK("https://zfin.org/ZDB-GENE-160113-52")</f>
        <v>https://zfin.org/ZDB-GENE-160113-52</v>
      </c>
      <c r="E573" t="s">
        <v>1704</v>
      </c>
    </row>
    <row r="574" spans="1:5" x14ac:dyDescent="0.2">
      <c r="A574" t="s">
        <v>1705</v>
      </c>
      <c r="B574" t="s">
        <v>1706</v>
      </c>
      <c r="C574" t="s">
        <v>1706</v>
      </c>
      <c r="D574" t="str">
        <f>HYPERLINK("https://zfin.org/ZDB-GENE-030131-226")</f>
        <v>https://zfin.org/ZDB-GENE-030131-226</v>
      </c>
      <c r="E574" t="s">
        <v>1707</v>
      </c>
    </row>
    <row r="575" spans="1:5" x14ac:dyDescent="0.2">
      <c r="A575" t="s">
        <v>1708</v>
      </c>
      <c r="B575" t="s">
        <v>1709</v>
      </c>
      <c r="C575" t="s">
        <v>1709</v>
      </c>
      <c r="D575" t="str">
        <f>HYPERLINK("https://zfin.org/ZDB-GENE-081030-7")</f>
        <v>https://zfin.org/ZDB-GENE-081030-7</v>
      </c>
      <c r="E575" t="s">
        <v>1710</v>
      </c>
    </row>
    <row r="576" spans="1:5" x14ac:dyDescent="0.2">
      <c r="A576" t="s">
        <v>1711</v>
      </c>
      <c r="B576" t="s">
        <v>1697</v>
      </c>
      <c r="C576" t="s">
        <v>1712</v>
      </c>
      <c r="D576" t="str">
        <f>HYPERLINK("https://zfin.org/ZDB-GENE-060815-1")</f>
        <v>https://zfin.org/ZDB-GENE-060815-1</v>
      </c>
      <c r="E576" t="s">
        <v>1698</v>
      </c>
    </row>
    <row r="577" spans="1:5" x14ac:dyDescent="0.2">
      <c r="A577" t="s">
        <v>1713</v>
      </c>
      <c r="B577" t="s">
        <v>1714</v>
      </c>
      <c r="C577" t="s">
        <v>1714</v>
      </c>
      <c r="D577" t="str">
        <f>HYPERLINK("https://zfin.org/ZDB-GENE-041212-72")</f>
        <v>https://zfin.org/ZDB-GENE-041212-72</v>
      </c>
      <c r="E577" t="s">
        <v>1715</v>
      </c>
    </row>
    <row r="578" spans="1:5" x14ac:dyDescent="0.2">
      <c r="A578" t="s">
        <v>1716</v>
      </c>
      <c r="B578" t="s">
        <v>1717</v>
      </c>
      <c r="C578" t="s">
        <v>1717</v>
      </c>
      <c r="D578" t="str">
        <f>HYPERLINK("https://zfin.org/ZDB-GENE-030131-2500")</f>
        <v>https://zfin.org/ZDB-GENE-030131-2500</v>
      </c>
      <c r="E578" t="s">
        <v>1718</v>
      </c>
    </row>
    <row r="579" spans="1:5" x14ac:dyDescent="0.2">
      <c r="A579" t="s">
        <v>1719</v>
      </c>
      <c r="B579" t="s">
        <v>1720</v>
      </c>
      <c r="C579" t="s">
        <v>1720</v>
      </c>
      <c r="D579" t="str">
        <f>HYPERLINK("https://zfin.org/ZDB-GENE-980526-521")</f>
        <v>https://zfin.org/ZDB-GENE-980526-521</v>
      </c>
      <c r="E579" t="s">
        <v>1721</v>
      </c>
    </row>
    <row r="580" spans="1:5" x14ac:dyDescent="0.2">
      <c r="A580" t="s">
        <v>1722</v>
      </c>
      <c r="B580" t="s">
        <v>1723</v>
      </c>
      <c r="C580" t="s">
        <v>1723</v>
      </c>
      <c r="D580" t="str">
        <f>HYPERLINK("https://zfin.org/ZDB-GENE-120215-96")</f>
        <v>https://zfin.org/ZDB-GENE-120215-96</v>
      </c>
      <c r="E580" t="s">
        <v>1724</v>
      </c>
    </row>
    <row r="581" spans="1:5" x14ac:dyDescent="0.2">
      <c r="A581" t="s">
        <v>1725</v>
      </c>
      <c r="B581" t="s">
        <v>1726</v>
      </c>
      <c r="C581" t="s">
        <v>1726</v>
      </c>
      <c r="D581" t="str">
        <f>HYPERLINK("https://zfin.org/ZDB-GENE-130530-676")</f>
        <v>https://zfin.org/ZDB-GENE-130530-676</v>
      </c>
      <c r="E581" t="s">
        <v>1727</v>
      </c>
    </row>
    <row r="582" spans="1:5" x14ac:dyDescent="0.2">
      <c r="A582" t="s">
        <v>1728</v>
      </c>
      <c r="B582" t="s">
        <v>1729</v>
      </c>
      <c r="C582" t="s">
        <v>1729</v>
      </c>
      <c r="D582" t="str">
        <f>HYPERLINK("https://zfin.org/ZDB-GENE-070410-30")</f>
        <v>https://zfin.org/ZDB-GENE-070410-30</v>
      </c>
      <c r="E582" t="s">
        <v>1730</v>
      </c>
    </row>
    <row r="583" spans="1:5" x14ac:dyDescent="0.2">
      <c r="A583" t="s">
        <v>1731</v>
      </c>
      <c r="B583" t="s">
        <v>1732</v>
      </c>
      <c r="C583" t="s">
        <v>1732</v>
      </c>
      <c r="D583" t="str">
        <f>HYPERLINK("https://zfin.org/ZDB-GENE-081031-104")</f>
        <v>https://zfin.org/ZDB-GENE-081031-104</v>
      </c>
      <c r="E583" t="s">
        <v>1733</v>
      </c>
    </row>
    <row r="584" spans="1:5" x14ac:dyDescent="0.2">
      <c r="A584" t="s">
        <v>1734</v>
      </c>
      <c r="B584" t="s">
        <v>1735</v>
      </c>
      <c r="C584" t="s">
        <v>1735</v>
      </c>
      <c r="D584" t="str">
        <f>HYPERLINK("https://zfin.org/ZDB-GENE-020122-1")</f>
        <v>https://zfin.org/ZDB-GENE-020122-1</v>
      </c>
      <c r="E584" t="s">
        <v>1736</v>
      </c>
    </row>
    <row r="585" spans="1:5" x14ac:dyDescent="0.2">
      <c r="A585" t="s">
        <v>1737</v>
      </c>
      <c r="B585" t="s">
        <v>1738</v>
      </c>
      <c r="C585" t="s">
        <v>1738</v>
      </c>
      <c r="D585" t="str">
        <f>HYPERLINK("https://zfin.org/ZDB-GENE-050417-108")</f>
        <v>https://zfin.org/ZDB-GENE-050417-108</v>
      </c>
      <c r="E585" t="s">
        <v>1739</v>
      </c>
    </row>
    <row r="586" spans="1:5" x14ac:dyDescent="0.2">
      <c r="A586" t="s">
        <v>1740</v>
      </c>
      <c r="B586" t="s">
        <v>1741</v>
      </c>
      <c r="C586" t="s">
        <v>1741</v>
      </c>
      <c r="D586" t="str">
        <f>HYPERLINK("https://zfin.org/ZDB-GENE-141212-381")</f>
        <v>https://zfin.org/ZDB-GENE-141212-381</v>
      </c>
      <c r="E586" t="s">
        <v>1742</v>
      </c>
    </row>
    <row r="587" spans="1:5" x14ac:dyDescent="0.2">
      <c r="A587" t="s">
        <v>1743</v>
      </c>
      <c r="B587" t="s">
        <v>1744</v>
      </c>
      <c r="C587" t="s">
        <v>1744</v>
      </c>
      <c r="D587" t="str">
        <f>HYPERLINK("https://zfin.org/ZDB-GENE-131122-15")</f>
        <v>https://zfin.org/ZDB-GENE-131122-15</v>
      </c>
      <c r="E587" t="s">
        <v>1745</v>
      </c>
    </row>
    <row r="588" spans="1:5" x14ac:dyDescent="0.2">
      <c r="A588" t="s">
        <v>1746</v>
      </c>
      <c r="B588" t="s">
        <v>1747</v>
      </c>
      <c r="C588" t="s">
        <v>1747</v>
      </c>
      <c r="D588" t="str">
        <f>HYPERLINK("https://zfin.org/ZDB-GENE-040718-363")</f>
        <v>https://zfin.org/ZDB-GENE-040718-363</v>
      </c>
      <c r="E588" t="s">
        <v>1748</v>
      </c>
    </row>
    <row r="589" spans="1:5" x14ac:dyDescent="0.2">
      <c r="A589" t="s">
        <v>1749</v>
      </c>
      <c r="B589" t="s">
        <v>1750</v>
      </c>
      <c r="C589" t="s">
        <v>1750</v>
      </c>
      <c r="D589" t="str">
        <f>HYPERLINK("https://zfin.org/ZDB-GENE-041210-305")</f>
        <v>https://zfin.org/ZDB-GENE-041210-305</v>
      </c>
      <c r="E589" t="s">
        <v>1751</v>
      </c>
    </row>
    <row r="590" spans="1:5" x14ac:dyDescent="0.2">
      <c r="A590" t="s">
        <v>1752</v>
      </c>
      <c r="B590" t="s">
        <v>1753</v>
      </c>
      <c r="C590" t="s">
        <v>1753</v>
      </c>
      <c r="D590" t="str">
        <f>HYPERLINK("https://zfin.org/ZDB-GENE-040426-2900")</f>
        <v>https://zfin.org/ZDB-GENE-040426-2900</v>
      </c>
      <c r="E590" t="s">
        <v>1754</v>
      </c>
    </row>
    <row r="591" spans="1:5" x14ac:dyDescent="0.2">
      <c r="A591" t="s">
        <v>1755</v>
      </c>
      <c r="B591" t="s">
        <v>1756</v>
      </c>
      <c r="C591" t="s">
        <v>1756</v>
      </c>
      <c r="D591" t="str">
        <f>HYPERLINK("https://zfin.org/ZDB-GENE-050626-52")</f>
        <v>https://zfin.org/ZDB-GENE-050626-52</v>
      </c>
      <c r="E591" t="s">
        <v>1757</v>
      </c>
    </row>
    <row r="592" spans="1:5" x14ac:dyDescent="0.2">
      <c r="A592" t="s">
        <v>1758</v>
      </c>
      <c r="B592" t="s">
        <v>1759</v>
      </c>
      <c r="C592" t="s">
        <v>1759</v>
      </c>
      <c r="D592" t="str">
        <f>HYPERLINK("https://zfin.org/ZDB-GENE-050320-46")</f>
        <v>https://zfin.org/ZDB-GENE-050320-46</v>
      </c>
      <c r="E592" t="s">
        <v>1760</v>
      </c>
    </row>
    <row r="593" spans="1:5" x14ac:dyDescent="0.2">
      <c r="A593" t="s">
        <v>1761</v>
      </c>
      <c r="B593" t="s">
        <v>1762</v>
      </c>
      <c r="C593" t="s">
        <v>1762</v>
      </c>
      <c r="D593" t="str">
        <f>HYPERLINK("https://zfin.org/ZDB-GENE-040426-1856")</f>
        <v>https://zfin.org/ZDB-GENE-040426-1856</v>
      </c>
      <c r="E593" t="s">
        <v>1763</v>
      </c>
    </row>
    <row r="594" spans="1:5" x14ac:dyDescent="0.2">
      <c r="A594" t="s">
        <v>1764</v>
      </c>
      <c r="B594" t="s">
        <v>1765</v>
      </c>
      <c r="C594" t="s">
        <v>1765</v>
      </c>
      <c r="D594" t="str">
        <f>HYPERLINK("https://zfin.org/ZDB-GENE-030131-1582")</f>
        <v>https://zfin.org/ZDB-GENE-030131-1582</v>
      </c>
      <c r="E594" t="s">
        <v>1766</v>
      </c>
    </row>
    <row r="595" spans="1:5" x14ac:dyDescent="0.2">
      <c r="A595" t="s">
        <v>1767</v>
      </c>
      <c r="B595" t="s">
        <v>1768</v>
      </c>
      <c r="C595" t="s">
        <v>1768</v>
      </c>
      <c r="D595" t="str">
        <f>HYPERLINK("https://zfin.org/ZDB-GENE-060503-22")</f>
        <v>https://zfin.org/ZDB-GENE-060503-22</v>
      </c>
      <c r="E595" t="s">
        <v>1769</v>
      </c>
    </row>
    <row r="596" spans="1:5" x14ac:dyDescent="0.2">
      <c r="A596" t="s">
        <v>1770</v>
      </c>
      <c r="B596" t="s">
        <v>1771</v>
      </c>
      <c r="C596" t="s">
        <v>1771</v>
      </c>
      <c r="D596" t="str">
        <f>HYPERLINK("https://zfin.org/ZDB-GENE-060421-5714")</f>
        <v>https://zfin.org/ZDB-GENE-060421-5714</v>
      </c>
      <c r="E596" t="s">
        <v>1772</v>
      </c>
    </row>
    <row r="597" spans="1:5" x14ac:dyDescent="0.2">
      <c r="A597" t="s">
        <v>1773</v>
      </c>
      <c r="B597" t="s">
        <v>1774</v>
      </c>
      <c r="C597" t="s">
        <v>1774</v>
      </c>
      <c r="D597" t="str">
        <f>HYPERLINK("https://zfin.org/ZDB-GENE-040426-2603")</f>
        <v>https://zfin.org/ZDB-GENE-040426-2603</v>
      </c>
      <c r="E597" t="s">
        <v>1775</v>
      </c>
    </row>
    <row r="598" spans="1:5" x14ac:dyDescent="0.2">
      <c r="A598" t="s">
        <v>1776</v>
      </c>
      <c r="B598" t="s">
        <v>1777</v>
      </c>
      <c r="C598" t="s">
        <v>1777</v>
      </c>
      <c r="D598" t="str">
        <f>HYPERLINK("https://zfin.org/ZDB-GENE-050306-14")</f>
        <v>https://zfin.org/ZDB-GENE-050306-14</v>
      </c>
      <c r="E598" t="s">
        <v>1778</v>
      </c>
    </row>
    <row r="599" spans="1:5" x14ac:dyDescent="0.2">
      <c r="A599" t="s">
        <v>1779</v>
      </c>
      <c r="B599" t="s">
        <v>1780</v>
      </c>
      <c r="C599" t="s">
        <v>1780</v>
      </c>
      <c r="D599" t="str">
        <f>HYPERLINK("https://zfin.org/ZDB-GENE-090319-3")</f>
        <v>https://zfin.org/ZDB-GENE-090319-3</v>
      </c>
      <c r="E599" t="s">
        <v>1781</v>
      </c>
    </row>
    <row r="600" spans="1:5" x14ac:dyDescent="0.2">
      <c r="A600" t="s">
        <v>1782</v>
      </c>
      <c r="B600" t="s">
        <v>1783</v>
      </c>
      <c r="C600" t="s">
        <v>1783</v>
      </c>
      <c r="D600" t="str">
        <f>HYPERLINK("https://zfin.org/ZDB-GENE-081104-97")</f>
        <v>https://zfin.org/ZDB-GENE-081104-97</v>
      </c>
      <c r="E600" t="s">
        <v>1784</v>
      </c>
    </row>
    <row r="601" spans="1:5" x14ac:dyDescent="0.2">
      <c r="A601" t="s">
        <v>1785</v>
      </c>
      <c r="B601" t="s">
        <v>1786</v>
      </c>
      <c r="C601" t="s">
        <v>1786</v>
      </c>
      <c r="D601" t="str">
        <f>HYPERLINK("https://zfin.org/ZDB-GENE-050522-104")</f>
        <v>https://zfin.org/ZDB-GENE-050522-104</v>
      </c>
      <c r="E601" t="s">
        <v>1787</v>
      </c>
    </row>
    <row r="602" spans="1:5" x14ac:dyDescent="0.2">
      <c r="A602" t="s">
        <v>1788</v>
      </c>
      <c r="B602" t="s">
        <v>1789</v>
      </c>
      <c r="C602" t="s">
        <v>1789</v>
      </c>
      <c r="D602" t="str">
        <f>HYPERLINK("https://zfin.org/ZDB-GENE-980526-178")</f>
        <v>https://zfin.org/ZDB-GENE-980526-178</v>
      </c>
      <c r="E602" t="s">
        <v>1790</v>
      </c>
    </row>
    <row r="603" spans="1:5" x14ac:dyDescent="0.2">
      <c r="A603" t="s">
        <v>1791</v>
      </c>
      <c r="B603" t="s">
        <v>1792</v>
      </c>
      <c r="C603" t="s">
        <v>1792</v>
      </c>
      <c r="D603" t="str">
        <f>HYPERLINK("https://zfin.org/ZDB-GENE-131121-477")</f>
        <v>https://zfin.org/ZDB-GENE-131121-477</v>
      </c>
      <c r="E603" t="s">
        <v>1793</v>
      </c>
    </row>
    <row r="604" spans="1:5" x14ac:dyDescent="0.2">
      <c r="A604" t="s">
        <v>1794</v>
      </c>
      <c r="B604" t="s">
        <v>467</v>
      </c>
      <c r="C604" t="s">
        <v>1795</v>
      </c>
      <c r="D604" t="str">
        <f>HYPERLINK("https://zfin.org/ZDB-GENE-131119-96")</f>
        <v>https://zfin.org/ZDB-GENE-131119-96</v>
      </c>
      <c r="E604" t="s">
        <v>1796</v>
      </c>
    </row>
    <row r="605" spans="1:5" x14ac:dyDescent="0.2">
      <c r="A605" t="s">
        <v>1797</v>
      </c>
      <c r="B605" t="s">
        <v>1798</v>
      </c>
      <c r="C605" t="s">
        <v>1798</v>
      </c>
      <c r="D605" t="str">
        <f>HYPERLINK("https://zfin.org/ZDB-GENE-081107-63")</f>
        <v>https://zfin.org/ZDB-GENE-081107-63</v>
      </c>
      <c r="E605" t="s">
        <v>1799</v>
      </c>
    </row>
    <row r="606" spans="1:5" x14ac:dyDescent="0.2">
      <c r="A606" t="s">
        <v>1800</v>
      </c>
      <c r="B606" t="s">
        <v>1801</v>
      </c>
      <c r="C606" t="s">
        <v>1801</v>
      </c>
      <c r="D606" t="str">
        <f>HYPERLINK("https://zfin.org/ZDB-GENE-040426-971")</f>
        <v>https://zfin.org/ZDB-GENE-040426-971</v>
      </c>
      <c r="E606" t="s">
        <v>1802</v>
      </c>
    </row>
    <row r="607" spans="1:5" x14ac:dyDescent="0.2">
      <c r="A607" t="s">
        <v>1803</v>
      </c>
      <c r="B607" t="s">
        <v>1804</v>
      </c>
      <c r="C607" t="s">
        <v>1804</v>
      </c>
      <c r="D607" t="str">
        <f>HYPERLINK("https://zfin.org/ZDB-GENE-040801-2")</f>
        <v>https://zfin.org/ZDB-GENE-040801-2</v>
      </c>
      <c r="E607" t="s">
        <v>1805</v>
      </c>
    </row>
    <row r="608" spans="1:5" x14ac:dyDescent="0.2">
      <c r="A608" t="s">
        <v>1806</v>
      </c>
      <c r="B608" t="s">
        <v>1807</v>
      </c>
      <c r="C608" t="s">
        <v>1807</v>
      </c>
      <c r="D608" t="str">
        <f>HYPERLINK("https://zfin.org/ZDB-GENE-160113-116")</f>
        <v>https://zfin.org/ZDB-GENE-160113-116</v>
      </c>
      <c r="E608" t="s">
        <v>1808</v>
      </c>
    </row>
    <row r="609" spans="1:5" x14ac:dyDescent="0.2">
      <c r="A609" t="s">
        <v>1809</v>
      </c>
      <c r="B609" t="s">
        <v>1810</v>
      </c>
      <c r="C609" t="s">
        <v>1810</v>
      </c>
      <c r="D609" t="str">
        <f>HYPERLINK("https://zfin.org/ZDB-GENE-040426-2314")</f>
        <v>https://zfin.org/ZDB-GENE-040426-2314</v>
      </c>
      <c r="E609" t="s">
        <v>1811</v>
      </c>
    </row>
    <row r="610" spans="1:5" x14ac:dyDescent="0.2">
      <c r="A610" t="s">
        <v>1812</v>
      </c>
      <c r="B610" t="s">
        <v>1813</v>
      </c>
      <c r="C610" t="s">
        <v>1813</v>
      </c>
      <c r="D610" t="str">
        <f>HYPERLINK("https://zfin.org/ZDB-GENE-030616-618")</f>
        <v>https://zfin.org/ZDB-GENE-030616-618</v>
      </c>
      <c r="E610" t="s">
        <v>1814</v>
      </c>
    </row>
    <row r="611" spans="1:5" x14ac:dyDescent="0.2">
      <c r="A611" t="s">
        <v>1815</v>
      </c>
      <c r="B611" t="s">
        <v>1816</v>
      </c>
      <c r="C611" t="s">
        <v>1816</v>
      </c>
      <c r="D611" t="str">
        <f>HYPERLINK("https://zfin.org/ZDB-GENE-090311-9")</f>
        <v>https://zfin.org/ZDB-GENE-090311-9</v>
      </c>
      <c r="E611" t="s">
        <v>1817</v>
      </c>
    </row>
    <row r="612" spans="1:5" x14ac:dyDescent="0.2">
      <c r="A612" t="s">
        <v>1818</v>
      </c>
      <c r="B612" t="s">
        <v>1819</v>
      </c>
      <c r="C612" t="s">
        <v>1819</v>
      </c>
      <c r="D612" t="str">
        <f>HYPERLINK("https://zfin.org/ZDB-GENE-061103-208")</f>
        <v>https://zfin.org/ZDB-GENE-061103-208</v>
      </c>
      <c r="E612" t="s">
        <v>1820</v>
      </c>
    </row>
    <row r="613" spans="1:5" x14ac:dyDescent="0.2">
      <c r="A613" t="s">
        <v>1821</v>
      </c>
      <c r="B613" t="s">
        <v>1822</v>
      </c>
      <c r="C613" t="s">
        <v>1822</v>
      </c>
      <c r="D613" t="str">
        <f>HYPERLINK("https://zfin.org/ZDB-GENE-050522-468")</f>
        <v>https://zfin.org/ZDB-GENE-050522-468</v>
      </c>
      <c r="E613" t="s">
        <v>1823</v>
      </c>
    </row>
    <row r="614" spans="1:5" x14ac:dyDescent="0.2">
      <c r="A614" t="s">
        <v>1824</v>
      </c>
      <c r="B614" t="s">
        <v>1825</v>
      </c>
      <c r="C614" t="s">
        <v>1825</v>
      </c>
      <c r="D614" t="str">
        <f>HYPERLINK("https://zfin.org/ZDB-GENE-041008-168")</f>
        <v>https://zfin.org/ZDB-GENE-041008-168</v>
      </c>
      <c r="E614" t="s">
        <v>1826</v>
      </c>
    </row>
    <row r="615" spans="1:5" x14ac:dyDescent="0.2">
      <c r="A615" t="s">
        <v>1827</v>
      </c>
      <c r="B615" t="s">
        <v>1828</v>
      </c>
      <c r="C615" t="s">
        <v>1828</v>
      </c>
      <c r="D615" t="str">
        <f>HYPERLINK("https://zfin.org/ZDB-GENE-040801-53")</f>
        <v>https://zfin.org/ZDB-GENE-040801-53</v>
      </c>
      <c r="E615" t="s">
        <v>1829</v>
      </c>
    </row>
    <row r="616" spans="1:5" x14ac:dyDescent="0.2">
      <c r="A616" t="s">
        <v>1830</v>
      </c>
      <c r="B616" t="s">
        <v>1831</v>
      </c>
      <c r="C616" t="s">
        <v>1831</v>
      </c>
      <c r="D616" t="str">
        <f>HYPERLINK("https://zfin.org/ZDB-GENE-070521-5")</f>
        <v>https://zfin.org/ZDB-GENE-070521-5</v>
      </c>
      <c r="E616" t="s">
        <v>1832</v>
      </c>
    </row>
    <row r="617" spans="1:5" x14ac:dyDescent="0.2">
      <c r="A617" t="s">
        <v>1833</v>
      </c>
      <c r="B617" t="s">
        <v>1834</v>
      </c>
      <c r="C617" t="s">
        <v>1834</v>
      </c>
      <c r="D617" t="str">
        <f>HYPERLINK("https://zfin.org/ZDB-GENE-090319-2")</f>
        <v>https://zfin.org/ZDB-GENE-090319-2</v>
      </c>
      <c r="E617" t="s">
        <v>1835</v>
      </c>
    </row>
    <row r="618" spans="1:5" x14ac:dyDescent="0.2">
      <c r="A618" t="s">
        <v>1836</v>
      </c>
      <c r="B618" t="s">
        <v>1837</v>
      </c>
      <c r="C618" t="s">
        <v>1837</v>
      </c>
      <c r="D618" t="str">
        <f>HYPERLINK("https://zfin.org/ZDB-GENE-160113-37")</f>
        <v>https://zfin.org/ZDB-GENE-160113-37</v>
      </c>
      <c r="E618" t="s">
        <v>1838</v>
      </c>
    </row>
    <row r="619" spans="1:5" x14ac:dyDescent="0.2">
      <c r="A619" t="s">
        <v>1839</v>
      </c>
      <c r="B619" t="s">
        <v>1840</v>
      </c>
      <c r="C619" t="s">
        <v>1840</v>
      </c>
      <c r="D619" t="str">
        <f>HYPERLINK("https://zfin.org/ZDB-GENE-040912-80")</f>
        <v>https://zfin.org/ZDB-GENE-040912-80</v>
      </c>
      <c r="E619" t="s">
        <v>1841</v>
      </c>
    </row>
    <row r="620" spans="1:5" x14ac:dyDescent="0.2">
      <c r="A620" t="s">
        <v>1842</v>
      </c>
      <c r="B620" t="s">
        <v>1843</v>
      </c>
      <c r="C620" t="s">
        <v>1843</v>
      </c>
      <c r="D620" t="str">
        <f>HYPERLINK("https://zfin.org/ZDB-GENE-010618-1")</f>
        <v>https://zfin.org/ZDB-GENE-010618-1</v>
      </c>
      <c r="E620" t="s">
        <v>1844</v>
      </c>
    </row>
    <row r="621" spans="1:5" x14ac:dyDescent="0.2">
      <c r="A621" t="s">
        <v>1845</v>
      </c>
      <c r="B621" t="s">
        <v>1846</v>
      </c>
      <c r="C621" t="s">
        <v>1846</v>
      </c>
      <c r="D621" t="str">
        <f>HYPERLINK("https://zfin.org/")</f>
        <v>https://zfin.org/</v>
      </c>
      <c r="E621" t="s">
        <v>1847</v>
      </c>
    </row>
    <row r="622" spans="1:5" x14ac:dyDescent="0.2">
      <c r="A622" t="s">
        <v>1848</v>
      </c>
      <c r="B622" t="s">
        <v>1849</v>
      </c>
      <c r="C622" t="s">
        <v>1849</v>
      </c>
      <c r="D622" t="str">
        <f>HYPERLINK("https://zfin.org/ZDB-GENE-980526-142")</f>
        <v>https://zfin.org/ZDB-GENE-980526-142</v>
      </c>
      <c r="E622" t="s">
        <v>1850</v>
      </c>
    </row>
    <row r="623" spans="1:5" x14ac:dyDescent="0.2">
      <c r="A623" t="s">
        <v>1851</v>
      </c>
      <c r="B623" t="s">
        <v>1852</v>
      </c>
      <c r="C623" t="s">
        <v>1852</v>
      </c>
      <c r="D623" t="str">
        <f>HYPERLINK("https://zfin.org/ZDB-GENE-060810-43")</f>
        <v>https://zfin.org/ZDB-GENE-060810-43</v>
      </c>
      <c r="E623" t="s">
        <v>1853</v>
      </c>
    </row>
    <row r="624" spans="1:5" x14ac:dyDescent="0.2">
      <c r="A624" t="s">
        <v>1854</v>
      </c>
      <c r="B624" t="s">
        <v>1855</v>
      </c>
      <c r="C624" t="s">
        <v>1855</v>
      </c>
      <c r="D624" t="str">
        <f>HYPERLINK("https://zfin.org/ZDB-GENE-060825-339")</f>
        <v>https://zfin.org/ZDB-GENE-060825-339</v>
      </c>
      <c r="E624" t="s">
        <v>1856</v>
      </c>
    </row>
    <row r="625" spans="1:5" x14ac:dyDescent="0.2">
      <c r="A625" t="s">
        <v>1857</v>
      </c>
      <c r="B625" t="s">
        <v>1858</v>
      </c>
      <c r="C625" t="s">
        <v>1858</v>
      </c>
      <c r="D625" t="str">
        <f>HYPERLINK("https://zfin.org/ZDB-GENE-040426-1446")</f>
        <v>https://zfin.org/ZDB-GENE-040426-1446</v>
      </c>
      <c r="E625" t="s">
        <v>1859</v>
      </c>
    </row>
    <row r="626" spans="1:5" x14ac:dyDescent="0.2">
      <c r="A626" t="s">
        <v>1860</v>
      </c>
      <c r="B626" t="s">
        <v>1861</v>
      </c>
      <c r="C626" t="s">
        <v>1861</v>
      </c>
      <c r="D626" t="str">
        <f>HYPERLINK("https://zfin.org/ZDB-GENE-030131-8486")</f>
        <v>https://zfin.org/ZDB-GENE-030131-8486</v>
      </c>
      <c r="E626" t="s">
        <v>1862</v>
      </c>
    </row>
    <row r="627" spans="1:5" x14ac:dyDescent="0.2">
      <c r="A627" t="s">
        <v>1863</v>
      </c>
      <c r="B627" t="s">
        <v>1864</v>
      </c>
      <c r="C627" t="s">
        <v>1864</v>
      </c>
      <c r="D627" t="str">
        <f>HYPERLINK("https://zfin.org/ZDB-GENE-060421-3470")</f>
        <v>https://zfin.org/ZDB-GENE-060421-3470</v>
      </c>
      <c r="E627" t="s">
        <v>1865</v>
      </c>
    </row>
    <row r="628" spans="1:5" x14ac:dyDescent="0.2">
      <c r="A628" t="s">
        <v>1866</v>
      </c>
      <c r="B628" t="s">
        <v>1867</v>
      </c>
      <c r="C628" t="s">
        <v>1867</v>
      </c>
      <c r="D628" t="str">
        <f>HYPERLINK("https://zfin.org/ZDB-GENE-050411-10")</f>
        <v>https://zfin.org/ZDB-GENE-050411-10</v>
      </c>
      <c r="E628" t="s">
        <v>1868</v>
      </c>
    </row>
    <row r="629" spans="1:5" x14ac:dyDescent="0.2">
      <c r="A629" t="s">
        <v>1869</v>
      </c>
      <c r="B629" t="s">
        <v>1870</v>
      </c>
      <c r="C629" t="s">
        <v>1870</v>
      </c>
      <c r="D629" t="str">
        <f>HYPERLINK("https://zfin.org/ZDB-GENE-030729-33")</f>
        <v>https://zfin.org/ZDB-GENE-030729-33</v>
      </c>
      <c r="E629" t="s">
        <v>1871</v>
      </c>
    </row>
    <row r="630" spans="1:5" x14ac:dyDescent="0.2">
      <c r="A630" t="s">
        <v>1872</v>
      </c>
      <c r="B630" t="s">
        <v>1873</v>
      </c>
      <c r="C630" t="s">
        <v>1873</v>
      </c>
      <c r="D630" t="str">
        <f>HYPERLINK("https://zfin.org/ZDB-GENE-030131-6090")</f>
        <v>https://zfin.org/ZDB-GENE-030131-6090</v>
      </c>
      <c r="E630" t="s">
        <v>1874</v>
      </c>
    </row>
    <row r="631" spans="1:5" x14ac:dyDescent="0.2">
      <c r="A631" t="s">
        <v>1875</v>
      </c>
      <c r="B631" t="s">
        <v>1876</v>
      </c>
      <c r="C631" t="s">
        <v>1876</v>
      </c>
      <c r="D631" t="str">
        <f>HYPERLINK("https://zfin.org/ZDB-GENE-131127-515")</f>
        <v>https://zfin.org/ZDB-GENE-131127-515</v>
      </c>
      <c r="E631" t="s">
        <v>1877</v>
      </c>
    </row>
    <row r="632" spans="1:5" x14ac:dyDescent="0.2">
      <c r="A632" t="s">
        <v>1878</v>
      </c>
      <c r="B632" t="s">
        <v>1879</v>
      </c>
      <c r="C632" t="s">
        <v>1879</v>
      </c>
      <c r="D632" t="str">
        <f>HYPERLINK("https://zfin.org/ZDB-GENE-080204-96")</f>
        <v>https://zfin.org/ZDB-GENE-080204-96</v>
      </c>
      <c r="E632" t="s">
        <v>1880</v>
      </c>
    </row>
    <row r="633" spans="1:5" x14ac:dyDescent="0.2">
      <c r="A633" t="s">
        <v>1881</v>
      </c>
      <c r="B633" t="s">
        <v>1882</v>
      </c>
      <c r="C633" t="s">
        <v>1882</v>
      </c>
      <c r="D633" t="str">
        <f>HYPERLINK("https://zfin.org/ZDB-GENE-131119-98")</f>
        <v>https://zfin.org/ZDB-GENE-131119-98</v>
      </c>
      <c r="E633" t="s">
        <v>1883</v>
      </c>
    </row>
    <row r="634" spans="1:5" x14ac:dyDescent="0.2">
      <c r="A634" t="s">
        <v>1884</v>
      </c>
      <c r="B634" t="s">
        <v>1885</v>
      </c>
      <c r="C634" t="s">
        <v>1885</v>
      </c>
      <c r="D634" t="str">
        <f>HYPERLINK("https://zfin.org/ZDB-GENE-061215-144")</f>
        <v>https://zfin.org/ZDB-GENE-061215-144</v>
      </c>
      <c r="E634" t="s">
        <v>1886</v>
      </c>
    </row>
    <row r="635" spans="1:5" x14ac:dyDescent="0.2">
      <c r="A635" t="s">
        <v>1887</v>
      </c>
      <c r="B635" t="s">
        <v>1888</v>
      </c>
      <c r="C635" t="s">
        <v>1888</v>
      </c>
      <c r="D635" t="str">
        <f>HYPERLINK("https://zfin.org/ZDB-GENE-081104-260")</f>
        <v>https://zfin.org/ZDB-GENE-081104-260</v>
      </c>
      <c r="E635" t="s">
        <v>1889</v>
      </c>
    </row>
    <row r="636" spans="1:5" x14ac:dyDescent="0.2">
      <c r="A636" t="s">
        <v>1890</v>
      </c>
      <c r="B636" t="s">
        <v>1891</v>
      </c>
      <c r="C636" t="s">
        <v>1891</v>
      </c>
      <c r="D636" t="str">
        <f>HYPERLINK("https://zfin.org/ZDB-GENE-030131-7869")</f>
        <v>https://zfin.org/ZDB-GENE-030131-7869</v>
      </c>
      <c r="E636" t="s">
        <v>1892</v>
      </c>
    </row>
    <row r="637" spans="1:5" x14ac:dyDescent="0.2">
      <c r="A637" t="s">
        <v>1893</v>
      </c>
      <c r="B637" t="s">
        <v>1894</v>
      </c>
      <c r="C637" t="s">
        <v>1894</v>
      </c>
      <c r="D637" t="str">
        <f>HYPERLINK("https://zfin.org/ZDB-GENE-131126-2")</f>
        <v>https://zfin.org/ZDB-GENE-131126-2</v>
      </c>
      <c r="E637" t="s">
        <v>1895</v>
      </c>
    </row>
    <row r="638" spans="1:5" x14ac:dyDescent="0.2">
      <c r="A638" t="s">
        <v>1896</v>
      </c>
      <c r="B638" t="s">
        <v>1897</v>
      </c>
      <c r="C638" t="s">
        <v>1897</v>
      </c>
      <c r="D638" t="str">
        <f>HYPERLINK("https://zfin.org/ZDB-GENE-071218-4")</f>
        <v>https://zfin.org/ZDB-GENE-071218-4</v>
      </c>
      <c r="E638" t="s">
        <v>1898</v>
      </c>
    </row>
    <row r="639" spans="1:5" x14ac:dyDescent="0.2">
      <c r="A639" t="s">
        <v>1899</v>
      </c>
      <c r="B639" t="s">
        <v>1900</v>
      </c>
      <c r="C639" t="s">
        <v>1900</v>
      </c>
      <c r="D639" t="str">
        <f>HYPERLINK("https://zfin.org/ZDB-GENE-030131-5284")</f>
        <v>https://zfin.org/ZDB-GENE-030131-5284</v>
      </c>
      <c r="E639" t="s">
        <v>1901</v>
      </c>
    </row>
    <row r="640" spans="1:5" x14ac:dyDescent="0.2">
      <c r="A640" t="s">
        <v>1902</v>
      </c>
      <c r="B640" t="s">
        <v>1903</v>
      </c>
      <c r="C640" t="s">
        <v>1903</v>
      </c>
      <c r="D640" t="str">
        <f>HYPERLINK("https://zfin.org/ZDB-GENE-080218-15")</f>
        <v>https://zfin.org/ZDB-GENE-080218-15</v>
      </c>
      <c r="E640" t="s">
        <v>1904</v>
      </c>
    </row>
    <row r="641" spans="1:5" x14ac:dyDescent="0.2">
      <c r="A641" t="s">
        <v>1905</v>
      </c>
      <c r="B641" t="s">
        <v>1906</v>
      </c>
      <c r="C641" t="s">
        <v>1906</v>
      </c>
      <c r="D641" t="str">
        <f>HYPERLINK("https://zfin.org/ZDB-GENE-030131-4665")</f>
        <v>https://zfin.org/ZDB-GENE-030131-4665</v>
      </c>
      <c r="E641" t="s">
        <v>1907</v>
      </c>
    </row>
    <row r="642" spans="1:5" x14ac:dyDescent="0.2">
      <c r="A642" t="s">
        <v>1908</v>
      </c>
      <c r="B642" t="s">
        <v>1909</v>
      </c>
      <c r="C642" t="s">
        <v>1909</v>
      </c>
      <c r="D642" t="str">
        <f>HYPERLINK("https://zfin.org/ZDB-GENE-030131-3290")</f>
        <v>https://zfin.org/ZDB-GENE-030131-3290</v>
      </c>
      <c r="E642" t="s">
        <v>1910</v>
      </c>
    </row>
    <row r="643" spans="1:5" x14ac:dyDescent="0.2">
      <c r="A643" t="s">
        <v>1911</v>
      </c>
      <c r="B643" t="s">
        <v>1912</v>
      </c>
      <c r="C643" t="s">
        <v>1912</v>
      </c>
      <c r="D643" t="str">
        <f>HYPERLINK("https://zfin.org/ZDB-GENE-050320-139")</f>
        <v>https://zfin.org/ZDB-GENE-050320-139</v>
      </c>
      <c r="E643" t="s">
        <v>1913</v>
      </c>
    </row>
    <row r="644" spans="1:5" x14ac:dyDescent="0.2">
      <c r="A644" t="s">
        <v>1914</v>
      </c>
      <c r="B644" t="s">
        <v>1915</v>
      </c>
      <c r="C644" t="s">
        <v>1915</v>
      </c>
      <c r="D644" t="str">
        <f>HYPERLINK("https://zfin.org/ZDB-GENE-081104-352")</f>
        <v>https://zfin.org/ZDB-GENE-081104-352</v>
      </c>
      <c r="E644" t="s">
        <v>1916</v>
      </c>
    </row>
    <row r="645" spans="1:5" x14ac:dyDescent="0.2">
      <c r="A645" t="s">
        <v>1917</v>
      </c>
      <c r="B645" t="s">
        <v>1918</v>
      </c>
      <c r="C645" t="s">
        <v>1918</v>
      </c>
      <c r="D645" t="str">
        <f>HYPERLINK("https://zfin.org/ZDB-GENE-050706-53")</f>
        <v>https://zfin.org/ZDB-GENE-050706-53</v>
      </c>
      <c r="E645" t="s">
        <v>1919</v>
      </c>
    </row>
    <row r="646" spans="1:5" x14ac:dyDescent="0.2">
      <c r="A646" t="s">
        <v>1920</v>
      </c>
      <c r="B646" t="s">
        <v>1921</v>
      </c>
      <c r="C646" t="s">
        <v>1921</v>
      </c>
      <c r="D646" t="str">
        <f>HYPERLINK("https://zfin.org/ZDB-GENE-030131-3043")</f>
        <v>https://zfin.org/ZDB-GENE-030131-3043</v>
      </c>
      <c r="E646" t="s">
        <v>1922</v>
      </c>
    </row>
    <row r="647" spans="1:5" x14ac:dyDescent="0.2">
      <c r="A647" t="s">
        <v>1923</v>
      </c>
      <c r="B647" t="s">
        <v>1924</v>
      </c>
      <c r="C647" t="s">
        <v>1924</v>
      </c>
      <c r="D647" t="str">
        <f>HYPERLINK("https://zfin.org/ZDB-GENE-060503-210")</f>
        <v>https://zfin.org/ZDB-GENE-060503-210</v>
      </c>
      <c r="E647" t="s">
        <v>1925</v>
      </c>
    </row>
    <row r="648" spans="1:5" x14ac:dyDescent="0.2">
      <c r="A648" t="s">
        <v>1926</v>
      </c>
      <c r="B648" t="s">
        <v>1927</v>
      </c>
      <c r="C648" t="s">
        <v>1927</v>
      </c>
      <c r="D648" t="str">
        <f>HYPERLINK("https://zfin.org/ZDB-GENE-070912-613")</f>
        <v>https://zfin.org/ZDB-GENE-070912-613</v>
      </c>
      <c r="E648" t="s">
        <v>1928</v>
      </c>
    </row>
    <row r="649" spans="1:5" x14ac:dyDescent="0.2">
      <c r="A649" t="s">
        <v>1929</v>
      </c>
      <c r="B649" t="s">
        <v>1930</v>
      </c>
      <c r="C649" t="s">
        <v>1930</v>
      </c>
      <c r="D649" t="str">
        <f>HYPERLINK("https://zfin.org/ZDB-GENE-040426-736")</f>
        <v>https://zfin.org/ZDB-GENE-040426-736</v>
      </c>
      <c r="E649" t="s">
        <v>1931</v>
      </c>
    </row>
    <row r="650" spans="1:5" x14ac:dyDescent="0.2">
      <c r="A650" t="s">
        <v>1932</v>
      </c>
      <c r="B650" t="s">
        <v>1933</v>
      </c>
      <c r="C650" t="s">
        <v>1933</v>
      </c>
      <c r="D650" t="str">
        <f>HYPERLINK("https://zfin.org/ZDB-GENE-030131-6042")</f>
        <v>https://zfin.org/ZDB-GENE-030131-6042</v>
      </c>
      <c r="E650" t="s">
        <v>1934</v>
      </c>
    </row>
    <row r="651" spans="1:5" x14ac:dyDescent="0.2">
      <c r="A651" t="s">
        <v>1935</v>
      </c>
      <c r="B651" t="s">
        <v>1936</v>
      </c>
      <c r="C651" t="s">
        <v>1936</v>
      </c>
      <c r="D651" t="str">
        <f>HYPERLINK("https://zfin.org/ZDB-GENE-050522-58")</f>
        <v>https://zfin.org/ZDB-GENE-050522-58</v>
      </c>
      <c r="E651" t="s">
        <v>1937</v>
      </c>
    </row>
    <row r="652" spans="1:5" x14ac:dyDescent="0.2">
      <c r="A652" t="s">
        <v>1938</v>
      </c>
      <c r="B652" t="s">
        <v>1939</v>
      </c>
      <c r="C652" t="s">
        <v>1939</v>
      </c>
      <c r="D652" t="str">
        <f>HYPERLINK("https://zfin.org/ZDB-GENE-040426-860")</f>
        <v>https://zfin.org/ZDB-GENE-040426-860</v>
      </c>
      <c r="E652" t="s">
        <v>1940</v>
      </c>
    </row>
    <row r="653" spans="1:5" x14ac:dyDescent="0.2">
      <c r="A653" t="s">
        <v>1941</v>
      </c>
      <c r="B653" t="s">
        <v>1942</v>
      </c>
      <c r="C653" t="s">
        <v>1942</v>
      </c>
      <c r="D653" t="str">
        <f>HYPERLINK("https://zfin.org/ZDB-GENE-131119-53")</f>
        <v>https://zfin.org/ZDB-GENE-131119-53</v>
      </c>
      <c r="E653" t="s">
        <v>1943</v>
      </c>
    </row>
    <row r="654" spans="1:5" x14ac:dyDescent="0.2">
      <c r="A654" t="s">
        <v>1944</v>
      </c>
      <c r="B654" t="s">
        <v>1945</v>
      </c>
      <c r="C654" t="s">
        <v>1945</v>
      </c>
      <c r="D654" t="str">
        <f>HYPERLINK("https://zfin.org/ZDB-GENE-041010-225")</f>
        <v>https://zfin.org/ZDB-GENE-041010-225</v>
      </c>
      <c r="E654" t="s">
        <v>1946</v>
      </c>
    </row>
    <row r="655" spans="1:5" x14ac:dyDescent="0.2">
      <c r="A655" t="s">
        <v>1947</v>
      </c>
      <c r="B655" t="s">
        <v>1948</v>
      </c>
      <c r="C655" t="s">
        <v>1948</v>
      </c>
      <c r="D655" t="str">
        <f>HYPERLINK("https://zfin.org/ZDB-GENE-070521-4")</f>
        <v>https://zfin.org/ZDB-GENE-070521-4</v>
      </c>
      <c r="E655" t="s">
        <v>1949</v>
      </c>
    </row>
    <row r="656" spans="1:5" x14ac:dyDescent="0.2">
      <c r="A656" t="s">
        <v>1950</v>
      </c>
      <c r="B656" t="s">
        <v>529</v>
      </c>
      <c r="C656" t="s">
        <v>1951</v>
      </c>
      <c r="D656" t="str">
        <f>HYPERLINK("https://zfin.org/ZDB-GENE-081205-1")</f>
        <v>https://zfin.org/ZDB-GENE-081205-1</v>
      </c>
      <c r="E656" t="s">
        <v>530</v>
      </c>
    </row>
    <row r="657" spans="1:5" x14ac:dyDescent="0.2">
      <c r="A657" t="s">
        <v>1952</v>
      </c>
      <c r="B657" t="s">
        <v>1953</v>
      </c>
      <c r="C657" t="s">
        <v>1953</v>
      </c>
      <c r="D657" t="str">
        <f>HYPERLINK("https://zfin.org/ZDB-GENE-041114-144")</f>
        <v>https://zfin.org/ZDB-GENE-041114-144</v>
      </c>
      <c r="E657" t="s">
        <v>1954</v>
      </c>
    </row>
    <row r="658" spans="1:5" x14ac:dyDescent="0.2">
      <c r="A658" t="s">
        <v>1955</v>
      </c>
      <c r="B658" t="s">
        <v>1956</v>
      </c>
      <c r="C658" t="s">
        <v>1956</v>
      </c>
      <c r="D658" t="str">
        <f>HYPERLINK("https://zfin.org/")</f>
        <v>https://zfin.org/</v>
      </c>
      <c r="E658" t="s">
        <v>1957</v>
      </c>
    </row>
    <row r="659" spans="1:5" x14ac:dyDescent="0.2">
      <c r="A659" t="s">
        <v>1958</v>
      </c>
      <c r="B659" t="s">
        <v>1959</v>
      </c>
      <c r="C659" t="s">
        <v>1959</v>
      </c>
      <c r="D659" t="str">
        <f>HYPERLINK("https://zfin.org/ZDB-GENE-000405-1")</f>
        <v>https://zfin.org/ZDB-GENE-000405-1</v>
      </c>
      <c r="E659" t="s">
        <v>1960</v>
      </c>
    </row>
    <row r="660" spans="1:5" x14ac:dyDescent="0.2">
      <c r="A660" t="s">
        <v>1961</v>
      </c>
      <c r="B660" t="s">
        <v>1962</v>
      </c>
      <c r="C660" t="s">
        <v>1962</v>
      </c>
      <c r="D660" t="str">
        <f>HYPERLINK("https://zfin.org/ZDB-GENE-050211-3")</f>
        <v>https://zfin.org/ZDB-GENE-050211-3</v>
      </c>
      <c r="E660" t="s">
        <v>1963</v>
      </c>
    </row>
    <row r="661" spans="1:5" x14ac:dyDescent="0.2">
      <c r="A661" t="s">
        <v>1964</v>
      </c>
      <c r="B661" t="s">
        <v>1965</v>
      </c>
      <c r="C661" t="s">
        <v>1965</v>
      </c>
      <c r="D661" t="str">
        <f>HYPERLINK("https://zfin.org/ZDB-GENE-081104-299")</f>
        <v>https://zfin.org/ZDB-GENE-081104-299</v>
      </c>
      <c r="E661" t="s">
        <v>1966</v>
      </c>
    </row>
    <row r="662" spans="1:5" x14ac:dyDescent="0.2">
      <c r="A662" t="s">
        <v>1967</v>
      </c>
      <c r="B662" t="s">
        <v>1968</v>
      </c>
      <c r="C662" t="s">
        <v>1968</v>
      </c>
      <c r="D662" t="str">
        <f>HYPERLINK("https://zfin.org/ZDB-GENE-070705-529")</f>
        <v>https://zfin.org/ZDB-GENE-070705-529</v>
      </c>
      <c r="E662" t="s">
        <v>1969</v>
      </c>
    </row>
    <row r="663" spans="1:5" x14ac:dyDescent="0.2">
      <c r="A663" t="s">
        <v>1970</v>
      </c>
      <c r="B663" t="s">
        <v>1971</v>
      </c>
      <c r="C663" t="s">
        <v>1971</v>
      </c>
      <c r="D663" t="str">
        <f>HYPERLINK("https://zfin.org/ZDB-GENE-120809-2")</f>
        <v>https://zfin.org/ZDB-GENE-120809-2</v>
      </c>
      <c r="E663" t="s">
        <v>1972</v>
      </c>
    </row>
    <row r="664" spans="1:5" x14ac:dyDescent="0.2">
      <c r="A664" t="s">
        <v>1973</v>
      </c>
      <c r="B664" t="s">
        <v>1974</v>
      </c>
      <c r="C664" t="s">
        <v>1974</v>
      </c>
      <c r="D664" t="str">
        <f>HYPERLINK("https://zfin.org/ZDB-GENE-070209-277")</f>
        <v>https://zfin.org/ZDB-GENE-070209-277</v>
      </c>
      <c r="E664" t="s">
        <v>1975</v>
      </c>
    </row>
    <row r="665" spans="1:5" x14ac:dyDescent="0.2">
      <c r="A665" t="s">
        <v>1976</v>
      </c>
      <c r="B665" t="s">
        <v>1977</v>
      </c>
      <c r="C665" t="s">
        <v>1977</v>
      </c>
      <c r="D665" t="str">
        <f>HYPERLINK("https://zfin.org/ZDB-GENE-000511-1")</f>
        <v>https://zfin.org/ZDB-GENE-000511-1</v>
      </c>
      <c r="E665" t="s">
        <v>1978</v>
      </c>
    </row>
    <row r="666" spans="1:5" x14ac:dyDescent="0.2">
      <c r="A666" t="s">
        <v>1979</v>
      </c>
      <c r="B666" t="s">
        <v>1980</v>
      </c>
      <c r="C666" t="s">
        <v>1980</v>
      </c>
      <c r="D666" t="str">
        <f>HYPERLINK("https://zfin.org/ZDB-GENE-040426-716")</f>
        <v>https://zfin.org/ZDB-GENE-040426-716</v>
      </c>
      <c r="E666" t="s">
        <v>1981</v>
      </c>
    </row>
    <row r="667" spans="1:5" x14ac:dyDescent="0.2">
      <c r="A667" t="s">
        <v>1982</v>
      </c>
      <c r="B667" t="s">
        <v>1983</v>
      </c>
      <c r="C667" t="s">
        <v>1983</v>
      </c>
      <c r="D667" t="str">
        <f>HYPERLINK("https://zfin.org/ZDB-GENE-040707-1")</f>
        <v>https://zfin.org/ZDB-GENE-040707-1</v>
      </c>
      <c r="E667" t="s">
        <v>1984</v>
      </c>
    </row>
    <row r="668" spans="1:5" x14ac:dyDescent="0.2">
      <c r="A668" t="s">
        <v>1985</v>
      </c>
      <c r="B668" t="s">
        <v>1986</v>
      </c>
      <c r="C668" t="s">
        <v>1986</v>
      </c>
      <c r="D668" t="str">
        <f>HYPERLINK("https://zfin.org/ZDB-GENE-070705-98")</f>
        <v>https://zfin.org/ZDB-GENE-070705-98</v>
      </c>
      <c r="E668" t="s">
        <v>1987</v>
      </c>
    </row>
    <row r="669" spans="1:5" x14ac:dyDescent="0.2">
      <c r="A669" t="s">
        <v>1988</v>
      </c>
      <c r="B669" t="s">
        <v>1989</v>
      </c>
      <c r="C669" t="s">
        <v>1989</v>
      </c>
      <c r="D669" t="str">
        <f>HYPERLINK("https://zfin.org/ZDB-GENE-030131-5297")</f>
        <v>https://zfin.org/ZDB-GENE-030131-5297</v>
      </c>
      <c r="E669" t="s">
        <v>1990</v>
      </c>
    </row>
    <row r="670" spans="1:5" x14ac:dyDescent="0.2">
      <c r="A670" t="s">
        <v>1991</v>
      </c>
      <c r="B670" t="s">
        <v>1992</v>
      </c>
      <c r="C670" t="s">
        <v>1992</v>
      </c>
      <c r="D670" t="str">
        <f>HYPERLINK("https://zfin.org/ZDB-GENE-030219-79")</f>
        <v>https://zfin.org/ZDB-GENE-030219-79</v>
      </c>
      <c r="E670" t="s">
        <v>1993</v>
      </c>
    </row>
    <row r="671" spans="1:5" x14ac:dyDescent="0.2">
      <c r="A671" t="s">
        <v>1994</v>
      </c>
      <c r="B671" t="s">
        <v>1995</v>
      </c>
      <c r="C671" t="s">
        <v>1995</v>
      </c>
      <c r="D671" t="str">
        <f>HYPERLINK("https://zfin.org/ZDB-GENE-090506-8")</f>
        <v>https://zfin.org/ZDB-GENE-090506-8</v>
      </c>
      <c r="E671" t="s">
        <v>1996</v>
      </c>
    </row>
    <row r="672" spans="1:5" x14ac:dyDescent="0.2">
      <c r="A672" t="s">
        <v>1997</v>
      </c>
      <c r="B672" t="s">
        <v>1998</v>
      </c>
      <c r="C672" t="s">
        <v>1998</v>
      </c>
      <c r="D672" t="str">
        <f>HYPERLINK("https://zfin.org/ZDB-GENE-030131-3281")</f>
        <v>https://zfin.org/ZDB-GENE-030131-3281</v>
      </c>
      <c r="E672" t="s">
        <v>1999</v>
      </c>
    </row>
    <row r="673" spans="1:5" x14ac:dyDescent="0.2">
      <c r="A673" t="s">
        <v>2000</v>
      </c>
      <c r="B673" t="s">
        <v>2001</v>
      </c>
      <c r="C673" t="s">
        <v>2001</v>
      </c>
      <c r="D673" t="str">
        <f>HYPERLINK("https://zfin.org/ZDB-GENE-030131-9784")</f>
        <v>https://zfin.org/ZDB-GENE-030131-9784</v>
      </c>
      <c r="E673" t="s">
        <v>2002</v>
      </c>
    </row>
    <row r="674" spans="1:5" x14ac:dyDescent="0.2">
      <c r="A674" t="s">
        <v>2003</v>
      </c>
      <c r="B674" t="s">
        <v>2004</v>
      </c>
      <c r="C674" t="s">
        <v>2004</v>
      </c>
      <c r="D674" t="str">
        <f>HYPERLINK("https://zfin.org/ZDB-GENE-050417-447")</f>
        <v>https://zfin.org/ZDB-GENE-050417-447</v>
      </c>
      <c r="E674" t="s">
        <v>2005</v>
      </c>
    </row>
    <row r="675" spans="1:5" x14ac:dyDescent="0.2">
      <c r="A675" t="s">
        <v>2006</v>
      </c>
      <c r="B675" t="s">
        <v>2007</v>
      </c>
      <c r="C675" t="s">
        <v>2007</v>
      </c>
      <c r="D675" t="str">
        <f>HYPERLINK("https://zfin.org/ZDB-GENE-061215-138")</f>
        <v>https://zfin.org/ZDB-GENE-061215-138</v>
      </c>
      <c r="E675" t="s">
        <v>2008</v>
      </c>
    </row>
    <row r="676" spans="1:5" x14ac:dyDescent="0.2">
      <c r="A676" t="s">
        <v>2009</v>
      </c>
      <c r="B676" t="s">
        <v>2010</v>
      </c>
      <c r="C676" t="s">
        <v>2010</v>
      </c>
      <c r="D676" t="str">
        <f>HYPERLINK("https://zfin.org/ZDB-GENE-060208-3")</f>
        <v>https://zfin.org/ZDB-GENE-060208-3</v>
      </c>
      <c r="E676" t="s">
        <v>2011</v>
      </c>
    </row>
    <row r="677" spans="1:5" x14ac:dyDescent="0.2">
      <c r="A677" t="s">
        <v>2012</v>
      </c>
      <c r="B677" t="s">
        <v>2013</v>
      </c>
      <c r="C677" t="s">
        <v>2013</v>
      </c>
      <c r="D677" t="str">
        <f>HYPERLINK("https://zfin.org/ZDB-GENE-030428-2")</f>
        <v>https://zfin.org/ZDB-GENE-030428-2</v>
      </c>
      <c r="E677" t="s">
        <v>2014</v>
      </c>
    </row>
    <row r="678" spans="1:5" x14ac:dyDescent="0.2">
      <c r="A678" t="s">
        <v>2015</v>
      </c>
      <c r="B678" t="s">
        <v>2016</v>
      </c>
      <c r="C678" t="s">
        <v>2016</v>
      </c>
      <c r="D678" t="str">
        <f>HYPERLINK("https://zfin.org/ZDB-GENE-990714-7")</f>
        <v>https://zfin.org/ZDB-GENE-990714-7</v>
      </c>
      <c r="E678" t="s">
        <v>2017</v>
      </c>
    </row>
    <row r="679" spans="1:5" x14ac:dyDescent="0.2">
      <c r="A679" t="s">
        <v>2018</v>
      </c>
      <c r="B679" t="s">
        <v>2019</v>
      </c>
      <c r="C679" t="s">
        <v>2019</v>
      </c>
      <c r="D679" t="str">
        <f>HYPERLINK("https://zfin.org/ZDB-GENE-060526-272")</f>
        <v>https://zfin.org/ZDB-GENE-060526-272</v>
      </c>
      <c r="E679" t="s">
        <v>2020</v>
      </c>
    </row>
    <row r="680" spans="1:5" x14ac:dyDescent="0.2">
      <c r="A680" t="s">
        <v>2021</v>
      </c>
      <c r="B680" t="s">
        <v>2022</v>
      </c>
      <c r="C680" t="s">
        <v>2022</v>
      </c>
      <c r="D680" t="str">
        <f>HYPERLINK("https://zfin.org/ZDB-GENE-081022-199")</f>
        <v>https://zfin.org/ZDB-GENE-081022-199</v>
      </c>
      <c r="E680" t="s">
        <v>2023</v>
      </c>
    </row>
    <row r="681" spans="1:5" x14ac:dyDescent="0.2">
      <c r="A681" t="s">
        <v>2024</v>
      </c>
      <c r="B681" t="s">
        <v>2025</v>
      </c>
      <c r="C681" t="s">
        <v>2025</v>
      </c>
      <c r="D681" t="str">
        <f>HYPERLINK("https://zfin.org/ZDB-GENE-060421-7091")</f>
        <v>https://zfin.org/ZDB-GENE-060421-7091</v>
      </c>
      <c r="E681" t="s">
        <v>2026</v>
      </c>
    </row>
    <row r="682" spans="1:5" x14ac:dyDescent="0.2">
      <c r="A682" t="s">
        <v>2027</v>
      </c>
      <c r="B682" t="s">
        <v>2028</v>
      </c>
      <c r="C682" t="s">
        <v>2028</v>
      </c>
      <c r="D682" t="str">
        <f>HYPERLINK("https://zfin.org/ZDB-GENE-160113-17")</f>
        <v>https://zfin.org/ZDB-GENE-160113-17</v>
      </c>
      <c r="E682" t="s">
        <v>2029</v>
      </c>
    </row>
    <row r="683" spans="1:5" x14ac:dyDescent="0.2">
      <c r="A683" t="s">
        <v>2030</v>
      </c>
      <c r="B683" t="s">
        <v>2031</v>
      </c>
      <c r="C683" t="s">
        <v>2031</v>
      </c>
      <c r="D683" t="str">
        <f>HYPERLINK("https://zfin.org/ZDB-GENE-040924-6")</f>
        <v>https://zfin.org/ZDB-GENE-040924-6</v>
      </c>
      <c r="E683" t="s">
        <v>2032</v>
      </c>
    </row>
    <row r="684" spans="1:5" x14ac:dyDescent="0.2">
      <c r="A684" t="s">
        <v>2033</v>
      </c>
      <c r="B684" t="s">
        <v>2034</v>
      </c>
      <c r="C684" t="s">
        <v>2034</v>
      </c>
      <c r="D684" t="str">
        <f>HYPERLINK("https://zfin.org/ZDB-GENE-160113-32")</f>
        <v>https://zfin.org/ZDB-GENE-160113-32</v>
      </c>
      <c r="E684" t="s">
        <v>2035</v>
      </c>
    </row>
    <row r="685" spans="1:5" x14ac:dyDescent="0.2">
      <c r="A685" t="s">
        <v>2036</v>
      </c>
      <c r="B685" t="s">
        <v>2037</v>
      </c>
      <c r="C685" t="s">
        <v>2037</v>
      </c>
      <c r="D685" t="str">
        <f>HYPERLINK("https://zfin.org/ZDB-GENE-160113-8")</f>
        <v>https://zfin.org/ZDB-GENE-160113-8</v>
      </c>
      <c r="E685" t="s">
        <v>2038</v>
      </c>
    </row>
    <row r="686" spans="1:5" x14ac:dyDescent="0.2">
      <c r="A686" t="s">
        <v>2039</v>
      </c>
      <c r="B686" t="s">
        <v>2040</v>
      </c>
      <c r="C686" t="s">
        <v>2040</v>
      </c>
      <c r="D686" t="str">
        <f>HYPERLINK("https://zfin.org/ZDB-GENE-090312-63")</f>
        <v>https://zfin.org/ZDB-GENE-090312-63</v>
      </c>
      <c r="E686" t="s">
        <v>2041</v>
      </c>
    </row>
    <row r="687" spans="1:5" x14ac:dyDescent="0.2">
      <c r="A687" t="s">
        <v>2042</v>
      </c>
      <c r="B687" t="s">
        <v>2043</v>
      </c>
      <c r="C687" t="s">
        <v>2043</v>
      </c>
      <c r="D687" t="str">
        <f>HYPERLINK("https://zfin.org/ZDB-GENE-051030-75")</f>
        <v>https://zfin.org/ZDB-GENE-051030-75</v>
      </c>
      <c r="E687" t="s">
        <v>2044</v>
      </c>
    </row>
    <row r="688" spans="1:5" x14ac:dyDescent="0.2">
      <c r="A688" t="s">
        <v>2045</v>
      </c>
      <c r="B688" t="s">
        <v>2046</v>
      </c>
      <c r="C688" t="s">
        <v>2046</v>
      </c>
      <c r="D688" t="str">
        <f>HYPERLINK("https://zfin.org/ZDB-GENE-160113-53")</f>
        <v>https://zfin.org/ZDB-GENE-160113-53</v>
      </c>
      <c r="E688" t="s">
        <v>2047</v>
      </c>
    </row>
    <row r="689" spans="1:5" x14ac:dyDescent="0.2">
      <c r="A689" t="s">
        <v>2048</v>
      </c>
      <c r="B689" t="s">
        <v>2049</v>
      </c>
      <c r="C689" t="s">
        <v>2049</v>
      </c>
      <c r="D689" t="str">
        <f>HYPERLINK("https://zfin.org/ZDB-GENE-040426-1143")</f>
        <v>https://zfin.org/ZDB-GENE-040426-1143</v>
      </c>
      <c r="E689" t="s">
        <v>2050</v>
      </c>
    </row>
    <row r="690" spans="1:5" x14ac:dyDescent="0.2">
      <c r="A690" t="s">
        <v>2051</v>
      </c>
      <c r="B690" t="s">
        <v>2052</v>
      </c>
      <c r="C690" t="s">
        <v>2052</v>
      </c>
      <c r="D690" t="str">
        <f>HYPERLINK("https://zfin.org/ZDB-GENE-160113-101")</f>
        <v>https://zfin.org/ZDB-GENE-160113-101</v>
      </c>
      <c r="E690" t="s">
        <v>2053</v>
      </c>
    </row>
    <row r="691" spans="1:5" x14ac:dyDescent="0.2">
      <c r="A691" t="s">
        <v>2054</v>
      </c>
      <c r="B691" t="s">
        <v>2055</v>
      </c>
      <c r="C691" t="s">
        <v>2055</v>
      </c>
      <c r="D691" t="str">
        <f>HYPERLINK("https://zfin.org/ZDB-GENE-040426-1552")</f>
        <v>https://zfin.org/ZDB-GENE-040426-1552</v>
      </c>
      <c r="E691" t="s">
        <v>2056</v>
      </c>
    </row>
    <row r="692" spans="1:5" x14ac:dyDescent="0.2">
      <c r="A692" t="s">
        <v>2057</v>
      </c>
      <c r="B692" t="s">
        <v>2058</v>
      </c>
      <c r="C692" t="s">
        <v>2058</v>
      </c>
      <c r="D692" t="str">
        <f>HYPERLINK("https://zfin.org/ZDB-GENE-070424-63")</f>
        <v>https://zfin.org/ZDB-GENE-070424-63</v>
      </c>
      <c r="E692" t="s">
        <v>2059</v>
      </c>
    </row>
    <row r="693" spans="1:5" x14ac:dyDescent="0.2">
      <c r="A693" t="s">
        <v>2060</v>
      </c>
      <c r="B693" t="s">
        <v>2061</v>
      </c>
      <c r="C693" t="s">
        <v>2061</v>
      </c>
      <c r="D693" t="str">
        <f>HYPERLINK("https://zfin.org/ZDB-GENE-030131-5007")</f>
        <v>https://zfin.org/ZDB-GENE-030131-5007</v>
      </c>
      <c r="E693" t="s">
        <v>2062</v>
      </c>
    </row>
    <row r="694" spans="1:5" x14ac:dyDescent="0.2">
      <c r="A694" t="s">
        <v>2063</v>
      </c>
      <c r="B694" t="s">
        <v>2064</v>
      </c>
      <c r="C694" t="s">
        <v>2064</v>
      </c>
      <c r="D694" t="str">
        <f>HYPERLINK("https://zfin.org/ZDB-GENE-160113-46")</f>
        <v>https://zfin.org/ZDB-GENE-160113-46</v>
      </c>
      <c r="E694" t="s">
        <v>2065</v>
      </c>
    </row>
    <row r="695" spans="1:5" x14ac:dyDescent="0.2">
      <c r="A695" t="s">
        <v>2066</v>
      </c>
      <c r="B695" t="s">
        <v>2067</v>
      </c>
      <c r="C695" t="s">
        <v>2067</v>
      </c>
      <c r="D695" t="str">
        <f>HYPERLINK("https://zfin.org/ZDB-GENE-060526-252")</f>
        <v>https://zfin.org/ZDB-GENE-060526-252</v>
      </c>
      <c r="E695" t="s">
        <v>2068</v>
      </c>
    </row>
    <row r="696" spans="1:5" x14ac:dyDescent="0.2">
      <c r="A696" t="s">
        <v>2069</v>
      </c>
      <c r="B696" t="s">
        <v>2070</v>
      </c>
      <c r="C696" t="s">
        <v>2070</v>
      </c>
      <c r="D696" t="str">
        <f>HYPERLINK("https://zfin.org/ZDB-GENE-050211-6")</f>
        <v>https://zfin.org/ZDB-GENE-050211-6</v>
      </c>
      <c r="E696" t="s">
        <v>2071</v>
      </c>
    </row>
    <row r="697" spans="1:5" x14ac:dyDescent="0.2">
      <c r="A697" t="s">
        <v>2072</v>
      </c>
      <c r="B697" t="s">
        <v>2073</v>
      </c>
      <c r="C697" t="s">
        <v>2073</v>
      </c>
      <c r="D697" t="str">
        <f>HYPERLINK("https://zfin.org/ZDB-GENE-160113-84")</f>
        <v>https://zfin.org/ZDB-GENE-160113-84</v>
      </c>
      <c r="E697" t="s">
        <v>2074</v>
      </c>
    </row>
    <row r="698" spans="1:5" x14ac:dyDescent="0.2">
      <c r="A698" t="s">
        <v>2075</v>
      </c>
      <c r="B698" t="s">
        <v>2076</v>
      </c>
      <c r="C698" t="s">
        <v>2076</v>
      </c>
      <c r="D698" t="str">
        <f>HYPERLINK("https://zfin.org/ZDB-GENE-081107-58")</f>
        <v>https://zfin.org/ZDB-GENE-081107-58</v>
      </c>
      <c r="E698" t="s">
        <v>2077</v>
      </c>
    </row>
    <row r="699" spans="1:5" x14ac:dyDescent="0.2">
      <c r="A699" t="s">
        <v>2078</v>
      </c>
      <c r="B699" t="s">
        <v>2079</v>
      </c>
      <c r="C699" t="s">
        <v>2079</v>
      </c>
      <c r="D699" t="str">
        <f>HYPERLINK("https://zfin.org/ZDB-GENE-090313-53")</f>
        <v>https://zfin.org/ZDB-GENE-090313-53</v>
      </c>
      <c r="E699" t="s">
        <v>2080</v>
      </c>
    </row>
    <row r="700" spans="1:5" x14ac:dyDescent="0.2">
      <c r="A700" t="s">
        <v>2081</v>
      </c>
      <c r="B700" t="s">
        <v>2082</v>
      </c>
      <c r="C700" t="s">
        <v>2082</v>
      </c>
      <c r="D700" t="str">
        <f>HYPERLINK("https://zfin.org/ZDB-GENE-030131-7638")</f>
        <v>https://zfin.org/ZDB-GENE-030131-7638</v>
      </c>
      <c r="E700" t="s">
        <v>2083</v>
      </c>
    </row>
    <row r="701" spans="1:5" x14ac:dyDescent="0.2">
      <c r="A701" t="s">
        <v>2084</v>
      </c>
      <c r="B701" t="s">
        <v>2085</v>
      </c>
      <c r="C701" t="s">
        <v>2085</v>
      </c>
      <c r="D701" t="str">
        <f>HYPERLINK("https://zfin.org/ZDB-GENE-061007-1")</f>
        <v>https://zfin.org/ZDB-GENE-061007-1</v>
      </c>
      <c r="E701" t="s">
        <v>2086</v>
      </c>
    </row>
    <row r="702" spans="1:5" x14ac:dyDescent="0.2">
      <c r="A702" t="s">
        <v>2087</v>
      </c>
      <c r="B702" t="s">
        <v>2088</v>
      </c>
      <c r="C702" t="s">
        <v>2088</v>
      </c>
      <c r="D702" t="str">
        <f>HYPERLINK("https://zfin.org/ZDB-GENE-120215-23")</f>
        <v>https://zfin.org/ZDB-GENE-120215-23</v>
      </c>
      <c r="E702" t="s">
        <v>2089</v>
      </c>
    </row>
    <row r="703" spans="1:5" x14ac:dyDescent="0.2">
      <c r="A703" t="s">
        <v>2090</v>
      </c>
      <c r="B703" t="s">
        <v>2091</v>
      </c>
      <c r="C703" t="s">
        <v>2091</v>
      </c>
      <c r="D703" t="str">
        <f>HYPERLINK("https://zfin.org/ZDB-GENE-040426-883")</f>
        <v>https://zfin.org/ZDB-GENE-040426-883</v>
      </c>
      <c r="E703" t="s">
        <v>2092</v>
      </c>
    </row>
    <row r="704" spans="1:5" x14ac:dyDescent="0.2">
      <c r="A704" t="s">
        <v>2093</v>
      </c>
      <c r="B704" t="s">
        <v>2094</v>
      </c>
      <c r="C704" t="s">
        <v>2094</v>
      </c>
      <c r="D704" t="str">
        <f>HYPERLINK("https://zfin.org/ZDB-GENE-041010-19")</f>
        <v>https://zfin.org/ZDB-GENE-041010-19</v>
      </c>
      <c r="E704" t="s">
        <v>2095</v>
      </c>
    </row>
    <row r="705" spans="1:5" x14ac:dyDescent="0.2">
      <c r="A705" t="s">
        <v>2096</v>
      </c>
      <c r="B705" t="s">
        <v>2097</v>
      </c>
      <c r="C705" t="s">
        <v>2097</v>
      </c>
      <c r="D705" t="str">
        <f>HYPERLINK("https://zfin.org/ZDB-GENE-070521-6")</f>
        <v>https://zfin.org/ZDB-GENE-070521-6</v>
      </c>
      <c r="E705" t="s">
        <v>2098</v>
      </c>
    </row>
    <row r="706" spans="1:5" x14ac:dyDescent="0.2">
      <c r="A706" t="s">
        <v>2099</v>
      </c>
      <c r="B706" t="s">
        <v>2100</v>
      </c>
      <c r="C706" t="s">
        <v>2100</v>
      </c>
      <c r="D706" t="str">
        <f>HYPERLINK("https://zfin.org/ZDB-GENE-040426-1667")</f>
        <v>https://zfin.org/ZDB-GENE-040426-1667</v>
      </c>
      <c r="E706" t="s">
        <v>2101</v>
      </c>
    </row>
    <row r="707" spans="1:5" x14ac:dyDescent="0.2">
      <c r="A707" t="s">
        <v>2102</v>
      </c>
      <c r="B707" t="s">
        <v>2103</v>
      </c>
      <c r="C707" t="s">
        <v>2103</v>
      </c>
      <c r="D707" t="str">
        <f>HYPERLINK("https://zfin.org/ZDB-GENE-050227-2")</f>
        <v>https://zfin.org/ZDB-GENE-050227-2</v>
      </c>
      <c r="E707" t="s">
        <v>2104</v>
      </c>
    </row>
    <row r="708" spans="1:5" x14ac:dyDescent="0.2">
      <c r="A708" t="s">
        <v>2105</v>
      </c>
      <c r="B708" t="s">
        <v>2106</v>
      </c>
      <c r="C708" t="s">
        <v>2106</v>
      </c>
      <c r="D708" t="str">
        <f>HYPERLINK("https://zfin.org/ZDB-GENE-040426-1896")</f>
        <v>https://zfin.org/ZDB-GENE-040426-1896</v>
      </c>
      <c r="E708" t="s">
        <v>2107</v>
      </c>
    </row>
    <row r="709" spans="1:5" x14ac:dyDescent="0.2">
      <c r="A709" t="s">
        <v>2108</v>
      </c>
      <c r="B709" t="s">
        <v>2109</v>
      </c>
      <c r="C709" t="s">
        <v>2109</v>
      </c>
      <c r="D709" t="str">
        <f>HYPERLINK("https://zfin.org/ZDB-GENE-090313-236")</f>
        <v>https://zfin.org/ZDB-GENE-090313-236</v>
      </c>
      <c r="E709" t="s">
        <v>2110</v>
      </c>
    </row>
    <row r="710" spans="1:5" x14ac:dyDescent="0.2">
      <c r="A710" t="s">
        <v>2111</v>
      </c>
      <c r="B710" t="s">
        <v>2112</v>
      </c>
      <c r="C710" t="s">
        <v>2112</v>
      </c>
      <c r="D710" t="str">
        <f>HYPERLINK("https://zfin.org/ZDB-GENE-141216-25")</f>
        <v>https://zfin.org/ZDB-GENE-141216-25</v>
      </c>
      <c r="E710" t="s">
        <v>2113</v>
      </c>
    </row>
    <row r="711" spans="1:5" x14ac:dyDescent="0.2">
      <c r="A711" t="s">
        <v>2114</v>
      </c>
      <c r="B711" t="s">
        <v>2115</v>
      </c>
      <c r="C711" t="s">
        <v>2115</v>
      </c>
      <c r="D711" t="str">
        <f>HYPERLINK("https://zfin.org/ZDB-GENE-040426-2224")</f>
        <v>https://zfin.org/ZDB-GENE-040426-2224</v>
      </c>
      <c r="E711" t="s">
        <v>2116</v>
      </c>
    </row>
    <row r="712" spans="1:5" x14ac:dyDescent="0.2">
      <c r="A712" t="s">
        <v>2117</v>
      </c>
      <c r="B712" t="s">
        <v>2118</v>
      </c>
      <c r="C712" t="s">
        <v>2118</v>
      </c>
      <c r="D712" t="str">
        <f>HYPERLINK("https://zfin.org/ZDB-GENE-030428-1")</f>
        <v>https://zfin.org/ZDB-GENE-030428-1</v>
      </c>
      <c r="E712" t="s">
        <v>2119</v>
      </c>
    </row>
    <row r="713" spans="1:5" x14ac:dyDescent="0.2">
      <c r="A713" t="s">
        <v>2120</v>
      </c>
      <c r="B713" t="s">
        <v>2121</v>
      </c>
      <c r="C713" t="s">
        <v>2121</v>
      </c>
      <c r="D713" t="str">
        <f>HYPERLINK("https://zfin.org/ZDB-GENE-030131-333")</f>
        <v>https://zfin.org/ZDB-GENE-030131-333</v>
      </c>
      <c r="E713" t="s">
        <v>2122</v>
      </c>
    </row>
    <row r="714" spans="1:5" x14ac:dyDescent="0.2">
      <c r="A714" t="s">
        <v>2123</v>
      </c>
      <c r="B714" t="s">
        <v>2124</v>
      </c>
      <c r="C714" t="s">
        <v>2124</v>
      </c>
      <c r="D714" t="str">
        <f>HYPERLINK("https://zfin.org/ZDB-GENE-110411-27")</f>
        <v>https://zfin.org/ZDB-GENE-110411-27</v>
      </c>
      <c r="E714" t="s">
        <v>2125</v>
      </c>
    </row>
    <row r="715" spans="1:5" x14ac:dyDescent="0.2">
      <c r="A715" t="s">
        <v>2126</v>
      </c>
      <c r="B715" t="s">
        <v>2127</v>
      </c>
      <c r="C715" t="s">
        <v>2127</v>
      </c>
      <c r="D715" t="str">
        <f>HYPERLINK("https://zfin.org/ZDB-GENE-030131-5338")</f>
        <v>https://zfin.org/ZDB-GENE-030131-5338</v>
      </c>
      <c r="E715" t="s">
        <v>2128</v>
      </c>
    </row>
    <row r="716" spans="1:5" x14ac:dyDescent="0.2">
      <c r="A716" t="s">
        <v>2129</v>
      </c>
      <c r="B716" t="s">
        <v>2130</v>
      </c>
      <c r="C716" t="s">
        <v>2130</v>
      </c>
      <c r="D716" t="str">
        <f>HYPERLINK("https://zfin.org/ZDB-GENE-130530-693")</f>
        <v>https://zfin.org/ZDB-GENE-130530-693</v>
      </c>
      <c r="E716" t="s">
        <v>2131</v>
      </c>
    </row>
    <row r="717" spans="1:5" x14ac:dyDescent="0.2">
      <c r="A717" t="s">
        <v>2132</v>
      </c>
      <c r="B717" t="s">
        <v>2133</v>
      </c>
      <c r="C717" t="s">
        <v>2133</v>
      </c>
      <c r="D717" t="str">
        <f>HYPERLINK("https://zfin.org/ZDB-GENE-040718-45")</f>
        <v>https://zfin.org/ZDB-GENE-040718-45</v>
      </c>
      <c r="E717" t="s">
        <v>2134</v>
      </c>
    </row>
    <row r="718" spans="1:5" x14ac:dyDescent="0.2">
      <c r="A718" t="s">
        <v>2135</v>
      </c>
      <c r="B718" t="s">
        <v>2136</v>
      </c>
      <c r="C718" t="s">
        <v>2136</v>
      </c>
      <c r="D718" t="str">
        <f>HYPERLINK("https://zfin.org/ZDB-GENE-050626-103")</f>
        <v>https://zfin.org/ZDB-GENE-050626-103</v>
      </c>
      <c r="E718" t="s">
        <v>2137</v>
      </c>
    </row>
    <row r="719" spans="1:5" x14ac:dyDescent="0.2">
      <c r="A719" t="s">
        <v>2138</v>
      </c>
      <c r="B719" t="s">
        <v>2139</v>
      </c>
      <c r="C719" t="s">
        <v>2139</v>
      </c>
      <c r="D719" t="str">
        <f>HYPERLINK("https://zfin.org/ZDB-GENE-030131-688")</f>
        <v>https://zfin.org/ZDB-GENE-030131-688</v>
      </c>
      <c r="E719" t="s">
        <v>2140</v>
      </c>
    </row>
    <row r="720" spans="1:5" x14ac:dyDescent="0.2">
      <c r="A720" t="s">
        <v>2141</v>
      </c>
      <c r="B720" t="s">
        <v>2142</v>
      </c>
      <c r="C720" t="s">
        <v>2142</v>
      </c>
      <c r="D720" t="str">
        <f>HYPERLINK("https://zfin.org/ZDB-GENE-041024-3")</f>
        <v>https://zfin.org/ZDB-GENE-041024-3</v>
      </c>
      <c r="E720" t="s">
        <v>2143</v>
      </c>
    </row>
    <row r="721" spans="1:5" x14ac:dyDescent="0.2">
      <c r="A721" t="s">
        <v>2144</v>
      </c>
      <c r="B721" t="s">
        <v>2145</v>
      </c>
      <c r="C721" t="s">
        <v>2145</v>
      </c>
      <c r="D721" t="str">
        <f>HYPERLINK("https://zfin.org/ZDB-GENE-030616-268")</f>
        <v>https://zfin.org/ZDB-GENE-030616-268</v>
      </c>
      <c r="E721" t="s">
        <v>2146</v>
      </c>
    </row>
    <row r="722" spans="1:5" x14ac:dyDescent="0.2">
      <c r="A722" t="s">
        <v>2147</v>
      </c>
      <c r="B722" t="s">
        <v>2148</v>
      </c>
      <c r="C722" t="s">
        <v>2148</v>
      </c>
      <c r="D722" t="str">
        <f>HYPERLINK("https://zfin.org/ZDB-GENE-090313-73")</f>
        <v>https://zfin.org/ZDB-GENE-090313-73</v>
      </c>
      <c r="E722" t="s">
        <v>2149</v>
      </c>
    </row>
    <row r="723" spans="1:5" x14ac:dyDescent="0.2">
      <c r="A723" t="s">
        <v>2150</v>
      </c>
      <c r="B723" t="s">
        <v>2151</v>
      </c>
      <c r="C723" t="s">
        <v>2151</v>
      </c>
      <c r="D723" t="str">
        <f>HYPERLINK("https://zfin.org/ZDB-GENE-060620-2")</f>
        <v>https://zfin.org/ZDB-GENE-060620-2</v>
      </c>
      <c r="E723" t="s">
        <v>2152</v>
      </c>
    </row>
    <row r="724" spans="1:5" x14ac:dyDescent="0.2">
      <c r="A724" t="s">
        <v>2153</v>
      </c>
      <c r="B724" t="s">
        <v>2154</v>
      </c>
      <c r="C724" t="s">
        <v>2154</v>
      </c>
      <c r="D724" t="str">
        <f>HYPERLINK("https://zfin.org/ZDB-GENE-090313-379")</f>
        <v>https://zfin.org/ZDB-GENE-090313-379</v>
      </c>
      <c r="E724" t="s">
        <v>2155</v>
      </c>
    </row>
    <row r="725" spans="1:5" x14ac:dyDescent="0.2">
      <c r="A725" t="s">
        <v>2156</v>
      </c>
      <c r="B725" t="s">
        <v>2157</v>
      </c>
      <c r="C725" t="s">
        <v>2157</v>
      </c>
      <c r="D725" t="str">
        <f>HYPERLINK("https://zfin.org/ZDB-GENE-071206-1")</f>
        <v>https://zfin.org/ZDB-GENE-071206-1</v>
      </c>
      <c r="E725" t="s">
        <v>2158</v>
      </c>
    </row>
    <row r="726" spans="1:5" x14ac:dyDescent="0.2">
      <c r="A726" t="s">
        <v>2159</v>
      </c>
      <c r="B726" t="s">
        <v>2160</v>
      </c>
      <c r="C726" t="s">
        <v>2160</v>
      </c>
      <c r="D726" t="str">
        <f>HYPERLINK("https://zfin.org/ZDB-GENE-160114-41")</f>
        <v>https://zfin.org/ZDB-GENE-160114-41</v>
      </c>
      <c r="E726" t="s">
        <v>2161</v>
      </c>
    </row>
    <row r="727" spans="1:5" x14ac:dyDescent="0.2">
      <c r="A727" t="s">
        <v>2162</v>
      </c>
      <c r="B727" t="s">
        <v>2163</v>
      </c>
      <c r="C727" t="s">
        <v>2163</v>
      </c>
      <c r="D727" t="str">
        <f>HYPERLINK("https://zfin.org/ZDB-GENE-000626-1")</f>
        <v>https://zfin.org/ZDB-GENE-000626-1</v>
      </c>
      <c r="E727" t="s">
        <v>2164</v>
      </c>
    </row>
    <row r="728" spans="1:5" x14ac:dyDescent="0.2">
      <c r="A728" t="s">
        <v>2165</v>
      </c>
      <c r="B728" t="s">
        <v>2166</v>
      </c>
      <c r="C728" t="s">
        <v>2166</v>
      </c>
      <c r="D728" t="str">
        <f>HYPERLINK("https://zfin.org/ZDB-GENE-030131-263")</f>
        <v>https://zfin.org/ZDB-GENE-030131-263</v>
      </c>
      <c r="E728" t="s">
        <v>2167</v>
      </c>
    </row>
    <row r="729" spans="1:5" x14ac:dyDescent="0.2">
      <c r="A729" t="s">
        <v>2168</v>
      </c>
      <c r="B729" t="s">
        <v>2169</v>
      </c>
      <c r="C729" t="s">
        <v>2169</v>
      </c>
      <c r="D729" t="str">
        <f>HYPERLINK("https://zfin.org/ZDB-GENE-050928-1")</f>
        <v>https://zfin.org/ZDB-GENE-050928-1</v>
      </c>
      <c r="E729" t="s">
        <v>2170</v>
      </c>
    </row>
    <row r="730" spans="1:5" x14ac:dyDescent="0.2">
      <c r="A730" t="s">
        <v>2171</v>
      </c>
      <c r="B730" t="s">
        <v>2172</v>
      </c>
      <c r="C730" t="s">
        <v>2172</v>
      </c>
      <c r="D730" t="str">
        <f>HYPERLINK("https://zfin.org/ZDB-GENE-030131-6959")</f>
        <v>https://zfin.org/ZDB-GENE-030131-6959</v>
      </c>
      <c r="E730" t="s">
        <v>2173</v>
      </c>
    </row>
    <row r="731" spans="1:5" x14ac:dyDescent="0.2">
      <c r="A731" t="s">
        <v>2174</v>
      </c>
      <c r="B731" t="s">
        <v>2175</v>
      </c>
      <c r="C731" t="s">
        <v>2175</v>
      </c>
      <c r="D731" t="str">
        <f>HYPERLINK("https://zfin.org/ZDB-GENE-041010-108")</f>
        <v>https://zfin.org/ZDB-GENE-041010-108</v>
      </c>
      <c r="E731" t="s">
        <v>2176</v>
      </c>
    </row>
    <row r="732" spans="1:5" x14ac:dyDescent="0.2">
      <c r="A732" t="s">
        <v>2177</v>
      </c>
      <c r="B732" t="s">
        <v>2178</v>
      </c>
      <c r="C732" t="s">
        <v>2178</v>
      </c>
      <c r="D732" t="str">
        <f>HYPERLINK("https://zfin.org/ZDB-GENE-071004-11")</f>
        <v>https://zfin.org/ZDB-GENE-071004-11</v>
      </c>
      <c r="E732" t="s">
        <v>2179</v>
      </c>
    </row>
    <row r="733" spans="1:5" x14ac:dyDescent="0.2">
      <c r="A733" t="s">
        <v>2180</v>
      </c>
      <c r="B733" t="s">
        <v>2181</v>
      </c>
      <c r="C733" t="s">
        <v>2181</v>
      </c>
      <c r="D733" t="str">
        <f>HYPERLINK("https://zfin.org/ZDB-GENE-090313-380")</f>
        <v>https://zfin.org/ZDB-GENE-090313-380</v>
      </c>
      <c r="E733" t="s">
        <v>2182</v>
      </c>
    </row>
    <row r="734" spans="1:5" x14ac:dyDescent="0.2">
      <c r="A734" t="s">
        <v>2183</v>
      </c>
      <c r="B734" t="s">
        <v>2184</v>
      </c>
      <c r="C734" t="s">
        <v>2184</v>
      </c>
      <c r="D734" t="str">
        <f>HYPERLINK("https://zfin.org/ZDB-GENE-150416-1")</f>
        <v>https://zfin.org/ZDB-GENE-150416-1</v>
      </c>
      <c r="E734" t="s">
        <v>2185</v>
      </c>
    </row>
    <row r="735" spans="1:5" x14ac:dyDescent="0.2">
      <c r="A735" t="s">
        <v>2186</v>
      </c>
      <c r="B735" t="s">
        <v>2187</v>
      </c>
      <c r="C735" t="s">
        <v>2187</v>
      </c>
      <c r="D735" t="str">
        <f>HYPERLINK("https://zfin.org/ZDB-GENE-070424-48")</f>
        <v>https://zfin.org/ZDB-GENE-070424-48</v>
      </c>
      <c r="E735" t="s">
        <v>2188</v>
      </c>
    </row>
    <row r="736" spans="1:5" x14ac:dyDescent="0.2">
      <c r="A736" t="s">
        <v>2189</v>
      </c>
      <c r="B736" t="s">
        <v>2190</v>
      </c>
      <c r="C736" t="s">
        <v>2190</v>
      </c>
      <c r="D736" t="str">
        <f>HYPERLINK("https://zfin.org/ZDB-GENE-060825-329")</f>
        <v>https://zfin.org/ZDB-GENE-060825-329</v>
      </c>
      <c r="E736" t="s">
        <v>2191</v>
      </c>
    </row>
    <row r="737" spans="1:5" x14ac:dyDescent="0.2">
      <c r="A737" t="s">
        <v>2192</v>
      </c>
      <c r="B737" t="s">
        <v>2193</v>
      </c>
      <c r="C737" t="s">
        <v>2193</v>
      </c>
      <c r="D737" t="str">
        <f>HYPERLINK("https://zfin.org/ZDB-GENE-040426-2537")</f>
        <v>https://zfin.org/ZDB-GENE-040426-2537</v>
      </c>
      <c r="E737" t="s">
        <v>2194</v>
      </c>
    </row>
    <row r="738" spans="1:5" x14ac:dyDescent="0.2">
      <c r="A738" t="s">
        <v>2195</v>
      </c>
      <c r="B738" t="s">
        <v>2196</v>
      </c>
      <c r="C738" t="s">
        <v>2196</v>
      </c>
      <c r="D738" t="str">
        <f>HYPERLINK("https://zfin.org/ZDB-GENE-081031-53")</f>
        <v>https://zfin.org/ZDB-GENE-081031-53</v>
      </c>
      <c r="E738" t="s">
        <v>2197</v>
      </c>
    </row>
    <row r="739" spans="1:5" x14ac:dyDescent="0.2">
      <c r="A739" t="s">
        <v>2198</v>
      </c>
      <c r="B739" t="s">
        <v>2199</v>
      </c>
      <c r="C739" t="s">
        <v>2199</v>
      </c>
      <c r="D739" t="str">
        <f>HYPERLINK("https://zfin.org/ZDB-GENE-050327-90")</f>
        <v>https://zfin.org/ZDB-GENE-050327-90</v>
      </c>
      <c r="E739" t="s">
        <v>2200</v>
      </c>
    </row>
    <row r="740" spans="1:5" x14ac:dyDescent="0.2">
      <c r="A740" t="s">
        <v>2201</v>
      </c>
      <c r="B740" t="s">
        <v>2202</v>
      </c>
      <c r="C740" t="s">
        <v>2202</v>
      </c>
      <c r="D740" t="str">
        <f>HYPERLINK("https://zfin.org/ZDB-GENE-041210-210")</f>
        <v>https://zfin.org/ZDB-GENE-041210-210</v>
      </c>
      <c r="E740" t="s">
        <v>2203</v>
      </c>
    </row>
    <row r="741" spans="1:5" x14ac:dyDescent="0.2">
      <c r="A741" t="s">
        <v>2204</v>
      </c>
      <c r="B741" t="s">
        <v>2205</v>
      </c>
      <c r="C741" t="s">
        <v>2205</v>
      </c>
      <c r="D741" t="str">
        <f>HYPERLINK("https://zfin.org/ZDB-GENE-131120-31")</f>
        <v>https://zfin.org/ZDB-GENE-131120-31</v>
      </c>
      <c r="E741" t="s">
        <v>2206</v>
      </c>
    </row>
    <row r="742" spans="1:5" x14ac:dyDescent="0.2">
      <c r="A742" t="s">
        <v>2207</v>
      </c>
      <c r="B742" t="s">
        <v>2208</v>
      </c>
      <c r="C742" t="s">
        <v>2208</v>
      </c>
      <c r="D742" t="str">
        <f>HYPERLINK("https://zfin.org/ZDB-GENE-051120-138")</f>
        <v>https://zfin.org/ZDB-GENE-051120-138</v>
      </c>
      <c r="E742" t="s">
        <v>2209</v>
      </c>
    </row>
    <row r="743" spans="1:5" x14ac:dyDescent="0.2">
      <c r="A743" t="s">
        <v>2210</v>
      </c>
      <c r="B743" t="s">
        <v>2211</v>
      </c>
      <c r="C743" t="s">
        <v>2211</v>
      </c>
      <c r="D743" t="str">
        <f>HYPERLINK("https://zfin.org/ZDB-GENE-120214-26")</f>
        <v>https://zfin.org/ZDB-GENE-120214-26</v>
      </c>
      <c r="E743" t="s">
        <v>2212</v>
      </c>
    </row>
    <row r="744" spans="1:5" x14ac:dyDescent="0.2">
      <c r="A744" t="s">
        <v>2213</v>
      </c>
      <c r="B744" t="s">
        <v>2214</v>
      </c>
      <c r="C744" t="s">
        <v>2214</v>
      </c>
      <c r="D744" t="str">
        <f>HYPERLINK("https://zfin.org/ZDB-GENE-020419-13")</f>
        <v>https://zfin.org/ZDB-GENE-020419-13</v>
      </c>
      <c r="E744" t="s">
        <v>2215</v>
      </c>
    </row>
    <row r="745" spans="1:5" x14ac:dyDescent="0.2">
      <c r="A745" t="s">
        <v>2216</v>
      </c>
      <c r="B745" t="s">
        <v>2217</v>
      </c>
      <c r="C745" t="s">
        <v>2217</v>
      </c>
      <c r="D745" t="str">
        <f>HYPERLINK("https://zfin.org/ZDB-GENE-040426-1736")</f>
        <v>https://zfin.org/ZDB-GENE-040426-1736</v>
      </c>
      <c r="E745" t="s">
        <v>2218</v>
      </c>
    </row>
    <row r="746" spans="1:5" x14ac:dyDescent="0.2">
      <c r="A746" t="s">
        <v>2219</v>
      </c>
      <c r="B746" t="s">
        <v>2220</v>
      </c>
      <c r="C746" t="s">
        <v>2220</v>
      </c>
      <c r="D746" t="str">
        <f>HYPERLINK("https://zfin.org/ZDB-GENE-050419-142")</f>
        <v>https://zfin.org/ZDB-GENE-050419-142</v>
      </c>
      <c r="E746" t="s">
        <v>2221</v>
      </c>
    </row>
    <row r="747" spans="1:5" x14ac:dyDescent="0.2">
      <c r="A747" t="s">
        <v>2222</v>
      </c>
      <c r="B747" t="s">
        <v>2223</v>
      </c>
      <c r="C747" t="s">
        <v>2223</v>
      </c>
      <c r="D747" t="str">
        <f>HYPERLINK("https://zfin.org/ZDB-GENE-980526-176")</f>
        <v>https://zfin.org/ZDB-GENE-980526-176</v>
      </c>
      <c r="E747" t="s">
        <v>2224</v>
      </c>
    </row>
    <row r="748" spans="1:5" x14ac:dyDescent="0.2">
      <c r="A748" t="s">
        <v>2225</v>
      </c>
      <c r="B748" t="s">
        <v>2226</v>
      </c>
      <c r="C748" t="s">
        <v>2226</v>
      </c>
      <c r="D748" t="str">
        <f>HYPERLINK("https://zfin.org/ZDB-GENE-060512-191")</f>
        <v>https://zfin.org/ZDB-GENE-060512-191</v>
      </c>
      <c r="E748" t="s">
        <v>2227</v>
      </c>
    </row>
    <row r="749" spans="1:5" x14ac:dyDescent="0.2">
      <c r="A749" t="s">
        <v>2228</v>
      </c>
      <c r="B749" t="s">
        <v>2229</v>
      </c>
      <c r="C749" t="s">
        <v>2229</v>
      </c>
      <c r="D749" t="str">
        <f>HYPERLINK("https://zfin.org/ZDB-GENE-030131-371")</f>
        <v>https://zfin.org/ZDB-GENE-030131-371</v>
      </c>
      <c r="E749" t="s">
        <v>2230</v>
      </c>
    </row>
    <row r="750" spans="1:5" x14ac:dyDescent="0.2">
      <c r="A750" t="s">
        <v>2231</v>
      </c>
      <c r="B750" t="s">
        <v>2232</v>
      </c>
      <c r="C750" t="s">
        <v>2232</v>
      </c>
      <c r="D750" t="str">
        <f>HYPERLINK("https://zfin.org/ZDB-GENE-120215-68")</f>
        <v>https://zfin.org/ZDB-GENE-120215-68</v>
      </c>
      <c r="E750" t="s">
        <v>2233</v>
      </c>
    </row>
    <row r="751" spans="1:5" x14ac:dyDescent="0.2">
      <c r="A751" t="s">
        <v>2234</v>
      </c>
      <c r="B751" t="s">
        <v>2235</v>
      </c>
      <c r="C751" t="s">
        <v>2235</v>
      </c>
      <c r="D751" t="str">
        <f>HYPERLINK("https://zfin.org/ZDB-GENE-041210-87")</f>
        <v>https://zfin.org/ZDB-GENE-041210-87</v>
      </c>
      <c r="E751" t="s">
        <v>2236</v>
      </c>
    </row>
    <row r="752" spans="1:5" x14ac:dyDescent="0.2">
      <c r="A752" t="s">
        <v>2237</v>
      </c>
      <c r="B752" t="s">
        <v>2238</v>
      </c>
      <c r="C752" t="s">
        <v>2238</v>
      </c>
      <c r="D752" t="str">
        <f>HYPERLINK("https://zfin.org/ZDB-GENE-090313-325")</f>
        <v>https://zfin.org/ZDB-GENE-090313-325</v>
      </c>
      <c r="E752" t="s">
        <v>2239</v>
      </c>
    </row>
    <row r="753" spans="1:5" x14ac:dyDescent="0.2">
      <c r="A753" t="s">
        <v>2240</v>
      </c>
      <c r="B753" t="s">
        <v>2241</v>
      </c>
      <c r="C753" t="s">
        <v>2241</v>
      </c>
      <c r="D753" t="str">
        <f>HYPERLINK("https://zfin.org/ZDB-GENE-040426-2342")</f>
        <v>https://zfin.org/ZDB-GENE-040426-2342</v>
      </c>
      <c r="E753" t="s">
        <v>2242</v>
      </c>
    </row>
    <row r="754" spans="1:5" x14ac:dyDescent="0.2">
      <c r="A754" t="s">
        <v>2243</v>
      </c>
      <c r="B754" t="s">
        <v>2244</v>
      </c>
      <c r="C754" t="s">
        <v>2244</v>
      </c>
      <c r="D754" t="str">
        <f>HYPERLINK("https://zfin.org/ZDB-GENE-030131-6966")</f>
        <v>https://zfin.org/ZDB-GENE-030131-6966</v>
      </c>
      <c r="E754" t="s">
        <v>2245</v>
      </c>
    </row>
    <row r="755" spans="1:5" x14ac:dyDescent="0.2">
      <c r="A755" t="s">
        <v>2246</v>
      </c>
      <c r="B755" t="s">
        <v>2247</v>
      </c>
      <c r="C755" t="s">
        <v>2247</v>
      </c>
      <c r="D755" t="str">
        <f>HYPERLINK("https://zfin.org/ZDB-GENE-000405-5")</f>
        <v>https://zfin.org/ZDB-GENE-000405-5</v>
      </c>
      <c r="E755" t="s">
        <v>2248</v>
      </c>
    </row>
    <row r="756" spans="1:5" x14ac:dyDescent="0.2">
      <c r="A756" t="s">
        <v>2249</v>
      </c>
      <c r="B756" t="s">
        <v>2250</v>
      </c>
      <c r="C756" t="s">
        <v>2250</v>
      </c>
      <c r="D756" t="str">
        <f>HYPERLINK("https://zfin.org/ZDB-GENE-051030-98")</f>
        <v>https://zfin.org/ZDB-GENE-051030-98</v>
      </c>
      <c r="E756" t="s">
        <v>2251</v>
      </c>
    </row>
    <row r="757" spans="1:5" x14ac:dyDescent="0.2">
      <c r="A757" t="s">
        <v>2252</v>
      </c>
      <c r="B757" t="s">
        <v>2253</v>
      </c>
      <c r="C757" t="s">
        <v>2253</v>
      </c>
      <c r="D757" t="str">
        <f>HYPERLINK("https://zfin.org/ZDB-GENE-080204-75")</f>
        <v>https://zfin.org/ZDB-GENE-080204-75</v>
      </c>
      <c r="E757" t="s">
        <v>2254</v>
      </c>
    </row>
    <row r="758" spans="1:5" x14ac:dyDescent="0.2">
      <c r="A758" t="s">
        <v>2255</v>
      </c>
      <c r="B758" t="s">
        <v>2256</v>
      </c>
      <c r="C758" t="s">
        <v>2256</v>
      </c>
      <c r="D758" t="str">
        <f>HYPERLINK("https://zfin.org/ZDB-GENE-100215-2")</f>
        <v>https://zfin.org/ZDB-GENE-100215-2</v>
      </c>
      <c r="E758" t="s">
        <v>2257</v>
      </c>
    </row>
    <row r="759" spans="1:5" x14ac:dyDescent="0.2">
      <c r="A759" t="s">
        <v>2258</v>
      </c>
      <c r="B759" t="s">
        <v>2259</v>
      </c>
      <c r="C759" t="s">
        <v>2259</v>
      </c>
      <c r="D759" t="str">
        <f>HYPERLINK("https://zfin.org/ZDB-GENE-040426-2807")</f>
        <v>https://zfin.org/ZDB-GENE-040426-2807</v>
      </c>
      <c r="E759" t="s">
        <v>2260</v>
      </c>
    </row>
    <row r="760" spans="1:5" x14ac:dyDescent="0.2">
      <c r="A760" t="s">
        <v>2261</v>
      </c>
      <c r="B760" t="s">
        <v>2262</v>
      </c>
      <c r="C760" t="s">
        <v>2262</v>
      </c>
      <c r="D760" t="str">
        <f>HYPERLINK("https://zfin.org/ZDB-GENE-021031-2")</f>
        <v>https://zfin.org/ZDB-GENE-021031-2</v>
      </c>
      <c r="E760" t="s">
        <v>2263</v>
      </c>
    </row>
    <row r="761" spans="1:5" x14ac:dyDescent="0.2">
      <c r="A761" t="s">
        <v>2264</v>
      </c>
      <c r="B761" t="s">
        <v>467</v>
      </c>
      <c r="C761" t="s">
        <v>2265</v>
      </c>
      <c r="D761" t="str">
        <f>HYPERLINK("https://zfin.org/ZDB-GENE-131125-5")</f>
        <v>https://zfin.org/ZDB-GENE-131125-5</v>
      </c>
      <c r="E761" t="s">
        <v>2266</v>
      </c>
    </row>
    <row r="762" spans="1:5" x14ac:dyDescent="0.2">
      <c r="A762" t="s">
        <v>2267</v>
      </c>
      <c r="B762" t="s">
        <v>2268</v>
      </c>
      <c r="C762" t="s">
        <v>2268</v>
      </c>
      <c r="D762" t="str">
        <f>HYPERLINK("https://zfin.org/ZDB-GENE-070615-19")</f>
        <v>https://zfin.org/ZDB-GENE-070615-19</v>
      </c>
      <c r="E762" t="s">
        <v>2269</v>
      </c>
    </row>
    <row r="763" spans="1:5" x14ac:dyDescent="0.2">
      <c r="A763" t="s">
        <v>2270</v>
      </c>
      <c r="B763" t="s">
        <v>2271</v>
      </c>
      <c r="C763" t="s">
        <v>2271</v>
      </c>
      <c r="D763" t="str">
        <f>HYPERLINK("https://zfin.org/ZDB-GENE-030131-5283")</f>
        <v>https://zfin.org/ZDB-GENE-030131-5283</v>
      </c>
      <c r="E763" t="s">
        <v>2272</v>
      </c>
    </row>
    <row r="764" spans="1:5" x14ac:dyDescent="0.2">
      <c r="A764" t="s">
        <v>2273</v>
      </c>
      <c r="B764" t="s">
        <v>2274</v>
      </c>
      <c r="C764" t="s">
        <v>2274</v>
      </c>
      <c r="D764" t="str">
        <f>HYPERLINK("https://zfin.org/ZDB-GENE-030131-9164")</f>
        <v>https://zfin.org/ZDB-GENE-030131-9164</v>
      </c>
      <c r="E764" t="s">
        <v>2275</v>
      </c>
    </row>
    <row r="765" spans="1:5" x14ac:dyDescent="0.2">
      <c r="A765" t="s">
        <v>2276</v>
      </c>
      <c r="B765" t="s">
        <v>2277</v>
      </c>
      <c r="C765" t="s">
        <v>2277</v>
      </c>
      <c r="D765" t="str">
        <f>HYPERLINK("https://zfin.org/ZDB-GENE-050208-65")</f>
        <v>https://zfin.org/ZDB-GENE-050208-65</v>
      </c>
      <c r="E765" t="s">
        <v>2278</v>
      </c>
    </row>
    <row r="766" spans="1:5" x14ac:dyDescent="0.2">
      <c r="A766" t="s">
        <v>2279</v>
      </c>
      <c r="B766" t="s">
        <v>2280</v>
      </c>
      <c r="C766" t="s">
        <v>2280</v>
      </c>
      <c r="D766" t="str">
        <f>HYPERLINK("https://zfin.org/ZDB-GENE-051120-57")</f>
        <v>https://zfin.org/ZDB-GENE-051120-57</v>
      </c>
      <c r="E766" t="s">
        <v>2281</v>
      </c>
    </row>
    <row r="767" spans="1:5" x14ac:dyDescent="0.2">
      <c r="A767" t="s">
        <v>2282</v>
      </c>
      <c r="B767" t="s">
        <v>2283</v>
      </c>
      <c r="C767" t="s">
        <v>2283</v>
      </c>
      <c r="D767" t="str">
        <f>HYPERLINK("https://zfin.org/ZDB-GENE-040426-1773")</f>
        <v>https://zfin.org/ZDB-GENE-040426-1773</v>
      </c>
      <c r="E767" t="s">
        <v>2284</v>
      </c>
    </row>
    <row r="768" spans="1:5" x14ac:dyDescent="0.2">
      <c r="A768" t="s">
        <v>2285</v>
      </c>
      <c r="B768" t="s">
        <v>2286</v>
      </c>
      <c r="C768" t="s">
        <v>2286</v>
      </c>
      <c r="D768" t="str">
        <f>HYPERLINK("https://zfin.org/ZDB-GENE-090421-4")</f>
        <v>https://zfin.org/ZDB-GENE-090421-4</v>
      </c>
      <c r="E768" t="s">
        <v>2287</v>
      </c>
    </row>
    <row r="769" spans="1:5" x14ac:dyDescent="0.2">
      <c r="A769" t="s">
        <v>2288</v>
      </c>
      <c r="B769" t="s">
        <v>2289</v>
      </c>
      <c r="C769" t="s">
        <v>2289</v>
      </c>
      <c r="D769" t="str">
        <f>HYPERLINK("https://zfin.org/ZDB-GENE-040426-2070")</f>
        <v>https://zfin.org/ZDB-GENE-040426-2070</v>
      </c>
      <c r="E769" t="s">
        <v>2290</v>
      </c>
    </row>
    <row r="770" spans="1:5" x14ac:dyDescent="0.2">
      <c r="A770" t="s">
        <v>2291</v>
      </c>
      <c r="B770" t="s">
        <v>2292</v>
      </c>
      <c r="C770" t="s">
        <v>2292</v>
      </c>
      <c r="D770" t="str">
        <f>HYPERLINK("https://zfin.org/ZDB-GENE-040426-769")</f>
        <v>https://zfin.org/ZDB-GENE-040426-769</v>
      </c>
      <c r="E770" t="s">
        <v>2293</v>
      </c>
    </row>
    <row r="771" spans="1:5" x14ac:dyDescent="0.2">
      <c r="A771" t="s">
        <v>2294</v>
      </c>
      <c r="B771" t="s">
        <v>2295</v>
      </c>
      <c r="C771" t="s">
        <v>2295</v>
      </c>
      <c r="D771" t="str">
        <f>HYPERLINK("https://zfin.org/ZDB-GENE-071024-1")</f>
        <v>https://zfin.org/ZDB-GENE-071024-1</v>
      </c>
      <c r="E771" t="s">
        <v>2296</v>
      </c>
    </row>
    <row r="772" spans="1:5" x14ac:dyDescent="0.2">
      <c r="A772" t="s">
        <v>2297</v>
      </c>
      <c r="B772" t="s">
        <v>2298</v>
      </c>
      <c r="C772" t="s">
        <v>2298</v>
      </c>
      <c r="D772" t="str">
        <f>HYPERLINK("https://zfin.org/ZDB-GENE-140106-24")</f>
        <v>https://zfin.org/ZDB-GENE-140106-24</v>
      </c>
      <c r="E772" t="s">
        <v>2299</v>
      </c>
    </row>
    <row r="773" spans="1:5" x14ac:dyDescent="0.2">
      <c r="A773" t="s">
        <v>2300</v>
      </c>
      <c r="B773" t="s">
        <v>2301</v>
      </c>
      <c r="C773" t="s">
        <v>2301</v>
      </c>
      <c r="D773" t="str">
        <f>HYPERLINK("https://zfin.org/ZDB-GENE-061009-43")</f>
        <v>https://zfin.org/ZDB-GENE-061009-43</v>
      </c>
      <c r="E773" t="s">
        <v>2302</v>
      </c>
    </row>
    <row r="774" spans="1:5" x14ac:dyDescent="0.2">
      <c r="A774" t="s">
        <v>2303</v>
      </c>
      <c r="B774" t="s">
        <v>2304</v>
      </c>
      <c r="C774" t="s">
        <v>2304</v>
      </c>
      <c r="D774" t="str">
        <f>HYPERLINK("https://zfin.org/ZDB-GENE-030131-8563")</f>
        <v>https://zfin.org/ZDB-GENE-030131-8563</v>
      </c>
      <c r="E774" t="s">
        <v>2305</v>
      </c>
    </row>
    <row r="775" spans="1:5" x14ac:dyDescent="0.2">
      <c r="A775" t="s">
        <v>2306</v>
      </c>
      <c r="B775" t="s">
        <v>2307</v>
      </c>
      <c r="C775" t="s">
        <v>2307</v>
      </c>
      <c r="D775" t="str">
        <f>HYPERLINK("https://zfin.org/ZDB-GENE-081107-61")</f>
        <v>https://zfin.org/ZDB-GENE-081107-61</v>
      </c>
      <c r="E775" t="s">
        <v>2308</v>
      </c>
    </row>
    <row r="776" spans="1:5" x14ac:dyDescent="0.2">
      <c r="A776" t="s">
        <v>2309</v>
      </c>
      <c r="B776" t="s">
        <v>2310</v>
      </c>
      <c r="C776" t="s">
        <v>2310</v>
      </c>
      <c r="D776" t="str">
        <f>HYPERLINK("https://zfin.org/ZDB-GENE-060526-354")</f>
        <v>https://zfin.org/ZDB-GENE-060526-354</v>
      </c>
      <c r="E776" t="s">
        <v>2311</v>
      </c>
    </row>
    <row r="777" spans="1:5" x14ac:dyDescent="0.2">
      <c r="A777" t="s">
        <v>2312</v>
      </c>
      <c r="B777" t="s">
        <v>2313</v>
      </c>
      <c r="C777" t="s">
        <v>2313</v>
      </c>
      <c r="D777" t="str">
        <f>HYPERLINK("https://zfin.org/ZDB-GENE-141211-60")</f>
        <v>https://zfin.org/ZDB-GENE-141211-60</v>
      </c>
      <c r="E777" t="s">
        <v>2314</v>
      </c>
    </row>
    <row r="778" spans="1:5" x14ac:dyDescent="0.2">
      <c r="A778" t="s">
        <v>2315</v>
      </c>
      <c r="B778" t="s">
        <v>2316</v>
      </c>
      <c r="C778" t="s">
        <v>2316</v>
      </c>
      <c r="D778" t="str">
        <f>HYPERLINK("https://zfin.org/ZDB-GENE-050425-1")</f>
        <v>https://zfin.org/ZDB-GENE-050425-1</v>
      </c>
      <c r="E778" t="s">
        <v>2317</v>
      </c>
    </row>
    <row r="779" spans="1:5" x14ac:dyDescent="0.2">
      <c r="A779" t="s">
        <v>2318</v>
      </c>
      <c r="B779" t="s">
        <v>2319</v>
      </c>
      <c r="C779" t="s">
        <v>2319</v>
      </c>
      <c r="D779" t="str">
        <f>HYPERLINK("https://zfin.org/ZDB-GENE-141210-11")</f>
        <v>https://zfin.org/ZDB-GENE-141210-11</v>
      </c>
      <c r="E779" t="s">
        <v>2320</v>
      </c>
    </row>
    <row r="780" spans="1:5" x14ac:dyDescent="0.2">
      <c r="A780" t="s">
        <v>2321</v>
      </c>
      <c r="B780" t="s">
        <v>2322</v>
      </c>
      <c r="C780" t="s">
        <v>2322</v>
      </c>
      <c r="D780" t="str">
        <f>HYPERLINK("https://zfin.org/ZDB-GENE-041011-3")</f>
        <v>https://zfin.org/ZDB-GENE-041011-3</v>
      </c>
      <c r="E780" t="s">
        <v>2323</v>
      </c>
    </row>
    <row r="781" spans="1:5" x14ac:dyDescent="0.2">
      <c r="A781" t="s">
        <v>2324</v>
      </c>
      <c r="B781" t="s">
        <v>2325</v>
      </c>
      <c r="C781" t="s">
        <v>2325</v>
      </c>
      <c r="D781" t="str">
        <f>HYPERLINK("https://zfin.org/ZDB-GENE-131010-1")</f>
        <v>https://zfin.org/ZDB-GENE-131010-1</v>
      </c>
      <c r="E781" t="s">
        <v>2326</v>
      </c>
    </row>
    <row r="782" spans="1:5" x14ac:dyDescent="0.2">
      <c r="A782" t="s">
        <v>2327</v>
      </c>
      <c r="B782" t="s">
        <v>2328</v>
      </c>
      <c r="C782" t="s">
        <v>2328</v>
      </c>
      <c r="D782" t="str">
        <f>HYPERLINK("https://zfin.org/ZDB-GENE-141216-86")</f>
        <v>https://zfin.org/ZDB-GENE-141216-86</v>
      </c>
      <c r="E782" t="s">
        <v>2329</v>
      </c>
    </row>
    <row r="783" spans="1:5" x14ac:dyDescent="0.2">
      <c r="A783" t="s">
        <v>2330</v>
      </c>
      <c r="B783" t="s">
        <v>2331</v>
      </c>
      <c r="C783" t="s">
        <v>2331</v>
      </c>
      <c r="D783" t="str">
        <f>HYPERLINK("https://zfin.org/ZDB-GENE-040801-88")</f>
        <v>https://zfin.org/ZDB-GENE-040801-88</v>
      </c>
      <c r="E783" t="s">
        <v>2332</v>
      </c>
    </row>
    <row r="784" spans="1:5" x14ac:dyDescent="0.2">
      <c r="A784" t="s">
        <v>2333</v>
      </c>
      <c r="B784" t="s">
        <v>2334</v>
      </c>
      <c r="C784" t="s">
        <v>2334</v>
      </c>
      <c r="D784" t="str">
        <f>HYPERLINK("https://zfin.org/ZDB-GENE-030131-9844")</f>
        <v>https://zfin.org/ZDB-GENE-030131-9844</v>
      </c>
      <c r="E784" t="s">
        <v>2335</v>
      </c>
    </row>
    <row r="785" spans="1:5" x14ac:dyDescent="0.2">
      <c r="A785" t="s">
        <v>2336</v>
      </c>
      <c r="B785" t="s">
        <v>2337</v>
      </c>
      <c r="C785" t="s">
        <v>2337</v>
      </c>
      <c r="D785" t="str">
        <f>HYPERLINK("https://zfin.org/ZDB-GENE-040426-2548")</f>
        <v>https://zfin.org/ZDB-GENE-040426-2548</v>
      </c>
      <c r="E785" t="s">
        <v>2338</v>
      </c>
    </row>
    <row r="786" spans="1:5" x14ac:dyDescent="0.2">
      <c r="A786" t="s">
        <v>2339</v>
      </c>
      <c r="B786" t="s">
        <v>2340</v>
      </c>
      <c r="C786" t="s">
        <v>2340</v>
      </c>
      <c r="D786" t="str">
        <f>HYPERLINK("https://zfin.org/ZDB-GENE-110913-45")</f>
        <v>https://zfin.org/ZDB-GENE-110913-45</v>
      </c>
      <c r="E786" t="s">
        <v>2341</v>
      </c>
    </row>
    <row r="787" spans="1:5" x14ac:dyDescent="0.2">
      <c r="A787" t="s">
        <v>2342</v>
      </c>
      <c r="B787" t="s">
        <v>2343</v>
      </c>
      <c r="C787" t="s">
        <v>2343</v>
      </c>
      <c r="D787" t="str">
        <f>HYPERLINK("https://zfin.org/ZDB-GENE-060929-392")</f>
        <v>https://zfin.org/ZDB-GENE-060929-392</v>
      </c>
      <c r="E787" t="s">
        <v>2344</v>
      </c>
    </row>
    <row r="788" spans="1:5" x14ac:dyDescent="0.2">
      <c r="A788" t="s">
        <v>2345</v>
      </c>
      <c r="B788" t="s">
        <v>2346</v>
      </c>
      <c r="C788" t="s">
        <v>2346</v>
      </c>
      <c r="D788" t="str">
        <f>HYPERLINK("https://zfin.org/ZDB-GENE-030131-4557")</f>
        <v>https://zfin.org/ZDB-GENE-030131-4557</v>
      </c>
      <c r="E788" t="s">
        <v>2347</v>
      </c>
    </row>
    <row r="789" spans="1:5" x14ac:dyDescent="0.2">
      <c r="A789" t="s">
        <v>2348</v>
      </c>
      <c r="B789" t="s">
        <v>2349</v>
      </c>
      <c r="C789" t="s">
        <v>2349</v>
      </c>
      <c r="D789" t="str">
        <f>HYPERLINK("https://zfin.org/ZDB-GENE-050417-90")</f>
        <v>https://zfin.org/ZDB-GENE-050417-90</v>
      </c>
      <c r="E789" t="s">
        <v>2350</v>
      </c>
    </row>
    <row r="790" spans="1:5" x14ac:dyDescent="0.2">
      <c r="A790" t="s">
        <v>2351</v>
      </c>
      <c r="B790" t="s">
        <v>2352</v>
      </c>
      <c r="C790" t="s">
        <v>2352</v>
      </c>
      <c r="D790" t="str">
        <f>HYPERLINK("https://zfin.org/ZDB-GENE-030328-33")</f>
        <v>https://zfin.org/ZDB-GENE-030328-33</v>
      </c>
      <c r="E790" t="s">
        <v>2353</v>
      </c>
    </row>
    <row r="791" spans="1:5" x14ac:dyDescent="0.2">
      <c r="A791" t="s">
        <v>2354</v>
      </c>
      <c r="B791" t="s">
        <v>2355</v>
      </c>
      <c r="C791" t="s">
        <v>2355</v>
      </c>
      <c r="D791" t="str">
        <f>HYPERLINK("https://zfin.org/ZDB-GENE-050417-136")</f>
        <v>https://zfin.org/ZDB-GENE-050417-136</v>
      </c>
      <c r="E791" t="s">
        <v>2356</v>
      </c>
    </row>
    <row r="792" spans="1:5" x14ac:dyDescent="0.2">
      <c r="A792" t="s">
        <v>2357</v>
      </c>
      <c r="B792" t="s">
        <v>2358</v>
      </c>
      <c r="C792" t="s">
        <v>2358</v>
      </c>
      <c r="D792" t="str">
        <f>HYPERLINK("https://zfin.org/ZDB-GENE-040718-474")</f>
        <v>https://zfin.org/ZDB-GENE-040718-474</v>
      </c>
      <c r="E792" t="s">
        <v>2359</v>
      </c>
    </row>
    <row r="793" spans="1:5" x14ac:dyDescent="0.2">
      <c r="A793" t="s">
        <v>2360</v>
      </c>
      <c r="B793" t="s">
        <v>2361</v>
      </c>
      <c r="C793" t="s">
        <v>2361</v>
      </c>
      <c r="D793" t="str">
        <f>HYPERLINK("https://zfin.org/ZDB-GENE-061207-61")</f>
        <v>https://zfin.org/ZDB-GENE-061207-61</v>
      </c>
      <c r="E793" t="s">
        <v>2362</v>
      </c>
    </row>
    <row r="794" spans="1:5" x14ac:dyDescent="0.2">
      <c r="A794" t="s">
        <v>2363</v>
      </c>
      <c r="B794" t="s">
        <v>2364</v>
      </c>
      <c r="C794" t="s">
        <v>2364</v>
      </c>
      <c r="D794" t="str">
        <f>HYPERLINK("https://zfin.org/ZDB-GENE-110411-185")</f>
        <v>https://zfin.org/ZDB-GENE-110411-185</v>
      </c>
      <c r="E794" t="s">
        <v>2365</v>
      </c>
    </row>
    <row r="795" spans="1:5" x14ac:dyDescent="0.2">
      <c r="A795" t="s">
        <v>2366</v>
      </c>
      <c r="B795" t="s">
        <v>2367</v>
      </c>
      <c r="C795" t="s">
        <v>2367</v>
      </c>
      <c r="D795" t="str">
        <f>HYPERLINK("https://zfin.org/ZDB-GENE-131127-205")</f>
        <v>https://zfin.org/ZDB-GENE-131127-205</v>
      </c>
      <c r="E795" t="s">
        <v>2368</v>
      </c>
    </row>
    <row r="796" spans="1:5" x14ac:dyDescent="0.2">
      <c r="A796" t="s">
        <v>2369</v>
      </c>
      <c r="B796" t="s">
        <v>2370</v>
      </c>
      <c r="C796" t="s">
        <v>2370</v>
      </c>
      <c r="D796" t="str">
        <f>HYPERLINK("https://zfin.org/ZDB-GENE-050417-78")</f>
        <v>https://zfin.org/ZDB-GENE-050417-78</v>
      </c>
      <c r="E796" t="s">
        <v>2371</v>
      </c>
    </row>
    <row r="797" spans="1:5" x14ac:dyDescent="0.2">
      <c r="A797" t="s">
        <v>2372</v>
      </c>
      <c r="B797" t="s">
        <v>2373</v>
      </c>
      <c r="C797" t="s">
        <v>2373</v>
      </c>
      <c r="D797" t="str">
        <f>HYPERLINK("https://zfin.org/ZDB-GENE-061110-85")</f>
        <v>https://zfin.org/ZDB-GENE-061110-85</v>
      </c>
      <c r="E797" t="s">
        <v>2374</v>
      </c>
    </row>
    <row r="798" spans="1:5" x14ac:dyDescent="0.2">
      <c r="A798" t="s">
        <v>2375</v>
      </c>
      <c r="B798" t="s">
        <v>2376</v>
      </c>
      <c r="C798" t="s">
        <v>2376</v>
      </c>
      <c r="D798" t="str">
        <f>HYPERLINK("https://zfin.org/ZDB-GENE-041010-156")</f>
        <v>https://zfin.org/ZDB-GENE-041010-156</v>
      </c>
      <c r="E798" t="s">
        <v>2377</v>
      </c>
    </row>
    <row r="799" spans="1:5" x14ac:dyDescent="0.2">
      <c r="A799" t="s">
        <v>2378</v>
      </c>
      <c r="B799" t="s">
        <v>2379</v>
      </c>
      <c r="C799" t="s">
        <v>2379</v>
      </c>
      <c r="D799" t="str">
        <f>HYPERLINK("https://zfin.org/ZDB-GENE-030131-6482")</f>
        <v>https://zfin.org/ZDB-GENE-030131-6482</v>
      </c>
      <c r="E799" t="s">
        <v>2380</v>
      </c>
    </row>
    <row r="800" spans="1:5" x14ac:dyDescent="0.2">
      <c r="A800" t="s">
        <v>2381</v>
      </c>
      <c r="B800" t="s">
        <v>2382</v>
      </c>
      <c r="C800" t="s">
        <v>2382</v>
      </c>
      <c r="D800" t="str">
        <f>HYPERLINK("https://zfin.org/ZDB-GENE-040426-2910")</f>
        <v>https://zfin.org/ZDB-GENE-040426-2910</v>
      </c>
      <c r="E800" t="s">
        <v>2383</v>
      </c>
    </row>
    <row r="801" spans="1:5" x14ac:dyDescent="0.2">
      <c r="A801" t="s">
        <v>2384</v>
      </c>
      <c r="B801" t="s">
        <v>2385</v>
      </c>
      <c r="C801" t="s">
        <v>2385</v>
      </c>
      <c r="D801" t="str">
        <f>HYPERLINK("https://zfin.org/ZDB-GENE-000616-1")</f>
        <v>https://zfin.org/ZDB-GENE-000616-1</v>
      </c>
      <c r="E801" t="s">
        <v>2386</v>
      </c>
    </row>
    <row r="802" spans="1:5" x14ac:dyDescent="0.2">
      <c r="A802" t="s">
        <v>2387</v>
      </c>
      <c r="B802" t="s">
        <v>2388</v>
      </c>
      <c r="C802" t="s">
        <v>2388</v>
      </c>
      <c r="D802" t="str">
        <f>HYPERLINK("https://zfin.org/ZDB-GENE-030131-7369")</f>
        <v>https://zfin.org/ZDB-GENE-030131-7369</v>
      </c>
      <c r="E802" t="s">
        <v>2389</v>
      </c>
    </row>
    <row r="803" spans="1:5" x14ac:dyDescent="0.2">
      <c r="A803" t="s">
        <v>2390</v>
      </c>
      <c r="B803" t="s">
        <v>2391</v>
      </c>
      <c r="C803" t="s">
        <v>2391</v>
      </c>
      <c r="D803" t="str">
        <f>HYPERLINK("https://zfin.org/ZDB-GENE-100922-245")</f>
        <v>https://zfin.org/ZDB-GENE-100922-245</v>
      </c>
      <c r="E803" t="s">
        <v>2392</v>
      </c>
    </row>
    <row r="804" spans="1:5" x14ac:dyDescent="0.2">
      <c r="A804" t="s">
        <v>2393</v>
      </c>
      <c r="B804" t="s">
        <v>2394</v>
      </c>
      <c r="C804" t="s">
        <v>2394</v>
      </c>
      <c r="D804" t="str">
        <f>HYPERLINK("https://zfin.org/ZDB-GENE-030131-3306")</f>
        <v>https://zfin.org/ZDB-GENE-030131-3306</v>
      </c>
      <c r="E804" t="s">
        <v>2395</v>
      </c>
    </row>
    <row r="805" spans="1:5" x14ac:dyDescent="0.2">
      <c r="A805" t="s">
        <v>2396</v>
      </c>
      <c r="B805" t="s">
        <v>2397</v>
      </c>
      <c r="C805" t="s">
        <v>2397</v>
      </c>
      <c r="D805" t="str">
        <f>HYPERLINK("https://zfin.org/ZDB-GENE-040426-2328")</f>
        <v>https://zfin.org/ZDB-GENE-040426-2328</v>
      </c>
      <c r="E805" t="s">
        <v>2398</v>
      </c>
    </row>
    <row r="806" spans="1:5" x14ac:dyDescent="0.2">
      <c r="A806" t="s">
        <v>2399</v>
      </c>
      <c r="B806" t="s">
        <v>2400</v>
      </c>
      <c r="C806" t="s">
        <v>2400</v>
      </c>
      <c r="D806" t="str">
        <f>HYPERLINK("https://zfin.org/ZDB-GENE-030131-458")</f>
        <v>https://zfin.org/ZDB-GENE-030131-458</v>
      </c>
      <c r="E806" t="s">
        <v>2401</v>
      </c>
    </row>
    <row r="807" spans="1:5" x14ac:dyDescent="0.2">
      <c r="A807" t="s">
        <v>2402</v>
      </c>
      <c r="B807" t="s">
        <v>2403</v>
      </c>
      <c r="C807" t="s">
        <v>2403</v>
      </c>
      <c r="D807" t="str">
        <f>HYPERLINK("https://zfin.org/ZDB-GENE-131120-120")</f>
        <v>https://zfin.org/ZDB-GENE-131120-120</v>
      </c>
      <c r="E807" t="s">
        <v>2404</v>
      </c>
    </row>
    <row r="808" spans="1:5" x14ac:dyDescent="0.2">
      <c r="A808" t="s">
        <v>2405</v>
      </c>
      <c r="B808" t="s">
        <v>2406</v>
      </c>
      <c r="C808" t="s">
        <v>2406</v>
      </c>
      <c r="D808" t="str">
        <f>HYPERLINK("https://zfin.org/ZDB-GENE-061009-32")</f>
        <v>https://zfin.org/ZDB-GENE-061009-32</v>
      </c>
      <c r="E808" t="s">
        <v>2407</v>
      </c>
    </row>
    <row r="809" spans="1:5" x14ac:dyDescent="0.2">
      <c r="A809" t="s">
        <v>2408</v>
      </c>
      <c r="B809" t="s">
        <v>2409</v>
      </c>
      <c r="C809" t="s">
        <v>2409</v>
      </c>
      <c r="D809" t="str">
        <f>HYPERLINK("https://zfin.org/ZDB-GENE-040426-1995")</f>
        <v>https://zfin.org/ZDB-GENE-040426-1995</v>
      </c>
      <c r="E809" t="s">
        <v>2410</v>
      </c>
    </row>
    <row r="810" spans="1:5" x14ac:dyDescent="0.2">
      <c r="A810" t="s">
        <v>2411</v>
      </c>
      <c r="B810" t="s">
        <v>2412</v>
      </c>
      <c r="C810" t="s">
        <v>2412</v>
      </c>
      <c r="D810" t="str">
        <f>HYPERLINK("https://zfin.org/ZDB-GENE-001212-8")</f>
        <v>https://zfin.org/ZDB-GENE-001212-8</v>
      </c>
      <c r="E810" t="s">
        <v>2413</v>
      </c>
    </row>
    <row r="811" spans="1:5" x14ac:dyDescent="0.2">
      <c r="A811" t="s">
        <v>2414</v>
      </c>
      <c r="B811" t="s">
        <v>2415</v>
      </c>
      <c r="C811" t="s">
        <v>2415</v>
      </c>
      <c r="D811" t="str">
        <f>HYPERLINK("https://zfin.org/ZDB-GENE-030131-2891")</f>
        <v>https://zfin.org/ZDB-GENE-030131-2891</v>
      </c>
      <c r="E811" t="s">
        <v>2416</v>
      </c>
    </row>
    <row r="812" spans="1:5" x14ac:dyDescent="0.2">
      <c r="A812" t="s">
        <v>2417</v>
      </c>
      <c r="B812" t="s">
        <v>2418</v>
      </c>
      <c r="C812" t="s">
        <v>2418</v>
      </c>
      <c r="D812" t="str">
        <f>HYPERLINK("https://zfin.org/ZDB-GENE-080520-3")</f>
        <v>https://zfin.org/ZDB-GENE-080520-3</v>
      </c>
      <c r="E812" t="s">
        <v>2419</v>
      </c>
    </row>
    <row r="813" spans="1:5" x14ac:dyDescent="0.2">
      <c r="A813" t="s">
        <v>2420</v>
      </c>
      <c r="B813" t="s">
        <v>2421</v>
      </c>
      <c r="C813" t="s">
        <v>2421</v>
      </c>
      <c r="D813" t="str">
        <f>HYPERLINK("https://zfin.org/ZDB-GENE-090313-326")</f>
        <v>https://zfin.org/ZDB-GENE-090313-326</v>
      </c>
      <c r="E813" t="s">
        <v>2422</v>
      </c>
    </row>
    <row r="814" spans="1:5" x14ac:dyDescent="0.2">
      <c r="A814" t="s">
        <v>2423</v>
      </c>
      <c r="B814" t="s">
        <v>2424</v>
      </c>
      <c r="C814" t="s">
        <v>2424</v>
      </c>
      <c r="D814" t="str">
        <f>HYPERLINK("https://zfin.org/ZDB-GENE-050417-474")</f>
        <v>https://zfin.org/ZDB-GENE-050417-474</v>
      </c>
      <c r="E814" t="s">
        <v>2425</v>
      </c>
    </row>
    <row r="815" spans="1:5" x14ac:dyDescent="0.2">
      <c r="A815" t="s">
        <v>2426</v>
      </c>
      <c r="B815" t="s">
        <v>2427</v>
      </c>
      <c r="C815" t="s">
        <v>2427</v>
      </c>
      <c r="D815" t="str">
        <f>HYPERLINK("https://zfin.org/ZDB-GENE-040801-51")</f>
        <v>https://zfin.org/ZDB-GENE-040801-51</v>
      </c>
      <c r="E815" t="s">
        <v>2428</v>
      </c>
    </row>
    <row r="816" spans="1:5" x14ac:dyDescent="0.2">
      <c r="A816" t="s">
        <v>2429</v>
      </c>
      <c r="B816" t="s">
        <v>2430</v>
      </c>
      <c r="C816" t="s">
        <v>2430</v>
      </c>
      <c r="D816" t="str">
        <f>HYPERLINK("https://zfin.org/ZDB-GENE-141216-24")</f>
        <v>https://zfin.org/ZDB-GENE-141216-24</v>
      </c>
      <c r="E816" t="s">
        <v>2431</v>
      </c>
    </row>
    <row r="817" spans="1:5" x14ac:dyDescent="0.2">
      <c r="A817" t="s">
        <v>2432</v>
      </c>
      <c r="B817" t="s">
        <v>2433</v>
      </c>
      <c r="C817" t="s">
        <v>2433</v>
      </c>
      <c r="D817" t="str">
        <f>HYPERLINK("https://zfin.org/ZDB-GENE-110914-80")</f>
        <v>https://zfin.org/ZDB-GENE-110914-80</v>
      </c>
      <c r="E817" t="s">
        <v>2434</v>
      </c>
    </row>
    <row r="818" spans="1:5" x14ac:dyDescent="0.2">
      <c r="A818" t="s">
        <v>2435</v>
      </c>
      <c r="B818" t="s">
        <v>2436</v>
      </c>
      <c r="C818" t="s">
        <v>2436</v>
      </c>
      <c r="D818" t="str">
        <f>HYPERLINK("https://zfin.org/ZDB-GENE-040426-853")</f>
        <v>https://zfin.org/ZDB-GENE-040426-853</v>
      </c>
      <c r="E818" t="s">
        <v>2437</v>
      </c>
    </row>
    <row r="819" spans="1:5" x14ac:dyDescent="0.2">
      <c r="A819" t="s">
        <v>2438</v>
      </c>
      <c r="B819" t="s">
        <v>2439</v>
      </c>
      <c r="C819" t="s">
        <v>2439</v>
      </c>
      <c r="D819" t="str">
        <f>HYPERLINK("https://zfin.org/ZDB-GENE-061215-2")</f>
        <v>https://zfin.org/ZDB-GENE-061215-2</v>
      </c>
      <c r="E819" t="s">
        <v>2440</v>
      </c>
    </row>
    <row r="820" spans="1:5" x14ac:dyDescent="0.2">
      <c r="A820" t="s">
        <v>2441</v>
      </c>
      <c r="B820" t="s">
        <v>2442</v>
      </c>
      <c r="C820" t="s">
        <v>2442</v>
      </c>
      <c r="D820" t="str">
        <f>HYPERLINK("https://zfin.org/ZDB-GENE-030717-1")</f>
        <v>https://zfin.org/ZDB-GENE-030717-1</v>
      </c>
      <c r="E820" t="s">
        <v>2443</v>
      </c>
    </row>
    <row r="821" spans="1:5" x14ac:dyDescent="0.2">
      <c r="A821" t="s">
        <v>2444</v>
      </c>
      <c r="B821" t="s">
        <v>2445</v>
      </c>
      <c r="C821" t="s">
        <v>2445</v>
      </c>
      <c r="D821" t="str">
        <f>HYPERLINK("https://zfin.org/ZDB-GENE-051113-124")</f>
        <v>https://zfin.org/ZDB-GENE-051113-124</v>
      </c>
      <c r="E821" t="s">
        <v>2446</v>
      </c>
    </row>
    <row r="822" spans="1:5" x14ac:dyDescent="0.2">
      <c r="A822" t="s">
        <v>2447</v>
      </c>
      <c r="B822" t="s">
        <v>2448</v>
      </c>
      <c r="C822" t="s">
        <v>2448</v>
      </c>
      <c r="D822" t="str">
        <f>HYPERLINK("https://zfin.org/ZDB-GENE-060606-3")</f>
        <v>https://zfin.org/ZDB-GENE-060606-3</v>
      </c>
      <c r="E822" t="s">
        <v>2449</v>
      </c>
    </row>
    <row r="823" spans="1:5" x14ac:dyDescent="0.2">
      <c r="A823" t="s">
        <v>2450</v>
      </c>
      <c r="B823" t="s">
        <v>2451</v>
      </c>
      <c r="C823" t="s">
        <v>2451</v>
      </c>
      <c r="D823" t="str">
        <f>HYPERLINK("https://zfin.org/ZDB-GENE-070521-3")</f>
        <v>https://zfin.org/ZDB-GENE-070521-3</v>
      </c>
      <c r="E823" t="s">
        <v>2452</v>
      </c>
    </row>
    <row r="824" spans="1:5" x14ac:dyDescent="0.2">
      <c r="A824" t="s">
        <v>2453</v>
      </c>
      <c r="B824" t="s">
        <v>2454</v>
      </c>
      <c r="C824" t="s">
        <v>2454</v>
      </c>
      <c r="D824" t="str">
        <f>HYPERLINK("https://zfin.org/ZDB-GENE-040116-1")</f>
        <v>https://zfin.org/ZDB-GENE-040116-1</v>
      </c>
      <c r="E824" t="s">
        <v>2455</v>
      </c>
    </row>
    <row r="825" spans="1:5" x14ac:dyDescent="0.2">
      <c r="A825" t="s">
        <v>2456</v>
      </c>
      <c r="B825" t="s">
        <v>2457</v>
      </c>
      <c r="C825" t="s">
        <v>2457</v>
      </c>
      <c r="D825" t="str">
        <f>HYPERLINK("https://zfin.org/ZDB-GENE-980526-306")</f>
        <v>https://zfin.org/ZDB-GENE-980526-306</v>
      </c>
      <c r="E825" t="s">
        <v>2458</v>
      </c>
    </row>
    <row r="826" spans="1:5" x14ac:dyDescent="0.2">
      <c r="A826" t="s">
        <v>2459</v>
      </c>
      <c r="B826" t="s">
        <v>2460</v>
      </c>
      <c r="C826" t="s">
        <v>2460</v>
      </c>
      <c r="D826" t="str">
        <f>HYPERLINK("https://zfin.org/ZDB-GENE-110408-50")</f>
        <v>https://zfin.org/ZDB-GENE-110408-50</v>
      </c>
      <c r="E826" t="s">
        <v>2461</v>
      </c>
    </row>
    <row r="827" spans="1:5" x14ac:dyDescent="0.2">
      <c r="A827" t="s">
        <v>2462</v>
      </c>
      <c r="B827" t="s">
        <v>2463</v>
      </c>
      <c r="C827" t="s">
        <v>2463</v>
      </c>
      <c r="D827" t="str">
        <f>HYPERLINK("https://zfin.org/ZDB-GENE-010702-1")</f>
        <v>https://zfin.org/ZDB-GENE-010702-1</v>
      </c>
      <c r="E827" t="s">
        <v>2464</v>
      </c>
    </row>
    <row r="828" spans="1:5" x14ac:dyDescent="0.2">
      <c r="A828" t="s">
        <v>2465</v>
      </c>
      <c r="B828" t="s">
        <v>2466</v>
      </c>
      <c r="C828" t="s">
        <v>2466</v>
      </c>
      <c r="D828" t="str">
        <f>HYPERLINK("https://zfin.org/ZDB-GENE-030131-7155")</f>
        <v>https://zfin.org/ZDB-GENE-030131-7155</v>
      </c>
      <c r="E828" t="s">
        <v>2467</v>
      </c>
    </row>
    <row r="829" spans="1:5" x14ac:dyDescent="0.2">
      <c r="A829" t="s">
        <v>2468</v>
      </c>
      <c r="B829" t="s">
        <v>2469</v>
      </c>
      <c r="C829" t="s">
        <v>2469</v>
      </c>
      <c r="D829" t="str">
        <f>HYPERLINK("https://zfin.org/ZDB-GENE-070727-1")</f>
        <v>https://zfin.org/ZDB-GENE-070727-1</v>
      </c>
      <c r="E829" t="s">
        <v>2470</v>
      </c>
    </row>
    <row r="830" spans="1:5" x14ac:dyDescent="0.2">
      <c r="A830" t="s">
        <v>2471</v>
      </c>
      <c r="B830" t="s">
        <v>2472</v>
      </c>
      <c r="C830" t="s">
        <v>2472</v>
      </c>
      <c r="D830" t="str">
        <f>HYPERLINK("https://zfin.org/ZDB-GENE-030425-1")</f>
        <v>https://zfin.org/ZDB-GENE-030425-1</v>
      </c>
      <c r="E830" t="s">
        <v>2473</v>
      </c>
    </row>
    <row r="831" spans="1:5" x14ac:dyDescent="0.2">
      <c r="A831" t="s">
        <v>2474</v>
      </c>
      <c r="B831" t="s">
        <v>2475</v>
      </c>
      <c r="C831" t="s">
        <v>2475</v>
      </c>
      <c r="D831" t="str">
        <f>HYPERLINK("https://zfin.org/ZDB-GENE-041111-240")</f>
        <v>https://zfin.org/ZDB-GENE-041111-240</v>
      </c>
      <c r="E831" t="s">
        <v>2476</v>
      </c>
    </row>
    <row r="832" spans="1:5" x14ac:dyDescent="0.2">
      <c r="A832" t="s">
        <v>2477</v>
      </c>
      <c r="B832" t="s">
        <v>2478</v>
      </c>
      <c r="C832" t="s">
        <v>2478</v>
      </c>
      <c r="D832" t="str">
        <f>HYPERLINK("https://zfin.org/ZDB-GENE-060531-13")</f>
        <v>https://zfin.org/ZDB-GENE-060531-13</v>
      </c>
      <c r="E832" t="s">
        <v>2479</v>
      </c>
    </row>
    <row r="833" spans="1:5" x14ac:dyDescent="0.2">
      <c r="A833" t="s">
        <v>2480</v>
      </c>
      <c r="B833" t="s">
        <v>2481</v>
      </c>
      <c r="C833" t="s">
        <v>2481</v>
      </c>
      <c r="D833" t="str">
        <f>HYPERLINK("https://zfin.org/ZDB-GENE-100922-183")</f>
        <v>https://zfin.org/ZDB-GENE-100922-183</v>
      </c>
      <c r="E833" t="s">
        <v>2482</v>
      </c>
    </row>
    <row r="834" spans="1:5" x14ac:dyDescent="0.2">
      <c r="A834" t="s">
        <v>2483</v>
      </c>
      <c r="B834" t="s">
        <v>2484</v>
      </c>
      <c r="C834" t="s">
        <v>2484</v>
      </c>
      <c r="D834" t="str">
        <f>HYPERLINK("https://zfin.org/ZDB-GENE-081103-47")</f>
        <v>https://zfin.org/ZDB-GENE-081103-47</v>
      </c>
      <c r="E834" t="s">
        <v>2485</v>
      </c>
    </row>
    <row r="835" spans="1:5" x14ac:dyDescent="0.2">
      <c r="A835" t="s">
        <v>2486</v>
      </c>
      <c r="B835" t="s">
        <v>2487</v>
      </c>
      <c r="C835" t="s">
        <v>2487</v>
      </c>
      <c r="D835" t="str">
        <f>HYPERLINK("https://zfin.org/ZDB-GENE-080804-1")</f>
        <v>https://zfin.org/ZDB-GENE-080804-1</v>
      </c>
      <c r="E835" t="s">
        <v>2488</v>
      </c>
    </row>
    <row r="836" spans="1:5" x14ac:dyDescent="0.2">
      <c r="A836" t="s">
        <v>2489</v>
      </c>
      <c r="B836" t="s">
        <v>2490</v>
      </c>
      <c r="C836" t="s">
        <v>2490</v>
      </c>
      <c r="D836" t="str">
        <f>HYPERLINK("https://zfin.org/ZDB-GENE-030131-5837")</f>
        <v>https://zfin.org/ZDB-GENE-030131-5837</v>
      </c>
      <c r="E836" t="s">
        <v>2491</v>
      </c>
    </row>
    <row r="837" spans="1:5" x14ac:dyDescent="0.2">
      <c r="A837" t="s">
        <v>2492</v>
      </c>
      <c r="B837" t="s">
        <v>2493</v>
      </c>
      <c r="C837" t="s">
        <v>2493</v>
      </c>
      <c r="D837" t="str">
        <f>HYPERLINK("https://zfin.org/ZDB-GENE-060526-143")</f>
        <v>https://zfin.org/ZDB-GENE-060526-143</v>
      </c>
      <c r="E837" t="s">
        <v>2494</v>
      </c>
    </row>
    <row r="838" spans="1:5" x14ac:dyDescent="0.2">
      <c r="A838" t="s">
        <v>2495</v>
      </c>
      <c r="B838" t="s">
        <v>2496</v>
      </c>
      <c r="C838" t="s">
        <v>2496</v>
      </c>
      <c r="D838" t="str">
        <f>HYPERLINK("https://zfin.org/ZDB-GENE-040426-1201")</f>
        <v>https://zfin.org/ZDB-GENE-040426-1201</v>
      </c>
      <c r="E838" t="s">
        <v>2497</v>
      </c>
    </row>
    <row r="839" spans="1:5" x14ac:dyDescent="0.2">
      <c r="A839" t="s">
        <v>2498</v>
      </c>
      <c r="B839" t="s">
        <v>2499</v>
      </c>
      <c r="C839" t="s">
        <v>2499</v>
      </c>
      <c r="D839" t="str">
        <f>HYPERLINK("https://zfin.org/ZDB-GENE-060929-1194")</f>
        <v>https://zfin.org/ZDB-GENE-060929-1194</v>
      </c>
      <c r="E839" t="s">
        <v>2500</v>
      </c>
    </row>
    <row r="840" spans="1:5" x14ac:dyDescent="0.2">
      <c r="A840" t="s">
        <v>2501</v>
      </c>
      <c r="B840" t="s">
        <v>2502</v>
      </c>
      <c r="C840" t="s">
        <v>2502</v>
      </c>
      <c r="D840" t="str">
        <f>HYPERLINK("https://zfin.org/ZDB-GENE-030131-7410")</f>
        <v>https://zfin.org/ZDB-GENE-030131-7410</v>
      </c>
      <c r="E840" t="s">
        <v>2503</v>
      </c>
    </row>
    <row r="841" spans="1:5" x14ac:dyDescent="0.2">
      <c r="A841" t="s">
        <v>2504</v>
      </c>
      <c r="B841" t="s">
        <v>2505</v>
      </c>
      <c r="C841" t="s">
        <v>2505</v>
      </c>
      <c r="D841" t="str">
        <f>HYPERLINK("https://zfin.org/ZDB-GENE-120215-80")</f>
        <v>https://zfin.org/ZDB-GENE-120215-80</v>
      </c>
      <c r="E841" t="s">
        <v>2506</v>
      </c>
    </row>
    <row r="842" spans="1:5" x14ac:dyDescent="0.2">
      <c r="A842" t="s">
        <v>2507</v>
      </c>
      <c r="B842" t="s">
        <v>2508</v>
      </c>
      <c r="C842" t="s">
        <v>2508</v>
      </c>
      <c r="D842" t="str">
        <f>HYPERLINK("https://zfin.org/ZDB-GENE-080204-119")</f>
        <v>https://zfin.org/ZDB-GENE-080204-119</v>
      </c>
      <c r="E842" t="s">
        <v>2509</v>
      </c>
    </row>
    <row r="843" spans="1:5" x14ac:dyDescent="0.2">
      <c r="A843" t="s">
        <v>2510</v>
      </c>
      <c r="B843" t="s">
        <v>2511</v>
      </c>
      <c r="C843" t="s">
        <v>2511</v>
      </c>
      <c r="D843" t="str">
        <f>HYPERLINK("https://zfin.org/ZDB-GENE-091030-1")</f>
        <v>https://zfin.org/ZDB-GENE-091030-1</v>
      </c>
      <c r="E843" t="s">
        <v>2512</v>
      </c>
    </row>
    <row r="844" spans="1:5" x14ac:dyDescent="0.2">
      <c r="A844" t="s">
        <v>2513</v>
      </c>
      <c r="B844" t="s">
        <v>2514</v>
      </c>
      <c r="C844" t="s">
        <v>2514</v>
      </c>
      <c r="D844" t="str">
        <f>HYPERLINK("https://zfin.org/ZDB-GENE-030616-621")</f>
        <v>https://zfin.org/ZDB-GENE-030616-621</v>
      </c>
      <c r="E844" t="s">
        <v>2515</v>
      </c>
    </row>
    <row r="845" spans="1:5" x14ac:dyDescent="0.2">
      <c r="A845" t="s">
        <v>2516</v>
      </c>
      <c r="B845" t="s">
        <v>2517</v>
      </c>
      <c r="C845" t="s">
        <v>2517</v>
      </c>
      <c r="D845" t="str">
        <f>HYPERLINK("https://zfin.org/ZDB-GENE-050522-174")</f>
        <v>https://zfin.org/ZDB-GENE-050522-174</v>
      </c>
      <c r="E845" t="s">
        <v>2518</v>
      </c>
    </row>
    <row r="846" spans="1:5" x14ac:dyDescent="0.2">
      <c r="A846" t="s">
        <v>2519</v>
      </c>
      <c r="B846" t="s">
        <v>2520</v>
      </c>
      <c r="C846" t="s">
        <v>2520</v>
      </c>
      <c r="D846" t="str">
        <f>HYPERLINK("https://zfin.org/ZDB-GENE-040426-1786")</f>
        <v>https://zfin.org/ZDB-GENE-040426-1786</v>
      </c>
      <c r="E846" t="s">
        <v>2521</v>
      </c>
    </row>
    <row r="847" spans="1:5" x14ac:dyDescent="0.2">
      <c r="A847" t="s">
        <v>2522</v>
      </c>
      <c r="B847" t="s">
        <v>2523</v>
      </c>
      <c r="C847" t="s">
        <v>2523</v>
      </c>
      <c r="D847" t="str">
        <f>HYPERLINK("https://zfin.org/ZDB-GENE-110913-106")</f>
        <v>https://zfin.org/ZDB-GENE-110913-106</v>
      </c>
      <c r="E847" t="s">
        <v>2524</v>
      </c>
    </row>
    <row r="848" spans="1:5" x14ac:dyDescent="0.2">
      <c r="A848" t="s">
        <v>2525</v>
      </c>
      <c r="B848" t="s">
        <v>2526</v>
      </c>
      <c r="C848" t="s">
        <v>2526</v>
      </c>
      <c r="D848" t="str">
        <f>HYPERLINK("https://zfin.org/ZDB-GENE-060526-355")</f>
        <v>https://zfin.org/ZDB-GENE-060526-355</v>
      </c>
      <c r="E848" t="s">
        <v>2527</v>
      </c>
    </row>
    <row r="849" spans="1:5" x14ac:dyDescent="0.2">
      <c r="A849" t="s">
        <v>2528</v>
      </c>
      <c r="B849" t="s">
        <v>2529</v>
      </c>
      <c r="C849" t="s">
        <v>2529</v>
      </c>
      <c r="D849" t="str">
        <f>HYPERLINK("https://zfin.org/ZDB-GENE-040426-1557")</f>
        <v>https://zfin.org/ZDB-GENE-040426-1557</v>
      </c>
      <c r="E849" t="s">
        <v>2530</v>
      </c>
    </row>
    <row r="850" spans="1:5" x14ac:dyDescent="0.2">
      <c r="A850" t="s">
        <v>2531</v>
      </c>
      <c r="B850" t="s">
        <v>2532</v>
      </c>
      <c r="C850" t="s">
        <v>2532</v>
      </c>
      <c r="D850" t="str">
        <f>HYPERLINK("https://zfin.org/ZDB-GENE-040426-1901")</f>
        <v>https://zfin.org/ZDB-GENE-040426-1901</v>
      </c>
      <c r="E850" t="s">
        <v>2533</v>
      </c>
    </row>
    <row r="851" spans="1:5" x14ac:dyDescent="0.2">
      <c r="A851" t="s">
        <v>2534</v>
      </c>
      <c r="B851" t="s">
        <v>2535</v>
      </c>
      <c r="C851" t="s">
        <v>2535</v>
      </c>
      <c r="D851" t="str">
        <f>HYPERLINK("https://zfin.org/ZDB-GENE-060526-330")</f>
        <v>https://zfin.org/ZDB-GENE-060526-330</v>
      </c>
      <c r="E851" t="s">
        <v>2536</v>
      </c>
    </row>
    <row r="852" spans="1:5" x14ac:dyDescent="0.2">
      <c r="A852" t="s">
        <v>2537</v>
      </c>
      <c r="B852" t="s">
        <v>2538</v>
      </c>
      <c r="C852" t="s">
        <v>2538</v>
      </c>
      <c r="D852" t="str">
        <f>HYPERLINK("https://zfin.org/ZDB-GENE-030131-8303")</f>
        <v>https://zfin.org/ZDB-GENE-030131-8303</v>
      </c>
      <c r="E852" t="s">
        <v>2539</v>
      </c>
    </row>
    <row r="853" spans="1:5" x14ac:dyDescent="0.2">
      <c r="A853" t="s">
        <v>2540</v>
      </c>
      <c r="B853" t="s">
        <v>2541</v>
      </c>
      <c r="C853" t="s">
        <v>2541</v>
      </c>
      <c r="D853" t="str">
        <f>HYPERLINK("https://zfin.org/ZDB-GENE-030131-4975")</f>
        <v>https://zfin.org/ZDB-GENE-030131-4975</v>
      </c>
      <c r="E853" t="s">
        <v>2542</v>
      </c>
    </row>
    <row r="854" spans="1:5" x14ac:dyDescent="0.2">
      <c r="A854" t="s">
        <v>2543</v>
      </c>
      <c r="B854" t="s">
        <v>2544</v>
      </c>
      <c r="C854" t="s">
        <v>2544</v>
      </c>
      <c r="D854" t="str">
        <f>HYPERLINK("https://zfin.org/ZDB-GENE-030131-1296")</f>
        <v>https://zfin.org/ZDB-GENE-030131-1296</v>
      </c>
      <c r="E854" t="s">
        <v>2545</v>
      </c>
    </row>
    <row r="855" spans="1:5" x14ac:dyDescent="0.2">
      <c r="A855" t="s">
        <v>2546</v>
      </c>
      <c r="B855" t="s">
        <v>2547</v>
      </c>
      <c r="C855" t="s">
        <v>2547</v>
      </c>
      <c r="D855" t="str">
        <f>HYPERLINK("https://zfin.org/ZDB-GENE-131121-375")</f>
        <v>https://zfin.org/ZDB-GENE-131121-375</v>
      </c>
      <c r="E855" t="s">
        <v>2548</v>
      </c>
    </row>
    <row r="856" spans="1:5" x14ac:dyDescent="0.2">
      <c r="A856" t="s">
        <v>2549</v>
      </c>
      <c r="B856" t="s">
        <v>2550</v>
      </c>
      <c r="C856" t="s">
        <v>2550</v>
      </c>
      <c r="D856" t="str">
        <f>HYPERLINK("https://zfin.org/ZDB-GENE-991110-17")</f>
        <v>https://zfin.org/ZDB-GENE-991110-17</v>
      </c>
      <c r="E856" t="s">
        <v>2551</v>
      </c>
    </row>
    <row r="857" spans="1:5" x14ac:dyDescent="0.2">
      <c r="A857" t="s">
        <v>2552</v>
      </c>
      <c r="B857" t="s">
        <v>2553</v>
      </c>
      <c r="C857" t="s">
        <v>2553</v>
      </c>
      <c r="D857" t="str">
        <f>HYPERLINK("https://zfin.org/ZDB-GENE-041114-168")</f>
        <v>https://zfin.org/ZDB-GENE-041114-168</v>
      </c>
      <c r="E857" t="s">
        <v>2554</v>
      </c>
    </row>
    <row r="858" spans="1:5" x14ac:dyDescent="0.2">
      <c r="A858" t="s">
        <v>2555</v>
      </c>
      <c r="B858" t="s">
        <v>2556</v>
      </c>
      <c r="C858" t="s">
        <v>2556</v>
      </c>
      <c r="D858" t="str">
        <f>HYPERLINK("https://zfin.org/ZDB-GENE-050417-355")</f>
        <v>https://zfin.org/ZDB-GENE-050417-355</v>
      </c>
      <c r="E858" t="s">
        <v>2557</v>
      </c>
    </row>
    <row r="859" spans="1:5" x14ac:dyDescent="0.2">
      <c r="A859" t="s">
        <v>2558</v>
      </c>
      <c r="B859" t="s">
        <v>2559</v>
      </c>
      <c r="C859" t="s">
        <v>2559</v>
      </c>
      <c r="D859" t="str">
        <f>HYPERLINK("https://zfin.org/ZDB-GENE-041114-101")</f>
        <v>https://zfin.org/ZDB-GENE-041114-101</v>
      </c>
      <c r="E859" t="s">
        <v>2560</v>
      </c>
    </row>
    <row r="860" spans="1:5" x14ac:dyDescent="0.2">
      <c r="A860" t="s">
        <v>2561</v>
      </c>
      <c r="B860" t="s">
        <v>2562</v>
      </c>
      <c r="C860" t="s">
        <v>2562</v>
      </c>
      <c r="D860" t="str">
        <f>HYPERLINK("https://zfin.org/ZDB-GENE-030131-9564")</f>
        <v>https://zfin.org/ZDB-GENE-030131-9564</v>
      </c>
      <c r="E860" t="s">
        <v>2563</v>
      </c>
    </row>
    <row r="861" spans="1:5" x14ac:dyDescent="0.2">
      <c r="A861" t="s">
        <v>2564</v>
      </c>
      <c r="B861" t="s">
        <v>2565</v>
      </c>
      <c r="C861" t="s">
        <v>2565</v>
      </c>
      <c r="D861" t="str">
        <f>HYPERLINK("https://zfin.org/ZDB-GENE-070705-385")</f>
        <v>https://zfin.org/ZDB-GENE-070705-385</v>
      </c>
      <c r="E861" t="s">
        <v>2566</v>
      </c>
    </row>
    <row r="862" spans="1:5" x14ac:dyDescent="0.2">
      <c r="A862" t="s">
        <v>2567</v>
      </c>
      <c r="B862" t="s">
        <v>2568</v>
      </c>
      <c r="C862" t="s">
        <v>2568</v>
      </c>
      <c r="D862" t="str">
        <f>HYPERLINK("https://zfin.org/ZDB-GENE-070206-11")</f>
        <v>https://zfin.org/ZDB-GENE-070206-11</v>
      </c>
      <c r="E862" t="s">
        <v>2569</v>
      </c>
    </row>
    <row r="863" spans="1:5" x14ac:dyDescent="0.2">
      <c r="A863" t="s">
        <v>2570</v>
      </c>
      <c r="B863" t="s">
        <v>2571</v>
      </c>
      <c r="C863" t="s">
        <v>2571</v>
      </c>
      <c r="D863" t="str">
        <f>HYPERLINK("https://zfin.org/ZDB-GENE-030131-8654")</f>
        <v>https://zfin.org/ZDB-GENE-030131-8654</v>
      </c>
      <c r="E863" t="s">
        <v>2572</v>
      </c>
    </row>
    <row r="864" spans="1:5" x14ac:dyDescent="0.2">
      <c r="A864" t="s">
        <v>2573</v>
      </c>
      <c r="B864" t="s">
        <v>2574</v>
      </c>
      <c r="C864" t="s">
        <v>2574</v>
      </c>
      <c r="D864" t="str">
        <f>HYPERLINK("https://zfin.org/ZDB-GENE-030131-7311")</f>
        <v>https://zfin.org/ZDB-GENE-030131-7311</v>
      </c>
      <c r="E864" t="s">
        <v>2575</v>
      </c>
    </row>
    <row r="865" spans="1:5" x14ac:dyDescent="0.2">
      <c r="A865" t="s">
        <v>2576</v>
      </c>
      <c r="B865" t="s">
        <v>2577</v>
      </c>
      <c r="C865" t="s">
        <v>2577</v>
      </c>
      <c r="D865" t="str">
        <f>HYPERLINK("https://zfin.org/ZDB-GENE-070705-532")</f>
        <v>https://zfin.org/ZDB-GENE-070705-532</v>
      </c>
      <c r="E865" t="s">
        <v>2578</v>
      </c>
    </row>
    <row r="866" spans="1:5" x14ac:dyDescent="0.2">
      <c r="A866" t="s">
        <v>2579</v>
      </c>
      <c r="B866" t="s">
        <v>2580</v>
      </c>
      <c r="C866" t="s">
        <v>2580</v>
      </c>
      <c r="D866" t="str">
        <f>HYPERLINK("https://zfin.org/ZDB-GENE-110914-52")</f>
        <v>https://zfin.org/ZDB-GENE-110914-52</v>
      </c>
      <c r="E866" t="s">
        <v>2581</v>
      </c>
    </row>
    <row r="867" spans="1:5" x14ac:dyDescent="0.2">
      <c r="A867" t="s">
        <v>2582</v>
      </c>
      <c r="B867" t="s">
        <v>2583</v>
      </c>
      <c r="C867" t="s">
        <v>2583</v>
      </c>
      <c r="D867" t="str">
        <f>HYPERLINK("https://zfin.org/ZDB-GENE-110914-112")</f>
        <v>https://zfin.org/ZDB-GENE-110914-112</v>
      </c>
      <c r="E867" t="s">
        <v>2584</v>
      </c>
    </row>
    <row r="868" spans="1:5" x14ac:dyDescent="0.2">
      <c r="A868" t="s">
        <v>2585</v>
      </c>
      <c r="B868" t="s">
        <v>2586</v>
      </c>
      <c r="C868" t="s">
        <v>2586</v>
      </c>
      <c r="D868" t="str">
        <f>HYPERLINK("https://zfin.org/ZDB-GENE-040426-1378")</f>
        <v>https://zfin.org/ZDB-GENE-040426-1378</v>
      </c>
      <c r="E868" t="s">
        <v>2587</v>
      </c>
    </row>
    <row r="869" spans="1:5" x14ac:dyDescent="0.2">
      <c r="A869" t="s">
        <v>2588</v>
      </c>
      <c r="B869" t="s">
        <v>2589</v>
      </c>
      <c r="C869" t="s">
        <v>2589</v>
      </c>
      <c r="D869" t="str">
        <f>HYPERLINK("https://zfin.org/ZDB-GENE-060503-841")</f>
        <v>https://zfin.org/ZDB-GENE-060503-841</v>
      </c>
      <c r="E869" t="s">
        <v>2590</v>
      </c>
    </row>
    <row r="870" spans="1:5" x14ac:dyDescent="0.2">
      <c r="A870" t="s">
        <v>2591</v>
      </c>
      <c r="B870" t="s">
        <v>2592</v>
      </c>
      <c r="C870" t="s">
        <v>2592</v>
      </c>
      <c r="D870" t="str">
        <f>HYPERLINK("https://zfin.org/ZDB-GENE-090313-45")</f>
        <v>https://zfin.org/ZDB-GENE-090313-45</v>
      </c>
      <c r="E870" t="s">
        <v>2593</v>
      </c>
    </row>
    <row r="871" spans="1:5" x14ac:dyDescent="0.2">
      <c r="A871" t="s">
        <v>2594</v>
      </c>
      <c r="B871" t="s">
        <v>2595</v>
      </c>
      <c r="C871" t="s">
        <v>2595</v>
      </c>
      <c r="D871" t="str">
        <f>HYPERLINK("https://zfin.org/ZDB-GENE-061013-517")</f>
        <v>https://zfin.org/ZDB-GENE-061013-517</v>
      </c>
      <c r="E871" t="s">
        <v>2596</v>
      </c>
    </row>
    <row r="872" spans="1:5" x14ac:dyDescent="0.2">
      <c r="A872" t="s">
        <v>2597</v>
      </c>
      <c r="B872" t="s">
        <v>2598</v>
      </c>
      <c r="C872" t="s">
        <v>2598</v>
      </c>
      <c r="D872" t="str">
        <f>HYPERLINK("https://zfin.org/ZDB-GENE-040426-2140")</f>
        <v>https://zfin.org/ZDB-GENE-040426-2140</v>
      </c>
      <c r="E872" t="s">
        <v>2599</v>
      </c>
    </row>
    <row r="873" spans="1:5" x14ac:dyDescent="0.2">
      <c r="A873" t="s">
        <v>2600</v>
      </c>
      <c r="B873" t="s">
        <v>2601</v>
      </c>
      <c r="C873" t="s">
        <v>2601</v>
      </c>
      <c r="D873" t="str">
        <f>HYPERLINK("https://zfin.org/ZDB-GENE-140106-126")</f>
        <v>https://zfin.org/ZDB-GENE-140106-126</v>
      </c>
      <c r="E873" t="s">
        <v>2602</v>
      </c>
    </row>
    <row r="874" spans="1:5" x14ac:dyDescent="0.2">
      <c r="A874" t="s">
        <v>2603</v>
      </c>
      <c r="B874" t="s">
        <v>2604</v>
      </c>
      <c r="C874" t="s">
        <v>2604</v>
      </c>
      <c r="D874" t="str">
        <f>HYPERLINK("https://zfin.org/ZDB-GENE-060526-142")</f>
        <v>https://zfin.org/ZDB-GENE-060526-142</v>
      </c>
      <c r="E874" t="s">
        <v>2605</v>
      </c>
    </row>
    <row r="875" spans="1:5" x14ac:dyDescent="0.2">
      <c r="A875" t="s">
        <v>2606</v>
      </c>
      <c r="B875" t="s">
        <v>2607</v>
      </c>
      <c r="C875" t="s">
        <v>2607</v>
      </c>
      <c r="D875" t="str">
        <f>HYPERLINK("https://zfin.org/ZDB-GENE-030131-2908")</f>
        <v>https://zfin.org/ZDB-GENE-030131-2908</v>
      </c>
      <c r="E875" t="s">
        <v>2608</v>
      </c>
    </row>
    <row r="876" spans="1:5" x14ac:dyDescent="0.2">
      <c r="A876" t="s">
        <v>2609</v>
      </c>
      <c r="B876" t="s">
        <v>2610</v>
      </c>
      <c r="C876" t="s">
        <v>2610</v>
      </c>
      <c r="D876" t="str">
        <f>HYPERLINK("https://zfin.org/ZDB-GENE-030721-4")</f>
        <v>https://zfin.org/ZDB-GENE-030721-4</v>
      </c>
      <c r="E876" t="s">
        <v>2611</v>
      </c>
    </row>
    <row r="877" spans="1:5" x14ac:dyDescent="0.2">
      <c r="A877" t="s">
        <v>2612</v>
      </c>
      <c r="B877" t="s">
        <v>2613</v>
      </c>
      <c r="C877" t="s">
        <v>2613</v>
      </c>
      <c r="D877" t="str">
        <f>HYPERLINK("https://zfin.org/ZDB-GENE-050809-136")</f>
        <v>https://zfin.org/ZDB-GENE-050809-136</v>
      </c>
      <c r="E877" t="s">
        <v>2614</v>
      </c>
    </row>
    <row r="878" spans="1:5" x14ac:dyDescent="0.2">
      <c r="A878" t="s">
        <v>2615</v>
      </c>
      <c r="B878" t="s">
        <v>2616</v>
      </c>
      <c r="C878" t="s">
        <v>2616</v>
      </c>
      <c r="D878" t="str">
        <f>HYPERLINK("https://zfin.org/ZDB-GENE-050410-4")</f>
        <v>https://zfin.org/ZDB-GENE-050410-4</v>
      </c>
      <c r="E878" t="s">
        <v>2617</v>
      </c>
    </row>
    <row r="879" spans="1:5" x14ac:dyDescent="0.2">
      <c r="A879" t="s">
        <v>2618</v>
      </c>
      <c r="B879" t="s">
        <v>2619</v>
      </c>
      <c r="C879" t="s">
        <v>2619</v>
      </c>
      <c r="D879" t="str">
        <f>HYPERLINK("https://zfin.org/ZDB-GENE-030131-664")</f>
        <v>https://zfin.org/ZDB-GENE-030131-664</v>
      </c>
      <c r="E879" t="s">
        <v>2620</v>
      </c>
    </row>
    <row r="880" spans="1:5" x14ac:dyDescent="0.2">
      <c r="A880" t="s">
        <v>2621</v>
      </c>
      <c r="B880" t="s">
        <v>2622</v>
      </c>
      <c r="C880" t="s">
        <v>2622</v>
      </c>
      <c r="D880" t="str">
        <f>HYPERLINK("https://zfin.org/ZDB-GENE-090313-340")</f>
        <v>https://zfin.org/ZDB-GENE-090313-340</v>
      </c>
      <c r="E880" t="s">
        <v>2623</v>
      </c>
    </row>
    <row r="881" spans="1:5" x14ac:dyDescent="0.2">
      <c r="A881" t="s">
        <v>2624</v>
      </c>
      <c r="B881" t="s">
        <v>2625</v>
      </c>
      <c r="C881" t="s">
        <v>2625</v>
      </c>
      <c r="D881" t="str">
        <f>HYPERLINK("https://zfin.org/ZDB-GENE-041114-201")</f>
        <v>https://zfin.org/ZDB-GENE-041114-201</v>
      </c>
      <c r="E881" t="s">
        <v>2626</v>
      </c>
    </row>
    <row r="882" spans="1:5" x14ac:dyDescent="0.2">
      <c r="A882" t="s">
        <v>2627</v>
      </c>
      <c r="B882" t="s">
        <v>2628</v>
      </c>
      <c r="C882" t="s">
        <v>2628</v>
      </c>
      <c r="D882" t="str">
        <f>HYPERLINK("https://zfin.org/ZDB-GENE-110913-64")</f>
        <v>https://zfin.org/ZDB-GENE-110913-64</v>
      </c>
      <c r="E882" t="s">
        <v>2629</v>
      </c>
    </row>
    <row r="883" spans="1:5" x14ac:dyDescent="0.2">
      <c r="A883" t="s">
        <v>2630</v>
      </c>
      <c r="B883" t="s">
        <v>2631</v>
      </c>
      <c r="C883" t="s">
        <v>2631</v>
      </c>
      <c r="D883" t="str">
        <f>HYPERLINK("https://zfin.org/ZDB-GENE-060929-272")</f>
        <v>https://zfin.org/ZDB-GENE-060929-272</v>
      </c>
      <c r="E883" t="s">
        <v>2632</v>
      </c>
    </row>
    <row r="884" spans="1:5" x14ac:dyDescent="0.2">
      <c r="A884" t="s">
        <v>2633</v>
      </c>
      <c r="B884" t="s">
        <v>2634</v>
      </c>
      <c r="C884" t="s">
        <v>2634</v>
      </c>
      <c r="D884" t="str">
        <f>HYPERLINK("https://zfin.org/ZDB-GENE-070424-2")</f>
        <v>https://zfin.org/ZDB-GENE-070424-2</v>
      </c>
      <c r="E884" t="s">
        <v>2635</v>
      </c>
    </row>
    <row r="885" spans="1:5" x14ac:dyDescent="0.2">
      <c r="A885" t="s">
        <v>2636</v>
      </c>
      <c r="B885" t="s">
        <v>2637</v>
      </c>
      <c r="C885" t="s">
        <v>2637</v>
      </c>
      <c r="D885" t="str">
        <f>HYPERLINK("https://zfin.org/ZDB-GENE-040625-34")</f>
        <v>https://zfin.org/ZDB-GENE-040625-34</v>
      </c>
      <c r="E885" t="s">
        <v>2638</v>
      </c>
    </row>
    <row r="886" spans="1:5" x14ac:dyDescent="0.2">
      <c r="A886" t="s">
        <v>2639</v>
      </c>
      <c r="B886" t="s">
        <v>2640</v>
      </c>
      <c r="C886" t="s">
        <v>2640</v>
      </c>
      <c r="D886" t="str">
        <f>HYPERLINK("https://zfin.org/ZDB-GENE-040426-2186")</f>
        <v>https://zfin.org/ZDB-GENE-040426-2186</v>
      </c>
      <c r="E886" t="s">
        <v>2641</v>
      </c>
    </row>
    <row r="887" spans="1:5" x14ac:dyDescent="0.2">
      <c r="A887" t="s">
        <v>2642</v>
      </c>
      <c r="B887" t="s">
        <v>2643</v>
      </c>
      <c r="C887" t="s">
        <v>2643</v>
      </c>
      <c r="D887" t="str">
        <f>HYPERLINK("https://zfin.org/ZDB-GENE-041010-66")</f>
        <v>https://zfin.org/ZDB-GENE-041010-66</v>
      </c>
      <c r="E887" t="s">
        <v>2644</v>
      </c>
    </row>
    <row r="888" spans="1:5" x14ac:dyDescent="0.2">
      <c r="A888" t="s">
        <v>2645</v>
      </c>
      <c r="B888" t="s">
        <v>2646</v>
      </c>
      <c r="C888" t="s">
        <v>2646</v>
      </c>
      <c r="D888" t="str">
        <f>HYPERLINK("https://zfin.org/ZDB-GENE-030131-7414")</f>
        <v>https://zfin.org/ZDB-GENE-030131-7414</v>
      </c>
      <c r="E888" t="s">
        <v>2647</v>
      </c>
    </row>
    <row r="889" spans="1:5" x14ac:dyDescent="0.2">
      <c r="A889" t="s">
        <v>2648</v>
      </c>
      <c r="B889" t="s">
        <v>2649</v>
      </c>
      <c r="C889" t="s">
        <v>2649</v>
      </c>
      <c r="D889" t="str">
        <f>HYPERLINK("https://zfin.org/ZDB-GENE-030131-2746")</f>
        <v>https://zfin.org/ZDB-GENE-030131-2746</v>
      </c>
      <c r="E889" t="s">
        <v>2650</v>
      </c>
    </row>
    <row r="890" spans="1:5" x14ac:dyDescent="0.2">
      <c r="A890" t="s">
        <v>2651</v>
      </c>
      <c r="B890" t="s">
        <v>2652</v>
      </c>
      <c r="C890" t="s">
        <v>2652</v>
      </c>
      <c r="D890" t="str">
        <f>HYPERLINK("https://zfin.org/ZDB-GENE-060526-287")</f>
        <v>https://zfin.org/ZDB-GENE-060526-287</v>
      </c>
      <c r="E890" t="s">
        <v>2653</v>
      </c>
    </row>
    <row r="891" spans="1:5" x14ac:dyDescent="0.2">
      <c r="A891" t="s">
        <v>2654</v>
      </c>
      <c r="B891" t="s">
        <v>2655</v>
      </c>
      <c r="C891" t="s">
        <v>2655</v>
      </c>
      <c r="D891" t="str">
        <f>HYPERLINK("https://zfin.org/ZDB-GENE-040426-2871")</f>
        <v>https://zfin.org/ZDB-GENE-040426-2871</v>
      </c>
      <c r="E891" t="s">
        <v>2656</v>
      </c>
    </row>
    <row r="892" spans="1:5" x14ac:dyDescent="0.2">
      <c r="A892" t="s">
        <v>2657</v>
      </c>
      <c r="B892" t="s">
        <v>2658</v>
      </c>
      <c r="C892" t="s">
        <v>2658</v>
      </c>
      <c r="D892" t="str">
        <f>HYPERLINK("https://zfin.org/ZDB-GENE-131121-298")</f>
        <v>https://zfin.org/ZDB-GENE-131121-298</v>
      </c>
      <c r="E892" t="s">
        <v>2659</v>
      </c>
    </row>
    <row r="893" spans="1:5" x14ac:dyDescent="0.2">
      <c r="A893" t="s">
        <v>2660</v>
      </c>
      <c r="B893" t="s">
        <v>2661</v>
      </c>
      <c r="C893" t="s">
        <v>2661</v>
      </c>
      <c r="D893" t="str">
        <f>HYPERLINK("https://zfin.org/ZDB-GENE-080728-2")</f>
        <v>https://zfin.org/ZDB-GENE-080728-2</v>
      </c>
      <c r="E893" t="s">
        <v>2662</v>
      </c>
    </row>
    <row r="894" spans="1:5" x14ac:dyDescent="0.2">
      <c r="A894" t="s">
        <v>2663</v>
      </c>
      <c r="B894" t="s">
        <v>2664</v>
      </c>
      <c r="C894" t="s">
        <v>2664</v>
      </c>
      <c r="D894" t="str">
        <f>HYPERLINK("https://zfin.org/ZDB-GENE-040625-109")</f>
        <v>https://zfin.org/ZDB-GENE-040625-109</v>
      </c>
      <c r="E894" t="s">
        <v>2665</v>
      </c>
    </row>
    <row r="895" spans="1:5" x14ac:dyDescent="0.2">
      <c r="A895" t="s">
        <v>2666</v>
      </c>
      <c r="B895" t="s">
        <v>2667</v>
      </c>
      <c r="C895" t="s">
        <v>2667</v>
      </c>
      <c r="D895" t="str">
        <f>HYPERLINK("https://zfin.org/ZDB-GENE-120214-35")</f>
        <v>https://zfin.org/ZDB-GENE-120214-35</v>
      </c>
      <c r="E895" t="s">
        <v>2668</v>
      </c>
    </row>
    <row r="896" spans="1:5" x14ac:dyDescent="0.2">
      <c r="A896" t="s">
        <v>2669</v>
      </c>
      <c r="B896" t="s">
        <v>2670</v>
      </c>
      <c r="C896" t="s">
        <v>2670</v>
      </c>
      <c r="D896" t="str">
        <f>HYPERLINK("https://zfin.org/ZDB-GENE-040426-2765")</f>
        <v>https://zfin.org/ZDB-GENE-040426-2765</v>
      </c>
      <c r="E896" t="s">
        <v>2671</v>
      </c>
    </row>
    <row r="897" spans="1:5" x14ac:dyDescent="0.2">
      <c r="A897" t="s">
        <v>2672</v>
      </c>
      <c r="B897" t="s">
        <v>2673</v>
      </c>
      <c r="C897" t="s">
        <v>2673</v>
      </c>
      <c r="D897" t="str">
        <f>HYPERLINK("https://zfin.org/ZDB-GENE-070410-129")</f>
        <v>https://zfin.org/ZDB-GENE-070410-129</v>
      </c>
      <c r="E897" t="s">
        <v>2674</v>
      </c>
    </row>
    <row r="898" spans="1:5" x14ac:dyDescent="0.2">
      <c r="A898" t="s">
        <v>2675</v>
      </c>
      <c r="B898" t="s">
        <v>2676</v>
      </c>
      <c r="C898" t="s">
        <v>2676</v>
      </c>
      <c r="D898" t="str">
        <f>HYPERLINK("https://zfin.org/ZDB-GENE-131127-95")</f>
        <v>https://zfin.org/ZDB-GENE-131127-95</v>
      </c>
      <c r="E898" t="s">
        <v>2677</v>
      </c>
    </row>
    <row r="899" spans="1:5" x14ac:dyDescent="0.2">
      <c r="A899" t="s">
        <v>2678</v>
      </c>
      <c r="B899" t="s">
        <v>2679</v>
      </c>
      <c r="C899" t="s">
        <v>2679</v>
      </c>
      <c r="D899" t="str">
        <f>HYPERLINK("https://zfin.org/ZDB-GENE-070912-293")</f>
        <v>https://zfin.org/ZDB-GENE-070912-293</v>
      </c>
      <c r="E899" t="s">
        <v>2680</v>
      </c>
    </row>
    <row r="900" spans="1:5" x14ac:dyDescent="0.2">
      <c r="A900" t="s">
        <v>2681</v>
      </c>
      <c r="B900" t="s">
        <v>2682</v>
      </c>
      <c r="C900" t="s">
        <v>2682</v>
      </c>
      <c r="D900" t="str">
        <f>HYPERLINK("https://zfin.org/ZDB-GENE-120215-180")</f>
        <v>https://zfin.org/ZDB-GENE-120215-180</v>
      </c>
      <c r="E900" t="s">
        <v>2683</v>
      </c>
    </row>
    <row r="901" spans="1:5" x14ac:dyDescent="0.2">
      <c r="A901" t="s">
        <v>2684</v>
      </c>
      <c r="B901" t="s">
        <v>2685</v>
      </c>
      <c r="C901" t="s">
        <v>2685</v>
      </c>
      <c r="D901" t="str">
        <f>HYPERLINK("https://zfin.org/ZDB-GENE-070410-91")</f>
        <v>https://zfin.org/ZDB-GENE-070410-91</v>
      </c>
      <c r="E901" t="s">
        <v>2686</v>
      </c>
    </row>
    <row r="902" spans="1:5" x14ac:dyDescent="0.2">
      <c r="A902" t="s">
        <v>2687</v>
      </c>
      <c r="B902" t="s">
        <v>2688</v>
      </c>
      <c r="C902" t="s">
        <v>2688</v>
      </c>
      <c r="D902" t="str">
        <f>HYPERLINK("https://zfin.org/ZDB-GENE-030131-587")</f>
        <v>https://zfin.org/ZDB-GENE-030131-587</v>
      </c>
      <c r="E902" t="s">
        <v>2689</v>
      </c>
    </row>
    <row r="903" spans="1:5" x14ac:dyDescent="0.2">
      <c r="A903" t="s">
        <v>2690</v>
      </c>
      <c r="B903" t="s">
        <v>2691</v>
      </c>
      <c r="C903" t="s">
        <v>2691</v>
      </c>
      <c r="D903" t="str">
        <f>HYPERLINK("https://zfin.org/ZDB-GENE-070620-4")</f>
        <v>https://zfin.org/ZDB-GENE-070620-4</v>
      </c>
      <c r="E903" t="s">
        <v>2692</v>
      </c>
    </row>
    <row r="904" spans="1:5" x14ac:dyDescent="0.2">
      <c r="A904" t="s">
        <v>2693</v>
      </c>
      <c r="B904" t="s">
        <v>2694</v>
      </c>
      <c r="C904" t="s">
        <v>2694</v>
      </c>
      <c r="D904" t="str">
        <f>HYPERLINK("https://zfin.org/ZDB-GENE-060224-2")</f>
        <v>https://zfin.org/ZDB-GENE-060224-2</v>
      </c>
      <c r="E904" t="s">
        <v>2695</v>
      </c>
    </row>
    <row r="905" spans="1:5" x14ac:dyDescent="0.2">
      <c r="A905" t="s">
        <v>2696</v>
      </c>
      <c r="B905" t="s">
        <v>2697</v>
      </c>
      <c r="C905" t="s">
        <v>2697</v>
      </c>
      <c r="D905" t="str">
        <f>HYPERLINK("https://zfin.org/ZDB-GENE-060526-173")</f>
        <v>https://zfin.org/ZDB-GENE-060526-173</v>
      </c>
      <c r="E905" t="s">
        <v>2698</v>
      </c>
    </row>
    <row r="906" spans="1:5" x14ac:dyDescent="0.2">
      <c r="A906" t="s">
        <v>2699</v>
      </c>
      <c r="B906" t="s">
        <v>2700</v>
      </c>
      <c r="C906" t="s">
        <v>2700</v>
      </c>
      <c r="D906" t="str">
        <f>HYPERLINK("https://zfin.org/ZDB-GENE-030131-6462")</f>
        <v>https://zfin.org/ZDB-GENE-030131-6462</v>
      </c>
      <c r="E906" t="s">
        <v>2701</v>
      </c>
    </row>
    <row r="907" spans="1:5" x14ac:dyDescent="0.2">
      <c r="A907" t="s">
        <v>2702</v>
      </c>
      <c r="B907" t="s">
        <v>2703</v>
      </c>
      <c r="C907" t="s">
        <v>2703</v>
      </c>
      <c r="D907" t="str">
        <f>HYPERLINK("https://zfin.org/ZDB-GENE-020802-2")</f>
        <v>https://zfin.org/ZDB-GENE-020802-2</v>
      </c>
      <c r="E907" t="s">
        <v>2704</v>
      </c>
    </row>
    <row r="908" spans="1:5" x14ac:dyDescent="0.2">
      <c r="A908" t="s">
        <v>2705</v>
      </c>
      <c r="B908" t="s">
        <v>2706</v>
      </c>
      <c r="C908" t="s">
        <v>2706</v>
      </c>
      <c r="D908" t="str">
        <f>HYPERLINK("https://zfin.org/ZDB-GENE-070912-5")</f>
        <v>https://zfin.org/ZDB-GENE-070912-5</v>
      </c>
      <c r="E908" t="s">
        <v>2707</v>
      </c>
    </row>
    <row r="909" spans="1:5" x14ac:dyDescent="0.2">
      <c r="A909" t="s">
        <v>2708</v>
      </c>
      <c r="B909" t="s">
        <v>2709</v>
      </c>
      <c r="C909" t="s">
        <v>2709</v>
      </c>
      <c r="D909" t="str">
        <f>HYPERLINK("https://zfin.org/ZDB-GENE-100922-213")</f>
        <v>https://zfin.org/ZDB-GENE-100922-213</v>
      </c>
      <c r="E909" t="s">
        <v>2710</v>
      </c>
    </row>
    <row r="910" spans="1:5" x14ac:dyDescent="0.2">
      <c r="A910" t="s">
        <v>2711</v>
      </c>
      <c r="B910" t="s">
        <v>2712</v>
      </c>
      <c r="C910" t="s">
        <v>2712</v>
      </c>
      <c r="D910" t="str">
        <f>HYPERLINK("https://zfin.org/ZDB-GENE-100922-193")</f>
        <v>https://zfin.org/ZDB-GENE-100922-193</v>
      </c>
      <c r="E910" t="s">
        <v>2713</v>
      </c>
    </row>
    <row r="911" spans="1:5" x14ac:dyDescent="0.2">
      <c r="A911" t="s">
        <v>2714</v>
      </c>
      <c r="B911" t="s">
        <v>2715</v>
      </c>
      <c r="C911" t="s">
        <v>2715</v>
      </c>
      <c r="D911" t="str">
        <f>HYPERLINK("https://zfin.org/ZDB-GENE-050506-107")</f>
        <v>https://zfin.org/ZDB-GENE-050506-107</v>
      </c>
      <c r="E911" t="s">
        <v>2716</v>
      </c>
    </row>
    <row r="912" spans="1:5" x14ac:dyDescent="0.2">
      <c r="A912" t="s">
        <v>2717</v>
      </c>
      <c r="B912" t="s">
        <v>2718</v>
      </c>
      <c r="C912" t="s">
        <v>2718</v>
      </c>
      <c r="D912" t="str">
        <f>HYPERLINK("https://zfin.org/ZDB-GENE-110913-138")</f>
        <v>https://zfin.org/ZDB-GENE-110913-138</v>
      </c>
      <c r="E912" t="s">
        <v>2719</v>
      </c>
    </row>
    <row r="913" spans="1:5" x14ac:dyDescent="0.2">
      <c r="A913" t="s">
        <v>2720</v>
      </c>
      <c r="B913" t="s">
        <v>2721</v>
      </c>
      <c r="C913" t="s">
        <v>2721</v>
      </c>
      <c r="D913" t="str">
        <f>HYPERLINK("https://zfin.org/ZDB-GENE-081031-93")</f>
        <v>https://zfin.org/ZDB-GENE-081031-93</v>
      </c>
      <c r="E913" t="s">
        <v>2722</v>
      </c>
    </row>
    <row r="914" spans="1:5" x14ac:dyDescent="0.2">
      <c r="A914" t="s">
        <v>2723</v>
      </c>
      <c r="B914" t="s">
        <v>2724</v>
      </c>
      <c r="C914" t="s">
        <v>2724</v>
      </c>
      <c r="D914" t="str">
        <f>HYPERLINK("https://zfin.org/ZDB-GENE-050907-1")</f>
        <v>https://zfin.org/ZDB-GENE-050907-1</v>
      </c>
      <c r="E914" t="s">
        <v>2725</v>
      </c>
    </row>
    <row r="915" spans="1:5" x14ac:dyDescent="0.2">
      <c r="A915" t="s">
        <v>2726</v>
      </c>
      <c r="B915" t="s">
        <v>2727</v>
      </c>
      <c r="C915" t="s">
        <v>2727</v>
      </c>
      <c r="D915" t="str">
        <f>HYPERLINK("https://zfin.org/ZDB-GENE-040426-2539")</f>
        <v>https://zfin.org/ZDB-GENE-040426-2539</v>
      </c>
      <c r="E915" t="s">
        <v>2728</v>
      </c>
    </row>
    <row r="916" spans="1:5" x14ac:dyDescent="0.2">
      <c r="A916" t="s">
        <v>2729</v>
      </c>
      <c r="B916" t="s">
        <v>2730</v>
      </c>
      <c r="C916" t="s">
        <v>2730</v>
      </c>
      <c r="D916" t="str">
        <f>HYPERLINK("https://zfin.org/ZDB-GENE-030131-2784")</f>
        <v>https://zfin.org/ZDB-GENE-030131-2784</v>
      </c>
      <c r="E916" t="s">
        <v>2731</v>
      </c>
    </row>
    <row r="917" spans="1:5" x14ac:dyDescent="0.2">
      <c r="A917" t="s">
        <v>2732</v>
      </c>
      <c r="B917" t="s">
        <v>2733</v>
      </c>
      <c r="C917" t="s">
        <v>2733</v>
      </c>
      <c r="D917" t="str">
        <f>HYPERLINK("https://zfin.org/ZDB-GENE-040426-1344")</f>
        <v>https://zfin.org/ZDB-GENE-040426-1344</v>
      </c>
      <c r="E917" t="s">
        <v>2734</v>
      </c>
    </row>
    <row r="918" spans="1:5" x14ac:dyDescent="0.2">
      <c r="A918" t="s">
        <v>2735</v>
      </c>
      <c r="B918" t="s">
        <v>2736</v>
      </c>
      <c r="C918" t="s">
        <v>2736</v>
      </c>
      <c r="D918" t="str">
        <f>HYPERLINK("https://zfin.org/ZDB-GENE-060929-568")</f>
        <v>https://zfin.org/ZDB-GENE-060929-568</v>
      </c>
      <c r="E918" t="s">
        <v>2737</v>
      </c>
    </row>
    <row r="919" spans="1:5" x14ac:dyDescent="0.2">
      <c r="A919" t="s">
        <v>2738</v>
      </c>
      <c r="B919" t="s">
        <v>2739</v>
      </c>
      <c r="C919" t="s">
        <v>2739</v>
      </c>
      <c r="D919" t="str">
        <f>HYPERLINK("https://zfin.org/ZDB-GENE-031110-2")</f>
        <v>https://zfin.org/ZDB-GENE-031110-2</v>
      </c>
      <c r="E919" t="s">
        <v>2740</v>
      </c>
    </row>
    <row r="920" spans="1:5" x14ac:dyDescent="0.2">
      <c r="A920" t="s">
        <v>2741</v>
      </c>
      <c r="B920" t="s">
        <v>2742</v>
      </c>
      <c r="C920" t="s">
        <v>2742</v>
      </c>
      <c r="D920" t="str">
        <f>HYPERLINK("https://zfin.org/ZDB-GENE-100922-77")</f>
        <v>https://zfin.org/ZDB-GENE-100922-77</v>
      </c>
      <c r="E920" t="s">
        <v>2743</v>
      </c>
    </row>
    <row r="921" spans="1:5" x14ac:dyDescent="0.2">
      <c r="A921" t="s">
        <v>2744</v>
      </c>
      <c r="B921" t="s">
        <v>2745</v>
      </c>
      <c r="C921" t="s">
        <v>2745</v>
      </c>
      <c r="D921" t="str">
        <f>HYPERLINK("https://zfin.org/ZDB-GENE-040722-2")</f>
        <v>https://zfin.org/ZDB-GENE-040722-2</v>
      </c>
      <c r="E921" t="s">
        <v>2746</v>
      </c>
    </row>
    <row r="922" spans="1:5" x14ac:dyDescent="0.2">
      <c r="A922" t="s">
        <v>2747</v>
      </c>
      <c r="B922" t="s">
        <v>2748</v>
      </c>
      <c r="C922" t="s">
        <v>2748</v>
      </c>
      <c r="D922" t="str">
        <f>HYPERLINK("https://zfin.org/ZDB-GENE-040714-2")</f>
        <v>https://zfin.org/ZDB-GENE-040714-2</v>
      </c>
      <c r="E922" t="s">
        <v>2749</v>
      </c>
    </row>
    <row r="923" spans="1:5" x14ac:dyDescent="0.2">
      <c r="A923" t="s">
        <v>2750</v>
      </c>
      <c r="B923" t="s">
        <v>2751</v>
      </c>
      <c r="C923" t="s">
        <v>2751</v>
      </c>
      <c r="D923" t="str">
        <f>HYPERLINK("https://zfin.org/ZDB-GENE-040912-168")</f>
        <v>https://zfin.org/ZDB-GENE-040912-168</v>
      </c>
      <c r="E923" t="s">
        <v>2752</v>
      </c>
    </row>
    <row r="924" spans="1:5" x14ac:dyDescent="0.2">
      <c r="A924" t="s">
        <v>2753</v>
      </c>
      <c r="B924" t="s">
        <v>2754</v>
      </c>
      <c r="C924" t="s">
        <v>2754</v>
      </c>
      <c r="D924" t="str">
        <f>HYPERLINK("https://zfin.org/ZDB-GENE-090713-1")</f>
        <v>https://zfin.org/ZDB-GENE-090713-1</v>
      </c>
      <c r="E924" t="s">
        <v>2755</v>
      </c>
    </row>
    <row r="925" spans="1:5" x14ac:dyDescent="0.2">
      <c r="A925" t="s">
        <v>2756</v>
      </c>
      <c r="B925" t="s">
        <v>2757</v>
      </c>
      <c r="C925" t="s">
        <v>2757</v>
      </c>
      <c r="D925" t="str">
        <f>HYPERLINK("https://zfin.org/ZDB-GENE-040625-146")</f>
        <v>https://zfin.org/ZDB-GENE-040625-146</v>
      </c>
      <c r="E925" t="s">
        <v>2758</v>
      </c>
    </row>
    <row r="926" spans="1:5" x14ac:dyDescent="0.2">
      <c r="A926" t="s">
        <v>2759</v>
      </c>
      <c r="B926" t="s">
        <v>2760</v>
      </c>
      <c r="C926" t="s">
        <v>2760</v>
      </c>
      <c r="D926" t="str">
        <f>HYPERLINK("https://zfin.org/ZDB-GENE-040718-488")</f>
        <v>https://zfin.org/ZDB-GENE-040718-488</v>
      </c>
      <c r="E926" t="s">
        <v>2761</v>
      </c>
    </row>
    <row r="927" spans="1:5" x14ac:dyDescent="0.2">
      <c r="A927" t="s">
        <v>2762</v>
      </c>
      <c r="B927" t="s">
        <v>2763</v>
      </c>
      <c r="C927" t="s">
        <v>2763</v>
      </c>
      <c r="D927" t="str">
        <f>HYPERLINK("https://zfin.org/ZDB-GENE-110408-40")</f>
        <v>https://zfin.org/ZDB-GENE-110408-40</v>
      </c>
      <c r="E927" t="s">
        <v>2764</v>
      </c>
    </row>
    <row r="928" spans="1:5" x14ac:dyDescent="0.2">
      <c r="A928" t="s">
        <v>2765</v>
      </c>
      <c r="B928" t="s">
        <v>2766</v>
      </c>
      <c r="C928" t="s">
        <v>2766</v>
      </c>
      <c r="D928" t="str">
        <f>HYPERLINK("https://zfin.org/ZDB-GENE-081104-275")</f>
        <v>https://zfin.org/ZDB-GENE-081104-275</v>
      </c>
      <c r="E928" t="s">
        <v>2767</v>
      </c>
    </row>
    <row r="929" spans="1:5" x14ac:dyDescent="0.2">
      <c r="A929" t="s">
        <v>2768</v>
      </c>
      <c r="B929" t="s">
        <v>2769</v>
      </c>
      <c r="C929" t="s">
        <v>2769</v>
      </c>
      <c r="D929" t="str">
        <f>HYPERLINK("https://zfin.org/ZDB-GENE-110913-23")</f>
        <v>https://zfin.org/ZDB-GENE-110913-23</v>
      </c>
      <c r="E929" t="s">
        <v>2770</v>
      </c>
    </row>
    <row r="930" spans="1:5" x14ac:dyDescent="0.2">
      <c r="A930" t="s">
        <v>2771</v>
      </c>
      <c r="B930" t="s">
        <v>2772</v>
      </c>
      <c r="C930" t="s">
        <v>2772</v>
      </c>
      <c r="D930" t="str">
        <f>HYPERLINK("https://zfin.org/ZDB-GENE-040426-1235")</f>
        <v>https://zfin.org/ZDB-GENE-040426-1235</v>
      </c>
      <c r="E930" t="s">
        <v>2773</v>
      </c>
    </row>
    <row r="931" spans="1:5" x14ac:dyDescent="0.2">
      <c r="A931" t="s">
        <v>2774</v>
      </c>
      <c r="B931" t="s">
        <v>2775</v>
      </c>
      <c r="C931" t="s">
        <v>2775</v>
      </c>
      <c r="D931" t="str">
        <f>HYPERLINK("https://zfin.org/ZDB-GENE-061103-301")</f>
        <v>https://zfin.org/ZDB-GENE-061103-301</v>
      </c>
      <c r="E931" t="s">
        <v>2776</v>
      </c>
    </row>
    <row r="932" spans="1:5" x14ac:dyDescent="0.2">
      <c r="A932" t="s">
        <v>2777</v>
      </c>
      <c r="B932" t="s">
        <v>2778</v>
      </c>
      <c r="C932" t="s">
        <v>2778</v>
      </c>
      <c r="D932" t="str">
        <f>HYPERLINK("https://zfin.org/ZDB-GENE-091204-224")</f>
        <v>https://zfin.org/ZDB-GENE-091204-224</v>
      </c>
      <c r="E932" t="s">
        <v>2779</v>
      </c>
    </row>
    <row r="933" spans="1:5" x14ac:dyDescent="0.2">
      <c r="A933" t="s">
        <v>2780</v>
      </c>
      <c r="B933" t="s">
        <v>2781</v>
      </c>
      <c r="C933" t="s">
        <v>2781</v>
      </c>
      <c r="D933" t="str">
        <f>HYPERLINK("https://zfin.org/ZDB-GENE-030828-9")</f>
        <v>https://zfin.org/ZDB-GENE-030828-9</v>
      </c>
      <c r="E933" t="s">
        <v>2782</v>
      </c>
    </row>
    <row r="934" spans="1:5" x14ac:dyDescent="0.2">
      <c r="A934" t="s">
        <v>2783</v>
      </c>
      <c r="B934" t="s">
        <v>2784</v>
      </c>
      <c r="C934" t="s">
        <v>2784</v>
      </c>
      <c r="D934" t="str">
        <f>HYPERLINK("https://zfin.org/ZDB-GENE-050517-43")</f>
        <v>https://zfin.org/ZDB-GENE-050517-43</v>
      </c>
      <c r="E934" t="s">
        <v>2785</v>
      </c>
    </row>
    <row r="935" spans="1:5" x14ac:dyDescent="0.2">
      <c r="A935" t="s">
        <v>2786</v>
      </c>
      <c r="B935" t="s">
        <v>2787</v>
      </c>
      <c r="C935" t="s">
        <v>2787</v>
      </c>
      <c r="D935" t="str">
        <f>HYPERLINK("https://zfin.org/ZDB-GENE-050320-54")</f>
        <v>https://zfin.org/ZDB-GENE-050320-54</v>
      </c>
      <c r="E935" t="s">
        <v>2788</v>
      </c>
    </row>
    <row r="936" spans="1:5" x14ac:dyDescent="0.2">
      <c r="A936" t="s">
        <v>2789</v>
      </c>
      <c r="B936" t="s">
        <v>2790</v>
      </c>
      <c r="C936" t="s">
        <v>2790</v>
      </c>
      <c r="D936" t="str">
        <f>HYPERLINK("https://zfin.org/ZDB-GENE-071022-4")</f>
        <v>https://zfin.org/ZDB-GENE-071022-4</v>
      </c>
      <c r="E936" t="s">
        <v>2791</v>
      </c>
    </row>
    <row r="937" spans="1:5" x14ac:dyDescent="0.2">
      <c r="A937" t="s">
        <v>2792</v>
      </c>
      <c r="B937" t="s">
        <v>2793</v>
      </c>
      <c r="C937" t="s">
        <v>2793</v>
      </c>
      <c r="D937" t="str">
        <f>HYPERLINK("https://zfin.org/ZDB-GENE-040426-1375")</f>
        <v>https://zfin.org/ZDB-GENE-040426-1375</v>
      </c>
      <c r="E937" t="s">
        <v>2794</v>
      </c>
    </row>
    <row r="938" spans="1:5" x14ac:dyDescent="0.2">
      <c r="A938" t="s">
        <v>2795</v>
      </c>
      <c r="B938" t="s">
        <v>2796</v>
      </c>
      <c r="C938" t="s">
        <v>2796</v>
      </c>
      <c r="D938" t="str">
        <f>HYPERLINK("https://zfin.org/ZDB-GENE-040426-2817")</f>
        <v>https://zfin.org/ZDB-GENE-040426-2817</v>
      </c>
      <c r="E938" t="s">
        <v>2797</v>
      </c>
    </row>
    <row r="939" spans="1:5" x14ac:dyDescent="0.2">
      <c r="A939" t="s">
        <v>2798</v>
      </c>
      <c r="B939" t="s">
        <v>2799</v>
      </c>
      <c r="C939" t="s">
        <v>2799</v>
      </c>
      <c r="D939" t="str">
        <f>HYPERLINK("https://zfin.org/ZDB-GENE-050102-2")</f>
        <v>https://zfin.org/ZDB-GENE-050102-2</v>
      </c>
      <c r="E939" t="s">
        <v>2800</v>
      </c>
    </row>
    <row r="940" spans="1:5" x14ac:dyDescent="0.2">
      <c r="A940" t="s">
        <v>2801</v>
      </c>
      <c r="B940" t="s">
        <v>2802</v>
      </c>
      <c r="C940" t="s">
        <v>2802</v>
      </c>
      <c r="D940" t="str">
        <f>HYPERLINK("https://zfin.org/ZDB-GENE-141219-12")</f>
        <v>https://zfin.org/ZDB-GENE-141219-12</v>
      </c>
      <c r="E940" t="s">
        <v>2803</v>
      </c>
    </row>
    <row r="941" spans="1:5" x14ac:dyDescent="0.2">
      <c r="A941" t="s">
        <v>2804</v>
      </c>
      <c r="B941" t="s">
        <v>2805</v>
      </c>
      <c r="C941" t="s">
        <v>2805</v>
      </c>
      <c r="D941" t="str">
        <f>HYPERLINK("https://zfin.org/ZDB-GENE-040426-2756")</f>
        <v>https://zfin.org/ZDB-GENE-040426-2756</v>
      </c>
      <c r="E941" t="s">
        <v>2806</v>
      </c>
    </row>
    <row r="942" spans="1:5" x14ac:dyDescent="0.2">
      <c r="A942" t="s">
        <v>2807</v>
      </c>
      <c r="B942" t="s">
        <v>2808</v>
      </c>
      <c r="C942" t="s">
        <v>2808</v>
      </c>
      <c r="D942" t="str">
        <f>HYPERLINK("https://zfin.org/ZDB-GENE-110411-125")</f>
        <v>https://zfin.org/ZDB-GENE-110411-125</v>
      </c>
      <c r="E942" t="s">
        <v>2809</v>
      </c>
    </row>
    <row r="943" spans="1:5" x14ac:dyDescent="0.2">
      <c r="A943" t="s">
        <v>2810</v>
      </c>
      <c r="B943" t="s">
        <v>2811</v>
      </c>
      <c r="C943" t="s">
        <v>2811</v>
      </c>
      <c r="D943" t="str">
        <f>HYPERLINK("https://zfin.org/ZDB-GENE-120917-3")</f>
        <v>https://zfin.org/ZDB-GENE-120917-3</v>
      </c>
      <c r="E943" t="s">
        <v>2812</v>
      </c>
    </row>
    <row r="944" spans="1:5" x14ac:dyDescent="0.2">
      <c r="A944" t="s">
        <v>2813</v>
      </c>
      <c r="B944" t="s">
        <v>2814</v>
      </c>
      <c r="C944" t="s">
        <v>2814</v>
      </c>
      <c r="D944" t="str">
        <f>HYPERLINK("https://zfin.org/ZDB-GENE-131125-109")</f>
        <v>https://zfin.org/ZDB-GENE-131125-109</v>
      </c>
      <c r="E944" t="s">
        <v>2815</v>
      </c>
    </row>
    <row r="945" spans="1:5" x14ac:dyDescent="0.2">
      <c r="A945" t="s">
        <v>2816</v>
      </c>
      <c r="B945" t="s">
        <v>2817</v>
      </c>
      <c r="C945" t="s">
        <v>2817</v>
      </c>
      <c r="D945" t="str">
        <f>HYPERLINK("https://zfin.org/ZDB-GENE-070111-1")</f>
        <v>https://zfin.org/ZDB-GENE-070111-1</v>
      </c>
      <c r="E945" t="s">
        <v>2818</v>
      </c>
    </row>
    <row r="946" spans="1:5" x14ac:dyDescent="0.2">
      <c r="A946" t="s">
        <v>2819</v>
      </c>
      <c r="B946" t="s">
        <v>2820</v>
      </c>
      <c r="C946" t="s">
        <v>2820</v>
      </c>
      <c r="D946" t="str">
        <f>HYPERLINK("https://zfin.org/ZDB-GENE-050320-109")</f>
        <v>https://zfin.org/ZDB-GENE-050320-109</v>
      </c>
      <c r="E946" t="s">
        <v>2821</v>
      </c>
    </row>
    <row r="947" spans="1:5" x14ac:dyDescent="0.2">
      <c r="A947" t="s">
        <v>2822</v>
      </c>
      <c r="B947" t="s">
        <v>2823</v>
      </c>
      <c r="C947" t="s">
        <v>2823</v>
      </c>
      <c r="D947" t="str">
        <f>HYPERLINK("https://zfin.org/ZDB-GENE-041008-14")</f>
        <v>https://zfin.org/ZDB-GENE-041008-14</v>
      </c>
      <c r="E947" t="s">
        <v>2824</v>
      </c>
    </row>
    <row r="948" spans="1:5" x14ac:dyDescent="0.2">
      <c r="A948" t="s">
        <v>2825</v>
      </c>
      <c r="B948" t="s">
        <v>2826</v>
      </c>
      <c r="C948" t="s">
        <v>2826</v>
      </c>
      <c r="D948" t="str">
        <f>HYPERLINK("https://zfin.org/ZDB-GENE-040426-1492")</f>
        <v>https://zfin.org/ZDB-GENE-040426-1492</v>
      </c>
      <c r="E948" t="s">
        <v>2827</v>
      </c>
    </row>
    <row r="949" spans="1:5" x14ac:dyDescent="0.2">
      <c r="A949" t="s">
        <v>2828</v>
      </c>
      <c r="B949" t="s">
        <v>2829</v>
      </c>
      <c r="C949" t="s">
        <v>2829</v>
      </c>
      <c r="D949" t="str">
        <f>HYPERLINK("https://zfin.org/ZDB-GENE-080220-4")</f>
        <v>https://zfin.org/ZDB-GENE-080220-4</v>
      </c>
      <c r="E949" t="s">
        <v>2830</v>
      </c>
    </row>
    <row r="950" spans="1:5" x14ac:dyDescent="0.2">
      <c r="A950" t="s">
        <v>2831</v>
      </c>
      <c r="B950" t="s">
        <v>2832</v>
      </c>
      <c r="C950" t="s">
        <v>2832</v>
      </c>
      <c r="D950" t="str">
        <f>HYPERLINK("https://zfin.org/ZDB-GENE-080917-28")</f>
        <v>https://zfin.org/ZDB-GENE-080917-28</v>
      </c>
      <c r="E950" t="s">
        <v>2833</v>
      </c>
    </row>
    <row r="951" spans="1:5" x14ac:dyDescent="0.2">
      <c r="A951" t="s">
        <v>2834</v>
      </c>
      <c r="B951" t="s">
        <v>2835</v>
      </c>
      <c r="C951" t="s">
        <v>2835</v>
      </c>
      <c r="D951" t="str">
        <f>HYPERLINK("https://zfin.org/ZDB-GENE-121214-195")</f>
        <v>https://zfin.org/ZDB-GENE-121214-195</v>
      </c>
      <c r="E951" t="s">
        <v>2836</v>
      </c>
    </row>
    <row r="952" spans="1:5" x14ac:dyDescent="0.2">
      <c r="A952" t="s">
        <v>2837</v>
      </c>
      <c r="B952" t="s">
        <v>2838</v>
      </c>
      <c r="C952" t="s">
        <v>2838</v>
      </c>
      <c r="D952" t="str">
        <f>HYPERLINK("https://zfin.org/ZDB-GENE-060526-84")</f>
        <v>https://zfin.org/ZDB-GENE-060526-84</v>
      </c>
      <c r="E952" t="s">
        <v>2839</v>
      </c>
    </row>
    <row r="953" spans="1:5" x14ac:dyDescent="0.2">
      <c r="A953" t="s">
        <v>2840</v>
      </c>
      <c r="B953" t="s">
        <v>2841</v>
      </c>
      <c r="C953" t="s">
        <v>2841</v>
      </c>
      <c r="D953" t="str">
        <f>HYPERLINK("https://zfin.org/ZDB-GENE-130116-4")</f>
        <v>https://zfin.org/ZDB-GENE-130116-4</v>
      </c>
      <c r="E953" t="s">
        <v>2842</v>
      </c>
    </row>
    <row r="954" spans="1:5" x14ac:dyDescent="0.2">
      <c r="A954" t="s">
        <v>2843</v>
      </c>
      <c r="B954" t="s">
        <v>2844</v>
      </c>
      <c r="C954" t="s">
        <v>2844</v>
      </c>
      <c r="D954" t="str">
        <f>HYPERLINK("https://zfin.org/ZDB-GENE-080722-2")</f>
        <v>https://zfin.org/ZDB-GENE-080722-2</v>
      </c>
      <c r="E954" t="s">
        <v>2845</v>
      </c>
    </row>
    <row r="955" spans="1:5" x14ac:dyDescent="0.2">
      <c r="A955" t="s">
        <v>2846</v>
      </c>
      <c r="B955" t="s">
        <v>2847</v>
      </c>
      <c r="C955" t="s">
        <v>2847</v>
      </c>
      <c r="D955" t="str">
        <f>HYPERLINK("https://zfin.org/ZDB-GENE-070112-1152")</f>
        <v>https://zfin.org/ZDB-GENE-070112-1152</v>
      </c>
      <c r="E955" t="s">
        <v>2848</v>
      </c>
    </row>
    <row r="956" spans="1:5" x14ac:dyDescent="0.2">
      <c r="A956" t="s">
        <v>2849</v>
      </c>
      <c r="B956" t="s">
        <v>2850</v>
      </c>
      <c r="C956" t="s">
        <v>2850</v>
      </c>
      <c r="D956" t="str">
        <f>HYPERLINK("https://zfin.org/ZDB-GENE-040912-148")</f>
        <v>https://zfin.org/ZDB-GENE-040912-148</v>
      </c>
      <c r="E956" t="s">
        <v>2851</v>
      </c>
    </row>
    <row r="957" spans="1:5" x14ac:dyDescent="0.2">
      <c r="A957" t="s">
        <v>2852</v>
      </c>
      <c r="B957" t="s">
        <v>2853</v>
      </c>
      <c r="C957" t="s">
        <v>2853</v>
      </c>
      <c r="D957" t="str">
        <f>HYPERLINK("https://zfin.org/ZDB-GENE-010717-1")</f>
        <v>https://zfin.org/ZDB-GENE-010717-1</v>
      </c>
      <c r="E957" t="s">
        <v>2854</v>
      </c>
    </row>
    <row r="958" spans="1:5" x14ac:dyDescent="0.2">
      <c r="A958" t="s">
        <v>2855</v>
      </c>
      <c r="B958" t="s">
        <v>2856</v>
      </c>
      <c r="C958" t="s">
        <v>2856</v>
      </c>
      <c r="D958" t="str">
        <f>HYPERLINK("https://zfin.org/ZDB-GENE-030131-5813")</f>
        <v>https://zfin.org/ZDB-GENE-030131-5813</v>
      </c>
      <c r="E958" t="s">
        <v>2857</v>
      </c>
    </row>
    <row r="959" spans="1:5" x14ac:dyDescent="0.2">
      <c r="A959" t="s">
        <v>2858</v>
      </c>
      <c r="B959" t="s">
        <v>2859</v>
      </c>
      <c r="C959" t="s">
        <v>2859</v>
      </c>
      <c r="D959" t="str">
        <f>HYPERLINK("https://zfin.org/ZDB-GENE-070424-160")</f>
        <v>https://zfin.org/ZDB-GENE-070424-160</v>
      </c>
      <c r="E959" t="s">
        <v>2860</v>
      </c>
    </row>
    <row r="960" spans="1:5" x14ac:dyDescent="0.2">
      <c r="A960" t="s">
        <v>2861</v>
      </c>
      <c r="B960" t="s">
        <v>2862</v>
      </c>
      <c r="C960" t="s">
        <v>2862</v>
      </c>
      <c r="D960" t="str">
        <f>HYPERLINK("https://zfin.org/ZDB-GENE-050227-16")</f>
        <v>https://zfin.org/ZDB-GENE-050227-16</v>
      </c>
      <c r="E960" t="s">
        <v>2863</v>
      </c>
    </row>
    <row r="961" spans="1:5" x14ac:dyDescent="0.2">
      <c r="A961" t="s">
        <v>2864</v>
      </c>
      <c r="B961" t="s">
        <v>2865</v>
      </c>
      <c r="C961" t="s">
        <v>2865</v>
      </c>
      <c r="D961" t="str">
        <f>HYPERLINK("https://zfin.org/ZDB-GENE-030131-4918")</f>
        <v>https://zfin.org/ZDB-GENE-030131-4918</v>
      </c>
      <c r="E961" t="s">
        <v>2866</v>
      </c>
    </row>
    <row r="962" spans="1:5" x14ac:dyDescent="0.2">
      <c r="A962" t="s">
        <v>2867</v>
      </c>
      <c r="B962" t="s">
        <v>2868</v>
      </c>
      <c r="C962" t="s">
        <v>2868</v>
      </c>
      <c r="D962" t="str">
        <f>HYPERLINK("https://zfin.org/ZDB-GENE-070705-466")</f>
        <v>https://zfin.org/ZDB-GENE-070705-466</v>
      </c>
      <c r="E962" t="s">
        <v>2869</v>
      </c>
    </row>
    <row r="963" spans="1:5" x14ac:dyDescent="0.2">
      <c r="A963" t="s">
        <v>2870</v>
      </c>
      <c r="B963" t="s">
        <v>2871</v>
      </c>
      <c r="C963" t="s">
        <v>2871</v>
      </c>
      <c r="D963" t="str">
        <f>HYPERLINK("https://zfin.org/ZDB-GENE-040801-79")</f>
        <v>https://zfin.org/ZDB-GENE-040801-79</v>
      </c>
      <c r="E963" t="s">
        <v>2872</v>
      </c>
    </row>
    <row r="964" spans="1:5" x14ac:dyDescent="0.2">
      <c r="A964" t="s">
        <v>2873</v>
      </c>
      <c r="B964" t="s">
        <v>2874</v>
      </c>
      <c r="C964" t="s">
        <v>2874</v>
      </c>
      <c r="D964" t="str">
        <f>HYPERLINK("https://zfin.org/ZDB-GENE-050417-287")</f>
        <v>https://zfin.org/ZDB-GENE-050417-287</v>
      </c>
      <c r="E964" t="s">
        <v>2875</v>
      </c>
    </row>
    <row r="965" spans="1:5" x14ac:dyDescent="0.2">
      <c r="A965" t="s">
        <v>2876</v>
      </c>
      <c r="B965" t="s">
        <v>2877</v>
      </c>
      <c r="C965" t="s">
        <v>2877</v>
      </c>
      <c r="D965" t="str">
        <f>HYPERLINK("https://zfin.org/ZDB-GENE-041111-282")</f>
        <v>https://zfin.org/ZDB-GENE-041111-282</v>
      </c>
      <c r="E965" t="s">
        <v>2878</v>
      </c>
    </row>
    <row r="966" spans="1:5" x14ac:dyDescent="0.2">
      <c r="A966" t="s">
        <v>2879</v>
      </c>
      <c r="B966" t="s">
        <v>2880</v>
      </c>
      <c r="C966" t="s">
        <v>2880</v>
      </c>
      <c r="D966" t="str">
        <f>HYPERLINK("https://zfin.org/ZDB-GENE-070912-153")</f>
        <v>https://zfin.org/ZDB-GENE-070912-153</v>
      </c>
      <c r="E966" t="s">
        <v>2881</v>
      </c>
    </row>
    <row r="967" spans="1:5" x14ac:dyDescent="0.2">
      <c r="A967" t="s">
        <v>2882</v>
      </c>
      <c r="B967" t="s">
        <v>2883</v>
      </c>
      <c r="C967" t="s">
        <v>2883</v>
      </c>
      <c r="D967" t="str">
        <f>HYPERLINK("https://zfin.org/ZDB-GENE-040426-1913")</f>
        <v>https://zfin.org/ZDB-GENE-040426-1913</v>
      </c>
      <c r="E967" t="s">
        <v>2884</v>
      </c>
    </row>
    <row r="968" spans="1:5" x14ac:dyDescent="0.2">
      <c r="A968" t="s">
        <v>2885</v>
      </c>
      <c r="B968" t="s">
        <v>2886</v>
      </c>
      <c r="C968" t="s">
        <v>2886</v>
      </c>
      <c r="D968" t="str">
        <f>HYPERLINK("https://zfin.org/ZDB-GENE-030131-9831")</f>
        <v>https://zfin.org/ZDB-GENE-030131-9831</v>
      </c>
      <c r="E968" t="s">
        <v>2887</v>
      </c>
    </row>
    <row r="969" spans="1:5" x14ac:dyDescent="0.2">
      <c r="A969" t="s">
        <v>2888</v>
      </c>
      <c r="B969" t="s">
        <v>2889</v>
      </c>
      <c r="C969" t="s">
        <v>2889</v>
      </c>
      <c r="D969" t="str">
        <f>HYPERLINK("https://zfin.org/ZDB-GENE-141216-408")</f>
        <v>https://zfin.org/ZDB-GENE-141216-408</v>
      </c>
      <c r="E969" t="s">
        <v>2890</v>
      </c>
    </row>
    <row r="970" spans="1:5" x14ac:dyDescent="0.2">
      <c r="A970" t="s">
        <v>2891</v>
      </c>
      <c r="B970" t="s">
        <v>2892</v>
      </c>
      <c r="C970" t="s">
        <v>2892</v>
      </c>
      <c r="D970" t="str">
        <f>HYPERLINK("https://zfin.org/ZDB-GENE-081031-44")</f>
        <v>https://zfin.org/ZDB-GENE-081031-44</v>
      </c>
      <c r="E970" t="s">
        <v>2893</v>
      </c>
    </row>
    <row r="971" spans="1:5" x14ac:dyDescent="0.2">
      <c r="A971" t="s">
        <v>2894</v>
      </c>
      <c r="B971" t="s">
        <v>2895</v>
      </c>
      <c r="C971" t="s">
        <v>2895</v>
      </c>
      <c r="D971" t="str">
        <f>HYPERLINK("https://zfin.org/ZDB-GENE-980526-368")</f>
        <v>https://zfin.org/ZDB-GENE-980526-368</v>
      </c>
      <c r="E971" t="s">
        <v>2896</v>
      </c>
    </row>
    <row r="972" spans="1:5" x14ac:dyDescent="0.2">
      <c r="A972" t="s">
        <v>2897</v>
      </c>
      <c r="B972" t="s">
        <v>2898</v>
      </c>
      <c r="C972" t="s">
        <v>2898</v>
      </c>
      <c r="D972" t="str">
        <f>HYPERLINK("https://zfin.org/ZDB-GENE-040426-2781")</f>
        <v>https://zfin.org/ZDB-GENE-040426-2781</v>
      </c>
      <c r="E972" t="s">
        <v>2899</v>
      </c>
    </row>
    <row r="973" spans="1:5" x14ac:dyDescent="0.2">
      <c r="A973" t="s">
        <v>2900</v>
      </c>
      <c r="B973" t="s">
        <v>2901</v>
      </c>
      <c r="C973" t="s">
        <v>2901</v>
      </c>
      <c r="D973" t="str">
        <f>HYPERLINK("https://zfin.org/ZDB-GENE-060901-4")</f>
        <v>https://zfin.org/ZDB-GENE-060901-4</v>
      </c>
      <c r="E973" t="s">
        <v>2902</v>
      </c>
    </row>
    <row r="974" spans="1:5" x14ac:dyDescent="0.2">
      <c r="A974" t="s">
        <v>2903</v>
      </c>
      <c r="B974" t="s">
        <v>2904</v>
      </c>
      <c r="C974" t="s">
        <v>2904</v>
      </c>
      <c r="D974" t="str">
        <f>HYPERLINK("https://zfin.org/ZDB-GENE-030131-6300")</f>
        <v>https://zfin.org/ZDB-GENE-030131-6300</v>
      </c>
      <c r="E974" t="s">
        <v>2905</v>
      </c>
    </row>
    <row r="975" spans="1:5" x14ac:dyDescent="0.2">
      <c r="A975" t="s">
        <v>2906</v>
      </c>
      <c r="B975" t="s">
        <v>2907</v>
      </c>
      <c r="C975" t="s">
        <v>2907</v>
      </c>
      <c r="D975" t="str">
        <f>HYPERLINK("https://zfin.org/ZDB-GENE-110913-7")</f>
        <v>https://zfin.org/ZDB-GENE-110913-7</v>
      </c>
      <c r="E975" t="s">
        <v>2908</v>
      </c>
    </row>
    <row r="976" spans="1:5" x14ac:dyDescent="0.2">
      <c r="A976" t="s">
        <v>2909</v>
      </c>
      <c r="B976" t="s">
        <v>2910</v>
      </c>
      <c r="C976" t="s">
        <v>2910</v>
      </c>
      <c r="D976" t="str">
        <f>HYPERLINK("https://zfin.org/ZDB-GENE-030131-1096")</f>
        <v>https://zfin.org/ZDB-GENE-030131-1096</v>
      </c>
      <c r="E976" t="s">
        <v>2911</v>
      </c>
    </row>
    <row r="977" spans="1:5" x14ac:dyDescent="0.2">
      <c r="A977" t="s">
        <v>2912</v>
      </c>
      <c r="B977" t="s">
        <v>2913</v>
      </c>
      <c r="C977" t="s">
        <v>2913</v>
      </c>
      <c r="D977" t="str">
        <f>HYPERLINK("https://zfin.org/ZDB-GENE-050114-6")</f>
        <v>https://zfin.org/ZDB-GENE-050114-6</v>
      </c>
      <c r="E977" t="s">
        <v>2914</v>
      </c>
    </row>
    <row r="978" spans="1:5" x14ac:dyDescent="0.2">
      <c r="A978" t="s">
        <v>2915</v>
      </c>
      <c r="B978" t="s">
        <v>2916</v>
      </c>
      <c r="C978" t="s">
        <v>2916</v>
      </c>
      <c r="D978" t="str">
        <f>HYPERLINK("https://zfin.org/ZDB-GENE-041111-308")</f>
        <v>https://zfin.org/ZDB-GENE-041111-308</v>
      </c>
      <c r="E978" t="s">
        <v>2917</v>
      </c>
    </row>
    <row r="979" spans="1:5" x14ac:dyDescent="0.2">
      <c r="A979" t="s">
        <v>2918</v>
      </c>
      <c r="B979" t="s">
        <v>2919</v>
      </c>
      <c r="C979" t="s">
        <v>2919</v>
      </c>
      <c r="D979" t="str">
        <f>HYPERLINK("https://zfin.org/ZDB-GENE-040426-1639")</f>
        <v>https://zfin.org/ZDB-GENE-040426-1639</v>
      </c>
      <c r="E979" t="s">
        <v>2920</v>
      </c>
    </row>
    <row r="980" spans="1:5" x14ac:dyDescent="0.2">
      <c r="A980" t="s">
        <v>2921</v>
      </c>
      <c r="B980" t="s">
        <v>2922</v>
      </c>
      <c r="C980" t="s">
        <v>2922</v>
      </c>
      <c r="D980" t="str">
        <f>HYPERLINK("https://zfin.org/ZDB-GENE-050706-134")</f>
        <v>https://zfin.org/ZDB-GENE-050706-134</v>
      </c>
      <c r="E980" t="s">
        <v>2923</v>
      </c>
    </row>
    <row r="981" spans="1:5" x14ac:dyDescent="0.2">
      <c r="A981" t="s">
        <v>2924</v>
      </c>
      <c r="B981" t="s">
        <v>2925</v>
      </c>
      <c r="C981" t="s">
        <v>2925</v>
      </c>
      <c r="D981" t="str">
        <f>HYPERLINK("https://zfin.org/ZDB-GENE-030131-9565")</f>
        <v>https://zfin.org/ZDB-GENE-030131-9565</v>
      </c>
      <c r="E981" t="s">
        <v>2926</v>
      </c>
    </row>
    <row r="982" spans="1:5" x14ac:dyDescent="0.2">
      <c r="A982" t="s">
        <v>2927</v>
      </c>
      <c r="B982" t="s">
        <v>2928</v>
      </c>
      <c r="C982" t="s">
        <v>2928</v>
      </c>
      <c r="D982" t="str">
        <f>HYPERLINK("https://zfin.org/ZDB-GENE-030131-3023")</f>
        <v>https://zfin.org/ZDB-GENE-030131-3023</v>
      </c>
      <c r="E982" t="s">
        <v>2929</v>
      </c>
    </row>
    <row r="983" spans="1:5" x14ac:dyDescent="0.2">
      <c r="A983" t="s">
        <v>2930</v>
      </c>
      <c r="B983" t="s">
        <v>2931</v>
      </c>
      <c r="C983" t="s">
        <v>2931</v>
      </c>
      <c r="D983" t="str">
        <f>HYPERLINK("https://zfin.org/ZDB-GENE-040426-2515")</f>
        <v>https://zfin.org/ZDB-GENE-040426-2515</v>
      </c>
      <c r="E983" t="s">
        <v>2932</v>
      </c>
    </row>
    <row r="984" spans="1:5" x14ac:dyDescent="0.2">
      <c r="A984" t="s">
        <v>2933</v>
      </c>
      <c r="B984" t="s">
        <v>2925</v>
      </c>
      <c r="C984" t="s">
        <v>2934</v>
      </c>
      <c r="D984" t="str">
        <f>HYPERLINK("https://zfin.org/ZDB-GENE-050913-14")</f>
        <v>https://zfin.org/ZDB-GENE-050913-14</v>
      </c>
      <c r="E984" t="s">
        <v>2935</v>
      </c>
    </row>
    <row r="985" spans="1:5" x14ac:dyDescent="0.2">
      <c r="A985" t="s">
        <v>2936</v>
      </c>
      <c r="B985" t="s">
        <v>2937</v>
      </c>
      <c r="C985" t="s">
        <v>2937</v>
      </c>
      <c r="D985" t="str">
        <f>HYPERLINK("https://zfin.org/ZDB-GENE-090916-2")</f>
        <v>https://zfin.org/ZDB-GENE-090916-2</v>
      </c>
      <c r="E985" t="s">
        <v>2938</v>
      </c>
    </row>
    <row r="986" spans="1:5" x14ac:dyDescent="0.2">
      <c r="A986" t="s">
        <v>2939</v>
      </c>
      <c r="B986" t="s">
        <v>2940</v>
      </c>
      <c r="C986" t="s">
        <v>2940</v>
      </c>
      <c r="D986" t="str">
        <f>HYPERLINK("https://zfin.org/ZDB-GENE-050522-310")</f>
        <v>https://zfin.org/ZDB-GENE-050522-310</v>
      </c>
      <c r="E986" t="s">
        <v>2941</v>
      </c>
    </row>
    <row r="987" spans="1:5" x14ac:dyDescent="0.2">
      <c r="A987" t="s">
        <v>2942</v>
      </c>
      <c r="B987" t="s">
        <v>2943</v>
      </c>
      <c r="C987" t="s">
        <v>2943</v>
      </c>
      <c r="D987" t="str">
        <f>HYPERLINK("https://zfin.org/ZDB-GENE-121205-3")</f>
        <v>https://zfin.org/ZDB-GENE-121205-3</v>
      </c>
      <c r="E987" t="s">
        <v>2944</v>
      </c>
    </row>
    <row r="988" spans="1:5" x14ac:dyDescent="0.2">
      <c r="A988" t="s">
        <v>2945</v>
      </c>
      <c r="B988" t="s">
        <v>2946</v>
      </c>
      <c r="C988" t="s">
        <v>2946</v>
      </c>
      <c r="D988" t="str">
        <f>HYPERLINK("https://zfin.org/ZDB-GENE-091204-97")</f>
        <v>https://zfin.org/ZDB-GENE-091204-97</v>
      </c>
      <c r="E988" t="s">
        <v>2947</v>
      </c>
    </row>
    <row r="989" spans="1:5" x14ac:dyDescent="0.2">
      <c r="A989" t="s">
        <v>2948</v>
      </c>
      <c r="B989" t="s">
        <v>2949</v>
      </c>
      <c r="C989" t="s">
        <v>2949</v>
      </c>
      <c r="D989" t="str">
        <f>HYPERLINK("https://zfin.org/ZDB-GENE-040801-7")</f>
        <v>https://zfin.org/ZDB-GENE-040801-7</v>
      </c>
      <c r="E989" t="s">
        <v>2950</v>
      </c>
    </row>
    <row r="990" spans="1:5" x14ac:dyDescent="0.2">
      <c r="A990" t="s">
        <v>2951</v>
      </c>
      <c r="B990" t="s">
        <v>2952</v>
      </c>
      <c r="C990" t="s">
        <v>2952</v>
      </c>
      <c r="D990" t="str">
        <f>HYPERLINK("https://zfin.org/ZDB-GENE-111111-11")</f>
        <v>https://zfin.org/ZDB-GENE-111111-11</v>
      </c>
      <c r="E990" t="s">
        <v>2953</v>
      </c>
    </row>
    <row r="991" spans="1:5" x14ac:dyDescent="0.2">
      <c r="A991" t="s">
        <v>2954</v>
      </c>
      <c r="B991" t="s">
        <v>2955</v>
      </c>
      <c r="C991" t="s">
        <v>2955</v>
      </c>
      <c r="D991" t="str">
        <f>HYPERLINK("https://zfin.org/ZDB-GENE-030131-4460")</f>
        <v>https://zfin.org/ZDB-GENE-030131-4460</v>
      </c>
      <c r="E991" t="s">
        <v>2956</v>
      </c>
    </row>
    <row r="992" spans="1:5" x14ac:dyDescent="0.2">
      <c r="A992" t="s">
        <v>2957</v>
      </c>
      <c r="B992" t="s">
        <v>2958</v>
      </c>
      <c r="C992" t="s">
        <v>2958</v>
      </c>
      <c r="D992" t="str">
        <f>HYPERLINK("https://zfin.org/ZDB-GENE-090312-199")</f>
        <v>https://zfin.org/ZDB-GENE-090312-199</v>
      </c>
      <c r="E992" t="s">
        <v>2959</v>
      </c>
    </row>
    <row r="993" spans="1:5" x14ac:dyDescent="0.2">
      <c r="A993" t="s">
        <v>2960</v>
      </c>
      <c r="B993" t="s">
        <v>2961</v>
      </c>
      <c r="C993" t="s">
        <v>2961</v>
      </c>
      <c r="D993" t="str">
        <f>HYPERLINK("https://zfin.org/ZDB-GENE-040413-1")</f>
        <v>https://zfin.org/ZDB-GENE-040413-1</v>
      </c>
      <c r="E993" t="s">
        <v>2962</v>
      </c>
    </row>
    <row r="994" spans="1:5" x14ac:dyDescent="0.2">
      <c r="A994" t="s">
        <v>2963</v>
      </c>
      <c r="B994" t="s">
        <v>2964</v>
      </c>
      <c r="C994" t="s">
        <v>2964</v>
      </c>
      <c r="D994" t="str">
        <f>HYPERLINK("https://zfin.org/ZDB-GENE-030909-4")</f>
        <v>https://zfin.org/ZDB-GENE-030909-4</v>
      </c>
      <c r="E994" t="s">
        <v>2965</v>
      </c>
    </row>
    <row r="995" spans="1:5" x14ac:dyDescent="0.2">
      <c r="A995" t="s">
        <v>2966</v>
      </c>
      <c r="B995" t="s">
        <v>2967</v>
      </c>
      <c r="C995" t="s">
        <v>2967</v>
      </c>
      <c r="D995" t="str">
        <f>HYPERLINK("https://zfin.org/ZDB-GENE-030820-1")</f>
        <v>https://zfin.org/ZDB-GENE-030820-1</v>
      </c>
      <c r="E995" t="s">
        <v>2968</v>
      </c>
    </row>
    <row r="996" spans="1:5" x14ac:dyDescent="0.2">
      <c r="A996" t="s">
        <v>2969</v>
      </c>
      <c r="B996" t="s">
        <v>2970</v>
      </c>
      <c r="C996" t="s">
        <v>2970</v>
      </c>
      <c r="D996" t="str">
        <f>HYPERLINK("https://zfin.org/ZDB-GENE-050411-91")</f>
        <v>https://zfin.org/ZDB-GENE-050411-91</v>
      </c>
      <c r="E996" t="s">
        <v>2971</v>
      </c>
    </row>
    <row r="997" spans="1:5" x14ac:dyDescent="0.2">
      <c r="A997" t="s">
        <v>2972</v>
      </c>
      <c r="B997" t="s">
        <v>2973</v>
      </c>
      <c r="C997" t="s">
        <v>2973</v>
      </c>
      <c r="D997" t="str">
        <f>HYPERLINK("https://zfin.org/ZDB-GENE-100820-2")</f>
        <v>https://zfin.org/ZDB-GENE-100820-2</v>
      </c>
      <c r="E997" t="s">
        <v>2974</v>
      </c>
    </row>
    <row r="998" spans="1:5" x14ac:dyDescent="0.2">
      <c r="A998" t="s">
        <v>2975</v>
      </c>
      <c r="B998" t="s">
        <v>2976</v>
      </c>
      <c r="C998" t="s">
        <v>2976</v>
      </c>
      <c r="D998" t="str">
        <f>HYPERLINK("https://zfin.org/ZDB-GENE-070705-131")</f>
        <v>https://zfin.org/ZDB-GENE-070705-131</v>
      </c>
      <c r="E998" t="s">
        <v>2977</v>
      </c>
    </row>
    <row r="999" spans="1:5" x14ac:dyDescent="0.2">
      <c r="A999" t="s">
        <v>2978</v>
      </c>
      <c r="B999" t="s">
        <v>2979</v>
      </c>
      <c r="C999" t="s">
        <v>2979</v>
      </c>
      <c r="D999" t="str">
        <f>HYPERLINK("https://zfin.org/ZDB-GENE-090312-190")</f>
        <v>https://zfin.org/ZDB-GENE-090312-190</v>
      </c>
      <c r="E999" t="s">
        <v>2980</v>
      </c>
    </row>
    <row r="1000" spans="1:5" x14ac:dyDescent="0.2">
      <c r="A1000" t="s">
        <v>2981</v>
      </c>
      <c r="B1000" t="s">
        <v>2982</v>
      </c>
      <c r="C1000" t="s">
        <v>2982</v>
      </c>
      <c r="D1000" t="str">
        <f>HYPERLINK("https://zfin.org/ZDB-GENE-080104-6")</f>
        <v>https://zfin.org/ZDB-GENE-080104-6</v>
      </c>
      <c r="E1000" t="s">
        <v>2983</v>
      </c>
    </row>
    <row r="1001" spans="1:5" x14ac:dyDescent="0.2">
      <c r="A1001" t="s">
        <v>2984</v>
      </c>
      <c r="B1001" t="s">
        <v>2985</v>
      </c>
      <c r="C1001" t="s">
        <v>2985</v>
      </c>
      <c r="D1001" t="str">
        <f>HYPERLINK("https://zfin.org/ZDB-GENE-061009-29")</f>
        <v>https://zfin.org/ZDB-GENE-061009-29</v>
      </c>
      <c r="E1001" t="s">
        <v>2986</v>
      </c>
    </row>
    <row r="1002" spans="1:5" x14ac:dyDescent="0.2">
      <c r="A1002" t="s">
        <v>2987</v>
      </c>
      <c r="B1002" t="s">
        <v>2988</v>
      </c>
      <c r="C1002" t="s">
        <v>2988</v>
      </c>
      <c r="D1002" t="str">
        <f>HYPERLINK("https://zfin.org/ZDB-GENE-050417-470")</f>
        <v>https://zfin.org/ZDB-GENE-050417-470</v>
      </c>
      <c r="E1002" t="s">
        <v>2989</v>
      </c>
    </row>
    <row r="1003" spans="1:5" x14ac:dyDescent="0.2">
      <c r="A1003" t="s">
        <v>2990</v>
      </c>
      <c r="B1003" t="s">
        <v>2991</v>
      </c>
      <c r="C1003" t="s">
        <v>2991</v>
      </c>
      <c r="D1003" t="str">
        <f>HYPERLINK("https://zfin.org/ZDB-GENE-040801-145")</f>
        <v>https://zfin.org/ZDB-GENE-040801-145</v>
      </c>
      <c r="E1003" t="s">
        <v>2992</v>
      </c>
    </row>
    <row r="1004" spans="1:5" x14ac:dyDescent="0.2">
      <c r="A1004" t="s">
        <v>2993</v>
      </c>
      <c r="B1004" t="s">
        <v>2994</v>
      </c>
      <c r="C1004" t="s">
        <v>2994</v>
      </c>
      <c r="D1004" t="str">
        <f>HYPERLINK("https://zfin.org/ZDB-GENE-030521-10")</f>
        <v>https://zfin.org/ZDB-GENE-030521-10</v>
      </c>
      <c r="E1004" t="s">
        <v>2995</v>
      </c>
    </row>
    <row r="1005" spans="1:5" x14ac:dyDescent="0.2">
      <c r="A1005" t="s">
        <v>2996</v>
      </c>
      <c r="B1005" t="s">
        <v>2997</v>
      </c>
      <c r="C1005" t="s">
        <v>2997</v>
      </c>
      <c r="D1005" t="str">
        <f>HYPERLINK("https://zfin.org/ZDB-GENE-000616-2")</f>
        <v>https://zfin.org/ZDB-GENE-000616-2</v>
      </c>
      <c r="E1005" t="s">
        <v>2998</v>
      </c>
    </row>
    <row r="1006" spans="1:5" x14ac:dyDescent="0.2">
      <c r="A1006" t="s">
        <v>2999</v>
      </c>
      <c r="B1006" t="s">
        <v>3000</v>
      </c>
      <c r="C1006" t="s">
        <v>3000</v>
      </c>
      <c r="D1006" t="str">
        <f>HYPERLINK("https://zfin.org/ZDB-GENE-070629-3")</f>
        <v>https://zfin.org/ZDB-GENE-070629-3</v>
      </c>
      <c r="E1006" t="s">
        <v>3001</v>
      </c>
    </row>
    <row r="1007" spans="1:5" x14ac:dyDescent="0.2">
      <c r="A1007" t="s">
        <v>3002</v>
      </c>
      <c r="B1007" t="s">
        <v>3003</v>
      </c>
      <c r="C1007" t="s">
        <v>3003</v>
      </c>
      <c r="D1007" t="str">
        <f>HYPERLINK("https://zfin.org/ZDB-GENE-090311-31")</f>
        <v>https://zfin.org/ZDB-GENE-090311-31</v>
      </c>
      <c r="E1007" t="s">
        <v>3004</v>
      </c>
    </row>
    <row r="1008" spans="1:5" x14ac:dyDescent="0.2">
      <c r="A1008" t="s">
        <v>3005</v>
      </c>
      <c r="B1008" t="s">
        <v>3006</v>
      </c>
      <c r="C1008" t="s">
        <v>3006</v>
      </c>
      <c r="D1008" t="str">
        <f>HYPERLINK("https://zfin.org/ZDB-GENE-030131-8576")</f>
        <v>https://zfin.org/ZDB-GENE-030131-8576</v>
      </c>
      <c r="E1008" t="s">
        <v>3007</v>
      </c>
    </row>
    <row r="1009" spans="1:5" x14ac:dyDescent="0.2">
      <c r="A1009" t="s">
        <v>3008</v>
      </c>
      <c r="B1009" t="s">
        <v>3009</v>
      </c>
      <c r="C1009" t="s">
        <v>3009</v>
      </c>
      <c r="D1009" t="str">
        <f>HYPERLINK("https://zfin.org/ZDB-GENE-030131-3548")</f>
        <v>https://zfin.org/ZDB-GENE-030131-3548</v>
      </c>
      <c r="E1009" t="s">
        <v>3010</v>
      </c>
    </row>
    <row r="1010" spans="1:5" x14ac:dyDescent="0.2">
      <c r="A1010" t="s">
        <v>3011</v>
      </c>
      <c r="B1010" t="s">
        <v>3012</v>
      </c>
      <c r="C1010" t="s">
        <v>3012</v>
      </c>
      <c r="D1010" t="str">
        <f>HYPERLINK("https://zfin.org/ZDB-GENE-040426-838")</f>
        <v>https://zfin.org/ZDB-GENE-040426-838</v>
      </c>
      <c r="E1010" t="s">
        <v>3013</v>
      </c>
    </row>
    <row r="1011" spans="1:5" x14ac:dyDescent="0.2">
      <c r="A1011" t="s">
        <v>3014</v>
      </c>
      <c r="B1011" t="s">
        <v>3015</v>
      </c>
      <c r="C1011" t="s">
        <v>3015</v>
      </c>
      <c r="D1011" t="str">
        <f>HYPERLINK("https://zfin.org/ZDB-GENE-010302-3")</f>
        <v>https://zfin.org/ZDB-GENE-010302-3</v>
      </c>
      <c r="E1011" t="s">
        <v>3016</v>
      </c>
    </row>
    <row r="1012" spans="1:5" x14ac:dyDescent="0.2">
      <c r="A1012" t="s">
        <v>3017</v>
      </c>
      <c r="B1012" t="s">
        <v>3018</v>
      </c>
      <c r="C1012" t="s">
        <v>3018</v>
      </c>
      <c r="D1012" t="str">
        <f>HYPERLINK("https://zfin.org/ZDB-GENE-030616-78")</f>
        <v>https://zfin.org/ZDB-GENE-030616-78</v>
      </c>
      <c r="E1012" t="s">
        <v>3019</v>
      </c>
    </row>
    <row r="1013" spans="1:5" x14ac:dyDescent="0.2">
      <c r="A1013" t="s">
        <v>3020</v>
      </c>
      <c r="B1013" t="s">
        <v>3021</v>
      </c>
      <c r="C1013" t="s">
        <v>3021</v>
      </c>
      <c r="D1013" t="str">
        <f>HYPERLINK("https://zfin.org/ZDB-GENE-010219-2")</f>
        <v>https://zfin.org/ZDB-GENE-010219-2</v>
      </c>
      <c r="E1013" t="s">
        <v>3022</v>
      </c>
    </row>
    <row r="1014" spans="1:5" x14ac:dyDescent="0.2">
      <c r="A1014" t="s">
        <v>3023</v>
      </c>
      <c r="B1014" t="s">
        <v>3024</v>
      </c>
      <c r="C1014" t="s">
        <v>3024</v>
      </c>
      <c r="D1014" t="str">
        <f>HYPERLINK("https://zfin.org/ZDB-GENE-031118-197")</f>
        <v>https://zfin.org/ZDB-GENE-031118-197</v>
      </c>
      <c r="E1014" t="s">
        <v>3025</v>
      </c>
    </row>
    <row r="1015" spans="1:5" x14ac:dyDescent="0.2">
      <c r="A1015" t="s">
        <v>3026</v>
      </c>
      <c r="B1015" t="s">
        <v>3027</v>
      </c>
      <c r="C1015" t="s">
        <v>3027</v>
      </c>
      <c r="D1015" t="str">
        <f>HYPERLINK("https://zfin.org/ZDB-GENE-040426-784")</f>
        <v>https://zfin.org/ZDB-GENE-040426-784</v>
      </c>
      <c r="E1015" t="s">
        <v>3028</v>
      </c>
    </row>
    <row r="1016" spans="1:5" x14ac:dyDescent="0.2">
      <c r="A1016" t="s">
        <v>3029</v>
      </c>
      <c r="B1016" t="s">
        <v>3030</v>
      </c>
      <c r="C1016" t="s">
        <v>3030</v>
      </c>
      <c r="D1016" t="str">
        <f>HYPERLINK("https://zfin.org/ZDB-GENE-990415-8")</f>
        <v>https://zfin.org/ZDB-GENE-990415-8</v>
      </c>
      <c r="E1016" t="s">
        <v>3031</v>
      </c>
    </row>
    <row r="1017" spans="1:5" x14ac:dyDescent="0.2">
      <c r="A1017" t="s">
        <v>3032</v>
      </c>
      <c r="B1017" t="s">
        <v>3033</v>
      </c>
      <c r="C1017" t="s">
        <v>3033</v>
      </c>
      <c r="D1017" t="str">
        <f>HYPERLINK("https://zfin.org/ZDB-GENE-050208-185")</f>
        <v>https://zfin.org/ZDB-GENE-050208-185</v>
      </c>
      <c r="E1017" t="s">
        <v>3034</v>
      </c>
    </row>
    <row r="1018" spans="1:5" x14ac:dyDescent="0.2">
      <c r="A1018" t="s">
        <v>3035</v>
      </c>
      <c r="B1018" t="s">
        <v>3036</v>
      </c>
      <c r="C1018" t="s">
        <v>3036</v>
      </c>
      <c r="D1018" t="str">
        <f>HYPERLINK("https://zfin.org/ZDB-GENE-040426-2797")</f>
        <v>https://zfin.org/ZDB-GENE-040426-2797</v>
      </c>
      <c r="E1018" t="s">
        <v>3037</v>
      </c>
    </row>
    <row r="1019" spans="1:5" x14ac:dyDescent="0.2">
      <c r="A1019" t="s">
        <v>3038</v>
      </c>
      <c r="B1019" t="s">
        <v>3039</v>
      </c>
      <c r="C1019" t="s">
        <v>3039</v>
      </c>
      <c r="D1019" t="str">
        <f>HYPERLINK("https://zfin.org/ZDB-GENE-081031-101")</f>
        <v>https://zfin.org/ZDB-GENE-081031-101</v>
      </c>
      <c r="E1019" t="s">
        <v>3040</v>
      </c>
    </row>
    <row r="1020" spans="1:5" x14ac:dyDescent="0.2">
      <c r="A1020" t="s">
        <v>3041</v>
      </c>
      <c r="B1020" t="s">
        <v>3042</v>
      </c>
      <c r="C1020" t="s">
        <v>3042</v>
      </c>
      <c r="D1020" t="str">
        <f>HYPERLINK("https://zfin.org/ZDB-GENE-111020-12")</f>
        <v>https://zfin.org/ZDB-GENE-111020-12</v>
      </c>
      <c r="E1020" t="s">
        <v>3043</v>
      </c>
    </row>
    <row r="1021" spans="1:5" x14ac:dyDescent="0.2">
      <c r="A1021" t="s">
        <v>3044</v>
      </c>
      <c r="B1021" t="s">
        <v>3045</v>
      </c>
      <c r="C1021" t="s">
        <v>3045</v>
      </c>
      <c r="D1021" t="str">
        <f>HYPERLINK("https://zfin.org/ZDB-GENE-030131-5765")</f>
        <v>https://zfin.org/ZDB-GENE-030131-5765</v>
      </c>
      <c r="E1021" t="s">
        <v>3046</v>
      </c>
    </row>
    <row r="1022" spans="1:5" x14ac:dyDescent="0.2">
      <c r="A1022" t="s">
        <v>3047</v>
      </c>
      <c r="B1022" t="s">
        <v>3048</v>
      </c>
      <c r="C1022" t="s">
        <v>3048</v>
      </c>
      <c r="D1022" t="str">
        <f>HYPERLINK("https://zfin.org/ZDB-GENE-030131-1423")</f>
        <v>https://zfin.org/ZDB-GENE-030131-1423</v>
      </c>
      <c r="E1022" t="s">
        <v>3049</v>
      </c>
    </row>
    <row r="1023" spans="1:5" x14ac:dyDescent="0.2">
      <c r="A1023" t="s">
        <v>3050</v>
      </c>
      <c r="B1023" t="s">
        <v>3051</v>
      </c>
      <c r="C1023" t="s">
        <v>3051</v>
      </c>
      <c r="D1023" t="str">
        <f>HYPERLINK("https://zfin.org/ZDB-GENE-071205-7")</f>
        <v>https://zfin.org/ZDB-GENE-071205-7</v>
      </c>
      <c r="E1023" t="s">
        <v>3052</v>
      </c>
    </row>
    <row r="1024" spans="1:5" x14ac:dyDescent="0.2">
      <c r="A1024" t="s">
        <v>3053</v>
      </c>
      <c r="B1024" t="s">
        <v>3054</v>
      </c>
      <c r="C1024" t="s">
        <v>3054</v>
      </c>
      <c r="D1024" t="str">
        <f>HYPERLINK("https://zfin.org/ZDB-GENE-040426-1573")</f>
        <v>https://zfin.org/ZDB-GENE-040426-1573</v>
      </c>
      <c r="E1024" t="s">
        <v>3055</v>
      </c>
    </row>
    <row r="1025" spans="1:5" x14ac:dyDescent="0.2">
      <c r="A1025" t="s">
        <v>3056</v>
      </c>
      <c r="B1025" t="s">
        <v>3057</v>
      </c>
      <c r="C1025" t="s">
        <v>3057</v>
      </c>
      <c r="D1025" t="str">
        <f>HYPERLINK("https://zfin.org/ZDB-GENE-110914-144")</f>
        <v>https://zfin.org/ZDB-GENE-110914-144</v>
      </c>
      <c r="E1025" t="s">
        <v>3058</v>
      </c>
    </row>
    <row r="1026" spans="1:5" x14ac:dyDescent="0.2">
      <c r="A1026" t="s">
        <v>3059</v>
      </c>
      <c r="B1026" t="s">
        <v>3060</v>
      </c>
      <c r="C1026" t="s">
        <v>3060</v>
      </c>
      <c r="D1026" t="str">
        <f>HYPERLINK("https://zfin.org/ZDB-GENE-030131-8741")</f>
        <v>https://zfin.org/ZDB-GENE-030131-8741</v>
      </c>
      <c r="E1026" t="s">
        <v>3061</v>
      </c>
    </row>
    <row r="1027" spans="1:5" x14ac:dyDescent="0.2">
      <c r="A1027" t="s">
        <v>3062</v>
      </c>
      <c r="B1027" t="s">
        <v>3063</v>
      </c>
      <c r="C1027" t="s">
        <v>3063</v>
      </c>
      <c r="D1027" t="str">
        <f>HYPERLINK("https://zfin.org/ZDB-GENE-090313-338")</f>
        <v>https://zfin.org/ZDB-GENE-090313-338</v>
      </c>
      <c r="E1027" t="s">
        <v>3064</v>
      </c>
    </row>
    <row r="1028" spans="1:5" x14ac:dyDescent="0.2">
      <c r="A1028" t="s">
        <v>3065</v>
      </c>
      <c r="B1028" t="s">
        <v>3066</v>
      </c>
      <c r="C1028" t="s">
        <v>3066</v>
      </c>
      <c r="D1028" t="str">
        <f>HYPERLINK("https://zfin.org/ZDB-GENE-060610-2")</f>
        <v>https://zfin.org/ZDB-GENE-060610-2</v>
      </c>
      <c r="E1028" t="s">
        <v>3067</v>
      </c>
    </row>
    <row r="1029" spans="1:5" x14ac:dyDescent="0.2">
      <c r="A1029" t="s">
        <v>3068</v>
      </c>
      <c r="B1029" t="s">
        <v>3069</v>
      </c>
      <c r="C1029" t="s">
        <v>3069</v>
      </c>
      <c r="D1029" t="str">
        <f>HYPERLINK("https://zfin.org/ZDB-GENE-090313-217")</f>
        <v>https://zfin.org/ZDB-GENE-090313-217</v>
      </c>
      <c r="E1029" t="s">
        <v>3070</v>
      </c>
    </row>
    <row r="1030" spans="1:5" x14ac:dyDescent="0.2">
      <c r="A1030" t="s">
        <v>3071</v>
      </c>
      <c r="B1030" t="s">
        <v>3072</v>
      </c>
      <c r="C1030" t="s">
        <v>3072</v>
      </c>
      <c r="D1030" t="str">
        <f>HYPERLINK("https://zfin.org/ZDB-GENE-030131-4424")</f>
        <v>https://zfin.org/ZDB-GENE-030131-4424</v>
      </c>
      <c r="E1030" t="s">
        <v>3073</v>
      </c>
    </row>
    <row r="1031" spans="1:5" x14ac:dyDescent="0.2">
      <c r="A1031" t="s">
        <v>3074</v>
      </c>
      <c r="B1031" t="s">
        <v>3075</v>
      </c>
      <c r="C1031" t="s">
        <v>3075</v>
      </c>
      <c r="D1031" t="str">
        <f>HYPERLINK("https://zfin.org/ZDB-GENE-070308-3")</f>
        <v>https://zfin.org/ZDB-GENE-070308-3</v>
      </c>
      <c r="E1031" t="s">
        <v>3076</v>
      </c>
    </row>
    <row r="1032" spans="1:5" x14ac:dyDescent="0.2">
      <c r="A1032" t="s">
        <v>3077</v>
      </c>
      <c r="B1032" t="s">
        <v>3078</v>
      </c>
      <c r="C1032" t="s">
        <v>3078</v>
      </c>
      <c r="D1032" t="str">
        <f>HYPERLINK("https://zfin.org/ZDB-GENE-070912-288")</f>
        <v>https://zfin.org/ZDB-GENE-070912-288</v>
      </c>
      <c r="E1032" t="s">
        <v>3079</v>
      </c>
    </row>
    <row r="1033" spans="1:5" x14ac:dyDescent="0.2">
      <c r="A1033" t="s">
        <v>3080</v>
      </c>
      <c r="B1033" t="s">
        <v>3081</v>
      </c>
      <c r="C1033" t="s">
        <v>3081</v>
      </c>
      <c r="D1033" t="str">
        <f>HYPERLINK("https://zfin.org/ZDB-GENE-110606-4")</f>
        <v>https://zfin.org/ZDB-GENE-110606-4</v>
      </c>
      <c r="E1033" t="s">
        <v>3082</v>
      </c>
    </row>
    <row r="1034" spans="1:5" x14ac:dyDescent="0.2">
      <c r="A1034" t="s">
        <v>3083</v>
      </c>
      <c r="B1034" t="s">
        <v>3084</v>
      </c>
      <c r="C1034" t="s">
        <v>3084</v>
      </c>
      <c r="D1034" t="str">
        <f>HYPERLINK("https://zfin.org/ZDB-GENE-030909-7")</f>
        <v>https://zfin.org/ZDB-GENE-030909-7</v>
      </c>
      <c r="E1034" t="s">
        <v>3085</v>
      </c>
    </row>
    <row r="1035" spans="1:5" x14ac:dyDescent="0.2">
      <c r="A1035" t="s">
        <v>3086</v>
      </c>
      <c r="B1035" t="s">
        <v>3087</v>
      </c>
      <c r="C1035" t="s">
        <v>3087</v>
      </c>
      <c r="D1035" t="str">
        <f>HYPERLINK("https://zfin.org/ZDB-GENE-070112-412")</f>
        <v>https://zfin.org/ZDB-GENE-070112-412</v>
      </c>
      <c r="E1035" t="s">
        <v>3088</v>
      </c>
    </row>
    <row r="1036" spans="1:5" x14ac:dyDescent="0.2">
      <c r="A1036" t="s">
        <v>3089</v>
      </c>
      <c r="B1036" t="s">
        <v>3090</v>
      </c>
      <c r="C1036" t="s">
        <v>3090</v>
      </c>
      <c r="D1036" t="str">
        <f>HYPERLINK("https://zfin.org/ZDB-GENE-060929-998")</f>
        <v>https://zfin.org/ZDB-GENE-060929-998</v>
      </c>
      <c r="E1036" t="s">
        <v>3091</v>
      </c>
    </row>
    <row r="1037" spans="1:5" x14ac:dyDescent="0.2">
      <c r="A1037" t="s">
        <v>3092</v>
      </c>
      <c r="B1037" t="s">
        <v>3093</v>
      </c>
      <c r="C1037" t="s">
        <v>3093</v>
      </c>
      <c r="D1037" t="str">
        <f>HYPERLINK("https://zfin.org/ZDB-GENE-030710-8")</f>
        <v>https://zfin.org/ZDB-GENE-030710-8</v>
      </c>
      <c r="E1037" t="s">
        <v>3094</v>
      </c>
    </row>
    <row r="1038" spans="1:5" x14ac:dyDescent="0.2">
      <c r="A1038" t="s">
        <v>3095</v>
      </c>
      <c r="B1038" t="s">
        <v>3096</v>
      </c>
      <c r="C1038" t="s">
        <v>3096</v>
      </c>
      <c r="D1038" t="str">
        <f>HYPERLINK("https://zfin.org/ZDB-GENE-120215-39")</f>
        <v>https://zfin.org/ZDB-GENE-120215-39</v>
      </c>
      <c r="E1038" t="s">
        <v>3097</v>
      </c>
    </row>
    <row r="1039" spans="1:5" x14ac:dyDescent="0.2">
      <c r="A1039" t="s">
        <v>3098</v>
      </c>
      <c r="B1039" t="s">
        <v>3099</v>
      </c>
      <c r="C1039" t="s">
        <v>3099</v>
      </c>
      <c r="D1039" t="str">
        <f>HYPERLINK("https://zfin.org/ZDB-GENE-050913-63")</f>
        <v>https://zfin.org/ZDB-GENE-050913-63</v>
      </c>
      <c r="E1039" t="s">
        <v>3100</v>
      </c>
    </row>
    <row r="1040" spans="1:5" x14ac:dyDescent="0.2">
      <c r="A1040" t="s">
        <v>3101</v>
      </c>
      <c r="B1040" t="s">
        <v>3102</v>
      </c>
      <c r="C1040" t="s">
        <v>3102</v>
      </c>
      <c r="D1040" t="str">
        <f>HYPERLINK("https://zfin.org/ZDB-GENE-030131-2167")</f>
        <v>https://zfin.org/ZDB-GENE-030131-2167</v>
      </c>
      <c r="E1040" t="s">
        <v>3103</v>
      </c>
    </row>
    <row r="1041" spans="1:5" x14ac:dyDescent="0.2">
      <c r="A1041" t="s">
        <v>3104</v>
      </c>
      <c r="B1041" t="s">
        <v>3105</v>
      </c>
      <c r="C1041" t="s">
        <v>3105</v>
      </c>
      <c r="D1041" t="str">
        <f>HYPERLINK("https://zfin.org/ZDB-GENE-110411-60")</f>
        <v>https://zfin.org/ZDB-GENE-110411-60</v>
      </c>
      <c r="E1041" t="s">
        <v>3106</v>
      </c>
    </row>
    <row r="1042" spans="1:5" x14ac:dyDescent="0.2">
      <c r="A1042" t="s">
        <v>3107</v>
      </c>
      <c r="B1042" t="s">
        <v>3108</v>
      </c>
      <c r="C1042" t="s">
        <v>3108</v>
      </c>
      <c r="D1042" t="str">
        <f>HYPERLINK("https://zfin.org/ZDB-GENE-030131-7332")</f>
        <v>https://zfin.org/ZDB-GENE-030131-7332</v>
      </c>
      <c r="E1042" t="s">
        <v>3109</v>
      </c>
    </row>
    <row r="1043" spans="1:5" x14ac:dyDescent="0.2">
      <c r="A1043" t="s">
        <v>3110</v>
      </c>
      <c r="B1043" t="s">
        <v>3111</v>
      </c>
      <c r="C1043" t="s">
        <v>3111</v>
      </c>
      <c r="D1043" t="str">
        <f>HYPERLINK("https://zfin.org/ZDB-GENE-050227-10")</f>
        <v>https://zfin.org/ZDB-GENE-050227-10</v>
      </c>
      <c r="E1043" t="s">
        <v>3112</v>
      </c>
    </row>
    <row r="1044" spans="1:5" x14ac:dyDescent="0.2">
      <c r="A1044" t="s">
        <v>3113</v>
      </c>
      <c r="B1044" t="s">
        <v>3114</v>
      </c>
      <c r="C1044" t="s">
        <v>3114</v>
      </c>
      <c r="D1044" t="str">
        <f>HYPERLINK("https://zfin.org/ZDB-GENE-080204-72")</f>
        <v>https://zfin.org/ZDB-GENE-080204-72</v>
      </c>
      <c r="E1044" t="s">
        <v>3115</v>
      </c>
    </row>
    <row r="1045" spans="1:5" x14ac:dyDescent="0.2">
      <c r="A1045" t="s">
        <v>3116</v>
      </c>
      <c r="B1045" t="s">
        <v>3117</v>
      </c>
      <c r="C1045" t="s">
        <v>3117</v>
      </c>
      <c r="D1045" t="str">
        <f>HYPERLINK("https://zfin.org/ZDB-GENE-030903-5")</f>
        <v>https://zfin.org/ZDB-GENE-030903-5</v>
      </c>
      <c r="E1045" t="s">
        <v>3118</v>
      </c>
    </row>
    <row r="1046" spans="1:5" x14ac:dyDescent="0.2">
      <c r="A1046" t="s">
        <v>3119</v>
      </c>
      <c r="B1046" t="s">
        <v>3120</v>
      </c>
      <c r="C1046" t="s">
        <v>3120</v>
      </c>
      <c r="D1046" t="str">
        <f>HYPERLINK("https://zfin.org/ZDB-GENE-030131-321")</f>
        <v>https://zfin.org/ZDB-GENE-030131-321</v>
      </c>
      <c r="E1046" t="s">
        <v>3121</v>
      </c>
    </row>
    <row r="1047" spans="1:5" x14ac:dyDescent="0.2">
      <c r="A1047" t="s">
        <v>3122</v>
      </c>
      <c r="B1047" t="s">
        <v>3123</v>
      </c>
      <c r="C1047" t="s">
        <v>3123</v>
      </c>
      <c r="D1047" t="str">
        <f>HYPERLINK("https://zfin.org/ZDB-GENE-030131-3238")</f>
        <v>https://zfin.org/ZDB-GENE-030131-3238</v>
      </c>
      <c r="E1047" t="s">
        <v>3124</v>
      </c>
    </row>
    <row r="1048" spans="1:5" x14ac:dyDescent="0.2">
      <c r="A1048" t="s">
        <v>3125</v>
      </c>
      <c r="B1048" t="s">
        <v>3126</v>
      </c>
      <c r="C1048" t="s">
        <v>3126</v>
      </c>
      <c r="D1048" t="str">
        <f>HYPERLINK("https://zfin.org/ZDB-GENE-040426-2885")</f>
        <v>https://zfin.org/ZDB-GENE-040426-2885</v>
      </c>
      <c r="E1048" t="s">
        <v>3127</v>
      </c>
    </row>
    <row r="1049" spans="1:5" x14ac:dyDescent="0.2">
      <c r="A1049" t="s">
        <v>3128</v>
      </c>
      <c r="B1049" t="s">
        <v>3129</v>
      </c>
      <c r="C1049" t="s">
        <v>3129</v>
      </c>
      <c r="D1049" t="str">
        <f>HYPERLINK("https://zfin.org/ZDB-GENE-040426-1657")</f>
        <v>https://zfin.org/ZDB-GENE-040426-1657</v>
      </c>
      <c r="E1049" t="s">
        <v>3130</v>
      </c>
    </row>
    <row r="1050" spans="1:5" x14ac:dyDescent="0.2">
      <c r="A1050" t="s">
        <v>3131</v>
      </c>
      <c r="B1050" t="s">
        <v>3132</v>
      </c>
      <c r="C1050" t="s">
        <v>3132</v>
      </c>
      <c r="D1050" t="str">
        <f>HYPERLINK("https://zfin.org/ZDB-GENE-011210-1")</f>
        <v>https://zfin.org/ZDB-GENE-011210-1</v>
      </c>
      <c r="E1050" t="s">
        <v>3133</v>
      </c>
    </row>
    <row r="1051" spans="1:5" x14ac:dyDescent="0.2">
      <c r="A1051" t="s">
        <v>3134</v>
      </c>
      <c r="B1051" t="s">
        <v>3135</v>
      </c>
      <c r="C1051" t="s">
        <v>3135</v>
      </c>
      <c r="D1051" t="str">
        <f>HYPERLINK("https://zfin.org/ZDB-GENE-030131-5607")</f>
        <v>https://zfin.org/ZDB-GENE-030131-5607</v>
      </c>
      <c r="E1051" t="s">
        <v>3136</v>
      </c>
    </row>
    <row r="1052" spans="1:5" x14ac:dyDescent="0.2">
      <c r="A1052" t="s">
        <v>3137</v>
      </c>
      <c r="B1052" t="s">
        <v>3138</v>
      </c>
      <c r="C1052" t="s">
        <v>3138</v>
      </c>
      <c r="D1052" t="str">
        <f>HYPERLINK("https://zfin.org/ZDB-GENE-070912-294")</f>
        <v>https://zfin.org/ZDB-GENE-070912-294</v>
      </c>
      <c r="E1052" t="s">
        <v>3139</v>
      </c>
    </row>
    <row r="1053" spans="1:5" x14ac:dyDescent="0.2">
      <c r="A1053" t="s">
        <v>3140</v>
      </c>
      <c r="B1053" t="s">
        <v>3141</v>
      </c>
      <c r="C1053" t="s">
        <v>3141</v>
      </c>
      <c r="D1053" t="str">
        <f>HYPERLINK("https://zfin.org/ZDB-GENE-040426-1154")</f>
        <v>https://zfin.org/ZDB-GENE-040426-1154</v>
      </c>
      <c r="E1053" t="s">
        <v>3142</v>
      </c>
    </row>
    <row r="1054" spans="1:5" x14ac:dyDescent="0.2">
      <c r="A1054" t="s">
        <v>3143</v>
      </c>
      <c r="B1054" t="s">
        <v>3144</v>
      </c>
      <c r="C1054" t="s">
        <v>3144</v>
      </c>
      <c r="D1054" t="str">
        <f>HYPERLINK("https://zfin.org/ZDB-GENE-071004-97")</f>
        <v>https://zfin.org/ZDB-GENE-071004-97</v>
      </c>
      <c r="E1054" t="s">
        <v>3145</v>
      </c>
    </row>
    <row r="1055" spans="1:5" x14ac:dyDescent="0.2">
      <c r="A1055" t="s">
        <v>3146</v>
      </c>
      <c r="B1055" t="s">
        <v>3147</v>
      </c>
      <c r="C1055" t="s">
        <v>3147</v>
      </c>
      <c r="D1055" t="str">
        <f>HYPERLINK("https://zfin.org/ZDB-GENE-070410-8")</f>
        <v>https://zfin.org/ZDB-GENE-070410-8</v>
      </c>
      <c r="E1055" t="s">
        <v>3148</v>
      </c>
    </row>
    <row r="1056" spans="1:5" x14ac:dyDescent="0.2">
      <c r="A1056" t="s">
        <v>3149</v>
      </c>
      <c r="B1056" t="s">
        <v>3150</v>
      </c>
      <c r="C1056" t="s">
        <v>3150</v>
      </c>
      <c r="D1056" t="str">
        <f>HYPERLINK("https://zfin.org/ZDB-GENE-120215-57")</f>
        <v>https://zfin.org/ZDB-GENE-120215-57</v>
      </c>
      <c r="E1056" t="s">
        <v>3151</v>
      </c>
    </row>
    <row r="1057" spans="1:5" x14ac:dyDescent="0.2">
      <c r="A1057" t="s">
        <v>3152</v>
      </c>
      <c r="B1057" t="s">
        <v>3153</v>
      </c>
      <c r="C1057" t="s">
        <v>3153</v>
      </c>
      <c r="D1057" t="str">
        <f>HYPERLINK("https://zfin.org/ZDB-GENE-060929-220")</f>
        <v>https://zfin.org/ZDB-GENE-060929-220</v>
      </c>
      <c r="E1057" t="s">
        <v>3154</v>
      </c>
    </row>
    <row r="1058" spans="1:5" x14ac:dyDescent="0.2">
      <c r="A1058" t="s">
        <v>3155</v>
      </c>
      <c r="B1058" t="s">
        <v>3156</v>
      </c>
      <c r="C1058" t="s">
        <v>3156</v>
      </c>
      <c r="D1058" t="str">
        <f>HYPERLINK("https://zfin.org/ZDB-GENE-060315-5")</f>
        <v>https://zfin.org/ZDB-GENE-060315-5</v>
      </c>
      <c r="E1058" t="s">
        <v>3157</v>
      </c>
    </row>
    <row r="1059" spans="1:5" x14ac:dyDescent="0.2">
      <c r="A1059" t="s">
        <v>3158</v>
      </c>
      <c r="B1059" t="s">
        <v>3159</v>
      </c>
      <c r="C1059" t="s">
        <v>3159</v>
      </c>
      <c r="D1059" t="str">
        <f>HYPERLINK("https://zfin.org/ZDB-GENE-090313-46")</f>
        <v>https://zfin.org/ZDB-GENE-090313-46</v>
      </c>
      <c r="E1059" t="s">
        <v>3160</v>
      </c>
    </row>
    <row r="1060" spans="1:5" x14ac:dyDescent="0.2">
      <c r="A1060" t="s">
        <v>3161</v>
      </c>
      <c r="B1060" t="s">
        <v>3162</v>
      </c>
      <c r="C1060" t="s">
        <v>3162</v>
      </c>
      <c r="D1060" t="str">
        <f>HYPERLINK("https://zfin.org/ZDB-GENE-141211-1")</f>
        <v>https://zfin.org/ZDB-GENE-141211-1</v>
      </c>
      <c r="E1060" t="s">
        <v>3163</v>
      </c>
    </row>
    <row r="1061" spans="1:5" x14ac:dyDescent="0.2">
      <c r="A1061" t="s">
        <v>3164</v>
      </c>
      <c r="B1061" t="s">
        <v>3165</v>
      </c>
      <c r="C1061" t="s">
        <v>3165</v>
      </c>
      <c r="D1061" t="str">
        <f>HYPERLINK("https://zfin.org/ZDB-GENE-040426-2213")</f>
        <v>https://zfin.org/ZDB-GENE-040426-2213</v>
      </c>
      <c r="E1061" t="s">
        <v>3166</v>
      </c>
    </row>
    <row r="1062" spans="1:5" x14ac:dyDescent="0.2">
      <c r="A1062" t="s">
        <v>3167</v>
      </c>
      <c r="B1062" t="s">
        <v>3168</v>
      </c>
      <c r="C1062" t="s">
        <v>3168</v>
      </c>
      <c r="D1062" t="str">
        <f>HYPERLINK("https://zfin.org/ZDB-GENE-060314-3")</f>
        <v>https://zfin.org/ZDB-GENE-060314-3</v>
      </c>
      <c r="E1062" t="s">
        <v>3169</v>
      </c>
    </row>
    <row r="1063" spans="1:5" x14ac:dyDescent="0.2">
      <c r="A1063" t="s">
        <v>3170</v>
      </c>
      <c r="B1063" t="s">
        <v>3171</v>
      </c>
      <c r="C1063" t="s">
        <v>3171</v>
      </c>
      <c r="D1063" t="str">
        <f>HYPERLINK("https://zfin.org/ZDB-GENE-061215-80")</f>
        <v>https://zfin.org/ZDB-GENE-061215-80</v>
      </c>
      <c r="E1063" t="s">
        <v>3172</v>
      </c>
    </row>
    <row r="1064" spans="1:5" x14ac:dyDescent="0.2">
      <c r="A1064" t="s">
        <v>3173</v>
      </c>
      <c r="B1064" t="s">
        <v>3174</v>
      </c>
      <c r="C1064" t="s">
        <v>3174</v>
      </c>
      <c r="D1064" t="str">
        <f>HYPERLINK("https://zfin.org/ZDB-GENE-050508-5")</f>
        <v>https://zfin.org/ZDB-GENE-050508-5</v>
      </c>
      <c r="E1064" t="s">
        <v>3175</v>
      </c>
    </row>
    <row r="1065" spans="1:5" x14ac:dyDescent="0.2">
      <c r="A1065" t="s">
        <v>3176</v>
      </c>
      <c r="B1065" t="s">
        <v>3177</v>
      </c>
      <c r="C1065" t="s">
        <v>3177</v>
      </c>
      <c r="D1065" t="str">
        <f>HYPERLINK("https://zfin.org/ZDB-GENE-030131-9917")</f>
        <v>https://zfin.org/ZDB-GENE-030131-9917</v>
      </c>
      <c r="E1065" t="s">
        <v>3178</v>
      </c>
    </row>
    <row r="1066" spans="1:5" x14ac:dyDescent="0.2">
      <c r="A1066" t="s">
        <v>3179</v>
      </c>
      <c r="B1066" t="s">
        <v>3180</v>
      </c>
      <c r="C1066" t="s">
        <v>3180</v>
      </c>
      <c r="D1066" t="str">
        <f>HYPERLINK("https://zfin.org/ZDB-GENE-040426-1191")</f>
        <v>https://zfin.org/ZDB-GENE-040426-1191</v>
      </c>
      <c r="E1066" t="s">
        <v>3181</v>
      </c>
    </row>
    <row r="1067" spans="1:5" x14ac:dyDescent="0.2">
      <c r="A1067" t="s">
        <v>3182</v>
      </c>
      <c r="B1067" t="s">
        <v>3183</v>
      </c>
      <c r="C1067" t="s">
        <v>3183</v>
      </c>
      <c r="D1067" t="str">
        <f>HYPERLINK("https://zfin.org/ZDB-GENE-060312-21")</f>
        <v>https://zfin.org/ZDB-GENE-060312-21</v>
      </c>
      <c r="E1067" t="s">
        <v>3184</v>
      </c>
    </row>
    <row r="1068" spans="1:5" x14ac:dyDescent="0.2">
      <c r="A1068" t="s">
        <v>3185</v>
      </c>
      <c r="B1068" t="s">
        <v>3186</v>
      </c>
      <c r="C1068" t="s">
        <v>3186</v>
      </c>
      <c r="D1068" t="str">
        <f>HYPERLINK("https://zfin.org/ZDB-GENE-050506-94")</f>
        <v>https://zfin.org/ZDB-GENE-050506-94</v>
      </c>
      <c r="E1068" t="s">
        <v>3187</v>
      </c>
    </row>
    <row r="1069" spans="1:5" x14ac:dyDescent="0.2">
      <c r="A1069" t="s">
        <v>3188</v>
      </c>
      <c r="B1069" t="s">
        <v>3189</v>
      </c>
      <c r="C1069" t="s">
        <v>3189</v>
      </c>
      <c r="D1069" t="str">
        <f>HYPERLINK("https://zfin.org/ZDB-GENE-041024-13")</f>
        <v>https://zfin.org/ZDB-GENE-041024-13</v>
      </c>
      <c r="E1069" t="s">
        <v>3190</v>
      </c>
    </row>
    <row r="1070" spans="1:5" x14ac:dyDescent="0.2">
      <c r="A1070" t="s">
        <v>3191</v>
      </c>
      <c r="B1070" t="s">
        <v>3192</v>
      </c>
      <c r="C1070" t="s">
        <v>3192</v>
      </c>
      <c r="D1070" t="str">
        <f>HYPERLINK("https://zfin.org/ZDB-GENE-050417-305")</f>
        <v>https://zfin.org/ZDB-GENE-050417-305</v>
      </c>
      <c r="E1070" t="s">
        <v>3193</v>
      </c>
    </row>
    <row r="1071" spans="1:5" x14ac:dyDescent="0.2">
      <c r="A1071" t="s">
        <v>3194</v>
      </c>
      <c r="B1071" t="s">
        <v>3195</v>
      </c>
      <c r="C1071" t="s">
        <v>3195</v>
      </c>
      <c r="D1071" t="str">
        <f>HYPERLINK("https://zfin.org/ZDB-GENE-120214-41")</f>
        <v>https://zfin.org/ZDB-GENE-120214-41</v>
      </c>
      <c r="E1071" t="s">
        <v>3196</v>
      </c>
    </row>
    <row r="1072" spans="1:5" x14ac:dyDescent="0.2">
      <c r="A1072" t="s">
        <v>3197</v>
      </c>
      <c r="B1072" t="s">
        <v>3198</v>
      </c>
      <c r="C1072" t="s">
        <v>3198</v>
      </c>
      <c r="D1072" t="str">
        <f>HYPERLINK("https://zfin.org/ZDB-GENE-010426-2")</f>
        <v>https://zfin.org/ZDB-GENE-010426-2</v>
      </c>
      <c r="E1072" t="s">
        <v>3199</v>
      </c>
    </row>
    <row r="1073" spans="1:5" x14ac:dyDescent="0.2">
      <c r="A1073" t="s">
        <v>3200</v>
      </c>
      <c r="B1073" t="s">
        <v>3201</v>
      </c>
      <c r="C1073" t="s">
        <v>3201</v>
      </c>
      <c r="D1073" t="str">
        <f>HYPERLINK("https://zfin.org/ZDB-GENE-040825-1")</f>
        <v>https://zfin.org/ZDB-GENE-040825-1</v>
      </c>
      <c r="E1073" t="s">
        <v>3202</v>
      </c>
    </row>
    <row r="1074" spans="1:5" x14ac:dyDescent="0.2">
      <c r="A1074" t="s">
        <v>3203</v>
      </c>
      <c r="B1074" t="s">
        <v>3204</v>
      </c>
      <c r="C1074" t="s">
        <v>3204</v>
      </c>
      <c r="D1074" t="str">
        <f>HYPERLINK("https://zfin.org/ZDB-GENE-081027-4")</f>
        <v>https://zfin.org/ZDB-GENE-081027-4</v>
      </c>
      <c r="E1074" t="s">
        <v>3205</v>
      </c>
    </row>
    <row r="1075" spans="1:5" x14ac:dyDescent="0.2">
      <c r="A1075" t="s">
        <v>3206</v>
      </c>
      <c r="B1075" t="s">
        <v>3207</v>
      </c>
      <c r="C1075" t="s">
        <v>3207</v>
      </c>
      <c r="D1075" t="str">
        <f>HYPERLINK("https://zfin.org/ZDB-GENE-040912-120")</f>
        <v>https://zfin.org/ZDB-GENE-040912-120</v>
      </c>
      <c r="E1075" t="s">
        <v>3208</v>
      </c>
    </row>
    <row r="1076" spans="1:5" x14ac:dyDescent="0.2">
      <c r="A1076" t="s">
        <v>3209</v>
      </c>
      <c r="B1076" t="s">
        <v>3210</v>
      </c>
      <c r="C1076" t="s">
        <v>3210</v>
      </c>
      <c r="D1076" t="str">
        <f>HYPERLINK("https://zfin.org/ZDB-GENE-040426-1035")</f>
        <v>https://zfin.org/ZDB-GENE-040426-1035</v>
      </c>
      <c r="E1076" t="s">
        <v>3211</v>
      </c>
    </row>
    <row r="1077" spans="1:5" x14ac:dyDescent="0.2">
      <c r="A1077" t="s">
        <v>3212</v>
      </c>
      <c r="B1077" t="s">
        <v>3213</v>
      </c>
      <c r="C1077" t="s">
        <v>3213</v>
      </c>
      <c r="D1077" t="str">
        <f>HYPERLINK("https://zfin.org/ZDB-GENE-070220-1")</f>
        <v>https://zfin.org/ZDB-GENE-070220-1</v>
      </c>
      <c r="E1077" t="s">
        <v>3214</v>
      </c>
    </row>
    <row r="1078" spans="1:5" x14ac:dyDescent="0.2">
      <c r="A1078" t="s">
        <v>3215</v>
      </c>
      <c r="B1078" t="s">
        <v>3216</v>
      </c>
      <c r="C1078" t="s">
        <v>3216</v>
      </c>
      <c r="D1078" t="str">
        <f>HYPERLINK("https://zfin.org/ZDB-GENE-050417-38")</f>
        <v>https://zfin.org/ZDB-GENE-050417-38</v>
      </c>
      <c r="E1078" t="s">
        <v>3217</v>
      </c>
    </row>
    <row r="1079" spans="1:5" x14ac:dyDescent="0.2">
      <c r="A1079" t="s">
        <v>3218</v>
      </c>
      <c r="B1079" t="s">
        <v>3219</v>
      </c>
      <c r="C1079" t="s">
        <v>3219</v>
      </c>
      <c r="D1079" t="str">
        <f>HYPERLINK("https://zfin.org/ZDB-GENE-990415-229")</f>
        <v>https://zfin.org/ZDB-GENE-990415-229</v>
      </c>
      <c r="E1079" t="s">
        <v>3220</v>
      </c>
    </row>
    <row r="1080" spans="1:5" x14ac:dyDescent="0.2">
      <c r="A1080" t="s">
        <v>3221</v>
      </c>
      <c r="B1080" t="s">
        <v>3222</v>
      </c>
      <c r="C1080" t="s">
        <v>3222</v>
      </c>
      <c r="D1080" t="str">
        <f>HYPERLINK("https://zfin.org/ZDB-GENE-030131-2581")</f>
        <v>https://zfin.org/ZDB-GENE-030131-2581</v>
      </c>
      <c r="E1080" t="s">
        <v>3223</v>
      </c>
    </row>
    <row r="1081" spans="1:5" x14ac:dyDescent="0.2">
      <c r="A1081" t="s">
        <v>3224</v>
      </c>
      <c r="B1081" t="s">
        <v>3225</v>
      </c>
      <c r="C1081" t="s">
        <v>3225</v>
      </c>
      <c r="D1081" t="str">
        <f>HYPERLINK("https://zfin.org/ZDB-GENE-040704-39")</f>
        <v>https://zfin.org/ZDB-GENE-040704-39</v>
      </c>
      <c r="E1081" t="s">
        <v>3226</v>
      </c>
    </row>
    <row r="1082" spans="1:5" x14ac:dyDescent="0.2">
      <c r="A1082" t="s">
        <v>3227</v>
      </c>
      <c r="B1082" t="s">
        <v>3228</v>
      </c>
      <c r="C1082" t="s">
        <v>3228</v>
      </c>
      <c r="D1082" t="str">
        <f>HYPERLINK("https://zfin.org/ZDB-GENE-090313-275")</f>
        <v>https://zfin.org/ZDB-GENE-090313-275</v>
      </c>
      <c r="E1082" t="s">
        <v>3229</v>
      </c>
    </row>
    <row r="1083" spans="1:5" x14ac:dyDescent="0.2">
      <c r="A1083" t="s">
        <v>3230</v>
      </c>
      <c r="B1083" t="s">
        <v>3231</v>
      </c>
      <c r="C1083" t="s">
        <v>3231</v>
      </c>
      <c r="D1083" t="str">
        <f>HYPERLINK("https://zfin.org/ZDB-GENE-050809-116")</f>
        <v>https://zfin.org/ZDB-GENE-050809-116</v>
      </c>
      <c r="E1083" t="s">
        <v>3232</v>
      </c>
    </row>
    <row r="1084" spans="1:5" x14ac:dyDescent="0.2">
      <c r="A1084" t="s">
        <v>3233</v>
      </c>
      <c r="B1084" t="s">
        <v>3234</v>
      </c>
      <c r="C1084" t="s">
        <v>3234</v>
      </c>
      <c r="D1084" t="str">
        <f>HYPERLINK("https://zfin.org/ZDB-GENE-110310-2")</f>
        <v>https://zfin.org/ZDB-GENE-110310-2</v>
      </c>
      <c r="E1084" t="s">
        <v>3235</v>
      </c>
    </row>
    <row r="1085" spans="1:5" x14ac:dyDescent="0.2">
      <c r="A1085" t="s">
        <v>3236</v>
      </c>
      <c r="B1085" t="s">
        <v>3237</v>
      </c>
      <c r="C1085" t="s">
        <v>3237</v>
      </c>
      <c r="D1085" t="str">
        <f>HYPERLINK("https://zfin.org/ZDB-GENE-040718-148")</f>
        <v>https://zfin.org/ZDB-GENE-040718-148</v>
      </c>
      <c r="E1085" t="s">
        <v>3238</v>
      </c>
    </row>
    <row r="1086" spans="1:5" x14ac:dyDescent="0.2">
      <c r="A1086" t="s">
        <v>3239</v>
      </c>
      <c r="B1086" t="s">
        <v>3240</v>
      </c>
      <c r="C1086" t="s">
        <v>3240</v>
      </c>
      <c r="D1086" t="str">
        <f>HYPERLINK("https://zfin.org/ZDB-GENE-110411-114")</f>
        <v>https://zfin.org/ZDB-GENE-110411-114</v>
      </c>
      <c r="E1086" t="s">
        <v>3241</v>
      </c>
    </row>
    <row r="1087" spans="1:5" x14ac:dyDescent="0.2">
      <c r="A1087" t="s">
        <v>3242</v>
      </c>
      <c r="B1087" t="s">
        <v>3243</v>
      </c>
      <c r="C1087" t="s">
        <v>3243</v>
      </c>
      <c r="D1087" t="str">
        <f>HYPERLINK("https://zfin.org/ZDB-GENE-040426-1124")</f>
        <v>https://zfin.org/ZDB-GENE-040426-1124</v>
      </c>
      <c r="E1087" t="s">
        <v>3244</v>
      </c>
    </row>
    <row r="1088" spans="1:5" x14ac:dyDescent="0.2">
      <c r="A1088" t="s">
        <v>3245</v>
      </c>
      <c r="B1088" t="s">
        <v>3246</v>
      </c>
      <c r="C1088" t="s">
        <v>3246</v>
      </c>
      <c r="D1088" t="str">
        <f>HYPERLINK("https://zfin.org/ZDB-GENE-030131-1074")</f>
        <v>https://zfin.org/ZDB-GENE-030131-1074</v>
      </c>
      <c r="E1088" t="s">
        <v>3247</v>
      </c>
    </row>
    <row r="1089" spans="1:5" x14ac:dyDescent="0.2">
      <c r="A1089" t="s">
        <v>3248</v>
      </c>
      <c r="B1089" t="s">
        <v>3249</v>
      </c>
      <c r="C1089" t="s">
        <v>3249</v>
      </c>
      <c r="D1089" t="str">
        <f>HYPERLINK("https://zfin.org/ZDB-GENE-030131-4012")</f>
        <v>https://zfin.org/ZDB-GENE-030131-4012</v>
      </c>
      <c r="E1089" t="s">
        <v>3250</v>
      </c>
    </row>
    <row r="1090" spans="1:5" x14ac:dyDescent="0.2">
      <c r="A1090" t="s">
        <v>3251</v>
      </c>
      <c r="B1090" t="s">
        <v>3252</v>
      </c>
      <c r="C1090" t="s">
        <v>3252</v>
      </c>
      <c r="D1090" t="str">
        <f>HYPERLINK("https://zfin.org/ZDB-GENE-050417-400")</f>
        <v>https://zfin.org/ZDB-GENE-050417-400</v>
      </c>
      <c r="E1090" t="s">
        <v>3253</v>
      </c>
    </row>
    <row r="1091" spans="1:5" x14ac:dyDescent="0.2">
      <c r="A1091" t="s">
        <v>3254</v>
      </c>
      <c r="B1091" t="s">
        <v>3255</v>
      </c>
      <c r="C1091" t="s">
        <v>3255</v>
      </c>
      <c r="D1091" t="str">
        <f>HYPERLINK("https://zfin.org/ZDB-GENE-081104-347")</f>
        <v>https://zfin.org/ZDB-GENE-081104-347</v>
      </c>
      <c r="E1091" t="s">
        <v>3256</v>
      </c>
    </row>
    <row r="1092" spans="1:5" x14ac:dyDescent="0.2">
      <c r="A1092" t="s">
        <v>3257</v>
      </c>
      <c r="B1092" t="s">
        <v>3258</v>
      </c>
      <c r="C1092" t="s">
        <v>3258</v>
      </c>
      <c r="D1092" t="str">
        <f>HYPERLINK("https://zfin.org/ZDB-GENE-040426-1829")</f>
        <v>https://zfin.org/ZDB-GENE-040426-1829</v>
      </c>
      <c r="E1092" t="s">
        <v>3259</v>
      </c>
    </row>
    <row r="1093" spans="1:5" x14ac:dyDescent="0.2">
      <c r="A1093" t="s">
        <v>3260</v>
      </c>
      <c r="B1093" t="s">
        <v>3261</v>
      </c>
      <c r="C1093" t="s">
        <v>3261</v>
      </c>
      <c r="D1093" t="str">
        <f>HYPERLINK("https://zfin.org/ZDB-GENE-120508-2")</f>
        <v>https://zfin.org/ZDB-GENE-120508-2</v>
      </c>
      <c r="E1093" t="s">
        <v>3262</v>
      </c>
    </row>
    <row r="1094" spans="1:5" x14ac:dyDescent="0.2">
      <c r="A1094" t="s">
        <v>3263</v>
      </c>
      <c r="B1094" t="s">
        <v>3264</v>
      </c>
      <c r="C1094" t="s">
        <v>3264</v>
      </c>
      <c r="D1094" t="str">
        <f>HYPERLINK("https://zfin.org/ZDB-GENE-070705-557")</f>
        <v>https://zfin.org/ZDB-GENE-070705-557</v>
      </c>
      <c r="E1094" t="s">
        <v>3265</v>
      </c>
    </row>
    <row r="1095" spans="1:5" x14ac:dyDescent="0.2">
      <c r="A1095" t="s">
        <v>3266</v>
      </c>
      <c r="B1095" t="s">
        <v>3267</v>
      </c>
      <c r="C1095" t="s">
        <v>3267</v>
      </c>
      <c r="D1095" t="str">
        <f>HYPERLINK("https://zfin.org/ZDB-GENE-030131-3308")</f>
        <v>https://zfin.org/ZDB-GENE-030131-3308</v>
      </c>
      <c r="E1095" t="s">
        <v>3268</v>
      </c>
    </row>
    <row r="1096" spans="1:5" x14ac:dyDescent="0.2">
      <c r="A1096" t="s">
        <v>3269</v>
      </c>
      <c r="B1096" t="s">
        <v>3270</v>
      </c>
      <c r="C1096" t="s">
        <v>3270</v>
      </c>
      <c r="D1096" t="str">
        <f>HYPERLINK("https://zfin.org/ZDB-GENE-040426-2044")</f>
        <v>https://zfin.org/ZDB-GENE-040426-2044</v>
      </c>
      <c r="E1096" t="s">
        <v>3271</v>
      </c>
    </row>
    <row r="1097" spans="1:5" x14ac:dyDescent="0.2">
      <c r="A1097" t="s">
        <v>3272</v>
      </c>
      <c r="B1097" t="s">
        <v>3273</v>
      </c>
      <c r="C1097" t="s">
        <v>3273</v>
      </c>
      <c r="D1097" t="str">
        <f>HYPERLINK("https://zfin.org/ZDB-GENE-080321-1")</f>
        <v>https://zfin.org/ZDB-GENE-080321-1</v>
      </c>
      <c r="E1097" t="s">
        <v>3274</v>
      </c>
    </row>
    <row r="1098" spans="1:5" x14ac:dyDescent="0.2">
      <c r="A1098" t="s">
        <v>3275</v>
      </c>
      <c r="B1098" t="s">
        <v>3276</v>
      </c>
      <c r="C1098" t="s">
        <v>3276</v>
      </c>
      <c r="D1098" t="str">
        <f>HYPERLINK("https://zfin.org/ZDB-GENE-050309-187")</f>
        <v>https://zfin.org/ZDB-GENE-050309-187</v>
      </c>
      <c r="E1098" t="s">
        <v>3277</v>
      </c>
    </row>
    <row r="1099" spans="1:5" x14ac:dyDescent="0.2">
      <c r="A1099" t="s">
        <v>3278</v>
      </c>
      <c r="B1099" t="s">
        <v>3279</v>
      </c>
      <c r="C1099" t="s">
        <v>3279</v>
      </c>
      <c r="D1099" t="str">
        <f>HYPERLINK("https://zfin.org/ZDB-GENE-040704-19")</f>
        <v>https://zfin.org/ZDB-GENE-040704-19</v>
      </c>
      <c r="E1099" t="s">
        <v>3280</v>
      </c>
    </row>
    <row r="1100" spans="1:5" x14ac:dyDescent="0.2">
      <c r="A1100" t="s">
        <v>3281</v>
      </c>
      <c r="B1100" t="s">
        <v>3282</v>
      </c>
      <c r="C1100" t="s">
        <v>3282</v>
      </c>
      <c r="D1100" t="str">
        <f>HYPERLINK("https://zfin.org/ZDB-GENE-060526-219")</f>
        <v>https://zfin.org/ZDB-GENE-060526-219</v>
      </c>
      <c r="E1100" t="s">
        <v>3283</v>
      </c>
    </row>
    <row r="1101" spans="1:5" x14ac:dyDescent="0.2">
      <c r="A1101" t="s">
        <v>3284</v>
      </c>
      <c r="B1101" t="s">
        <v>3285</v>
      </c>
      <c r="C1101" t="s">
        <v>3285</v>
      </c>
      <c r="D1101" t="str">
        <f>HYPERLINK("https://zfin.org/ZDB-GENE-070912-547")</f>
        <v>https://zfin.org/ZDB-GENE-070912-547</v>
      </c>
      <c r="E1101" t="s">
        <v>3286</v>
      </c>
    </row>
    <row r="1102" spans="1:5" x14ac:dyDescent="0.2">
      <c r="A1102" t="s">
        <v>3287</v>
      </c>
      <c r="B1102" t="s">
        <v>3288</v>
      </c>
      <c r="C1102" t="s">
        <v>3288</v>
      </c>
      <c r="D1102" t="str">
        <f>HYPERLINK("https://zfin.org/ZDB-GENE-030131-3255")</f>
        <v>https://zfin.org/ZDB-GENE-030131-3255</v>
      </c>
      <c r="E1102" t="s">
        <v>3289</v>
      </c>
    </row>
    <row r="1103" spans="1:5" x14ac:dyDescent="0.2">
      <c r="A1103" t="s">
        <v>3290</v>
      </c>
      <c r="B1103" t="s">
        <v>3291</v>
      </c>
      <c r="C1103" t="s">
        <v>3291</v>
      </c>
      <c r="D1103" t="str">
        <f>HYPERLINK("https://zfin.org/ZDB-GENE-060526-218")</f>
        <v>https://zfin.org/ZDB-GENE-060526-218</v>
      </c>
      <c r="E1103" t="s">
        <v>3292</v>
      </c>
    </row>
    <row r="1104" spans="1:5" x14ac:dyDescent="0.2">
      <c r="A1104" t="s">
        <v>3293</v>
      </c>
      <c r="B1104" t="s">
        <v>3294</v>
      </c>
      <c r="C1104" t="s">
        <v>3294</v>
      </c>
      <c r="D1104" t="str">
        <f>HYPERLINK("https://zfin.org/ZDB-GENE-040718-138")</f>
        <v>https://zfin.org/ZDB-GENE-040718-138</v>
      </c>
      <c r="E1104" t="s">
        <v>3295</v>
      </c>
    </row>
    <row r="1105" spans="1:5" x14ac:dyDescent="0.2">
      <c r="A1105" t="s">
        <v>3296</v>
      </c>
      <c r="B1105" t="s">
        <v>3297</v>
      </c>
      <c r="C1105" t="s">
        <v>3297</v>
      </c>
      <c r="D1105" t="str">
        <f>HYPERLINK("https://zfin.org/ZDB-GENE-141216-419")</f>
        <v>https://zfin.org/ZDB-GENE-141216-419</v>
      </c>
      <c r="E1105" t="s">
        <v>3298</v>
      </c>
    </row>
    <row r="1106" spans="1:5" x14ac:dyDescent="0.2">
      <c r="A1106" t="s">
        <v>3299</v>
      </c>
      <c r="B1106" t="s">
        <v>3300</v>
      </c>
      <c r="C1106" t="s">
        <v>3300</v>
      </c>
      <c r="D1106" t="str">
        <f>HYPERLINK("https://zfin.org/ZDB-GENE-120201-2")</f>
        <v>https://zfin.org/ZDB-GENE-120201-2</v>
      </c>
      <c r="E1106" t="s">
        <v>3301</v>
      </c>
    </row>
    <row r="1107" spans="1:5" x14ac:dyDescent="0.2">
      <c r="A1107" t="s">
        <v>3302</v>
      </c>
      <c r="B1107" t="s">
        <v>3303</v>
      </c>
      <c r="C1107" t="s">
        <v>3303</v>
      </c>
      <c r="D1107" t="str">
        <f>HYPERLINK("https://zfin.org/ZDB-GENE-071004-44")</f>
        <v>https://zfin.org/ZDB-GENE-071004-44</v>
      </c>
      <c r="E1107" t="s">
        <v>3304</v>
      </c>
    </row>
    <row r="1108" spans="1:5" x14ac:dyDescent="0.2">
      <c r="A1108" t="s">
        <v>3305</v>
      </c>
      <c r="B1108" t="s">
        <v>3306</v>
      </c>
      <c r="C1108" t="s">
        <v>3306</v>
      </c>
      <c r="D1108" t="str">
        <f>HYPERLINK("https://zfin.org/ZDB-GENE-080808-7")</f>
        <v>https://zfin.org/ZDB-GENE-080808-7</v>
      </c>
      <c r="E1108" t="s">
        <v>3307</v>
      </c>
    </row>
    <row r="1109" spans="1:5" x14ac:dyDescent="0.2">
      <c r="A1109" t="s">
        <v>3308</v>
      </c>
      <c r="B1109" t="s">
        <v>3309</v>
      </c>
      <c r="C1109" t="s">
        <v>3309</v>
      </c>
      <c r="D1109" t="str">
        <f>HYPERLINK("https://zfin.org/ZDB-GENE-131121-492")</f>
        <v>https://zfin.org/ZDB-GENE-131121-492</v>
      </c>
      <c r="E1109" t="s">
        <v>3310</v>
      </c>
    </row>
    <row r="1110" spans="1:5" x14ac:dyDescent="0.2">
      <c r="A1110" t="s">
        <v>3311</v>
      </c>
      <c r="B1110" t="s">
        <v>3312</v>
      </c>
      <c r="C1110" t="s">
        <v>3312</v>
      </c>
      <c r="D1110" t="str">
        <f>HYPERLINK("https://zfin.org/ZDB-GENE-030131-9744")</f>
        <v>https://zfin.org/ZDB-GENE-030131-9744</v>
      </c>
      <c r="E1110" t="s">
        <v>3313</v>
      </c>
    </row>
    <row r="1111" spans="1:5" x14ac:dyDescent="0.2">
      <c r="A1111" t="s">
        <v>3314</v>
      </c>
      <c r="B1111" t="s">
        <v>3315</v>
      </c>
      <c r="C1111" t="s">
        <v>3315</v>
      </c>
      <c r="D1111" t="str">
        <f>HYPERLINK("https://zfin.org/ZDB-GENE-060503-464")</f>
        <v>https://zfin.org/ZDB-GENE-060503-464</v>
      </c>
      <c r="E1111" t="s">
        <v>3316</v>
      </c>
    </row>
    <row r="1112" spans="1:5" x14ac:dyDescent="0.2">
      <c r="A1112" t="s">
        <v>3317</v>
      </c>
      <c r="B1112" t="s">
        <v>3318</v>
      </c>
      <c r="C1112" t="s">
        <v>3318</v>
      </c>
      <c r="D1112" t="str">
        <f>HYPERLINK("https://zfin.org/ZDB-GENE-110411-257")</f>
        <v>https://zfin.org/ZDB-GENE-110411-257</v>
      </c>
      <c r="E1112" t="s">
        <v>3319</v>
      </c>
    </row>
    <row r="1113" spans="1:5" x14ac:dyDescent="0.2">
      <c r="A1113" t="s">
        <v>3320</v>
      </c>
      <c r="B1113" t="s">
        <v>3321</v>
      </c>
      <c r="C1113" t="s">
        <v>3321</v>
      </c>
      <c r="D1113" t="str">
        <f>HYPERLINK("https://zfin.org/ZDB-GENE-040426-1544")</f>
        <v>https://zfin.org/ZDB-GENE-040426-1544</v>
      </c>
      <c r="E1113" t="s">
        <v>3322</v>
      </c>
    </row>
    <row r="1114" spans="1:5" x14ac:dyDescent="0.2">
      <c r="A1114" t="s">
        <v>3323</v>
      </c>
      <c r="B1114" t="s">
        <v>3324</v>
      </c>
      <c r="C1114" t="s">
        <v>3324</v>
      </c>
      <c r="D1114" t="str">
        <f>HYPERLINK("https://zfin.org/ZDB-GENE-070410-28")</f>
        <v>https://zfin.org/ZDB-GENE-070410-28</v>
      </c>
      <c r="E1114" t="s">
        <v>3325</v>
      </c>
    </row>
    <row r="1115" spans="1:5" x14ac:dyDescent="0.2">
      <c r="A1115" t="s">
        <v>3326</v>
      </c>
      <c r="B1115" t="s">
        <v>3327</v>
      </c>
      <c r="C1115" t="s">
        <v>3327</v>
      </c>
      <c r="D1115" t="str">
        <f>HYPERLINK("https://zfin.org/ZDB-GENE-110411-97")</f>
        <v>https://zfin.org/ZDB-GENE-110411-97</v>
      </c>
      <c r="E1115" t="s">
        <v>3328</v>
      </c>
    </row>
    <row r="1116" spans="1:5" x14ac:dyDescent="0.2">
      <c r="A1116" t="s">
        <v>3329</v>
      </c>
      <c r="B1116" t="s">
        <v>3330</v>
      </c>
      <c r="C1116" t="s">
        <v>3330</v>
      </c>
      <c r="D1116" t="str">
        <f>HYPERLINK("https://zfin.org/ZDB-GENE-130530-685")</f>
        <v>https://zfin.org/ZDB-GENE-130530-685</v>
      </c>
      <c r="E1116" t="s">
        <v>3331</v>
      </c>
    </row>
    <row r="1117" spans="1:5" x14ac:dyDescent="0.2">
      <c r="A1117" t="s">
        <v>3332</v>
      </c>
      <c r="B1117" t="s">
        <v>3333</v>
      </c>
      <c r="C1117" t="s">
        <v>3333</v>
      </c>
      <c r="D1117" t="str">
        <f>HYPERLINK("https://zfin.org/ZDB-GENE-080213-5")</f>
        <v>https://zfin.org/ZDB-GENE-080213-5</v>
      </c>
      <c r="E1117" t="s">
        <v>3334</v>
      </c>
    </row>
    <row r="1118" spans="1:5" x14ac:dyDescent="0.2">
      <c r="A1118" t="s">
        <v>3335</v>
      </c>
      <c r="B1118" t="s">
        <v>3336</v>
      </c>
      <c r="C1118" t="s">
        <v>3336</v>
      </c>
      <c r="D1118" t="str">
        <f>HYPERLINK("https://zfin.org/ZDB-GENE-160113-92")</f>
        <v>https://zfin.org/ZDB-GENE-160113-92</v>
      </c>
      <c r="E1118" t="s">
        <v>3337</v>
      </c>
    </row>
    <row r="1119" spans="1:5" x14ac:dyDescent="0.2">
      <c r="A1119" t="s">
        <v>3338</v>
      </c>
      <c r="B1119" t="s">
        <v>3339</v>
      </c>
      <c r="C1119" t="s">
        <v>3339</v>
      </c>
      <c r="D1119" t="str">
        <f>HYPERLINK("https://zfin.org/ZDB-GENE-060421-7193")</f>
        <v>https://zfin.org/ZDB-GENE-060421-7193</v>
      </c>
      <c r="E1119" t="s">
        <v>3340</v>
      </c>
    </row>
    <row r="1120" spans="1:5" x14ac:dyDescent="0.2">
      <c r="A1120" t="s">
        <v>3341</v>
      </c>
      <c r="B1120" t="s">
        <v>3342</v>
      </c>
      <c r="C1120" t="s">
        <v>3342</v>
      </c>
      <c r="D1120" t="str">
        <f>HYPERLINK("https://zfin.org/ZDB-GENE-061201-63")</f>
        <v>https://zfin.org/ZDB-GENE-061201-63</v>
      </c>
      <c r="E1120" t="s">
        <v>3343</v>
      </c>
    </row>
    <row r="1121" spans="1:5" x14ac:dyDescent="0.2">
      <c r="A1121" t="s">
        <v>3344</v>
      </c>
      <c r="B1121" t="s">
        <v>3345</v>
      </c>
      <c r="C1121" t="s">
        <v>3345</v>
      </c>
      <c r="D1121" t="str">
        <f>HYPERLINK("https://zfin.org/ZDB-GENE-100819-3")</f>
        <v>https://zfin.org/ZDB-GENE-100819-3</v>
      </c>
      <c r="E1121" t="s">
        <v>3346</v>
      </c>
    </row>
    <row r="1122" spans="1:5" x14ac:dyDescent="0.2">
      <c r="A1122" t="s">
        <v>3347</v>
      </c>
      <c r="B1122" t="s">
        <v>3348</v>
      </c>
      <c r="C1122" t="s">
        <v>3348</v>
      </c>
      <c r="D1122" t="str">
        <f>HYPERLINK("https://zfin.org/ZDB-GENE-040426-1702")</f>
        <v>https://zfin.org/ZDB-GENE-040426-1702</v>
      </c>
      <c r="E1122" t="s">
        <v>3349</v>
      </c>
    </row>
    <row r="1123" spans="1:5" x14ac:dyDescent="0.2">
      <c r="A1123" t="s">
        <v>3350</v>
      </c>
      <c r="B1123" t="s">
        <v>3351</v>
      </c>
      <c r="C1123" t="s">
        <v>3351</v>
      </c>
      <c r="D1123" t="str">
        <f>HYPERLINK("https://zfin.org/ZDB-GENE-141215-17")</f>
        <v>https://zfin.org/ZDB-GENE-141215-17</v>
      </c>
      <c r="E1123" t="s">
        <v>3352</v>
      </c>
    </row>
    <row r="1124" spans="1:5" x14ac:dyDescent="0.2">
      <c r="A1124" t="s">
        <v>3353</v>
      </c>
      <c r="B1124" t="s">
        <v>3354</v>
      </c>
      <c r="C1124" t="s">
        <v>3354</v>
      </c>
      <c r="D1124" t="str">
        <f>HYPERLINK("https://zfin.org/ZDB-GENE-131127-207")</f>
        <v>https://zfin.org/ZDB-GENE-131127-207</v>
      </c>
      <c r="E1124" t="s">
        <v>3355</v>
      </c>
    </row>
    <row r="1125" spans="1:5" x14ac:dyDescent="0.2">
      <c r="A1125" t="s">
        <v>3356</v>
      </c>
      <c r="B1125" t="s">
        <v>3357</v>
      </c>
      <c r="C1125" t="s">
        <v>3357</v>
      </c>
      <c r="D1125" t="str">
        <f>HYPERLINK("https://zfin.org/ZDB-GENE-130926-1")</f>
        <v>https://zfin.org/ZDB-GENE-130926-1</v>
      </c>
      <c r="E1125" t="s">
        <v>3358</v>
      </c>
    </row>
    <row r="1126" spans="1:5" x14ac:dyDescent="0.2">
      <c r="A1126" t="s">
        <v>3359</v>
      </c>
      <c r="B1126" t="s">
        <v>3360</v>
      </c>
      <c r="C1126" t="s">
        <v>3360</v>
      </c>
      <c r="D1126" t="str">
        <f>HYPERLINK("https://zfin.org/ZDB-GENE-011003-1")</f>
        <v>https://zfin.org/ZDB-GENE-011003-1</v>
      </c>
      <c r="E1126" t="s">
        <v>3361</v>
      </c>
    </row>
    <row r="1127" spans="1:5" x14ac:dyDescent="0.2">
      <c r="A1127" t="s">
        <v>3362</v>
      </c>
      <c r="B1127" t="s">
        <v>3363</v>
      </c>
      <c r="C1127" t="s">
        <v>3363</v>
      </c>
      <c r="D1127" t="str">
        <f>HYPERLINK("https://zfin.org/ZDB-GENE-050327-13")</f>
        <v>https://zfin.org/ZDB-GENE-050327-13</v>
      </c>
      <c r="E1127" t="s">
        <v>3364</v>
      </c>
    </row>
    <row r="1128" spans="1:5" x14ac:dyDescent="0.2">
      <c r="A1128" t="s">
        <v>3365</v>
      </c>
      <c r="B1128" t="s">
        <v>3366</v>
      </c>
      <c r="C1128" t="s">
        <v>3366</v>
      </c>
      <c r="D1128" t="str">
        <f>HYPERLINK("https://zfin.org/ZDB-GENE-990415-47")</f>
        <v>https://zfin.org/ZDB-GENE-990415-47</v>
      </c>
      <c r="E1128" t="s">
        <v>3367</v>
      </c>
    </row>
    <row r="1129" spans="1:5" x14ac:dyDescent="0.2">
      <c r="A1129" t="s">
        <v>3368</v>
      </c>
      <c r="B1129" t="s">
        <v>3369</v>
      </c>
      <c r="C1129" t="s">
        <v>3369</v>
      </c>
      <c r="D1129" t="str">
        <f>HYPERLINK("https://zfin.org/ZDB-GENE-031006-2")</f>
        <v>https://zfin.org/ZDB-GENE-031006-2</v>
      </c>
      <c r="E1129" t="s">
        <v>3370</v>
      </c>
    </row>
    <row r="1130" spans="1:5" x14ac:dyDescent="0.2">
      <c r="A1130" t="s">
        <v>3371</v>
      </c>
      <c r="B1130" t="s">
        <v>3372</v>
      </c>
      <c r="C1130" t="s">
        <v>3372</v>
      </c>
      <c r="D1130" t="str">
        <f>HYPERLINK("https://zfin.org/ZDB-GENE-131118-3")</f>
        <v>https://zfin.org/ZDB-GENE-131118-3</v>
      </c>
      <c r="E1130" t="s">
        <v>3373</v>
      </c>
    </row>
    <row r="1131" spans="1:5" x14ac:dyDescent="0.2">
      <c r="A1131" t="s">
        <v>3374</v>
      </c>
      <c r="B1131" t="s">
        <v>3375</v>
      </c>
      <c r="C1131" t="s">
        <v>3375</v>
      </c>
      <c r="D1131" t="str">
        <f>HYPERLINK("https://zfin.org/ZDB-GENE-040901-1")</f>
        <v>https://zfin.org/ZDB-GENE-040901-1</v>
      </c>
      <c r="E1131" t="s">
        <v>3376</v>
      </c>
    </row>
    <row r="1132" spans="1:5" x14ac:dyDescent="0.2">
      <c r="A1132" t="s">
        <v>3377</v>
      </c>
      <c r="B1132" t="s">
        <v>3378</v>
      </c>
      <c r="C1132" t="s">
        <v>3378</v>
      </c>
      <c r="D1132" t="str">
        <f>HYPERLINK("https://zfin.org/ZDB-GENE-060810-176")</f>
        <v>https://zfin.org/ZDB-GENE-060810-176</v>
      </c>
      <c r="E1132" t="s">
        <v>3379</v>
      </c>
    </row>
    <row r="1133" spans="1:5" x14ac:dyDescent="0.2">
      <c r="A1133" t="s">
        <v>3380</v>
      </c>
      <c r="B1133" t="s">
        <v>3381</v>
      </c>
      <c r="C1133" t="s">
        <v>3381</v>
      </c>
      <c r="D1133" t="str">
        <f>HYPERLINK("https://zfin.org/ZDB-GENE-050506-21")</f>
        <v>https://zfin.org/ZDB-GENE-050506-21</v>
      </c>
      <c r="E1133" t="s">
        <v>3382</v>
      </c>
    </row>
    <row r="1134" spans="1:5" x14ac:dyDescent="0.2">
      <c r="A1134" t="s">
        <v>3383</v>
      </c>
      <c r="B1134" t="s">
        <v>3384</v>
      </c>
      <c r="C1134" t="s">
        <v>3384</v>
      </c>
      <c r="D1134" t="str">
        <f>HYPERLINK("https://zfin.org/ZDB-GENE-030722-9")</f>
        <v>https://zfin.org/ZDB-GENE-030722-9</v>
      </c>
      <c r="E1134" t="s">
        <v>3385</v>
      </c>
    </row>
    <row r="1135" spans="1:5" x14ac:dyDescent="0.2">
      <c r="A1135" t="s">
        <v>3386</v>
      </c>
      <c r="B1135" t="s">
        <v>3387</v>
      </c>
      <c r="C1135" t="s">
        <v>3387</v>
      </c>
      <c r="D1135" t="str">
        <f>HYPERLINK("https://zfin.org/ZDB-GENE-080114-1")</f>
        <v>https://zfin.org/ZDB-GENE-080114-1</v>
      </c>
      <c r="E1135" t="s">
        <v>3388</v>
      </c>
    </row>
    <row r="1136" spans="1:5" x14ac:dyDescent="0.2">
      <c r="A1136" t="s">
        <v>3389</v>
      </c>
      <c r="B1136" t="s">
        <v>529</v>
      </c>
      <c r="C1136" t="s">
        <v>3390</v>
      </c>
      <c r="D1136" t="str">
        <f>HYPERLINK("https://zfin.org/ZDB-GENE-030131-6292")</f>
        <v>https://zfin.org/ZDB-GENE-030131-6292</v>
      </c>
      <c r="E1136" t="s">
        <v>3391</v>
      </c>
    </row>
    <row r="1137" spans="1:5" x14ac:dyDescent="0.2">
      <c r="A1137" t="s">
        <v>3392</v>
      </c>
      <c r="B1137" t="s">
        <v>3393</v>
      </c>
      <c r="C1137" t="s">
        <v>3393</v>
      </c>
      <c r="D1137" t="str">
        <f>HYPERLINK("https://zfin.org/ZDB-GENE-141222-64")</f>
        <v>https://zfin.org/ZDB-GENE-141222-64</v>
      </c>
      <c r="E1137" t="s">
        <v>3394</v>
      </c>
    </row>
    <row r="1138" spans="1:5" x14ac:dyDescent="0.2">
      <c r="A1138" t="s">
        <v>3395</v>
      </c>
      <c r="B1138" t="s">
        <v>3396</v>
      </c>
      <c r="C1138" t="s">
        <v>3396</v>
      </c>
      <c r="D1138" t="str">
        <f>HYPERLINK("https://zfin.org/ZDB-GENE-131127-566")</f>
        <v>https://zfin.org/ZDB-GENE-131127-566</v>
      </c>
      <c r="E1138" t="s">
        <v>3397</v>
      </c>
    </row>
    <row r="1139" spans="1:5" x14ac:dyDescent="0.2">
      <c r="A1139" t="s">
        <v>3398</v>
      </c>
      <c r="B1139" t="s">
        <v>3399</v>
      </c>
      <c r="C1139" t="s">
        <v>3399</v>
      </c>
      <c r="D1139" t="str">
        <f>HYPERLINK("https://zfin.org/ZDB-GENE-110914-214")</f>
        <v>https://zfin.org/ZDB-GENE-110914-214</v>
      </c>
      <c r="E1139" t="s">
        <v>3400</v>
      </c>
    </row>
    <row r="1140" spans="1:5" x14ac:dyDescent="0.2">
      <c r="A1140" t="s">
        <v>3401</v>
      </c>
      <c r="B1140" t="s">
        <v>3402</v>
      </c>
      <c r="C1140" t="s">
        <v>3402</v>
      </c>
      <c r="D1140" t="str">
        <f>HYPERLINK("https://zfin.org/ZDB-GENE-030131-9770")</f>
        <v>https://zfin.org/ZDB-GENE-030131-9770</v>
      </c>
      <c r="E1140" t="s">
        <v>3403</v>
      </c>
    </row>
    <row r="1141" spans="1:5" x14ac:dyDescent="0.2">
      <c r="A1141" t="s">
        <v>3404</v>
      </c>
      <c r="B1141" t="s">
        <v>3405</v>
      </c>
      <c r="C1141" t="s">
        <v>3405</v>
      </c>
      <c r="D1141" t="str">
        <f>HYPERLINK("https://zfin.org/ZDB-GENE-061207-81")</f>
        <v>https://zfin.org/ZDB-GENE-061207-81</v>
      </c>
      <c r="E1141" t="s">
        <v>3406</v>
      </c>
    </row>
    <row r="1142" spans="1:5" x14ac:dyDescent="0.2">
      <c r="A1142" t="s">
        <v>3407</v>
      </c>
      <c r="B1142" t="s">
        <v>3408</v>
      </c>
      <c r="C1142" t="s">
        <v>3408</v>
      </c>
      <c r="D1142" t="str">
        <f>HYPERLINK("https://zfin.org/ZDB-GENE-021217-3")</f>
        <v>https://zfin.org/ZDB-GENE-021217-3</v>
      </c>
      <c r="E1142" t="s">
        <v>3409</v>
      </c>
    </row>
    <row r="1143" spans="1:5" x14ac:dyDescent="0.2">
      <c r="A1143" t="s">
        <v>3410</v>
      </c>
      <c r="B1143" t="s">
        <v>3411</v>
      </c>
      <c r="C1143" t="s">
        <v>3411</v>
      </c>
      <c r="D1143" t="str">
        <f>HYPERLINK("https://zfin.org/ZDB-GENE-030131-1394")</f>
        <v>https://zfin.org/ZDB-GENE-030131-1394</v>
      </c>
      <c r="E1143" t="s">
        <v>3412</v>
      </c>
    </row>
    <row r="1144" spans="1:5" x14ac:dyDescent="0.2">
      <c r="A1144" t="s">
        <v>3413</v>
      </c>
      <c r="B1144" t="s">
        <v>3414</v>
      </c>
      <c r="C1144" t="s">
        <v>3414</v>
      </c>
      <c r="D1144" t="str">
        <f>HYPERLINK("https://zfin.org/ZDB-GENE-090529-4")</f>
        <v>https://zfin.org/ZDB-GENE-090529-4</v>
      </c>
      <c r="E1144" t="s">
        <v>3415</v>
      </c>
    </row>
    <row r="1145" spans="1:5" x14ac:dyDescent="0.2">
      <c r="A1145" t="s">
        <v>3416</v>
      </c>
      <c r="B1145" t="s">
        <v>3417</v>
      </c>
      <c r="C1145" t="s">
        <v>3417</v>
      </c>
      <c r="D1145" t="str">
        <f>HYPERLINK("https://zfin.org/ZDB-GENE-060616-129")</f>
        <v>https://zfin.org/ZDB-GENE-060616-129</v>
      </c>
      <c r="E1145" t="s">
        <v>3418</v>
      </c>
    </row>
    <row r="1146" spans="1:5" x14ac:dyDescent="0.2">
      <c r="A1146" t="s">
        <v>3419</v>
      </c>
      <c r="B1146" t="s">
        <v>3420</v>
      </c>
      <c r="C1146" t="s">
        <v>3420</v>
      </c>
      <c r="D1146" t="str">
        <f>HYPERLINK("https://zfin.org/ZDB-GENE-091204-346")</f>
        <v>https://zfin.org/ZDB-GENE-091204-346</v>
      </c>
      <c r="E1146" t="s">
        <v>3421</v>
      </c>
    </row>
    <row r="1147" spans="1:5" x14ac:dyDescent="0.2">
      <c r="A1147" t="s">
        <v>3422</v>
      </c>
      <c r="B1147" t="s">
        <v>3423</v>
      </c>
      <c r="C1147" t="s">
        <v>3423</v>
      </c>
      <c r="D1147" t="str">
        <f>HYPERLINK("https://zfin.org/ZDB-GENE-100219-2")</f>
        <v>https://zfin.org/ZDB-GENE-100219-2</v>
      </c>
      <c r="E1147" t="s">
        <v>3424</v>
      </c>
    </row>
    <row r="1148" spans="1:5" x14ac:dyDescent="0.2">
      <c r="A1148" t="s">
        <v>3425</v>
      </c>
      <c r="B1148" t="s">
        <v>3426</v>
      </c>
      <c r="C1148" t="s">
        <v>3426</v>
      </c>
      <c r="D1148" t="str">
        <f>HYPERLINK("https://zfin.org/ZDB-GENE-040426-1213")</f>
        <v>https://zfin.org/ZDB-GENE-040426-1213</v>
      </c>
      <c r="E1148" t="s">
        <v>3427</v>
      </c>
    </row>
    <row r="1149" spans="1:5" x14ac:dyDescent="0.2">
      <c r="A1149" t="s">
        <v>3428</v>
      </c>
      <c r="B1149" t="s">
        <v>3429</v>
      </c>
      <c r="C1149" t="s">
        <v>3429</v>
      </c>
      <c r="D1149" t="str">
        <f>HYPERLINK("https://zfin.org/ZDB-GENE-090313-208")</f>
        <v>https://zfin.org/ZDB-GENE-090313-208</v>
      </c>
      <c r="E1149" t="s">
        <v>3430</v>
      </c>
    </row>
    <row r="1150" spans="1:5" x14ac:dyDescent="0.2">
      <c r="A1150" t="s">
        <v>3431</v>
      </c>
      <c r="B1150" t="s">
        <v>3432</v>
      </c>
      <c r="C1150" t="s">
        <v>3432</v>
      </c>
      <c r="D1150" t="str">
        <f>HYPERLINK("https://zfin.org/ZDB-GENE-040426-2338")</f>
        <v>https://zfin.org/ZDB-GENE-040426-2338</v>
      </c>
      <c r="E1150" t="s">
        <v>3433</v>
      </c>
    </row>
    <row r="1151" spans="1:5" x14ac:dyDescent="0.2">
      <c r="A1151" t="s">
        <v>3434</v>
      </c>
      <c r="B1151" t="s">
        <v>3435</v>
      </c>
      <c r="C1151" t="s">
        <v>3435</v>
      </c>
      <c r="D1151" t="str">
        <f>HYPERLINK("https://zfin.org/ZDB-GENE-100405-5")</f>
        <v>https://zfin.org/ZDB-GENE-100405-5</v>
      </c>
      <c r="E1151" t="s">
        <v>3436</v>
      </c>
    </row>
    <row r="1152" spans="1:5" x14ac:dyDescent="0.2">
      <c r="A1152" t="s">
        <v>3437</v>
      </c>
      <c r="B1152" t="s">
        <v>3438</v>
      </c>
      <c r="C1152" t="s">
        <v>3438</v>
      </c>
      <c r="D1152" t="str">
        <f>HYPERLINK("https://zfin.org/ZDB-GENE-040718-51")</f>
        <v>https://zfin.org/ZDB-GENE-040718-51</v>
      </c>
      <c r="E1152" t="s">
        <v>3439</v>
      </c>
    </row>
    <row r="1153" spans="1:5" x14ac:dyDescent="0.2">
      <c r="A1153" t="s">
        <v>3440</v>
      </c>
      <c r="B1153" t="s">
        <v>3441</v>
      </c>
      <c r="C1153" t="s">
        <v>3441</v>
      </c>
      <c r="D1153" t="str">
        <f>HYPERLINK("https://zfin.org/ZDB-GENE-060503-816")</f>
        <v>https://zfin.org/ZDB-GENE-060503-816</v>
      </c>
      <c r="E1153" t="s">
        <v>3442</v>
      </c>
    </row>
    <row r="1154" spans="1:5" x14ac:dyDescent="0.2">
      <c r="A1154" t="s">
        <v>3443</v>
      </c>
      <c r="B1154" t="s">
        <v>3444</v>
      </c>
      <c r="C1154" t="s">
        <v>3444</v>
      </c>
      <c r="D1154" t="str">
        <f>HYPERLINK("https://zfin.org/ZDB-GENE-050309-84")</f>
        <v>https://zfin.org/ZDB-GENE-050309-84</v>
      </c>
      <c r="E1154" t="s">
        <v>3445</v>
      </c>
    </row>
    <row r="1155" spans="1:5" x14ac:dyDescent="0.2">
      <c r="A1155" t="s">
        <v>3446</v>
      </c>
      <c r="B1155" t="s">
        <v>3447</v>
      </c>
      <c r="C1155" t="s">
        <v>3447</v>
      </c>
      <c r="D1155" t="str">
        <f>HYPERLINK("https://zfin.org/ZDB-GENE-020402-4")</f>
        <v>https://zfin.org/ZDB-GENE-020402-4</v>
      </c>
      <c r="E1155" t="s">
        <v>3448</v>
      </c>
    </row>
    <row r="1156" spans="1:5" x14ac:dyDescent="0.2">
      <c r="A1156" t="s">
        <v>3449</v>
      </c>
      <c r="B1156" t="s">
        <v>3450</v>
      </c>
      <c r="C1156" t="s">
        <v>3450</v>
      </c>
      <c r="D1156" t="str">
        <f>HYPERLINK("https://zfin.org/ZDB-GENE-040614-1")</f>
        <v>https://zfin.org/ZDB-GENE-040614-1</v>
      </c>
      <c r="E1156" t="s">
        <v>3451</v>
      </c>
    </row>
    <row r="1157" spans="1:5" x14ac:dyDescent="0.2">
      <c r="A1157" t="s">
        <v>3452</v>
      </c>
      <c r="B1157" t="s">
        <v>3453</v>
      </c>
      <c r="C1157" t="s">
        <v>3453</v>
      </c>
      <c r="D1157" t="str">
        <f>HYPERLINK("https://zfin.org/ZDB-GENE-050522-540")</f>
        <v>https://zfin.org/ZDB-GENE-050522-540</v>
      </c>
      <c r="E1157" t="s">
        <v>3454</v>
      </c>
    </row>
    <row r="1158" spans="1:5" x14ac:dyDescent="0.2">
      <c r="A1158" t="s">
        <v>3455</v>
      </c>
      <c r="B1158" t="s">
        <v>3456</v>
      </c>
      <c r="C1158" t="s">
        <v>3456</v>
      </c>
      <c r="D1158" t="str">
        <f>HYPERLINK("https://zfin.org/ZDB-GENE-130530-533")</f>
        <v>https://zfin.org/ZDB-GENE-130530-533</v>
      </c>
      <c r="E1158" t="s">
        <v>3457</v>
      </c>
    </row>
    <row r="1159" spans="1:5" x14ac:dyDescent="0.2">
      <c r="A1159" t="s">
        <v>3458</v>
      </c>
      <c r="B1159" t="s">
        <v>3459</v>
      </c>
      <c r="C1159" t="s">
        <v>3459</v>
      </c>
      <c r="D1159" t="str">
        <f>HYPERLINK("https://zfin.org/ZDB-GENE-040825-2")</f>
        <v>https://zfin.org/ZDB-GENE-040825-2</v>
      </c>
      <c r="E1159" t="s">
        <v>3460</v>
      </c>
    </row>
    <row r="1160" spans="1:5" x14ac:dyDescent="0.2">
      <c r="A1160" t="s">
        <v>3461</v>
      </c>
      <c r="B1160" t="s">
        <v>3462</v>
      </c>
      <c r="C1160" t="s">
        <v>3462</v>
      </c>
      <c r="D1160" t="str">
        <f>HYPERLINK("https://zfin.org/ZDB-GENE-050411-12")</f>
        <v>https://zfin.org/ZDB-GENE-050411-12</v>
      </c>
      <c r="E1160" t="s">
        <v>3463</v>
      </c>
    </row>
    <row r="1161" spans="1:5" x14ac:dyDescent="0.2">
      <c r="A1161" t="s">
        <v>3464</v>
      </c>
      <c r="B1161" t="s">
        <v>3465</v>
      </c>
      <c r="C1161" t="s">
        <v>3465</v>
      </c>
      <c r="D1161" t="str">
        <f>HYPERLINK("https://zfin.org/ZDB-GENE-091204-318")</f>
        <v>https://zfin.org/ZDB-GENE-091204-318</v>
      </c>
      <c r="E1161" t="s">
        <v>3466</v>
      </c>
    </row>
    <row r="1162" spans="1:5" x14ac:dyDescent="0.2">
      <c r="A1162" t="s">
        <v>3467</v>
      </c>
      <c r="B1162" t="s">
        <v>3468</v>
      </c>
      <c r="C1162" t="s">
        <v>3468</v>
      </c>
      <c r="D1162" t="str">
        <f>HYPERLINK("https://zfin.org/ZDB-GENE-030131-4187")</f>
        <v>https://zfin.org/ZDB-GENE-030131-4187</v>
      </c>
      <c r="E1162" t="s">
        <v>3469</v>
      </c>
    </row>
    <row r="1163" spans="1:5" x14ac:dyDescent="0.2">
      <c r="A1163" t="s">
        <v>3470</v>
      </c>
      <c r="B1163" t="s">
        <v>3471</v>
      </c>
      <c r="C1163" t="s">
        <v>3471</v>
      </c>
      <c r="D1163" t="str">
        <f>HYPERLINK("https://zfin.org/ZDB-GENE-080403-15")</f>
        <v>https://zfin.org/ZDB-GENE-080403-15</v>
      </c>
      <c r="E1163" t="s">
        <v>3472</v>
      </c>
    </row>
    <row r="1164" spans="1:5" x14ac:dyDescent="0.2">
      <c r="A1164" t="s">
        <v>3473</v>
      </c>
      <c r="B1164" t="s">
        <v>3474</v>
      </c>
      <c r="C1164" t="s">
        <v>3474</v>
      </c>
      <c r="D1164" t="str">
        <f>HYPERLINK("https://zfin.org/ZDB-GENE-030131-7848")</f>
        <v>https://zfin.org/ZDB-GENE-030131-7848</v>
      </c>
      <c r="E1164" t="s">
        <v>3475</v>
      </c>
    </row>
    <row r="1165" spans="1:5" x14ac:dyDescent="0.2">
      <c r="A1165" t="s">
        <v>3476</v>
      </c>
      <c r="B1165" t="s">
        <v>3477</v>
      </c>
      <c r="C1165" t="s">
        <v>3477</v>
      </c>
      <c r="D1165" t="str">
        <f>HYPERLINK("https://zfin.org/ZDB-GENE-050417-34")</f>
        <v>https://zfin.org/ZDB-GENE-050417-34</v>
      </c>
      <c r="E1165" t="s">
        <v>3478</v>
      </c>
    </row>
    <row r="1166" spans="1:5" x14ac:dyDescent="0.2">
      <c r="A1166" t="s">
        <v>3479</v>
      </c>
      <c r="B1166" t="s">
        <v>3480</v>
      </c>
      <c r="C1166" t="s">
        <v>3480</v>
      </c>
      <c r="D1166" t="str">
        <f>HYPERLINK("https://zfin.org/ZDB-GENE-040426-1275")</f>
        <v>https://zfin.org/ZDB-GENE-040426-1275</v>
      </c>
      <c r="E1166" t="s">
        <v>3481</v>
      </c>
    </row>
    <row r="1167" spans="1:5" x14ac:dyDescent="0.2">
      <c r="A1167" t="s">
        <v>3482</v>
      </c>
      <c r="B1167" t="s">
        <v>3483</v>
      </c>
      <c r="C1167" t="s">
        <v>3483</v>
      </c>
      <c r="D1167" t="str">
        <f>HYPERLINK("https://zfin.org/ZDB-GENE-020507-2")</f>
        <v>https://zfin.org/ZDB-GENE-020507-2</v>
      </c>
      <c r="E1167" t="s">
        <v>3484</v>
      </c>
    </row>
    <row r="1168" spans="1:5" x14ac:dyDescent="0.2">
      <c r="A1168" t="s">
        <v>3485</v>
      </c>
      <c r="B1168" t="s">
        <v>3486</v>
      </c>
      <c r="C1168" t="s">
        <v>3486</v>
      </c>
      <c r="D1168" t="str">
        <f>HYPERLINK("https://zfin.org/ZDB-GENE-131121-249")</f>
        <v>https://zfin.org/ZDB-GENE-131121-249</v>
      </c>
      <c r="E1168" t="s">
        <v>3487</v>
      </c>
    </row>
    <row r="1169" spans="1:5" x14ac:dyDescent="0.2">
      <c r="A1169" t="s">
        <v>3488</v>
      </c>
      <c r="B1169" t="s">
        <v>3489</v>
      </c>
      <c r="C1169" t="s">
        <v>3489</v>
      </c>
      <c r="D1169" t="str">
        <f>HYPERLINK("https://zfin.org/ZDB-GENE-060503-369")</f>
        <v>https://zfin.org/ZDB-GENE-060503-369</v>
      </c>
      <c r="E1169" t="s">
        <v>3490</v>
      </c>
    </row>
    <row r="1170" spans="1:5" x14ac:dyDescent="0.2">
      <c r="A1170" t="s">
        <v>3491</v>
      </c>
      <c r="B1170" t="s">
        <v>3492</v>
      </c>
      <c r="C1170" t="s">
        <v>3492</v>
      </c>
      <c r="D1170" t="str">
        <f>HYPERLINK("https://zfin.org/ZDB-GENE-040426-893")</f>
        <v>https://zfin.org/ZDB-GENE-040426-893</v>
      </c>
      <c r="E1170" t="s">
        <v>3493</v>
      </c>
    </row>
    <row r="1171" spans="1:5" x14ac:dyDescent="0.2">
      <c r="A1171" t="s">
        <v>3494</v>
      </c>
      <c r="B1171" t="s">
        <v>3495</v>
      </c>
      <c r="C1171" t="s">
        <v>3495</v>
      </c>
      <c r="D1171" t="str">
        <f>HYPERLINK("https://zfin.org/ZDB-GENE-050116-2")</f>
        <v>https://zfin.org/ZDB-GENE-050116-2</v>
      </c>
      <c r="E1171" t="s">
        <v>3496</v>
      </c>
    </row>
    <row r="1172" spans="1:5" x14ac:dyDescent="0.2">
      <c r="A1172" t="s">
        <v>3497</v>
      </c>
      <c r="B1172" t="s">
        <v>3498</v>
      </c>
      <c r="C1172" t="s">
        <v>3498</v>
      </c>
      <c r="D1172" t="str">
        <f>HYPERLINK("https://zfin.org/ZDB-GENE-141210-12")</f>
        <v>https://zfin.org/ZDB-GENE-141210-12</v>
      </c>
      <c r="E1172" t="s">
        <v>3499</v>
      </c>
    </row>
    <row r="1173" spans="1:5" x14ac:dyDescent="0.2">
      <c r="A1173" t="s">
        <v>3500</v>
      </c>
      <c r="B1173" t="s">
        <v>3501</v>
      </c>
      <c r="C1173" t="s">
        <v>3501</v>
      </c>
      <c r="D1173" t="str">
        <f>HYPERLINK("https://zfin.org/ZDB-GENE-110411-266")</f>
        <v>https://zfin.org/ZDB-GENE-110411-266</v>
      </c>
      <c r="E1173" t="s">
        <v>3502</v>
      </c>
    </row>
    <row r="1174" spans="1:5" x14ac:dyDescent="0.2">
      <c r="A1174" t="s">
        <v>3503</v>
      </c>
      <c r="B1174" t="s">
        <v>3504</v>
      </c>
      <c r="C1174" t="s">
        <v>3504</v>
      </c>
      <c r="D1174" t="str">
        <f>HYPERLINK("https://zfin.org/ZDB-GENE-070912-593")</f>
        <v>https://zfin.org/ZDB-GENE-070912-593</v>
      </c>
      <c r="E1174" t="s">
        <v>3505</v>
      </c>
    </row>
    <row r="1175" spans="1:5" x14ac:dyDescent="0.2">
      <c r="A1175" t="s">
        <v>3506</v>
      </c>
      <c r="B1175" t="s">
        <v>3507</v>
      </c>
      <c r="C1175" t="s">
        <v>3507</v>
      </c>
      <c r="D1175" t="str">
        <f>HYPERLINK("https://zfin.org/ZDB-GENE-090313-361")</f>
        <v>https://zfin.org/ZDB-GENE-090313-361</v>
      </c>
      <c r="E1175" t="s">
        <v>3508</v>
      </c>
    </row>
    <row r="1176" spans="1:5" x14ac:dyDescent="0.2">
      <c r="A1176" t="s">
        <v>3509</v>
      </c>
      <c r="B1176" t="s">
        <v>3510</v>
      </c>
      <c r="C1176" t="s">
        <v>3510</v>
      </c>
      <c r="D1176" t="str">
        <f>HYPERLINK("https://zfin.org/ZDB-GENE-040426-809")</f>
        <v>https://zfin.org/ZDB-GENE-040426-809</v>
      </c>
      <c r="E1176" t="s">
        <v>3511</v>
      </c>
    </row>
    <row r="1177" spans="1:5" x14ac:dyDescent="0.2">
      <c r="A1177" t="s">
        <v>3512</v>
      </c>
      <c r="B1177" t="s">
        <v>3513</v>
      </c>
      <c r="C1177" t="s">
        <v>3513</v>
      </c>
      <c r="D1177" t="str">
        <f>HYPERLINK("https://zfin.org/ZDB-GENE-040426-987")</f>
        <v>https://zfin.org/ZDB-GENE-040426-987</v>
      </c>
      <c r="E1177" t="s">
        <v>3514</v>
      </c>
    </row>
    <row r="1178" spans="1:5" x14ac:dyDescent="0.2">
      <c r="A1178" t="s">
        <v>3515</v>
      </c>
      <c r="B1178" t="s">
        <v>3516</v>
      </c>
      <c r="C1178" t="s">
        <v>3516</v>
      </c>
      <c r="D1178" t="str">
        <f>HYPERLINK("https://zfin.org/ZDB-GENE-030131-2925")</f>
        <v>https://zfin.org/ZDB-GENE-030131-2925</v>
      </c>
      <c r="E1178" t="s">
        <v>3517</v>
      </c>
    </row>
    <row r="1179" spans="1:5" x14ac:dyDescent="0.2">
      <c r="A1179" t="s">
        <v>3518</v>
      </c>
      <c r="B1179" t="s">
        <v>3519</v>
      </c>
      <c r="C1179" t="s">
        <v>3519</v>
      </c>
      <c r="D1179" t="str">
        <f>HYPERLINK("https://zfin.org/ZDB-GENE-070928-42")</f>
        <v>https://zfin.org/ZDB-GENE-070928-42</v>
      </c>
      <c r="E1179" t="s">
        <v>3520</v>
      </c>
    </row>
    <row r="1180" spans="1:5" x14ac:dyDescent="0.2">
      <c r="A1180" t="s">
        <v>3521</v>
      </c>
      <c r="B1180" t="s">
        <v>3522</v>
      </c>
      <c r="C1180" t="s">
        <v>3522</v>
      </c>
      <c r="D1180" t="str">
        <f>HYPERLINK("https://zfin.org/ZDB-GENE-020122-2")</f>
        <v>https://zfin.org/ZDB-GENE-020122-2</v>
      </c>
      <c r="E1180" t="s">
        <v>3523</v>
      </c>
    </row>
    <row r="1181" spans="1:5" x14ac:dyDescent="0.2">
      <c r="A1181" t="s">
        <v>3524</v>
      </c>
      <c r="B1181" t="s">
        <v>3525</v>
      </c>
      <c r="C1181" t="s">
        <v>3525</v>
      </c>
      <c r="D1181" t="str">
        <f>HYPERLINK("https://zfin.org/ZDB-GENE-130524-1")</f>
        <v>https://zfin.org/ZDB-GENE-130524-1</v>
      </c>
      <c r="E1181" t="s">
        <v>3526</v>
      </c>
    </row>
    <row r="1182" spans="1:5" x14ac:dyDescent="0.2">
      <c r="A1182" t="s">
        <v>3527</v>
      </c>
      <c r="B1182" t="s">
        <v>3528</v>
      </c>
      <c r="C1182" t="s">
        <v>3528</v>
      </c>
      <c r="D1182" t="str">
        <f>HYPERLINK("https://zfin.org/ZDB-GENE-020423-1")</f>
        <v>https://zfin.org/ZDB-GENE-020423-1</v>
      </c>
      <c r="E1182" t="s">
        <v>3529</v>
      </c>
    </row>
    <row r="1183" spans="1:5" x14ac:dyDescent="0.2">
      <c r="A1183" t="s">
        <v>3530</v>
      </c>
      <c r="B1183" t="s">
        <v>3531</v>
      </c>
      <c r="C1183" t="s">
        <v>3531</v>
      </c>
      <c r="D1183" t="str">
        <f>HYPERLINK("https://zfin.org/ZDB-GENE-081107-17")</f>
        <v>https://zfin.org/ZDB-GENE-081107-17</v>
      </c>
      <c r="E1183" t="s">
        <v>3532</v>
      </c>
    </row>
    <row r="1184" spans="1:5" x14ac:dyDescent="0.2">
      <c r="A1184" t="s">
        <v>3533</v>
      </c>
      <c r="B1184" t="s">
        <v>3534</v>
      </c>
      <c r="C1184" t="s">
        <v>3534</v>
      </c>
      <c r="D1184" t="str">
        <f>HYPERLINK("https://zfin.org/ZDB-GENE-060526-260")</f>
        <v>https://zfin.org/ZDB-GENE-060526-260</v>
      </c>
      <c r="E1184" t="s">
        <v>3535</v>
      </c>
    </row>
    <row r="1185" spans="1:5" x14ac:dyDescent="0.2">
      <c r="A1185" t="s">
        <v>3536</v>
      </c>
      <c r="B1185" t="s">
        <v>3537</v>
      </c>
      <c r="C1185" t="s">
        <v>3537</v>
      </c>
      <c r="D1185" t="str">
        <f>HYPERLINK("https://zfin.org/ZDB-GENE-131127-522")</f>
        <v>https://zfin.org/ZDB-GENE-131127-522</v>
      </c>
      <c r="E1185" t="s">
        <v>3538</v>
      </c>
    </row>
    <row r="1186" spans="1:5" x14ac:dyDescent="0.2">
      <c r="A1186" t="s">
        <v>3539</v>
      </c>
      <c r="B1186" t="s">
        <v>3540</v>
      </c>
      <c r="C1186" t="s">
        <v>3540</v>
      </c>
      <c r="D1186" t="str">
        <f>HYPERLINK("https://zfin.org/ZDB-GENE-090313-207")</f>
        <v>https://zfin.org/ZDB-GENE-090313-207</v>
      </c>
      <c r="E1186" t="s">
        <v>3541</v>
      </c>
    </row>
    <row r="1187" spans="1:5" x14ac:dyDescent="0.2">
      <c r="A1187" t="s">
        <v>3542</v>
      </c>
      <c r="B1187" t="s">
        <v>3543</v>
      </c>
      <c r="C1187" t="s">
        <v>3543</v>
      </c>
      <c r="D1187" t="str">
        <f>HYPERLINK("https://zfin.org/ZDB-GENE-030131-8387")</f>
        <v>https://zfin.org/ZDB-GENE-030131-8387</v>
      </c>
      <c r="E1187" t="s">
        <v>3544</v>
      </c>
    </row>
    <row r="1188" spans="1:5" x14ac:dyDescent="0.2">
      <c r="A1188" t="s">
        <v>3545</v>
      </c>
      <c r="B1188" t="s">
        <v>3546</v>
      </c>
      <c r="C1188" t="s">
        <v>3546</v>
      </c>
      <c r="D1188" t="str">
        <f>HYPERLINK("https://zfin.org/ZDB-GENE-141216-440")</f>
        <v>https://zfin.org/ZDB-GENE-141216-440</v>
      </c>
      <c r="E1188" t="s">
        <v>3547</v>
      </c>
    </row>
    <row r="1189" spans="1:5" x14ac:dyDescent="0.2">
      <c r="A1189" t="s">
        <v>3548</v>
      </c>
      <c r="B1189" t="s">
        <v>3549</v>
      </c>
      <c r="C1189" t="s">
        <v>3549</v>
      </c>
      <c r="D1189" t="str">
        <f>HYPERLINK("https://zfin.org/ZDB-GENE-030826-18")</f>
        <v>https://zfin.org/ZDB-GENE-030826-18</v>
      </c>
      <c r="E1189" t="s">
        <v>3550</v>
      </c>
    </row>
    <row r="1190" spans="1:5" x14ac:dyDescent="0.2">
      <c r="A1190" t="s">
        <v>3551</v>
      </c>
      <c r="B1190" t="s">
        <v>3552</v>
      </c>
      <c r="C1190" t="s">
        <v>3552</v>
      </c>
      <c r="D1190" t="str">
        <f>HYPERLINK("https://zfin.org/ZDB-GENE-061009-50")</f>
        <v>https://zfin.org/ZDB-GENE-061009-50</v>
      </c>
      <c r="E1190" t="s">
        <v>3553</v>
      </c>
    </row>
    <row r="1191" spans="1:5" x14ac:dyDescent="0.2">
      <c r="A1191" t="s">
        <v>3554</v>
      </c>
      <c r="B1191" t="s">
        <v>3555</v>
      </c>
      <c r="C1191" t="s">
        <v>3555</v>
      </c>
      <c r="D1191" t="str">
        <f>HYPERLINK("https://zfin.org/ZDB-GENE-040426-1149")</f>
        <v>https://zfin.org/ZDB-GENE-040426-1149</v>
      </c>
      <c r="E1191" t="s">
        <v>3556</v>
      </c>
    </row>
    <row r="1192" spans="1:5" x14ac:dyDescent="0.2">
      <c r="A1192" t="s">
        <v>3557</v>
      </c>
      <c r="B1192" t="s">
        <v>3558</v>
      </c>
      <c r="C1192" t="s">
        <v>3558</v>
      </c>
      <c r="D1192" t="str">
        <f>HYPERLINK("https://zfin.org/ZDB-GENE-110913-31")</f>
        <v>https://zfin.org/ZDB-GENE-110913-31</v>
      </c>
      <c r="E1192" t="s">
        <v>3559</v>
      </c>
    </row>
    <row r="1193" spans="1:5" x14ac:dyDescent="0.2">
      <c r="A1193" t="s">
        <v>3560</v>
      </c>
      <c r="B1193" t="s">
        <v>3561</v>
      </c>
      <c r="C1193" t="s">
        <v>3561</v>
      </c>
      <c r="D1193" t="str">
        <f>HYPERLINK("https://zfin.org/ZDB-GENE-090313-209")</f>
        <v>https://zfin.org/ZDB-GENE-090313-209</v>
      </c>
      <c r="E1193" t="s">
        <v>3562</v>
      </c>
    </row>
    <row r="1194" spans="1:5" x14ac:dyDescent="0.2">
      <c r="A1194" t="s">
        <v>3563</v>
      </c>
      <c r="B1194" t="s">
        <v>3564</v>
      </c>
      <c r="C1194" t="s">
        <v>3564</v>
      </c>
      <c r="D1194" t="str">
        <f>HYPERLINK("https://zfin.org/ZDB-GENE-040704-4")</f>
        <v>https://zfin.org/ZDB-GENE-040704-4</v>
      </c>
      <c r="E1194" t="s">
        <v>3565</v>
      </c>
    </row>
    <row r="1195" spans="1:5" x14ac:dyDescent="0.2">
      <c r="A1195" t="s">
        <v>3566</v>
      </c>
      <c r="B1195" t="s">
        <v>3567</v>
      </c>
      <c r="C1195" t="s">
        <v>3567</v>
      </c>
      <c r="D1195" t="str">
        <f>HYPERLINK("https://zfin.org/ZDB-GENE-030131-6402")</f>
        <v>https://zfin.org/ZDB-GENE-030131-6402</v>
      </c>
      <c r="E1195" t="s">
        <v>3568</v>
      </c>
    </row>
    <row r="1196" spans="1:5" x14ac:dyDescent="0.2">
      <c r="A1196" t="s">
        <v>3569</v>
      </c>
      <c r="B1196" t="s">
        <v>3570</v>
      </c>
      <c r="C1196" t="s">
        <v>3570</v>
      </c>
      <c r="D1196" t="str">
        <f>HYPERLINK("https://zfin.org/ZDB-GENE-030131-4532")</f>
        <v>https://zfin.org/ZDB-GENE-030131-4532</v>
      </c>
      <c r="E1196" t="s">
        <v>3571</v>
      </c>
    </row>
    <row r="1197" spans="1:5" x14ac:dyDescent="0.2">
      <c r="A1197" t="s">
        <v>3572</v>
      </c>
      <c r="B1197" t="s">
        <v>3573</v>
      </c>
      <c r="C1197" t="s">
        <v>3573</v>
      </c>
      <c r="D1197" t="str">
        <f>HYPERLINK("https://zfin.org/ZDB-GENE-060929-922")</f>
        <v>https://zfin.org/ZDB-GENE-060929-922</v>
      </c>
      <c r="E1197" t="s">
        <v>3574</v>
      </c>
    </row>
    <row r="1198" spans="1:5" x14ac:dyDescent="0.2">
      <c r="A1198" t="s">
        <v>3575</v>
      </c>
      <c r="B1198" t="s">
        <v>3576</v>
      </c>
      <c r="C1198" t="s">
        <v>3576</v>
      </c>
      <c r="D1198" t="str">
        <f>HYPERLINK("https://zfin.org/ZDB-GENE-050417-386")</f>
        <v>https://zfin.org/ZDB-GENE-050417-386</v>
      </c>
      <c r="E1198" t="s">
        <v>3577</v>
      </c>
    </row>
    <row r="1199" spans="1:5" x14ac:dyDescent="0.2">
      <c r="A1199" t="s">
        <v>3578</v>
      </c>
      <c r="B1199" t="s">
        <v>3579</v>
      </c>
      <c r="C1199" t="s">
        <v>3579</v>
      </c>
      <c r="D1199" t="str">
        <f>HYPERLINK("https://zfin.org/ZDB-GENE-030131-1711")</f>
        <v>https://zfin.org/ZDB-GENE-030131-1711</v>
      </c>
      <c r="E1199" t="s">
        <v>3580</v>
      </c>
    </row>
    <row r="1200" spans="1:5" x14ac:dyDescent="0.2">
      <c r="A1200" t="s">
        <v>3581</v>
      </c>
      <c r="B1200" t="s">
        <v>3582</v>
      </c>
      <c r="C1200" t="s">
        <v>3582</v>
      </c>
      <c r="D1200" t="str">
        <f>HYPERLINK("https://zfin.org/ZDB-GENE-050706-95")</f>
        <v>https://zfin.org/ZDB-GENE-050706-95</v>
      </c>
      <c r="E1200" t="s">
        <v>3583</v>
      </c>
    </row>
    <row r="1201" spans="1:5" x14ac:dyDescent="0.2">
      <c r="A1201" t="s">
        <v>3584</v>
      </c>
      <c r="B1201" t="s">
        <v>3585</v>
      </c>
      <c r="C1201" t="s">
        <v>3585</v>
      </c>
      <c r="D1201" t="str">
        <f>HYPERLINK("https://zfin.org/ZDB-GENE-030131-5345")</f>
        <v>https://zfin.org/ZDB-GENE-030131-5345</v>
      </c>
      <c r="E1201" t="s">
        <v>3586</v>
      </c>
    </row>
    <row r="1202" spans="1:5" x14ac:dyDescent="0.2">
      <c r="A1202" t="s">
        <v>3587</v>
      </c>
      <c r="B1202" t="s">
        <v>3588</v>
      </c>
      <c r="C1202" t="s">
        <v>3588</v>
      </c>
      <c r="D1202" t="str">
        <f>HYPERLINK("https://zfin.org/ZDB-GENE-060531-48")</f>
        <v>https://zfin.org/ZDB-GENE-060531-48</v>
      </c>
      <c r="E1202" t="s">
        <v>3589</v>
      </c>
    </row>
    <row r="1203" spans="1:5" x14ac:dyDescent="0.2">
      <c r="A1203" t="s">
        <v>3590</v>
      </c>
      <c r="B1203" t="s">
        <v>3591</v>
      </c>
      <c r="C1203" t="s">
        <v>3591</v>
      </c>
      <c r="D1203" t="str">
        <f>HYPERLINK("https://zfin.org/ZDB-GENE-030328-29")</f>
        <v>https://zfin.org/ZDB-GENE-030328-29</v>
      </c>
      <c r="E1203" t="s">
        <v>3592</v>
      </c>
    </row>
    <row r="1204" spans="1:5" x14ac:dyDescent="0.2">
      <c r="A1204" t="s">
        <v>3593</v>
      </c>
      <c r="B1204" t="s">
        <v>3594</v>
      </c>
      <c r="C1204" t="s">
        <v>3594</v>
      </c>
      <c r="D1204" t="str">
        <f>HYPERLINK("https://zfin.org/ZDB-GENE-040426-740")</f>
        <v>https://zfin.org/ZDB-GENE-040426-740</v>
      </c>
      <c r="E1204" t="s">
        <v>3595</v>
      </c>
    </row>
    <row r="1205" spans="1:5" x14ac:dyDescent="0.2">
      <c r="A1205" t="s">
        <v>3596</v>
      </c>
      <c r="B1205" t="s">
        <v>3597</v>
      </c>
      <c r="C1205" t="s">
        <v>3597</v>
      </c>
      <c r="D1205" t="str">
        <f>HYPERLINK("https://zfin.org/ZDB-GENE-030131-3421")</f>
        <v>https://zfin.org/ZDB-GENE-030131-3421</v>
      </c>
      <c r="E1205" t="s">
        <v>3598</v>
      </c>
    </row>
    <row r="1206" spans="1:5" x14ac:dyDescent="0.2">
      <c r="A1206" t="s">
        <v>3599</v>
      </c>
      <c r="B1206" t="s">
        <v>3600</v>
      </c>
      <c r="C1206" t="s">
        <v>3600</v>
      </c>
      <c r="D1206" t="str">
        <f>HYPERLINK("https://zfin.org/ZDB-GENE-070912-594")</f>
        <v>https://zfin.org/ZDB-GENE-070912-594</v>
      </c>
      <c r="E1206" t="s">
        <v>3601</v>
      </c>
    </row>
    <row r="1207" spans="1:5" x14ac:dyDescent="0.2">
      <c r="A1207" t="s">
        <v>3602</v>
      </c>
      <c r="B1207" t="s">
        <v>3603</v>
      </c>
      <c r="C1207" t="s">
        <v>3603</v>
      </c>
      <c r="D1207" t="str">
        <f>HYPERLINK("https://zfin.org/ZDB-GENE-131121-446")</f>
        <v>https://zfin.org/ZDB-GENE-131121-446</v>
      </c>
      <c r="E1207" t="s">
        <v>3604</v>
      </c>
    </row>
    <row r="1208" spans="1:5" x14ac:dyDescent="0.2">
      <c r="A1208" t="s">
        <v>3605</v>
      </c>
      <c r="B1208" t="s">
        <v>3606</v>
      </c>
      <c r="C1208" t="s">
        <v>3606</v>
      </c>
      <c r="D1208" t="str">
        <f>HYPERLINK("https://zfin.org/ZDB-GENE-080204-46")</f>
        <v>https://zfin.org/ZDB-GENE-080204-46</v>
      </c>
      <c r="E1208" t="s">
        <v>3607</v>
      </c>
    </row>
    <row r="1209" spans="1:5" x14ac:dyDescent="0.2">
      <c r="A1209" t="s">
        <v>3608</v>
      </c>
      <c r="B1209" t="s">
        <v>3609</v>
      </c>
      <c r="C1209" t="s">
        <v>3609</v>
      </c>
      <c r="D1209" t="str">
        <f>HYPERLINK("https://zfin.org/ZDB-GENE-080327-19")</f>
        <v>https://zfin.org/ZDB-GENE-080327-19</v>
      </c>
      <c r="E1209" t="s">
        <v>3610</v>
      </c>
    </row>
    <row r="1210" spans="1:5" x14ac:dyDescent="0.2">
      <c r="A1210" t="s">
        <v>3611</v>
      </c>
      <c r="B1210" t="s">
        <v>3612</v>
      </c>
      <c r="C1210" t="s">
        <v>3613</v>
      </c>
      <c r="D1210" t="str">
        <f>HYPERLINK("https://zfin.org/ZDB-GENE-110914-210")</f>
        <v>https://zfin.org/ZDB-GENE-110914-210</v>
      </c>
      <c r="E1210" t="s">
        <v>3614</v>
      </c>
    </row>
    <row r="1211" spans="1:5" x14ac:dyDescent="0.2">
      <c r="A1211" t="s">
        <v>3615</v>
      </c>
      <c r="B1211" t="s">
        <v>3616</v>
      </c>
      <c r="C1211" t="s">
        <v>3616</v>
      </c>
      <c r="D1211" t="str">
        <f>HYPERLINK("https://zfin.org/ZDB-GENE-100921-24")</f>
        <v>https://zfin.org/ZDB-GENE-100921-24</v>
      </c>
      <c r="E1211" t="s">
        <v>3617</v>
      </c>
    </row>
    <row r="1212" spans="1:5" x14ac:dyDescent="0.2">
      <c r="A1212" t="s">
        <v>3618</v>
      </c>
      <c r="B1212" t="s">
        <v>3619</v>
      </c>
      <c r="C1212" t="s">
        <v>3619</v>
      </c>
      <c r="D1212" t="str">
        <f>HYPERLINK("https://zfin.org/ZDB-GENE-070112-1042")</f>
        <v>https://zfin.org/ZDB-GENE-070112-1042</v>
      </c>
      <c r="E1212" t="s">
        <v>3620</v>
      </c>
    </row>
    <row r="1213" spans="1:5" x14ac:dyDescent="0.2">
      <c r="A1213" t="s">
        <v>3621</v>
      </c>
      <c r="B1213" t="s">
        <v>3622</v>
      </c>
      <c r="C1213" t="s">
        <v>3622</v>
      </c>
      <c r="D1213" t="str">
        <f>HYPERLINK("https://zfin.org/ZDB-GENE-110411-156")</f>
        <v>https://zfin.org/ZDB-GENE-110411-156</v>
      </c>
      <c r="E1213" t="s">
        <v>3623</v>
      </c>
    </row>
    <row r="1214" spans="1:5" x14ac:dyDescent="0.2">
      <c r="A1214" t="s">
        <v>3624</v>
      </c>
      <c r="B1214" t="s">
        <v>3625</v>
      </c>
      <c r="C1214" t="s">
        <v>3625</v>
      </c>
      <c r="D1214" t="str">
        <f>HYPERLINK("https://zfin.org/ZDB-GENE-050417-369")</f>
        <v>https://zfin.org/ZDB-GENE-050417-369</v>
      </c>
      <c r="E1214" t="s">
        <v>3626</v>
      </c>
    </row>
    <row r="1215" spans="1:5" x14ac:dyDescent="0.2">
      <c r="A1215" t="s">
        <v>3627</v>
      </c>
      <c r="B1215" t="s">
        <v>3628</v>
      </c>
      <c r="C1215" t="s">
        <v>3628</v>
      </c>
      <c r="D1215" t="str">
        <f>HYPERLINK("https://zfin.org/ZDB-GENE-060209-2")</f>
        <v>https://zfin.org/ZDB-GENE-060209-2</v>
      </c>
      <c r="E1215" t="s">
        <v>3629</v>
      </c>
    </row>
    <row r="1216" spans="1:5" x14ac:dyDescent="0.2">
      <c r="A1216" t="s">
        <v>3630</v>
      </c>
      <c r="B1216" t="s">
        <v>3631</v>
      </c>
      <c r="C1216" t="s">
        <v>3631</v>
      </c>
      <c r="D1216" t="str">
        <f>HYPERLINK("https://zfin.org/ZDB-GENE-030131-6989")</f>
        <v>https://zfin.org/ZDB-GENE-030131-6989</v>
      </c>
      <c r="E1216" t="s">
        <v>3632</v>
      </c>
    </row>
    <row r="1217" spans="1:5" x14ac:dyDescent="0.2">
      <c r="A1217" t="s">
        <v>3633</v>
      </c>
      <c r="B1217" t="s">
        <v>3634</v>
      </c>
      <c r="C1217" t="s">
        <v>3634</v>
      </c>
      <c r="D1217" t="str">
        <f>HYPERLINK("https://zfin.org/ZDB-GENE-030131-3658")</f>
        <v>https://zfin.org/ZDB-GENE-030131-3658</v>
      </c>
      <c r="E1217" t="s">
        <v>3635</v>
      </c>
    </row>
    <row r="1218" spans="1:5" x14ac:dyDescent="0.2">
      <c r="A1218" t="s">
        <v>3636</v>
      </c>
      <c r="B1218" t="s">
        <v>3637</v>
      </c>
      <c r="C1218" t="s">
        <v>3637</v>
      </c>
      <c r="D1218" t="str">
        <f>HYPERLINK("https://zfin.org/ZDB-GENE-090313-412")</f>
        <v>https://zfin.org/ZDB-GENE-090313-412</v>
      </c>
      <c r="E1218" t="s">
        <v>3638</v>
      </c>
    </row>
    <row r="1219" spans="1:5" x14ac:dyDescent="0.2">
      <c r="A1219" t="s">
        <v>3639</v>
      </c>
      <c r="B1219" t="s">
        <v>3640</v>
      </c>
      <c r="C1219" t="s">
        <v>3640</v>
      </c>
      <c r="D1219" t="str">
        <f>HYPERLINK("https://zfin.org/ZDB-GENE-040724-59")</f>
        <v>https://zfin.org/ZDB-GENE-040724-59</v>
      </c>
      <c r="E1219" t="s">
        <v>3641</v>
      </c>
    </row>
    <row r="1220" spans="1:5" x14ac:dyDescent="0.2">
      <c r="A1220" t="s">
        <v>3642</v>
      </c>
      <c r="B1220" t="s">
        <v>3643</v>
      </c>
      <c r="C1220" t="s">
        <v>3643</v>
      </c>
      <c r="D1220" t="str">
        <f>HYPERLINK("https://zfin.org/ZDB-GENE-041114-88")</f>
        <v>https://zfin.org/ZDB-GENE-041114-88</v>
      </c>
      <c r="E1220" t="s">
        <v>3644</v>
      </c>
    </row>
    <row r="1221" spans="1:5" x14ac:dyDescent="0.2">
      <c r="A1221" t="s">
        <v>3645</v>
      </c>
      <c r="B1221" t="s">
        <v>3646</v>
      </c>
      <c r="C1221" t="s">
        <v>3646</v>
      </c>
      <c r="D1221" t="str">
        <f>HYPERLINK("https://zfin.org/ZDB-GENE-000427-2")</f>
        <v>https://zfin.org/ZDB-GENE-000427-2</v>
      </c>
      <c r="E1221" t="s">
        <v>3647</v>
      </c>
    </row>
    <row r="1222" spans="1:5" x14ac:dyDescent="0.2">
      <c r="A1222" t="s">
        <v>3648</v>
      </c>
      <c r="B1222" t="s">
        <v>3649</v>
      </c>
      <c r="C1222" t="s">
        <v>3649</v>
      </c>
      <c r="D1222" t="str">
        <f>HYPERLINK("https://zfin.org/ZDB-GENE-110914-18")</f>
        <v>https://zfin.org/ZDB-GENE-110914-18</v>
      </c>
      <c r="E1222" t="s">
        <v>3650</v>
      </c>
    </row>
    <row r="1223" spans="1:5" x14ac:dyDescent="0.2">
      <c r="A1223" t="s">
        <v>3651</v>
      </c>
      <c r="B1223" t="s">
        <v>3652</v>
      </c>
      <c r="C1223" t="s">
        <v>3652</v>
      </c>
      <c r="D1223" t="str">
        <f>HYPERLINK("https://zfin.org/ZDB-GENE-030131-2302")</f>
        <v>https://zfin.org/ZDB-GENE-030131-2302</v>
      </c>
      <c r="E1223" t="s">
        <v>3653</v>
      </c>
    </row>
    <row r="1224" spans="1:5" x14ac:dyDescent="0.2">
      <c r="A1224" t="s">
        <v>3654</v>
      </c>
      <c r="B1224" t="s">
        <v>3655</v>
      </c>
      <c r="C1224" t="s">
        <v>3655</v>
      </c>
      <c r="D1224" t="str">
        <f>HYPERLINK("https://zfin.org/ZDB-GENE-030131-1921")</f>
        <v>https://zfin.org/ZDB-GENE-030131-1921</v>
      </c>
      <c r="E1224" t="s">
        <v>3656</v>
      </c>
    </row>
    <row r="1225" spans="1:5" x14ac:dyDescent="0.2">
      <c r="A1225" t="s">
        <v>3657</v>
      </c>
      <c r="B1225" t="s">
        <v>3658</v>
      </c>
      <c r="C1225" t="s">
        <v>3658</v>
      </c>
      <c r="D1225" t="str">
        <f>HYPERLINK("https://zfin.org/ZDB-GENE-041010-160")</f>
        <v>https://zfin.org/ZDB-GENE-041010-160</v>
      </c>
      <c r="E1225" t="s">
        <v>3659</v>
      </c>
    </row>
    <row r="1226" spans="1:5" x14ac:dyDescent="0.2">
      <c r="A1226" t="s">
        <v>3660</v>
      </c>
      <c r="B1226" t="s">
        <v>3661</v>
      </c>
      <c r="C1226" t="s">
        <v>3661</v>
      </c>
      <c r="D1226" t="str">
        <f>HYPERLINK("https://zfin.org/ZDB-GENE-061013-557")</f>
        <v>https://zfin.org/ZDB-GENE-061013-557</v>
      </c>
      <c r="E1226" t="s">
        <v>3662</v>
      </c>
    </row>
    <row r="1227" spans="1:5" x14ac:dyDescent="0.2">
      <c r="A1227" t="s">
        <v>3663</v>
      </c>
      <c r="B1227" t="s">
        <v>3664</v>
      </c>
      <c r="C1227" t="s">
        <v>3664</v>
      </c>
      <c r="D1227" t="str">
        <f>HYPERLINK("https://zfin.org/ZDB-GENE-110913-32")</f>
        <v>https://zfin.org/ZDB-GENE-110913-32</v>
      </c>
      <c r="E1227" t="s">
        <v>3665</v>
      </c>
    </row>
    <row r="1228" spans="1:5" x14ac:dyDescent="0.2">
      <c r="A1228" t="s">
        <v>3666</v>
      </c>
      <c r="B1228" t="s">
        <v>3667</v>
      </c>
      <c r="C1228" t="s">
        <v>3667</v>
      </c>
      <c r="D1228" t="str">
        <f>HYPERLINK("https://zfin.org/ZDB-GENE-050306-17")</f>
        <v>https://zfin.org/ZDB-GENE-050306-17</v>
      </c>
      <c r="E1228" t="s">
        <v>3668</v>
      </c>
    </row>
    <row r="1229" spans="1:5" x14ac:dyDescent="0.2">
      <c r="A1229" t="s">
        <v>3669</v>
      </c>
      <c r="B1229" t="s">
        <v>3670</v>
      </c>
      <c r="C1229" t="s">
        <v>3670</v>
      </c>
      <c r="D1229" t="str">
        <f>HYPERLINK("https://zfin.org/ZDB-GENE-110914-19")</f>
        <v>https://zfin.org/ZDB-GENE-110914-19</v>
      </c>
      <c r="E1229" t="s">
        <v>3671</v>
      </c>
    </row>
    <row r="1230" spans="1:5" x14ac:dyDescent="0.2">
      <c r="A1230" t="s">
        <v>3672</v>
      </c>
      <c r="B1230" t="s">
        <v>3673</v>
      </c>
      <c r="C1230" t="s">
        <v>3673</v>
      </c>
      <c r="D1230" t="str">
        <f>HYPERLINK("https://zfin.org/ZDB-GENE-030131-5783")</f>
        <v>https://zfin.org/ZDB-GENE-030131-5783</v>
      </c>
      <c r="E1230" t="s">
        <v>3674</v>
      </c>
    </row>
    <row r="1231" spans="1:5" x14ac:dyDescent="0.2">
      <c r="A1231" t="s">
        <v>3675</v>
      </c>
      <c r="B1231" t="s">
        <v>3676</v>
      </c>
      <c r="C1231" t="s">
        <v>3676</v>
      </c>
      <c r="D1231" t="str">
        <f>HYPERLINK("https://zfin.org/ZDB-GENE-141216-14")</f>
        <v>https://zfin.org/ZDB-GENE-141216-14</v>
      </c>
      <c r="E1231" t="s">
        <v>3677</v>
      </c>
    </row>
    <row r="1232" spans="1:5" x14ac:dyDescent="0.2">
      <c r="A1232" t="s">
        <v>3678</v>
      </c>
      <c r="B1232" t="s">
        <v>3679</v>
      </c>
      <c r="C1232" t="s">
        <v>3679</v>
      </c>
      <c r="D1232" t="str">
        <f>HYPERLINK("https://zfin.org/ZDB-GENE-110913-105")</f>
        <v>https://zfin.org/ZDB-GENE-110913-105</v>
      </c>
      <c r="E1232" t="s">
        <v>3680</v>
      </c>
    </row>
    <row r="1233" spans="1:5" x14ac:dyDescent="0.2">
      <c r="A1233" t="s">
        <v>3681</v>
      </c>
      <c r="B1233" t="s">
        <v>3682</v>
      </c>
      <c r="C1233" t="s">
        <v>3682</v>
      </c>
      <c r="D1233" t="str">
        <f>HYPERLINK("https://zfin.org/ZDB-GENE-040718-142")</f>
        <v>https://zfin.org/ZDB-GENE-040718-142</v>
      </c>
      <c r="E1233" t="s">
        <v>3683</v>
      </c>
    </row>
    <row r="1234" spans="1:5" x14ac:dyDescent="0.2">
      <c r="A1234" t="s">
        <v>3684</v>
      </c>
      <c r="B1234" t="s">
        <v>3685</v>
      </c>
      <c r="C1234" t="s">
        <v>3685</v>
      </c>
      <c r="D1234" t="str">
        <f>HYPERLINK("https://zfin.org/ZDB-GENE-110914-68")</f>
        <v>https://zfin.org/ZDB-GENE-110914-68</v>
      </c>
      <c r="E1234" t="s">
        <v>3686</v>
      </c>
    </row>
    <row r="1235" spans="1:5" x14ac:dyDescent="0.2">
      <c r="A1235" t="s">
        <v>3687</v>
      </c>
      <c r="B1235" t="s">
        <v>3688</v>
      </c>
      <c r="C1235" t="s">
        <v>3688</v>
      </c>
      <c r="D1235" t="str">
        <f>HYPERLINK("https://zfin.org/ZDB-GENE-030131-6093")</f>
        <v>https://zfin.org/ZDB-GENE-030131-6093</v>
      </c>
      <c r="E1235" t="s">
        <v>3689</v>
      </c>
    </row>
    <row r="1236" spans="1:5" x14ac:dyDescent="0.2">
      <c r="A1236" t="s">
        <v>3690</v>
      </c>
      <c r="B1236" t="s">
        <v>3691</v>
      </c>
      <c r="C1236" t="s">
        <v>3691</v>
      </c>
      <c r="D1236" t="str">
        <f>HYPERLINK("https://zfin.org/ZDB-GENE-131127-312")</f>
        <v>https://zfin.org/ZDB-GENE-131127-312</v>
      </c>
      <c r="E1236" t="s">
        <v>3692</v>
      </c>
    </row>
    <row r="1237" spans="1:5" x14ac:dyDescent="0.2">
      <c r="A1237" t="s">
        <v>3693</v>
      </c>
      <c r="B1237" t="s">
        <v>3694</v>
      </c>
      <c r="C1237" t="s">
        <v>3694</v>
      </c>
      <c r="D1237" t="str">
        <f>HYPERLINK("https://zfin.org/ZDB-GENE-160113-125")</f>
        <v>https://zfin.org/ZDB-GENE-160113-125</v>
      </c>
      <c r="E1237" t="s">
        <v>3695</v>
      </c>
    </row>
    <row r="1238" spans="1:5" x14ac:dyDescent="0.2">
      <c r="A1238" t="s">
        <v>3696</v>
      </c>
      <c r="B1238" t="s">
        <v>3697</v>
      </c>
      <c r="C1238" t="s">
        <v>3697</v>
      </c>
      <c r="D1238" t="str">
        <f>HYPERLINK("https://zfin.org/ZDB-GENE-050227-15")</f>
        <v>https://zfin.org/ZDB-GENE-050227-15</v>
      </c>
      <c r="E1238" t="s">
        <v>3698</v>
      </c>
    </row>
    <row r="1239" spans="1:5" x14ac:dyDescent="0.2">
      <c r="A1239" t="s">
        <v>3699</v>
      </c>
      <c r="B1239" t="s">
        <v>3700</v>
      </c>
      <c r="C1239" t="s">
        <v>3700</v>
      </c>
      <c r="D1239" t="str">
        <f>HYPERLINK("https://zfin.org/ZDB-GENE-040724-168")</f>
        <v>https://zfin.org/ZDB-GENE-040724-168</v>
      </c>
      <c r="E1239" t="s">
        <v>3701</v>
      </c>
    </row>
    <row r="1240" spans="1:5" x14ac:dyDescent="0.2">
      <c r="A1240" t="s">
        <v>3702</v>
      </c>
      <c r="B1240" t="s">
        <v>3703</v>
      </c>
      <c r="C1240" t="s">
        <v>3703</v>
      </c>
      <c r="D1240" t="str">
        <f>HYPERLINK("https://zfin.org/ZDB-GENE-030131-338")</f>
        <v>https://zfin.org/ZDB-GENE-030131-338</v>
      </c>
      <c r="E1240" t="s">
        <v>3704</v>
      </c>
    </row>
    <row r="1241" spans="1:5" x14ac:dyDescent="0.2">
      <c r="A1241" t="s">
        <v>3705</v>
      </c>
      <c r="B1241" t="s">
        <v>3706</v>
      </c>
      <c r="C1241" t="s">
        <v>3706</v>
      </c>
      <c r="D1241" t="str">
        <f>HYPERLINK("https://zfin.org/ZDB-GENE-081103-43")</f>
        <v>https://zfin.org/ZDB-GENE-081103-43</v>
      </c>
      <c r="E1241" t="s">
        <v>3707</v>
      </c>
    </row>
    <row r="1242" spans="1:5" x14ac:dyDescent="0.2">
      <c r="A1242" t="s">
        <v>3708</v>
      </c>
      <c r="B1242" t="s">
        <v>3709</v>
      </c>
      <c r="C1242" t="s">
        <v>3709</v>
      </c>
      <c r="D1242" t="str">
        <f>HYPERLINK("https://zfin.org/ZDB-GENE-030131-1966")</f>
        <v>https://zfin.org/ZDB-GENE-030131-1966</v>
      </c>
      <c r="E1242" t="s">
        <v>3710</v>
      </c>
    </row>
    <row r="1243" spans="1:5" x14ac:dyDescent="0.2">
      <c r="A1243" t="s">
        <v>3711</v>
      </c>
      <c r="B1243" t="s">
        <v>3712</v>
      </c>
      <c r="C1243" t="s">
        <v>3712</v>
      </c>
      <c r="D1243" t="str">
        <f>HYPERLINK("https://zfin.org/ZDB-GENE-040426-1606")</f>
        <v>https://zfin.org/ZDB-GENE-040426-1606</v>
      </c>
      <c r="E1243" t="s">
        <v>3713</v>
      </c>
    </row>
    <row r="1244" spans="1:5" x14ac:dyDescent="0.2">
      <c r="A1244" t="s">
        <v>3714</v>
      </c>
      <c r="B1244" t="s">
        <v>3715</v>
      </c>
      <c r="C1244" t="s">
        <v>3715</v>
      </c>
      <c r="D1244" t="str">
        <f>HYPERLINK("https://zfin.org/ZDB-GENE-070117-2066")</f>
        <v>https://zfin.org/ZDB-GENE-070117-2066</v>
      </c>
      <c r="E1244" t="s">
        <v>3716</v>
      </c>
    </row>
    <row r="1245" spans="1:5" x14ac:dyDescent="0.2">
      <c r="A1245" t="s">
        <v>3717</v>
      </c>
      <c r="B1245" t="s">
        <v>3718</v>
      </c>
      <c r="C1245" t="s">
        <v>3718</v>
      </c>
      <c r="D1245" t="str">
        <f>HYPERLINK("https://zfin.org/ZDB-GENE-061009-49")</f>
        <v>https://zfin.org/ZDB-GENE-061009-49</v>
      </c>
      <c r="E1245" t="s">
        <v>3719</v>
      </c>
    </row>
    <row r="1246" spans="1:5" x14ac:dyDescent="0.2">
      <c r="A1246" t="s">
        <v>3720</v>
      </c>
      <c r="B1246" t="s">
        <v>3721</v>
      </c>
      <c r="C1246" t="s">
        <v>3721</v>
      </c>
      <c r="D1246" t="str">
        <f>HYPERLINK("https://zfin.org/ZDB-GENE-070912-693")</f>
        <v>https://zfin.org/ZDB-GENE-070912-693</v>
      </c>
      <c r="E1246" t="s">
        <v>3722</v>
      </c>
    </row>
    <row r="1247" spans="1:5" x14ac:dyDescent="0.2">
      <c r="A1247" t="s">
        <v>3723</v>
      </c>
      <c r="B1247" t="s">
        <v>3724</v>
      </c>
      <c r="C1247" t="s">
        <v>3724</v>
      </c>
      <c r="D1247" t="str">
        <f>HYPERLINK("https://zfin.org/ZDB-GENE-060825-345")</f>
        <v>https://zfin.org/ZDB-GENE-060825-345</v>
      </c>
      <c r="E1247" t="s">
        <v>3725</v>
      </c>
    </row>
    <row r="1248" spans="1:5" x14ac:dyDescent="0.2">
      <c r="A1248" t="s">
        <v>3726</v>
      </c>
      <c r="B1248" t="s">
        <v>3727</v>
      </c>
      <c r="C1248" t="s">
        <v>3727</v>
      </c>
      <c r="D1248" t="str">
        <f>HYPERLINK("https://zfin.org/ZDB-GENE-070713-4")</f>
        <v>https://zfin.org/ZDB-GENE-070713-4</v>
      </c>
      <c r="E1248" t="s">
        <v>3728</v>
      </c>
    </row>
    <row r="1249" spans="1:5" x14ac:dyDescent="0.2">
      <c r="A1249" t="s">
        <v>3729</v>
      </c>
      <c r="B1249" t="s">
        <v>3730</v>
      </c>
      <c r="C1249" t="s">
        <v>3730</v>
      </c>
      <c r="D1249" t="str">
        <f>HYPERLINK("https://zfin.org/ZDB-GENE-130214-2")</f>
        <v>https://zfin.org/ZDB-GENE-130214-2</v>
      </c>
      <c r="E1249" t="s">
        <v>3731</v>
      </c>
    </row>
    <row r="1250" spans="1:5" x14ac:dyDescent="0.2">
      <c r="A1250" t="s">
        <v>3732</v>
      </c>
      <c r="B1250" t="s">
        <v>3733</v>
      </c>
      <c r="C1250" t="s">
        <v>3733</v>
      </c>
      <c r="D1250" t="str">
        <f>HYPERLINK("https://zfin.org/ZDB-GENE-050512-2")</f>
        <v>https://zfin.org/ZDB-GENE-050512-2</v>
      </c>
      <c r="E1250" t="s">
        <v>3734</v>
      </c>
    </row>
    <row r="1251" spans="1:5" x14ac:dyDescent="0.2">
      <c r="A1251" t="s">
        <v>3735</v>
      </c>
      <c r="B1251" t="s">
        <v>3736</v>
      </c>
      <c r="C1251" t="s">
        <v>3736</v>
      </c>
      <c r="D1251" t="str">
        <f>HYPERLINK("https://zfin.org/")</f>
        <v>https://zfin.org/</v>
      </c>
    </row>
    <row r="1252" spans="1:5" x14ac:dyDescent="0.2">
      <c r="A1252" t="s">
        <v>3737</v>
      </c>
      <c r="B1252" t="s">
        <v>3738</v>
      </c>
      <c r="C1252" t="s">
        <v>3738</v>
      </c>
      <c r="D1252" t="str">
        <f>HYPERLINK("https://zfin.org/ZDB-GENE-051113-228")</f>
        <v>https://zfin.org/ZDB-GENE-051113-228</v>
      </c>
      <c r="E1252" t="s">
        <v>3739</v>
      </c>
    </row>
    <row r="1253" spans="1:5" x14ac:dyDescent="0.2">
      <c r="A1253" t="s">
        <v>3740</v>
      </c>
      <c r="B1253" t="s">
        <v>3741</v>
      </c>
      <c r="C1253" t="s">
        <v>3741</v>
      </c>
      <c r="D1253" t="str">
        <f>HYPERLINK("https://zfin.org/ZDB-GENE-081103-8")</f>
        <v>https://zfin.org/ZDB-GENE-081103-8</v>
      </c>
      <c r="E1253" t="s">
        <v>3742</v>
      </c>
    </row>
    <row r="1254" spans="1:5" x14ac:dyDescent="0.2">
      <c r="A1254" t="s">
        <v>3743</v>
      </c>
      <c r="B1254" t="s">
        <v>3744</v>
      </c>
      <c r="C1254" t="s">
        <v>3744</v>
      </c>
      <c r="D1254" t="str">
        <f>HYPERLINK("https://zfin.org/ZDB-GENE-050208-480")</f>
        <v>https://zfin.org/ZDB-GENE-050208-480</v>
      </c>
      <c r="E1254" t="s">
        <v>3745</v>
      </c>
    </row>
    <row r="1255" spans="1:5" x14ac:dyDescent="0.2">
      <c r="A1255" t="s">
        <v>3746</v>
      </c>
      <c r="B1255" t="s">
        <v>3747</v>
      </c>
      <c r="C1255" t="s">
        <v>3747</v>
      </c>
      <c r="D1255" t="str">
        <f>HYPERLINK("https://zfin.org/ZDB-GENE-000619-1")</f>
        <v>https://zfin.org/ZDB-GENE-000619-1</v>
      </c>
      <c r="E1255" t="s">
        <v>3748</v>
      </c>
    </row>
    <row r="1256" spans="1:5" x14ac:dyDescent="0.2">
      <c r="A1256" t="s">
        <v>3749</v>
      </c>
      <c r="B1256" t="s">
        <v>3750</v>
      </c>
      <c r="C1256" t="s">
        <v>3750</v>
      </c>
      <c r="D1256" t="str">
        <f>HYPERLINK("https://zfin.org/ZDB-GENE-030131-9075")</f>
        <v>https://zfin.org/ZDB-GENE-030131-9075</v>
      </c>
      <c r="E1256" t="s">
        <v>3751</v>
      </c>
    </row>
    <row r="1257" spans="1:5" x14ac:dyDescent="0.2">
      <c r="A1257" t="s">
        <v>3752</v>
      </c>
      <c r="B1257" t="s">
        <v>3753</v>
      </c>
      <c r="C1257" t="s">
        <v>3753</v>
      </c>
      <c r="D1257" t="str">
        <f>HYPERLINK("https://zfin.org/ZDB-GENE-041114-68")</f>
        <v>https://zfin.org/ZDB-GENE-041114-68</v>
      </c>
      <c r="E1257" t="s">
        <v>3754</v>
      </c>
    </row>
    <row r="1258" spans="1:5" x14ac:dyDescent="0.2">
      <c r="A1258" t="s">
        <v>3755</v>
      </c>
      <c r="B1258" t="s">
        <v>3756</v>
      </c>
      <c r="C1258" t="s">
        <v>3756</v>
      </c>
      <c r="D1258" t="str">
        <f>HYPERLINK("https://zfin.org/ZDB-GENE-090313-222")</f>
        <v>https://zfin.org/ZDB-GENE-090313-222</v>
      </c>
      <c r="E1258" t="s">
        <v>3757</v>
      </c>
    </row>
    <row r="1259" spans="1:5" x14ac:dyDescent="0.2">
      <c r="A1259" t="s">
        <v>3758</v>
      </c>
      <c r="B1259" t="s">
        <v>3736</v>
      </c>
      <c r="C1259" t="s">
        <v>3759</v>
      </c>
      <c r="D1259" t="str">
        <f>HYPERLINK("https://zfin.org/ZDB-GENE-030131-2249")</f>
        <v>https://zfin.org/ZDB-GENE-030131-2249</v>
      </c>
      <c r="E1259" t="s">
        <v>3760</v>
      </c>
    </row>
    <row r="1260" spans="1:5" x14ac:dyDescent="0.2">
      <c r="A1260" t="s">
        <v>3761</v>
      </c>
      <c r="B1260" t="s">
        <v>3762</v>
      </c>
      <c r="C1260" t="s">
        <v>3762</v>
      </c>
      <c r="D1260" t="str">
        <f>HYPERLINK("https://zfin.org/ZDB-GENE-040426-2204")</f>
        <v>https://zfin.org/ZDB-GENE-040426-2204</v>
      </c>
      <c r="E1260" t="s">
        <v>3763</v>
      </c>
    </row>
    <row r="1261" spans="1:5" x14ac:dyDescent="0.2">
      <c r="A1261" t="s">
        <v>3764</v>
      </c>
      <c r="B1261" t="s">
        <v>3765</v>
      </c>
      <c r="C1261" t="s">
        <v>3765</v>
      </c>
      <c r="D1261" t="str">
        <f>HYPERLINK("https://zfin.org/ZDB-GENE-030131-5132")</f>
        <v>https://zfin.org/ZDB-GENE-030131-5132</v>
      </c>
      <c r="E1261" t="s">
        <v>3766</v>
      </c>
    </row>
    <row r="1262" spans="1:5" x14ac:dyDescent="0.2">
      <c r="A1262" t="s">
        <v>3767</v>
      </c>
      <c r="B1262" t="s">
        <v>3768</v>
      </c>
      <c r="C1262" t="s">
        <v>3768</v>
      </c>
      <c r="D1262" t="str">
        <f>HYPERLINK("https://zfin.org/ZDB-GENE-040426-1756")</f>
        <v>https://zfin.org/ZDB-GENE-040426-1756</v>
      </c>
      <c r="E1262" t="s">
        <v>3769</v>
      </c>
    </row>
    <row r="1263" spans="1:5" x14ac:dyDescent="0.2">
      <c r="A1263" t="s">
        <v>3770</v>
      </c>
      <c r="B1263" t="s">
        <v>3771</v>
      </c>
      <c r="C1263" t="s">
        <v>3771</v>
      </c>
      <c r="D1263" t="str">
        <f>HYPERLINK("https://zfin.org/ZDB-GENE-141216-485")</f>
        <v>https://zfin.org/ZDB-GENE-141216-485</v>
      </c>
      <c r="E1263" t="s">
        <v>3772</v>
      </c>
    </row>
    <row r="1264" spans="1:5" x14ac:dyDescent="0.2">
      <c r="A1264" t="s">
        <v>3773</v>
      </c>
      <c r="B1264" t="s">
        <v>625</v>
      </c>
      <c r="C1264" t="s">
        <v>3774</v>
      </c>
      <c r="D1264" t="str">
        <f>HYPERLINK("https://zfin.org/ZDB-GENE-160113-100")</f>
        <v>https://zfin.org/ZDB-GENE-160113-100</v>
      </c>
      <c r="E1264" t="s">
        <v>3775</v>
      </c>
    </row>
    <row r="1265" spans="1:5" x14ac:dyDescent="0.2">
      <c r="A1265" t="s">
        <v>3776</v>
      </c>
      <c r="B1265" t="s">
        <v>3777</v>
      </c>
      <c r="C1265" t="s">
        <v>3777</v>
      </c>
      <c r="D1265" t="str">
        <f>HYPERLINK("https://zfin.org/ZDB-GENE-061009-48")</f>
        <v>https://zfin.org/ZDB-GENE-061009-48</v>
      </c>
      <c r="E1265" t="s">
        <v>3778</v>
      </c>
    </row>
    <row r="1266" spans="1:5" x14ac:dyDescent="0.2">
      <c r="A1266" t="s">
        <v>3779</v>
      </c>
      <c r="B1266" t="s">
        <v>3780</v>
      </c>
      <c r="C1266" t="s">
        <v>3780</v>
      </c>
      <c r="D1266" t="str">
        <f>HYPERLINK("https://zfin.org/ZDB-GENE-030131-1046")</f>
        <v>https://zfin.org/ZDB-GENE-030131-1046</v>
      </c>
      <c r="E1266" t="s">
        <v>3781</v>
      </c>
    </row>
    <row r="1267" spans="1:5" x14ac:dyDescent="0.2">
      <c r="A1267" t="s">
        <v>3782</v>
      </c>
      <c r="B1267" t="s">
        <v>3783</v>
      </c>
      <c r="C1267" t="s">
        <v>3783</v>
      </c>
      <c r="D1267" t="str">
        <f>HYPERLINK("https://zfin.org/ZDB-GENE-120203-4")</f>
        <v>https://zfin.org/ZDB-GENE-120203-4</v>
      </c>
      <c r="E1267" t="s">
        <v>3784</v>
      </c>
    </row>
    <row r="1268" spans="1:5" x14ac:dyDescent="0.2">
      <c r="A1268" t="s">
        <v>3785</v>
      </c>
      <c r="B1268" t="s">
        <v>3786</v>
      </c>
      <c r="C1268" t="s">
        <v>3786</v>
      </c>
      <c r="D1268" t="str">
        <f>HYPERLINK("https://zfin.org/ZDB-GENE-070410-141")</f>
        <v>https://zfin.org/ZDB-GENE-070410-141</v>
      </c>
      <c r="E1268" t="s">
        <v>3787</v>
      </c>
    </row>
    <row r="1269" spans="1:5" x14ac:dyDescent="0.2">
      <c r="A1269" t="s">
        <v>3788</v>
      </c>
      <c r="B1269" t="s">
        <v>3789</v>
      </c>
      <c r="C1269" t="s">
        <v>3789</v>
      </c>
      <c r="D1269" t="str">
        <f>HYPERLINK("https://zfin.org/ZDB-GENE-020513-1")</f>
        <v>https://zfin.org/ZDB-GENE-020513-1</v>
      </c>
      <c r="E1269" t="s">
        <v>3790</v>
      </c>
    </row>
    <row r="1270" spans="1:5" x14ac:dyDescent="0.2">
      <c r="A1270" t="s">
        <v>3791</v>
      </c>
      <c r="B1270" t="s">
        <v>3792</v>
      </c>
      <c r="C1270" t="s">
        <v>3792</v>
      </c>
      <c r="D1270" t="str">
        <f>HYPERLINK("https://zfin.org/ZDB-GENE-050113-1")</f>
        <v>https://zfin.org/ZDB-GENE-050113-1</v>
      </c>
      <c r="E1270" t="s">
        <v>3793</v>
      </c>
    </row>
    <row r="1271" spans="1:5" x14ac:dyDescent="0.2">
      <c r="A1271" t="s">
        <v>3794</v>
      </c>
      <c r="B1271" t="s">
        <v>3795</v>
      </c>
      <c r="C1271" t="s">
        <v>3795</v>
      </c>
      <c r="D1271" t="str">
        <f>HYPERLINK("https://zfin.org/ZDB-GENE-030131-4913")</f>
        <v>https://zfin.org/ZDB-GENE-030131-4913</v>
      </c>
      <c r="E1271" t="s">
        <v>3796</v>
      </c>
    </row>
    <row r="1272" spans="1:5" x14ac:dyDescent="0.2">
      <c r="A1272" t="s">
        <v>3797</v>
      </c>
      <c r="B1272" t="s">
        <v>3798</v>
      </c>
      <c r="C1272" t="s">
        <v>3798</v>
      </c>
      <c r="D1272" t="str">
        <f>HYPERLINK("https://zfin.org/ZDB-GENE-061103-283")</f>
        <v>https://zfin.org/ZDB-GENE-061103-283</v>
      </c>
      <c r="E1272" t="s">
        <v>3799</v>
      </c>
    </row>
    <row r="1273" spans="1:5" x14ac:dyDescent="0.2">
      <c r="A1273" t="s">
        <v>3800</v>
      </c>
      <c r="B1273" t="s">
        <v>3801</v>
      </c>
      <c r="C1273" t="s">
        <v>3801</v>
      </c>
      <c r="D1273" t="str">
        <f>HYPERLINK("https://zfin.org/ZDB-GENE-061013-572")</f>
        <v>https://zfin.org/ZDB-GENE-061013-572</v>
      </c>
      <c r="E1273" t="s">
        <v>3802</v>
      </c>
    </row>
    <row r="1274" spans="1:5" x14ac:dyDescent="0.2">
      <c r="A1274" t="s">
        <v>3803</v>
      </c>
      <c r="B1274" t="s">
        <v>3804</v>
      </c>
      <c r="C1274" t="s">
        <v>3804</v>
      </c>
      <c r="D1274" t="str">
        <f>HYPERLINK("https://zfin.org/ZDB-GENE-070912-448")</f>
        <v>https://zfin.org/ZDB-GENE-070912-448</v>
      </c>
      <c r="E1274" t="s">
        <v>3805</v>
      </c>
    </row>
    <row r="1275" spans="1:5" x14ac:dyDescent="0.2">
      <c r="A1275" t="s">
        <v>3806</v>
      </c>
      <c r="B1275" t="s">
        <v>3807</v>
      </c>
      <c r="C1275" t="s">
        <v>3807</v>
      </c>
      <c r="D1275" t="str">
        <f>HYPERLINK("https://zfin.org/ZDB-GENE-040724-90")</f>
        <v>https://zfin.org/ZDB-GENE-040724-90</v>
      </c>
      <c r="E1275" t="s">
        <v>3808</v>
      </c>
    </row>
    <row r="1276" spans="1:5" x14ac:dyDescent="0.2">
      <c r="A1276" t="s">
        <v>3809</v>
      </c>
      <c r="B1276" t="s">
        <v>3810</v>
      </c>
      <c r="C1276" t="s">
        <v>3810</v>
      </c>
      <c r="D1276" t="str">
        <f>HYPERLINK("https://zfin.org/ZDB-GENE-040801-119")</f>
        <v>https://zfin.org/ZDB-GENE-040801-119</v>
      </c>
      <c r="E1276" t="s">
        <v>3811</v>
      </c>
    </row>
    <row r="1277" spans="1:5" x14ac:dyDescent="0.2">
      <c r="A1277" t="s">
        <v>3812</v>
      </c>
      <c r="B1277" t="s">
        <v>3813</v>
      </c>
      <c r="C1277" t="s">
        <v>3813</v>
      </c>
      <c r="D1277" t="str">
        <f>HYPERLINK("https://zfin.org/ZDB-GENE-040724-230")</f>
        <v>https://zfin.org/ZDB-GENE-040724-230</v>
      </c>
      <c r="E1277" t="s">
        <v>3814</v>
      </c>
    </row>
    <row r="1278" spans="1:5" x14ac:dyDescent="0.2">
      <c r="A1278" t="s">
        <v>3815</v>
      </c>
      <c r="B1278" t="s">
        <v>3816</v>
      </c>
      <c r="C1278" t="s">
        <v>3816</v>
      </c>
      <c r="D1278" t="str">
        <f>HYPERLINK("https://zfin.org/ZDB-GENE-090311-24")</f>
        <v>https://zfin.org/ZDB-GENE-090311-24</v>
      </c>
      <c r="E1278" t="s">
        <v>3817</v>
      </c>
    </row>
    <row r="1279" spans="1:5" x14ac:dyDescent="0.2">
      <c r="A1279" t="s">
        <v>3818</v>
      </c>
      <c r="B1279" t="s">
        <v>3819</v>
      </c>
      <c r="C1279" t="s">
        <v>3819</v>
      </c>
      <c r="D1279" t="str">
        <f>HYPERLINK("https://zfin.org/ZDB-GENE-121214-254")</f>
        <v>https://zfin.org/ZDB-GENE-121214-254</v>
      </c>
      <c r="E1279" t="s">
        <v>3820</v>
      </c>
    </row>
    <row r="1280" spans="1:5" x14ac:dyDescent="0.2">
      <c r="A1280" t="s">
        <v>3821</v>
      </c>
      <c r="B1280" t="s">
        <v>3822</v>
      </c>
      <c r="C1280" t="s">
        <v>3822</v>
      </c>
      <c r="D1280" t="str">
        <f>HYPERLINK("https://zfin.org/ZDB-GENE-051113-128")</f>
        <v>https://zfin.org/ZDB-GENE-051113-128</v>
      </c>
      <c r="E1280" t="s">
        <v>3823</v>
      </c>
    </row>
    <row r="1281" spans="1:5" x14ac:dyDescent="0.2">
      <c r="A1281" t="s">
        <v>3824</v>
      </c>
      <c r="B1281" t="s">
        <v>3825</v>
      </c>
      <c r="C1281" t="s">
        <v>3825</v>
      </c>
      <c r="D1281" t="str">
        <f>HYPERLINK("https://zfin.org/ZDB-GENE-050913-4")</f>
        <v>https://zfin.org/ZDB-GENE-050913-4</v>
      </c>
      <c r="E1281" t="s">
        <v>3826</v>
      </c>
    </row>
    <row r="1282" spans="1:5" x14ac:dyDescent="0.2">
      <c r="A1282" t="s">
        <v>3827</v>
      </c>
      <c r="B1282" t="s">
        <v>3828</v>
      </c>
      <c r="C1282" t="s">
        <v>3828</v>
      </c>
      <c r="D1282" t="str">
        <f>HYPERLINK("https://zfin.org/ZDB-GENE-041102-1")</f>
        <v>https://zfin.org/ZDB-GENE-041102-1</v>
      </c>
      <c r="E1282" t="s">
        <v>3829</v>
      </c>
    </row>
    <row r="1283" spans="1:5" x14ac:dyDescent="0.2">
      <c r="A1283" t="s">
        <v>3830</v>
      </c>
      <c r="B1283" t="s">
        <v>3831</v>
      </c>
      <c r="C1283" t="s">
        <v>3831</v>
      </c>
      <c r="D1283" t="str">
        <f>HYPERLINK("https://zfin.org/ZDB-GENE-070618-1")</f>
        <v>https://zfin.org/ZDB-GENE-070618-1</v>
      </c>
      <c r="E1283" t="s">
        <v>3832</v>
      </c>
    </row>
    <row r="1284" spans="1:5" x14ac:dyDescent="0.2">
      <c r="A1284" t="s">
        <v>3833</v>
      </c>
      <c r="B1284" t="s">
        <v>3834</v>
      </c>
      <c r="C1284" t="s">
        <v>3834</v>
      </c>
      <c r="D1284" t="str">
        <f>HYPERLINK("https://zfin.org/ZDB-GENE-040426-2467")</f>
        <v>https://zfin.org/ZDB-GENE-040426-2467</v>
      </c>
      <c r="E1284" t="s">
        <v>3835</v>
      </c>
    </row>
    <row r="1285" spans="1:5" x14ac:dyDescent="0.2">
      <c r="A1285" t="s">
        <v>3836</v>
      </c>
      <c r="B1285" t="s">
        <v>3837</v>
      </c>
      <c r="C1285" t="s">
        <v>3837</v>
      </c>
      <c r="D1285" t="str">
        <f>HYPERLINK("https://zfin.org/ZDB-GENE-070228-6")</f>
        <v>https://zfin.org/ZDB-GENE-070228-6</v>
      </c>
      <c r="E1285" t="s">
        <v>3838</v>
      </c>
    </row>
    <row r="1286" spans="1:5" x14ac:dyDescent="0.2">
      <c r="A1286" t="s">
        <v>3839</v>
      </c>
      <c r="B1286" t="s">
        <v>3840</v>
      </c>
      <c r="C1286" t="s">
        <v>3840</v>
      </c>
      <c r="D1286" t="str">
        <f>HYPERLINK("https://zfin.org/ZDB-GENE-010508-1")</f>
        <v>https://zfin.org/ZDB-GENE-010508-1</v>
      </c>
      <c r="E1286" t="s">
        <v>3841</v>
      </c>
    </row>
    <row r="1287" spans="1:5" x14ac:dyDescent="0.2">
      <c r="A1287" t="s">
        <v>3842</v>
      </c>
      <c r="B1287" t="s">
        <v>3843</v>
      </c>
      <c r="C1287" t="s">
        <v>3843</v>
      </c>
      <c r="D1287" t="str">
        <f>HYPERLINK("https://zfin.org/ZDB-GENE-060524-4")</f>
        <v>https://zfin.org/ZDB-GENE-060524-4</v>
      </c>
      <c r="E1287" t="s">
        <v>3844</v>
      </c>
    </row>
    <row r="1288" spans="1:5" x14ac:dyDescent="0.2">
      <c r="A1288" t="s">
        <v>3845</v>
      </c>
      <c r="B1288" t="s">
        <v>3846</v>
      </c>
      <c r="C1288" t="s">
        <v>3846</v>
      </c>
      <c r="D1288" t="str">
        <f>HYPERLINK("https://zfin.org/ZDB-GENE-031113-8")</f>
        <v>https://zfin.org/ZDB-GENE-031113-8</v>
      </c>
      <c r="E1288" t="s">
        <v>3847</v>
      </c>
    </row>
    <row r="1289" spans="1:5" x14ac:dyDescent="0.2">
      <c r="A1289" t="s">
        <v>3848</v>
      </c>
      <c r="B1289" t="s">
        <v>3849</v>
      </c>
      <c r="C1289" t="s">
        <v>3849</v>
      </c>
      <c r="D1289" t="str">
        <f>HYPERLINK("https://zfin.org/ZDB-GENE-031125-3")</f>
        <v>https://zfin.org/ZDB-GENE-031125-3</v>
      </c>
      <c r="E1289" t="s">
        <v>3850</v>
      </c>
    </row>
    <row r="1290" spans="1:5" x14ac:dyDescent="0.2">
      <c r="A1290" t="s">
        <v>3851</v>
      </c>
      <c r="B1290" t="s">
        <v>3852</v>
      </c>
      <c r="C1290" t="s">
        <v>3852</v>
      </c>
      <c r="D1290" t="str">
        <f>HYPERLINK("https://zfin.org/")</f>
        <v>https://zfin.org/</v>
      </c>
      <c r="E1290" t="s">
        <v>3853</v>
      </c>
    </row>
    <row r="1291" spans="1:5" x14ac:dyDescent="0.2">
      <c r="A1291" t="s">
        <v>3854</v>
      </c>
      <c r="B1291" t="s">
        <v>3855</v>
      </c>
      <c r="C1291" t="s">
        <v>3855</v>
      </c>
      <c r="D1291" t="str">
        <f>HYPERLINK("https://zfin.org/ZDB-GENE-030131-6334")</f>
        <v>https://zfin.org/ZDB-GENE-030131-6334</v>
      </c>
      <c r="E1291" t="s">
        <v>3856</v>
      </c>
    </row>
    <row r="1292" spans="1:5" x14ac:dyDescent="0.2">
      <c r="A1292" t="s">
        <v>3857</v>
      </c>
      <c r="B1292" t="s">
        <v>3858</v>
      </c>
      <c r="C1292" t="s">
        <v>3858</v>
      </c>
      <c r="D1292" t="str">
        <f>HYPERLINK("https://zfin.org/ZDB-GENE-131127-464")</f>
        <v>https://zfin.org/ZDB-GENE-131127-464</v>
      </c>
      <c r="E1292" t="s">
        <v>3859</v>
      </c>
    </row>
    <row r="1293" spans="1:5" x14ac:dyDescent="0.2">
      <c r="A1293" t="s">
        <v>3860</v>
      </c>
      <c r="B1293" t="s">
        <v>3861</v>
      </c>
      <c r="C1293" t="s">
        <v>3861</v>
      </c>
      <c r="D1293" t="str">
        <f>HYPERLINK("https://zfin.org/")</f>
        <v>https://zfin.org/</v>
      </c>
    </row>
    <row r="1294" spans="1:5" x14ac:dyDescent="0.2">
      <c r="A1294" t="s">
        <v>3862</v>
      </c>
      <c r="B1294" t="s">
        <v>3863</v>
      </c>
      <c r="C1294" t="s">
        <v>3863</v>
      </c>
      <c r="D1294" t="str">
        <f>HYPERLINK("https://zfin.org/ZDB-GENE-110914-70")</f>
        <v>https://zfin.org/ZDB-GENE-110914-70</v>
      </c>
      <c r="E1294" t="s">
        <v>3864</v>
      </c>
    </row>
    <row r="1295" spans="1:5" x14ac:dyDescent="0.2">
      <c r="A1295" t="s">
        <v>3865</v>
      </c>
      <c r="B1295" t="s">
        <v>3866</v>
      </c>
      <c r="C1295" t="s">
        <v>3866</v>
      </c>
      <c r="D1295" t="str">
        <f>HYPERLINK("https://zfin.org/ZDB-GENE-141222-46")</f>
        <v>https://zfin.org/ZDB-GENE-141222-46</v>
      </c>
      <c r="E1295" t="s">
        <v>3867</v>
      </c>
    </row>
    <row r="1296" spans="1:5" x14ac:dyDescent="0.2">
      <c r="A1296" t="s">
        <v>3868</v>
      </c>
      <c r="B1296" t="s">
        <v>3869</v>
      </c>
      <c r="C1296" t="s">
        <v>3869</v>
      </c>
      <c r="D1296" t="str">
        <f>HYPERLINK("https://zfin.org/ZDB-GENE-070912-285")</f>
        <v>https://zfin.org/ZDB-GENE-070912-285</v>
      </c>
      <c r="E1296" t="s">
        <v>3870</v>
      </c>
    </row>
    <row r="1297" spans="1:5" x14ac:dyDescent="0.2">
      <c r="A1297" t="s">
        <v>3871</v>
      </c>
      <c r="B1297" t="s">
        <v>3872</v>
      </c>
      <c r="C1297" t="s">
        <v>3872</v>
      </c>
      <c r="D1297" t="str">
        <f>HYPERLINK("https://zfin.org/ZDB-GENE-040426-2857")</f>
        <v>https://zfin.org/ZDB-GENE-040426-2857</v>
      </c>
      <c r="E1297" t="s">
        <v>3873</v>
      </c>
    </row>
    <row r="1298" spans="1:5" x14ac:dyDescent="0.2">
      <c r="A1298" t="s">
        <v>3874</v>
      </c>
      <c r="B1298" t="s">
        <v>3777</v>
      </c>
      <c r="C1298" t="s">
        <v>3875</v>
      </c>
      <c r="D1298" t="str">
        <f>HYPERLINK("https://zfin.org/ZDB-GENE-061009-48")</f>
        <v>https://zfin.org/ZDB-GENE-061009-48</v>
      </c>
      <c r="E1298" t="s">
        <v>3778</v>
      </c>
    </row>
    <row r="1299" spans="1:5" x14ac:dyDescent="0.2">
      <c r="A1299" t="s">
        <v>3876</v>
      </c>
      <c r="B1299" t="s">
        <v>3877</v>
      </c>
      <c r="C1299" t="s">
        <v>3877</v>
      </c>
      <c r="D1299" t="str">
        <f>HYPERLINK("https://zfin.org/ZDB-GENE-070912-286")</f>
        <v>https://zfin.org/ZDB-GENE-070912-286</v>
      </c>
      <c r="E1299" t="s">
        <v>3878</v>
      </c>
    </row>
    <row r="1300" spans="1:5" x14ac:dyDescent="0.2">
      <c r="A1300" t="s">
        <v>3879</v>
      </c>
      <c r="B1300" t="s">
        <v>3880</v>
      </c>
      <c r="C1300" t="s">
        <v>3880</v>
      </c>
      <c r="D1300" t="str">
        <f>HYPERLINK("https://zfin.org/ZDB-GENE-050306-32")</f>
        <v>https://zfin.org/ZDB-GENE-050306-32</v>
      </c>
      <c r="E1300" t="s">
        <v>3881</v>
      </c>
    </row>
    <row r="1301" spans="1:5" x14ac:dyDescent="0.2">
      <c r="A1301" t="s">
        <v>3882</v>
      </c>
      <c r="B1301" t="s">
        <v>3883</v>
      </c>
      <c r="C1301" t="s">
        <v>3883</v>
      </c>
      <c r="D1301" t="str">
        <f>HYPERLINK("https://zfin.org/ZDB-GENE-041010-41")</f>
        <v>https://zfin.org/ZDB-GENE-041010-41</v>
      </c>
      <c r="E1301" t="s">
        <v>3884</v>
      </c>
    </row>
    <row r="1302" spans="1:5" x14ac:dyDescent="0.2">
      <c r="A1302" t="s">
        <v>3885</v>
      </c>
      <c r="B1302" t="s">
        <v>3886</v>
      </c>
      <c r="C1302" t="s">
        <v>3886</v>
      </c>
      <c r="D1302" t="str">
        <f>HYPERLINK("https://zfin.org/ZDB-GENE-051113-112")</f>
        <v>https://zfin.org/ZDB-GENE-051113-112</v>
      </c>
      <c r="E1302" t="s">
        <v>3887</v>
      </c>
    </row>
    <row r="1303" spans="1:5" x14ac:dyDescent="0.2">
      <c r="A1303" t="s">
        <v>3888</v>
      </c>
      <c r="B1303" t="s">
        <v>3889</v>
      </c>
      <c r="C1303" t="s">
        <v>3889</v>
      </c>
      <c r="D1303" t="str">
        <f>HYPERLINK("https://zfin.org/ZDB-GENE-030131-1988")</f>
        <v>https://zfin.org/ZDB-GENE-030131-1988</v>
      </c>
      <c r="E1303" t="s">
        <v>3890</v>
      </c>
    </row>
    <row r="1304" spans="1:5" x14ac:dyDescent="0.2">
      <c r="A1304" t="s">
        <v>3891</v>
      </c>
      <c r="B1304" t="s">
        <v>3892</v>
      </c>
      <c r="C1304" t="s">
        <v>3892</v>
      </c>
      <c r="D1304" t="str">
        <f>HYPERLINK("https://zfin.org/ZDB-GENE-081107-36")</f>
        <v>https://zfin.org/ZDB-GENE-081107-36</v>
      </c>
      <c r="E1304" t="s">
        <v>3893</v>
      </c>
    </row>
    <row r="1305" spans="1:5" x14ac:dyDescent="0.2">
      <c r="A1305" t="s">
        <v>3894</v>
      </c>
      <c r="B1305" t="s">
        <v>3895</v>
      </c>
      <c r="C1305" t="s">
        <v>3895</v>
      </c>
      <c r="D1305" t="str">
        <f>HYPERLINK("https://zfin.org/ZDB-GENE-040426-2571")</f>
        <v>https://zfin.org/ZDB-GENE-040426-2571</v>
      </c>
      <c r="E1305" t="s">
        <v>3896</v>
      </c>
    </row>
    <row r="1306" spans="1:5" x14ac:dyDescent="0.2">
      <c r="A1306" t="s">
        <v>3897</v>
      </c>
      <c r="B1306" t="s">
        <v>3898</v>
      </c>
      <c r="C1306" t="s">
        <v>3898</v>
      </c>
      <c r="D1306" t="str">
        <f>HYPERLINK("https://zfin.org/ZDB-GENE-040426-1490")</f>
        <v>https://zfin.org/ZDB-GENE-040426-1490</v>
      </c>
      <c r="E1306" t="s">
        <v>3899</v>
      </c>
    </row>
    <row r="1307" spans="1:5" x14ac:dyDescent="0.2">
      <c r="A1307" t="s">
        <v>3900</v>
      </c>
      <c r="B1307" t="s">
        <v>3901</v>
      </c>
      <c r="C1307" t="s">
        <v>3901</v>
      </c>
      <c r="D1307" t="str">
        <f>HYPERLINK("https://zfin.org/ZDB-GENE-041114-40")</f>
        <v>https://zfin.org/ZDB-GENE-041114-40</v>
      </c>
      <c r="E1307" t="s">
        <v>3902</v>
      </c>
    </row>
    <row r="1308" spans="1:5" x14ac:dyDescent="0.2">
      <c r="A1308" t="s">
        <v>3903</v>
      </c>
      <c r="B1308" t="s">
        <v>3904</v>
      </c>
      <c r="C1308" t="s">
        <v>3904</v>
      </c>
      <c r="D1308" t="str">
        <f>HYPERLINK("https://zfin.org/ZDB-GENE-040526-1")</f>
        <v>https://zfin.org/ZDB-GENE-040526-1</v>
      </c>
      <c r="E1308" t="s">
        <v>3905</v>
      </c>
    </row>
    <row r="1309" spans="1:5" x14ac:dyDescent="0.2">
      <c r="A1309" t="s">
        <v>3906</v>
      </c>
      <c r="B1309" t="s">
        <v>3907</v>
      </c>
      <c r="C1309" t="s">
        <v>3907</v>
      </c>
      <c r="D1309" t="str">
        <f>HYPERLINK("https://zfin.org/ZDB-GENE-040718-121")</f>
        <v>https://zfin.org/ZDB-GENE-040718-121</v>
      </c>
      <c r="E1309" t="s">
        <v>3908</v>
      </c>
    </row>
    <row r="1310" spans="1:5" x14ac:dyDescent="0.2">
      <c r="A1310" t="s">
        <v>3909</v>
      </c>
      <c r="B1310" t="s">
        <v>3910</v>
      </c>
      <c r="C1310" t="s">
        <v>3910</v>
      </c>
      <c r="D1310" t="str">
        <f>HYPERLINK("https://zfin.org/ZDB-GENE-130530-649")</f>
        <v>https://zfin.org/ZDB-GENE-130530-649</v>
      </c>
      <c r="E1310" t="s">
        <v>3911</v>
      </c>
    </row>
    <row r="1311" spans="1:5" x14ac:dyDescent="0.2">
      <c r="A1311" t="s">
        <v>3912</v>
      </c>
      <c r="B1311" t="s">
        <v>3913</v>
      </c>
      <c r="C1311" t="s">
        <v>3913</v>
      </c>
      <c r="D1311" t="str">
        <f>HYPERLINK("https://zfin.org/ZDB-GENE-030131-1426")</f>
        <v>https://zfin.org/ZDB-GENE-030131-1426</v>
      </c>
      <c r="E1311" t="s">
        <v>3914</v>
      </c>
    </row>
    <row r="1312" spans="1:5" x14ac:dyDescent="0.2">
      <c r="A1312" t="s">
        <v>3915</v>
      </c>
      <c r="B1312" t="s">
        <v>3916</v>
      </c>
      <c r="C1312" t="s">
        <v>3916</v>
      </c>
      <c r="D1312" t="str">
        <f>HYPERLINK("https://zfin.org/ZDB-GENE-060810-77")</f>
        <v>https://zfin.org/ZDB-GENE-060810-77</v>
      </c>
      <c r="E1312" t="s">
        <v>3917</v>
      </c>
    </row>
    <row r="1313" spans="1:5" x14ac:dyDescent="0.2">
      <c r="A1313" t="s">
        <v>3918</v>
      </c>
      <c r="B1313" t="s">
        <v>3919</v>
      </c>
      <c r="C1313" t="s">
        <v>3919</v>
      </c>
      <c r="D1313" t="str">
        <f>HYPERLINK("https://zfin.org/ZDB-GENE-100812-10")</f>
        <v>https://zfin.org/ZDB-GENE-100812-10</v>
      </c>
      <c r="E1313" t="s">
        <v>3920</v>
      </c>
    </row>
    <row r="1314" spans="1:5" x14ac:dyDescent="0.2">
      <c r="A1314" t="s">
        <v>3921</v>
      </c>
      <c r="B1314" t="s">
        <v>3922</v>
      </c>
      <c r="C1314" t="s">
        <v>3922</v>
      </c>
      <c r="D1314" t="str">
        <f>HYPERLINK("https://zfin.org/ZDB-GENE-090313-330")</f>
        <v>https://zfin.org/ZDB-GENE-090313-330</v>
      </c>
      <c r="E1314" t="s">
        <v>3923</v>
      </c>
    </row>
    <row r="1315" spans="1:5" x14ac:dyDescent="0.2">
      <c r="A1315" t="s">
        <v>3924</v>
      </c>
      <c r="B1315" t="s">
        <v>3925</v>
      </c>
      <c r="C1315" t="s">
        <v>3925</v>
      </c>
      <c r="D1315" t="str">
        <f>HYPERLINK("https://zfin.org/ZDB-GENE-041019-1")</f>
        <v>https://zfin.org/ZDB-GENE-041019-1</v>
      </c>
      <c r="E1315" t="s">
        <v>3926</v>
      </c>
    </row>
    <row r="1316" spans="1:5" x14ac:dyDescent="0.2">
      <c r="A1316" t="s">
        <v>3927</v>
      </c>
      <c r="B1316" t="s">
        <v>3928</v>
      </c>
      <c r="C1316" t="s">
        <v>3928</v>
      </c>
      <c r="D1316" t="str">
        <f>HYPERLINK("https://zfin.org/ZDB-GENE-040426-2770")</f>
        <v>https://zfin.org/ZDB-GENE-040426-2770</v>
      </c>
      <c r="E1316" t="s">
        <v>3929</v>
      </c>
    </row>
    <row r="1317" spans="1:5" x14ac:dyDescent="0.2">
      <c r="A1317" t="s">
        <v>3930</v>
      </c>
      <c r="B1317" t="s">
        <v>3931</v>
      </c>
      <c r="C1317" t="s">
        <v>3931</v>
      </c>
      <c r="D1317" t="str">
        <f>HYPERLINK("https://zfin.org/ZDB-GENE-070912-222")</f>
        <v>https://zfin.org/ZDB-GENE-070912-222</v>
      </c>
      <c r="E1317" t="s">
        <v>3932</v>
      </c>
    </row>
    <row r="1318" spans="1:5" x14ac:dyDescent="0.2">
      <c r="A1318" t="s">
        <v>3933</v>
      </c>
      <c r="B1318" t="s">
        <v>3934</v>
      </c>
      <c r="C1318" t="s">
        <v>3934</v>
      </c>
      <c r="D1318" t="str">
        <f>HYPERLINK("https://zfin.org/ZDB-GENE-090312-200")</f>
        <v>https://zfin.org/ZDB-GENE-090312-200</v>
      </c>
      <c r="E1318" t="s">
        <v>3935</v>
      </c>
    </row>
    <row r="1319" spans="1:5" x14ac:dyDescent="0.2">
      <c r="A1319" t="s">
        <v>3936</v>
      </c>
      <c r="B1319" t="s">
        <v>3937</v>
      </c>
      <c r="C1319" t="s">
        <v>3937</v>
      </c>
      <c r="D1319" t="str">
        <f>HYPERLINK("https://zfin.org/ZDB-GENE-080401-3")</f>
        <v>https://zfin.org/ZDB-GENE-080401-3</v>
      </c>
      <c r="E1319" t="s">
        <v>3938</v>
      </c>
    </row>
    <row r="1320" spans="1:5" x14ac:dyDescent="0.2">
      <c r="A1320" t="s">
        <v>3939</v>
      </c>
      <c r="B1320" t="s">
        <v>3940</v>
      </c>
      <c r="C1320" t="s">
        <v>3940</v>
      </c>
      <c r="D1320" t="str">
        <f>HYPERLINK("https://zfin.org/ZDB-GENE-080213-11")</f>
        <v>https://zfin.org/ZDB-GENE-080213-11</v>
      </c>
      <c r="E1320" t="s">
        <v>3941</v>
      </c>
    </row>
    <row r="1321" spans="1:5" x14ac:dyDescent="0.2">
      <c r="A1321" t="s">
        <v>3942</v>
      </c>
      <c r="B1321" t="s">
        <v>3943</v>
      </c>
      <c r="C1321" t="s">
        <v>3943</v>
      </c>
      <c r="D1321" t="str">
        <f>HYPERLINK("https://zfin.org/ZDB-GENE-110913-36")</f>
        <v>https://zfin.org/ZDB-GENE-110913-36</v>
      </c>
      <c r="E1321" t="s">
        <v>3944</v>
      </c>
    </row>
    <row r="1322" spans="1:5" x14ac:dyDescent="0.2">
      <c r="A1322" t="s">
        <v>3945</v>
      </c>
      <c r="B1322" t="s">
        <v>3946</v>
      </c>
      <c r="C1322" t="s">
        <v>3946</v>
      </c>
      <c r="D1322" t="str">
        <f>HYPERLINK("https://zfin.org/ZDB-GENE-110913-170")</f>
        <v>https://zfin.org/ZDB-GENE-110913-170</v>
      </c>
      <c r="E1322" t="s">
        <v>3947</v>
      </c>
    </row>
    <row r="1323" spans="1:5" x14ac:dyDescent="0.2">
      <c r="A1323" t="s">
        <v>3948</v>
      </c>
      <c r="B1323" t="s">
        <v>3949</v>
      </c>
      <c r="C1323" t="s">
        <v>3949</v>
      </c>
      <c r="D1323" t="str">
        <f>HYPERLINK("https://zfin.org/ZDB-GENE-030131-2168")</f>
        <v>https://zfin.org/ZDB-GENE-030131-2168</v>
      </c>
      <c r="E1323" t="s">
        <v>3950</v>
      </c>
    </row>
    <row r="1324" spans="1:5" x14ac:dyDescent="0.2">
      <c r="A1324" t="s">
        <v>3951</v>
      </c>
      <c r="B1324" t="s">
        <v>3952</v>
      </c>
      <c r="C1324" t="s">
        <v>3952</v>
      </c>
      <c r="D1324" t="str">
        <f>HYPERLINK("https://zfin.org/ZDB-GENE-030131-8062")</f>
        <v>https://zfin.org/ZDB-GENE-030131-8062</v>
      </c>
      <c r="E1324" t="s">
        <v>3953</v>
      </c>
    </row>
    <row r="1325" spans="1:5" x14ac:dyDescent="0.2">
      <c r="A1325" t="s">
        <v>3954</v>
      </c>
      <c r="B1325" t="s">
        <v>3955</v>
      </c>
      <c r="C1325" t="s">
        <v>3955</v>
      </c>
      <c r="D1325" t="str">
        <f>HYPERLINK("https://zfin.org/ZDB-GENE-030131-1928")</f>
        <v>https://zfin.org/ZDB-GENE-030131-1928</v>
      </c>
      <c r="E1325" t="s">
        <v>3956</v>
      </c>
    </row>
    <row r="1326" spans="1:5" x14ac:dyDescent="0.2">
      <c r="A1326" t="s">
        <v>3957</v>
      </c>
      <c r="B1326" t="s">
        <v>3958</v>
      </c>
      <c r="C1326" t="s">
        <v>3958</v>
      </c>
      <c r="D1326" t="str">
        <f>HYPERLINK("https://zfin.org/ZDB-GENE-050522-13")</f>
        <v>https://zfin.org/ZDB-GENE-050522-13</v>
      </c>
      <c r="E1326" t="s">
        <v>3959</v>
      </c>
    </row>
    <row r="1327" spans="1:5" x14ac:dyDescent="0.2">
      <c r="A1327" t="s">
        <v>3960</v>
      </c>
      <c r="B1327" t="s">
        <v>3961</v>
      </c>
      <c r="C1327" t="s">
        <v>3961</v>
      </c>
      <c r="D1327" t="str">
        <f>HYPERLINK("https://zfin.org/ZDB-GENE-040608-1")</f>
        <v>https://zfin.org/ZDB-GENE-040608-1</v>
      </c>
      <c r="E1327" t="s">
        <v>3962</v>
      </c>
    </row>
    <row r="1328" spans="1:5" x14ac:dyDescent="0.2">
      <c r="A1328" t="s">
        <v>3963</v>
      </c>
      <c r="B1328" t="s">
        <v>3964</v>
      </c>
      <c r="C1328" t="s">
        <v>3964</v>
      </c>
      <c r="D1328" t="str">
        <f>HYPERLINK("https://zfin.org/ZDB-GENE-060929-1182")</f>
        <v>https://zfin.org/ZDB-GENE-060929-1182</v>
      </c>
      <c r="E1328" t="s">
        <v>3965</v>
      </c>
    </row>
    <row r="1329" spans="1:5" x14ac:dyDescent="0.2">
      <c r="A1329" t="s">
        <v>3966</v>
      </c>
      <c r="B1329" t="s">
        <v>3967</v>
      </c>
      <c r="C1329" t="s">
        <v>3967</v>
      </c>
      <c r="D1329" t="str">
        <f>HYPERLINK("https://zfin.org/ZDB-GENE-030131-727")</f>
        <v>https://zfin.org/ZDB-GENE-030131-727</v>
      </c>
      <c r="E1329" t="s">
        <v>3968</v>
      </c>
    </row>
    <row r="1330" spans="1:5" x14ac:dyDescent="0.2">
      <c r="A1330" t="s">
        <v>3969</v>
      </c>
      <c r="B1330" t="s">
        <v>3970</v>
      </c>
      <c r="C1330" t="s">
        <v>3970</v>
      </c>
      <c r="D1330" t="str">
        <f>HYPERLINK("https://zfin.org/ZDB-GENE-030131-373")</f>
        <v>https://zfin.org/ZDB-GENE-030131-373</v>
      </c>
      <c r="E1330" t="s">
        <v>3971</v>
      </c>
    </row>
    <row r="1331" spans="1:5" x14ac:dyDescent="0.2">
      <c r="A1331" t="s">
        <v>3972</v>
      </c>
      <c r="B1331" t="s">
        <v>3973</v>
      </c>
      <c r="C1331" t="s">
        <v>3973</v>
      </c>
      <c r="D1331" t="str">
        <f>HYPERLINK("https://zfin.org/ZDB-GENE-131120-192")</f>
        <v>https://zfin.org/ZDB-GENE-131120-192</v>
      </c>
      <c r="E1331" t="s">
        <v>3974</v>
      </c>
    </row>
    <row r="1332" spans="1:5" x14ac:dyDescent="0.2">
      <c r="A1332" t="s">
        <v>3975</v>
      </c>
      <c r="B1332" t="s">
        <v>3976</v>
      </c>
      <c r="C1332" t="s">
        <v>3976</v>
      </c>
      <c r="D1332" t="str">
        <f>HYPERLINK("https://zfin.org/ZDB-GENE-110914-93")</f>
        <v>https://zfin.org/ZDB-GENE-110914-93</v>
      </c>
      <c r="E1332" t="s">
        <v>3977</v>
      </c>
    </row>
    <row r="1333" spans="1:5" x14ac:dyDescent="0.2">
      <c r="A1333" t="s">
        <v>3978</v>
      </c>
      <c r="B1333" t="s">
        <v>3979</v>
      </c>
      <c r="C1333" t="s">
        <v>3979</v>
      </c>
      <c r="D1333" t="str">
        <f>HYPERLINK("https://zfin.org/ZDB-GENE-041212-68")</f>
        <v>https://zfin.org/ZDB-GENE-041212-68</v>
      </c>
      <c r="E1333" t="s">
        <v>3980</v>
      </c>
    </row>
    <row r="1334" spans="1:5" x14ac:dyDescent="0.2">
      <c r="A1334" t="s">
        <v>3981</v>
      </c>
      <c r="B1334" t="s">
        <v>3982</v>
      </c>
      <c r="C1334" t="s">
        <v>3982</v>
      </c>
      <c r="D1334" t="str">
        <f>HYPERLINK("https://zfin.org/ZDB-GENE-060929-96")</f>
        <v>https://zfin.org/ZDB-GENE-060929-96</v>
      </c>
      <c r="E1334" t="s">
        <v>3983</v>
      </c>
    </row>
    <row r="1335" spans="1:5" x14ac:dyDescent="0.2">
      <c r="A1335" t="s">
        <v>3984</v>
      </c>
      <c r="B1335" t="s">
        <v>3985</v>
      </c>
      <c r="C1335" t="s">
        <v>3985</v>
      </c>
      <c r="D1335" t="str">
        <f>HYPERLINK("https://zfin.org/ZDB-GENE-030616-52")</f>
        <v>https://zfin.org/ZDB-GENE-030616-52</v>
      </c>
      <c r="E1335" t="s">
        <v>3986</v>
      </c>
    </row>
    <row r="1336" spans="1:5" x14ac:dyDescent="0.2">
      <c r="A1336" t="s">
        <v>3987</v>
      </c>
      <c r="B1336" t="s">
        <v>3988</v>
      </c>
      <c r="C1336" t="s">
        <v>3988</v>
      </c>
      <c r="D1336" t="str">
        <f>HYPERLINK("https://zfin.org/ZDB-GENE-090313-85")</f>
        <v>https://zfin.org/ZDB-GENE-090313-85</v>
      </c>
      <c r="E1336" t="s">
        <v>3989</v>
      </c>
    </row>
    <row r="1337" spans="1:5" x14ac:dyDescent="0.2">
      <c r="A1337" t="s">
        <v>3990</v>
      </c>
      <c r="B1337" t="s">
        <v>3991</v>
      </c>
      <c r="C1337" t="s">
        <v>3991</v>
      </c>
      <c r="D1337" t="str">
        <f>HYPERLINK("https://zfin.org/ZDB-GENE-040426-2060")</f>
        <v>https://zfin.org/ZDB-GENE-040426-2060</v>
      </c>
      <c r="E1337" t="s">
        <v>3992</v>
      </c>
    </row>
    <row r="1338" spans="1:5" x14ac:dyDescent="0.2">
      <c r="A1338" t="s">
        <v>3993</v>
      </c>
      <c r="B1338" t="s">
        <v>3994</v>
      </c>
      <c r="C1338" t="s">
        <v>3994</v>
      </c>
      <c r="D1338" t="str">
        <f>HYPERLINK("https://zfin.org/ZDB-GENE-980526-144")</f>
        <v>https://zfin.org/ZDB-GENE-980526-144</v>
      </c>
      <c r="E1338" t="s">
        <v>3995</v>
      </c>
    </row>
    <row r="1339" spans="1:5" x14ac:dyDescent="0.2">
      <c r="A1339" t="s">
        <v>3996</v>
      </c>
      <c r="B1339" t="s">
        <v>3997</v>
      </c>
      <c r="C1339" t="s">
        <v>3997</v>
      </c>
      <c r="D1339" t="str">
        <f>HYPERLINK("https://zfin.org/ZDB-GENE-030131-3224")</f>
        <v>https://zfin.org/ZDB-GENE-030131-3224</v>
      </c>
      <c r="E1339" t="s">
        <v>3998</v>
      </c>
    </row>
    <row r="1340" spans="1:5" x14ac:dyDescent="0.2">
      <c r="A1340" t="s">
        <v>3999</v>
      </c>
      <c r="B1340" t="s">
        <v>4000</v>
      </c>
      <c r="C1340" t="s">
        <v>4000</v>
      </c>
      <c r="D1340" t="str">
        <f>HYPERLINK("https://zfin.org/ZDB-GENE-050522-384")</f>
        <v>https://zfin.org/ZDB-GENE-050522-384</v>
      </c>
      <c r="E1340" t="s">
        <v>4001</v>
      </c>
    </row>
    <row r="1341" spans="1:5" x14ac:dyDescent="0.2">
      <c r="A1341" t="s">
        <v>4002</v>
      </c>
      <c r="B1341" t="s">
        <v>4003</v>
      </c>
      <c r="C1341" t="s">
        <v>4003</v>
      </c>
      <c r="D1341" t="str">
        <f>HYPERLINK("https://zfin.org/ZDB-GENE-110411-93")</f>
        <v>https://zfin.org/ZDB-GENE-110411-93</v>
      </c>
      <c r="E1341" t="s">
        <v>4004</v>
      </c>
    </row>
    <row r="1342" spans="1:5" x14ac:dyDescent="0.2">
      <c r="A1342" t="s">
        <v>4005</v>
      </c>
      <c r="B1342" t="s">
        <v>4006</v>
      </c>
      <c r="C1342" t="s">
        <v>4006</v>
      </c>
      <c r="D1342" t="str">
        <f>HYPERLINK("https://zfin.org/ZDB-GENE-080929-1")</f>
        <v>https://zfin.org/ZDB-GENE-080929-1</v>
      </c>
      <c r="E1342" t="s">
        <v>4007</v>
      </c>
    </row>
    <row r="1343" spans="1:5" x14ac:dyDescent="0.2">
      <c r="A1343" t="s">
        <v>4008</v>
      </c>
      <c r="B1343" t="s">
        <v>4009</v>
      </c>
      <c r="C1343" t="s">
        <v>4009</v>
      </c>
      <c r="D1343" t="str">
        <f>HYPERLINK("https://zfin.org/ZDB-GENE-131025-1")</f>
        <v>https://zfin.org/ZDB-GENE-131025-1</v>
      </c>
      <c r="E1343" t="s">
        <v>4010</v>
      </c>
    </row>
    <row r="1344" spans="1:5" x14ac:dyDescent="0.2">
      <c r="A1344" t="s">
        <v>4011</v>
      </c>
      <c r="B1344" t="s">
        <v>4012</v>
      </c>
      <c r="C1344" t="s">
        <v>4012</v>
      </c>
      <c r="D1344" t="str">
        <f>HYPERLINK("https://zfin.org/ZDB-GENE-141215-52")</f>
        <v>https://zfin.org/ZDB-GENE-141215-52</v>
      </c>
      <c r="E1344" t="s">
        <v>4013</v>
      </c>
    </row>
    <row r="1345" spans="1:5" x14ac:dyDescent="0.2">
      <c r="A1345" t="s">
        <v>4014</v>
      </c>
      <c r="B1345" t="s">
        <v>4015</v>
      </c>
      <c r="C1345" t="s">
        <v>4015</v>
      </c>
      <c r="D1345" t="str">
        <f>HYPERLINK("https://zfin.org/ZDB-GENE-080708-1")</f>
        <v>https://zfin.org/ZDB-GENE-080708-1</v>
      </c>
      <c r="E1345" t="s">
        <v>4016</v>
      </c>
    </row>
    <row r="1346" spans="1:5" x14ac:dyDescent="0.2">
      <c r="A1346" t="s">
        <v>4017</v>
      </c>
      <c r="B1346" t="s">
        <v>4018</v>
      </c>
      <c r="C1346" t="s">
        <v>4018</v>
      </c>
      <c r="D1346" t="str">
        <f>HYPERLINK("https://zfin.org/ZDB-GENE-061207-76")</f>
        <v>https://zfin.org/ZDB-GENE-061207-76</v>
      </c>
      <c r="E1346" t="s">
        <v>4019</v>
      </c>
    </row>
    <row r="1347" spans="1:5" x14ac:dyDescent="0.2">
      <c r="A1347" t="s">
        <v>4020</v>
      </c>
      <c r="B1347" t="s">
        <v>4021</v>
      </c>
      <c r="C1347" t="s">
        <v>4021</v>
      </c>
      <c r="D1347" t="str">
        <f>HYPERLINK("https://zfin.org/ZDB-GENE-141216-289")</f>
        <v>https://zfin.org/ZDB-GENE-141216-289</v>
      </c>
      <c r="E1347" t="s">
        <v>4022</v>
      </c>
    </row>
    <row r="1348" spans="1:5" x14ac:dyDescent="0.2">
      <c r="A1348" t="s">
        <v>4023</v>
      </c>
      <c r="B1348" t="s">
        <v>4024</v>
      </c>
      <c r="C1348" t="s">
        <v>4024</v>
      </c>
      <c r="D1348" t="str">
        <f>HYPERLINK("https://zfin.org/ZDB-GENE-080815-3")</f>
        <v>https://zfin.org/ZDB-GENE-080815-3</v>
      </c>
      <c r="E1348" t="s">
        <v>4025</v>
      </c>
    </row>
    <row r="1349" spans="1:5" x14ac:dyDescent="0.2">
      <c r="A1349" t="s">
        <v>4026</v>
      </c>
      <c r="B1349" t="s">
        <v>4027</v>
      </c>
      <c r="C1349" t="s">
        <v>4027</v>
      </c>
      <c r="D1349" t="str">
        <f>HYPERLINK("https://zfin.org/ZDB-GENE-040426-2827")</f>
        <v>https://zfin.org/ZDB-GENE-040426-2827</v>
      </c>
      <c r="E1349" t="s">
        <v>4028</v>
      </c>
    </row>
    <row r="1350" spans="1:5" x14ac:dyDescent="0.2">
      <c r="A1350" t="s">
        <v>4029</v>
      </c>
      <c r="B1350" t="s">
        <v>4030</v>
      </c>
      <c r="C1350" t="s">
        <v>4030</v>
      </c>
      <c r="D1350" t="str">
        <f>HYPERLINK("https://zfin.org/ZDB-GENE-131127-199")</f>
        <v>https://zfin.org/ZDB-GENE-131127-199</v>
      </c>
      <c r="E1350" t="s">
        <v>4031</v>
      </c>
    </row>
    <row r="1351" spans="1:5" x14ac:dyDescent="0.2">
      <c r="A1351" t="s">
        <v>4032</v>
      </c>
      <c r="B1351" t="s">
        <v>4033</v>
      </c>
      <c r="C1351" t="s">
        <v>4033</v>
      </c>
      <c r="D1351" t="str">
        <f>HYPERLINK("https://zfin.org/ZDB-GENE-041011-1")</f>
        <v>https://zfin.org/ZDB-GENE-041011-1</v>
      </c>
      <c r="E1351" t="s">
        <v>4034</v>
      </c>
    </row>
    <row r="1352" spans="1:5" x14ac:dyDescent="0.2">
      <c r="A1352" t="s">
        <v>4035</v>
      </c>
      <c r="B1352" t="s">
        <v>4036</v>
      </c>
      <c r="C1352" t="s">
        <v>4036</v>
      </c>
      <c r="D1352" t="str">
        <f>HYPERLINK("https://zfin.org/ZDB-GENE-030131-9307")</f>
        <v>https://zfin.org/ZDB-GENE-030131-9307</v>
      </c>
      <c r="E1352" t="s">
        <v>4037</v>
      </c>
    </row>
    <row r="1353" spans="1:5" x14ac:dyDescent="0.2">
      <c r="A1353" t="s">
        <v>4038</v>
      </c>
      <c r="B1353" t="s">
        <v>4039</v>
      </c>
      <c r="C1353" t="s">
        <v>4039</v>
      </c>
      <c r="D1353" t="str">
        <f>HYPERLINK("https://zfin.org/ZDB-GENE-060526-131")</f>
        <v>https://zfin.org/ZDB-GENE-060526-131</v>
      </c>
      <c r="E1353" t="s">
        <v>4040</v>
      </c>
    </row>
    <row r="1354" spans="1:5" x14ac:dyDescent="0.2">
      <c r="A1354" t="s">
        <v>4041</v>
      </c>
      <c r="B1354" t="s">
        <v>4042</v>
      </c>
      <c r="C1354" t="s">
        <v>4042</v>
      </c>
      <c r="D1354" t="str">
        <f>HYPERLINK("https://zfin.org/ZDB-GENE-131121-397")</f>
        <v>https://zfin.org/ZDB-GENE-131121-397</v>
      </c>
      <c r="E1354" t="s">
        <v>4043</v>
      </c>
    </row>
    <row r="1355" spans="1:5" x14ac:dyDescent="0.2">
      <c r="A1355" t="s">
        <v>4044</v>
      </c>
      <c r="B1355" t="s">
        <v>4045</v>
      </c>
      <c r="C1355" t="s">
        <v>4045</v>
      </c>
      <c r="D1355" t="str">
        <f>HYPERLINK("https://zfin.org/ZDB-GENE-050809-115")</f>
        <v>https://zfin.org/ZDB-GENE-050809-115</v>
      </c>
      <c r="E1355" t="s">
        <v>4046</v>
      </c>
    </row>
    <row r="1356" spans="1:5" x14ac:dyDescent="0.2">
      <c r="A1356" t="s">
        <v>4047</v>
      </c>
      <c r="B1356" t="s">
        <v>4048</v>
      </c>
      <c r="C1356" t="s">
        <v>4048</v>
      </c>
      <c r="D1356" t="str">
        <f>HYPERLINK("https://zfin.org/ZDB-GENE-070410-27")</f>
        <v>https://zfin.org/ZDB-GENE-070410-27</v>
      </c>
      <c r="E1356" t="s">
        <v>4049</v>
      </c>
    </row>
    <row r="1357" spans="1:5" x14ac:dyDescent="0.2">
      <c r="A1357" t="s">
        <v>4050</v>
      </c>
      <c r="B1357" t="s">
        <v>4051</v>
      </c>
      <c r="C1357" t="s">
        <v>4051</v>
      </c>
      <c r="D1357" t="str">
        <f>HYPERLINK("https://zfin.org/ZDB-GENE-040801-178")</f>
        <v>https://zfin.org/ZDB-GENE-040801-178</v>
      </c>
      <c r="E1357" t="s">
        <v>4052</v>
      </c>
    </row>
    <row r="1358" spans="1:5" x14ac:dyDescent="0.2">
      <c r="A1358" t="s">
        <v>4053</v>
      </c>
      <c r="B1358" t="s">
        <v>4054</v>
      </c>
      <c r="C1358" t="s">
        <v>4054</v>
      </c>
      <c r="D1358" t="str">
        <f>HYPERLINK("https://zfin.org/ZDB-GENE-110913-155")</f>
        <v>https://zfin.org/ZDB-GENE-110913-155</v>
      </c>
      <c r="E1358" t="s">
        <v>4055</v>
      </c>
    </row>
    <row r="1359" spans="1:5" x14ac:dyDescent="0.2">
      <c r="A1359" t="s">
        <v>4056</v>
      </c>
      <c r="B1359" t="s">
        <v>4057</v>
      </c>
      <c r="C1359" t="s">
        <v>4057</v>
      </c>
      <c r="D1359" t="str">
        <f>HYPERLINK("https://zfin.org/ZDB-GENE-081104-292")</f>
        <v>https://zfin.org/ZDB-GENE-081104-292</v>
      </c>
      <c r="E1359" t="s">
        <v>4058</v>
      </c>
    </row>
    <row r="1360" spans="1:5" x14ac:dyDescent="0.2">
      <c r="A1360" t="s">
        <v>4059</v>
      </c>
      <c r="B1360" t="s">
        <v>4060</v>
      </c>
      <c r="C1360" t="s">
        <v>4060</v>
      </c>
      <c r="D1360" t="str">
        <f>HYPERLINK("https://zfin.org/ZDB-GENE-110914-64")</f>
        <v>https://zfin.org/ZDB-GENE-110914-64</v>
      </c>
      <c r="E1360" t="s">
        <v>4061</v>
      </c>
    </row>
    <row r="1361" spans="1:5" x14ac:dyDescent="0.2">
      <c r="A1361" t="s">
        <v>4062</v>
      </c>
      <c r="B1361" t="s">
        <v>4063</v>
      </c>
      <c r="C1361" t="s">
        <v>4063</v>
      </c>
      <c r="D1361" t="str">
        <f>HYPERLINK("https://zfin.org/ZDB-GENE-030131-6830")</f>
        <v>https://zfin.org/ZDB-GENE-030131-6830</v>
      </c>
      <c r="E1361" t="s">
        <v>4064</v>
      </c>
    </row>
    <row r="1362" spans="1:5" x14ac:dyDescent="0.2">
      <c r="A1362" t="s">
        <v>4065</v>
      </c>
      <c r="B1362" t="s">
        <v>4066</v>
      </c>
      <c r="C1362" t="s">
        <v>4066</v>
      </c>
      <c r="D1362" t="str">
        <f>HYPERLINK("https://zfin.org/ZDB-GENE-030131-296")</f>
        <v>https://zfin.org/ZDB-GENE-030131-296</v>
      </c>
      <c r="E1362" t="s">
        <v>4067</v>
      </c>
    </row>
    <row r="1363" spans="1:5" x14ac:dyDescent="0.2">
      <c r="A1363" t="s">
        <v>4068</v>
      </c>
      <c r="B1363" t="s">
        <v>4069</v>
      </c>
      <c r="C1363" t="s">
        <v>4069</v>
      </c>
      <c r="D1363" t="str">
        <f>HYPERLINK("https://zfin.org/ZDB-GENE-030131-6565")</f>
        <v>https://zfin.org/ZDB-GENE-030131-6565</v>
      </c>
      <c r="E1363" t="s">
        <v>4070</v>
      </c>
    </row>
    <row r="1364" spans="1:5" x14ac:dyDescent="0.2">
      <c r="A1364" t="s">
        <v>4071</v>
      </c>
      <c r="B1364" t="s">
        <v>4057</v>
      </c>
      <c r="C1364" t="s">
        <v>4072</v>
      </c>
      <c r="D1364" t="str">
        <f>HYPERLINK("https://zfin.org/ZDB-GENE-081104-292")</f>
        <v>https://zfin.org/ZDB-GENE-081104-292</v>
      </c>
      <c r="E1364" t="s">
        <v>4058</v>
      </c>
    </row>
    <row r="1365" spans="1:5" x14ac:dyDescent="0.2">
      <c r="A1365" t="s">
        <v>4073</v>
      </c>
      <c r="B1365" t="s">
        <v>4074</v>
      </c>
      <c r="C1365" t="s">
        <v>4074</v>
      </c>
      <c r="D1365" t="str">
        <f>HYPERLINK("https://zfin.org/ZDB-GENE-040426-2076")</f>
        <v>https://zfin.org/ZDB-GENE-040426-2076</v>
      </c>
      <c r="E1365" t="s">
        <v>4075</v>
      </c>
    </row>
    <row r="1366" spans="1:5" x14ac:dyDescent="0.2">
      <c r="A1366" t="s">
        <v>4076</v>
      </c>
      <c r="B1366" t="s">
        <v>4077</v>
      </c>
      <c r="C1366" t="s">
        <v>4077</v>
      </c>
      <c r="D1366" t="str">
        <f>HYPERLINK("https://zfin.org/ZDB-GENE-090312-38")</f>
        <v>https://zfin.org/ZDB-GENE-090312-38</v>
      </c>
      <c r="E1366" t="s">
        <v>4078</v>
      </c>
    </row>
    <row r="1367" spans="1:5" x14ac:dyDescent="0.2">
      <c r="A1367" t="s">
        <v>4079</v>
      </c>
      <c r="B1367" t="s">
        <v>4080</v>
      </c>
      <c r="C1367" t="s">
        <v>4081</v>
      </c>
      <c r="D1367" t="str">
        <f>HYPERLINK("https://zfin.org/ZDB-GENE-000511-6")</f>
        <v>https://zfin.org/ZDB-GENE-000511-6</v>
      </c>
      <c r="E1367" t="s">
        <v>4082</v>
      </c>
    </row>
    <row r="1368" spans="1:5" x14ac:dyDescent="0.2">
      <c r="A1368" t="s">
        <v>4083</v>
      </c>
      <c r="B1368" t="s">
        <v>4084</v>
      </c>
      <c r="C1368" t="s">
        <v>4084</v>
      </c>
      <c r="D1368" t="str">
        <f>HYPERLINK("https://zfin.org/ZDB-GENE-990712-11")</f>
        <v>https://zfin.org/ZDB-GENE-990712-11</v>
      </c>
      <c r="E1368" t="s">
        <v>4085</v>
      </c>
    </row>
    <row r="1369" spans="1:5" x14ac:dyDescent="0.2">
      <c r="A1369" t="s">
        <v>4086</v>
      </c>
      <c r="B1369" t="s">
        <v>4087</v>
      </c>
      <c r="C1369" t="s">
        <v>4087</v>
      </c>
      <c r="D1369" t="str">
        <f>HYPERLINK("https://zfin.org/ZDB-GENE-070615-5")</f>
        <v>https://zfin.org/ZDB-GENE-070615-5</v>
      </c>
      <c r="E1369" t="s">
        <v>4088</v>
      </c>
    </row>
    <row r="1370" spans="1:5" x14ac:dyDescent="0.2">
      <c r="A1370" t="s">
        <v>4089</v>
      </c>
      <c r="B1370" t="s">
        <v>4090</v>
      </c>
      <c r="C1370" t="s">
        <v>4090</v>
      </c>
      <c r="D1370" t="str">
        <f>HYPERLINK("https://zfin.org/ZDB-GENE-160113-80")</f>
        <v>https://zfin.org/ZDB-GENE-160113-80</v>
      </c>
      <c r="E1370" t="s">
        <v>4091</v>
      </c>
    </row>
    <row r="1371" spans="1:5" x14ac:dyDescent="0.2">
      <c r="A1371" t="s">
        <v>4092</v>
      </c>
      <c r="B1371" t="s">
        <v>4093</v>
      </c>
      <c r="C1371" t="s">
        <v>4093</v>
      </c>
      <c r="D1371" t="str">
        <f>HYPERLINK("https://zfin.org/ZDB-GENE-100716-4")</f>
        <v>https://zfin.org/ZDB-GENE-100716-4</v>
      </c>
      <c r="E1371" t="s">
        <v>4094</v>
      </c>
    </row>
    <row r="1372" spans="1:5" x14ac:dyDescent="0.2">
      <c r="A1372" t="s">
        <v>4095</v>
      </c>
      <c r="B1372" t="s">
        <v>4096</v>
      </c>
      <c r="C1372" t="s">
        <v>4096</v>
      </c>
      <c r="D1372" t="str">
        <f>HYPERLINK("https://zfin.org/ZDB-GENE-120113-3")</f>
        <v>https://zfin.org/ZDB-GENE-120113-3</v>
      </c>
      <c r="E1372" t="s">
        <v>4097</v>
      </c>
    </row>
    <row r="1373" spans="1:5" x14ac:dyDescent="0.2">
      <c r="A1373" t="s">
        <v>4098</v>
      </c>
      <c r="B1373" t="s">
        <v>4099</v>
      </c>
      <c r="C1373" t="s">
        <v>4099</v>
      </c>
      <c r="D1373" t="str">
        <f>HYPERLINK("https://zfin.org/ZDB-GENE-050420-277")</f>
        <v>https://zfin.org/ZDB-GENE-050420-277</v>
      </c>
      <c r="E1373" t="s">
        <v>4100</v>
      </c>
    </row>
    <row r="1374" spans="1:5" x14ac:dyDescent="0.2">
      <c r="A1374" t="s">
        <v>4101</v>
      </c>
      <c r="B1374" t="s">
        <v>4102</v>
      </c>
      <c r="C1374" t="s">
        <v>4102</v>
      </c>
      <c r="D1374" t="str">
        <f>HYPERLINK("https://zfin.org/ZDB-GENE-131121-564")</f>
        <v>https://zfin.org/ZDB-GENE-131121-564</v>
      </c>
      <c r="E1374" t="s">
        <v>4103</v>
      </c>
    </row>
    <row r="1375" spans="1:5" x14ac:dyDescent="0.2">
      <c r="A1375" t="s">
        <v>4104</v>
      </c>
      <c r="B1375" t="s">
        <v>4105</v>
      </c>
      <c r="C1375" t="s">
        <v>4105</v>
      </c>
      <c r="D1375" t="str">
        <f>HYPERLINK("https://zfin.org/ZDB-GENE-080102-4")</f>
        <v>https://zfin.org/ZDB-GENE-080102-4</v>
      </c>
      <c r="E1375" t="s">
        <v>4106</v>
      </c>
    </row>
    <row r="1376" spans="1:5" x14ac:dyDescent="0.2">
      <c r="A1376" t="s">
        <v>4107</v>
      </c>
      <c r="B1376" t="s">
        <v>4108</v>
      </c>
      <c r="C1376" t="s">
        <v>4108</v>
      </c>
      <c r="D1376" t="str">
        <f>HYPERLINK("https://zfin.org/ZDB-GENE-040426-2714")</f>
        <v>https://zfin.org/ZDB-GENE-040426-2714</v>
      </c>
      <c r="E1376" t="s">
        <v>4109</v>
      </c>
    </row>
    <row r="1377" spans="1:5" x14ac:dyDescent="0.2">
      <c r="A1377" t="s">
        <v>4110</v>
      </c>
      <c r="B1377" t="s">
        <v>4111</v>
      </c>
      <c r="C1377" t="s">
        <v>4111</v>
      </c>
      <c r="D1377" t="str">
        <f>HYPERLINK("https://zfin.org/ZDB-GENE-061027-130")</f>
        <v>https://zfin.org/ZDB-GENE-061027-130</v>
      </c>
      <c r="E1377" t="s">
        <v>4112</v>
      </c>
    </row>
    <row r="1378" spans="1:5" x14ac:dyDescent="0.2">
      <c r="A1378" t="s">
        <v>4113</v>
      </c>
      <c r="B1378" t="s">
        <v>4114</v>
      </c>
      <c r="C1378" t="s">
        <v>4114</v>
      </c>
      <c r="D1378" t="str">
        <f>HYPERLINK("https://zfin.org/ZDB-GENE-070912-283")</f>
        <v>https://zfin.org/ZDB-GENE-070912-283</v>
      </c>
      <c r="E1378" t="s">
        <v>4115</v>
      </c>
    </row>
    <row r="1379" spans="1:5" x14ac:dyDescent="0.2">
      <c r="A1379" t="s">
        <v>4116</v>
      </c>
      <c r="B1379" t="s">
        <v>4117</v>
      </c>
      <c r="C1379" t="s">
        <v>4117</v>
      </c>
      <c r="D1379" t="str">
        <f>HYPERLINK("https://zfin.org/ZDB-GENE-160113-58")</f>
        <v>https://zfin.org/ZDB-GENE-160113-58</v>
      </c>
      <c r="E1379" t="s">
        <v>4118</v>
      </c>
    </row>
    <row r="1380" spans="1:5" x14ac:dyDescent="0.2">
      <c r="A1380" t="s">
        <v>4119</v>
      </c>
      <c r="B1380" t="s">
        <v>4120</v>
      </c>
      <c r="C1380" t="s">
        <v>4120</v>
      </c>
      <c r="D1380" t="str">
        <f>HYPERLINK("https://zfin.org/ZDB-GENE-050417-176")</f>
        <v>https://zfin.org/ZDB-GENE-050417-176</v>
      </c>
      <c r="E1380" t="s">
        <v>4121</v>
      </c>
    </row>
    <row r="1381" spans="1:5" x14ac:dyDescent="0.2">
      <c r="A1381" t="s">
        <v>4122</v>
      </c>
      <c r="B1381" t="s">
        <v>4123</v>
      </c>
      <c r="C1381" t="s">
        <v>4123</v>
      </c>
      <c r="D1381" t="str">
        <f>HYPERLINK("https://zfin.org/ZDB-GENE-040426-687")</f>
        <v>https://zfin.org/ZDB-GENE-040426-687</v>
      </c>
      <c r="E1381" t="s">
        <v>4124</v>
      </c>
    </row>
    <row r="1382" spans="1:5" x14ac:dyDescent="0.2">
      <c r="A1382" t="s">
        <v>4125</v>
      </c>
      <c r="B1382" t="s">
        <v>4126</v>
      </c>
      <c r="C1382" t="s">
        <v>4126</v>
      </c>
      <c r="D1382" t="str">
        <f>HYPERLINK("https://zfin.org/ZDB-GENE-081022-196")</f>
        <v>https://zfin.org/ZDB-GENE-081022-196</v>
      </c>
      <c r="E1382" t="s">
        <v>4127</v>
      </c>
    </row>
    <row r="1383" spans="1:5" x14ac:dyDescent="0.2">
      <c r="A1383" t="s">
        <v>4128</v>
      </c>
      <c r="B1383" t="s">
        <v>625</v>
      </c>
      <c r="C1383" t="s">
        <v>4129</v>
      </c>
      <c r="D1383" t="str">
        <f>HYPERLINK("https://zfin.org/ZDB-GENE-160113-114")</f>
        <v>https://zfin.org/ZDB-GENE-160113-114</v>
      </c>
      <c r="E1383" t="s">
        <v>4130</v>
      </c>
    </row>
    <row r="1384" spans="1:5" x14ac:dyDescent="0.2">
      <c r="A1384" t="s">
        <v>4131</v>
      </c>
      <c r="B1384" t="s">
        <v>625</v>
      </c>
      <c r="C1384" t="s">
        <v>4132</v>
      </c>
      <c r="D1384" t="str">
        <f>HYPERLINK("https://zfin.org/ZDB-GENE-160113-113")</f>
        <v>https://zfin.org/ZDB-GENE-160113-113</v>
      </c>
      <c r="E1384" t="s">
        <v>4133</v>
      </c>
    </row>
    <row r="1385" spans="1:5" x14ac:dyDescent="0.2">
      <c r="A1385" t="s">
        <v>4134</v>
      </c>
      <c r="B1385" t="s">
        <v>4135</v>
      </c>
      <c r="C1385" t="s">
        <v>4135</v>
      </c>
      <c r="D1385" t="str">
        <f>HYPERLINK("https://zfin.org/ZDB-GENE-100922-260")</f>
        <v>https://zfin.org/ZDB-GENE-100922-260</v>
      </c>
      <c r="E1385" t="s">
        <v>4136</v>
      </c>
    </row>
    <row r="1386" spans="1:5" x14ac:dyDescent="0.2">
      <c r="A1386" t="s">
        <v>4137</v>
      </c>
      <c r="B1386" t="s">
        <v>4138</v>
      </c>
      <c r="C1386" t="s">
        <v>4138</v>
      </c>
      <c r="D1386" t="str">
        <f>HYPERLINK("https://zfin.org/ZDB-GENE-040516-8")</f>
        <v>https://zfin.org/ZDB-GENE-040516-8</v>
      </c>
      <c r="E1386" t="s">
        <v>4139</v>
      </c>
    </row>
    <row r="1387" spans="1:5" x14ac:dyDescent="0.2">
      <c r="A1387" t="s">
        <v>4140</v>
      </c>
      <c r="B1387" t="s">
        <v>4141</v>
      </c>
      <c r="C1387" t="s">
        <v>4141</v>
      </c>
      <c r="D1387" t="str">
        <f>HYPERLINK("https://zfin.org/ZDB-GENE-040822-43")</f>
        <v>https://zfin.org/ZDB-GENE-040822-43</v>
      </c>
      <c r="E1387" t="s">
        <v>4142</v>
      </c>
    </row>
    <row r="1388" spans="1:5" x14ac:dyDescent="0.2">
      <c r="A1388" t="s">
        <v>4143</v>
      </c>
      <c r="B1388" t="s">
        <v>4144</v>
      </c>
      <c r="C1388" t="s">
        <v>4144</v>
      </c>
      <c r="D1388" t="str">
        <f>HYPERLINK("https://zfin.org/ZDB-GENE-070705-208")</f>
        <v>https://zfin.org/ZDB-GENE-070705-208</v>
      </c>
      <c r="E1388" t="s">
        <v>4145</v>
      </c>
    </row>
    <row r="1389" spans="1:5" x14ac:dyDescent="0.2">
      <c r="A1389" t="s">
        <v>4146</v>
      </c>
      <c r="B1389" t="s">
        <v>4147</v>
      </c>
      <c r="C1389" t="s">
        <v>4147</v>
      </c>
      <c r="D1389" t="str">
        <f>HYPERLINK("https://zfin.org/ZDB-GENE-050809-134")</f>
        <v>https://zfin.org/ZDB-GENE-050809-134</v>
      </c>
      <c r="E1389" t="s">
        <v>4148</v>
      </c>
    </row>
    <row r="1390" spans="1:5" x14ac:dyDescent="0.2">
      <c r="A1390" t="s">
        <v>4149</v>
      </c>
      <c r="B1390" t="s">
        <v>4150</v>
      </c>
      <c r="C1390" t="s">
        <v>4150</v>
      </c>
      <c r="D1390" t="str">
        <f>HYPERLINK("https://zfin.org/ZDB-GENE-160113-115")</f>
        <v>https://zfin.org/ZDB-GENE-160113-115</v>
      </c>
      <c r="E1390" t="s">
        <v>4151</v>
      </c>
    </row>
    <row r="1391" spans="1:5" x14ac:dyDescent="0.2">
      <c r="A1391" t="s">
        <v>4152</v>
      </c>
      <c r="B1391" t="s">
        <v>4153</v>
      </c>
      <c r="C1391" t="s">
        <v>4153</v>
      </c>
      <c r="D1391" t="str">
        <f>HYPERLINK("https://zfin.org/ZDB-GENE-050314-2")</f>
        <v>https://zfin.org/ZDB-GENE-050314-2</v>
      </c>
      <c r="E1391" t="s">
        <v>4154</v>
      </c>
    </row>
    <row r="1392" spans="1:5" x14ac:dyDescent="0.2">
      <c r="A1392" t="s">
        <v>4155</v>
      </c>
      <c r="B1392" t="s">
        <v>4156</v>
      </c>
      <c r="C1392" t="s">
        <v>4156</v>
      </c>
      <c r="D1392" t="str">
        <f>HYPERLINK("https://zfin.org/ZDB-GENE-040426-1042")</f>
        <v>https://zfin.org/ZDB-GENE-040426-1042</v>
      </c>
      <c r="E1392" t="s">
        <v>4157</v>
      </c>
    </row>
    <row r="1393" spans="1:5" x14ac:dyDescent="0.2">
      <c r="A1393" t="s">
        <v>4158</v>
      </c>
      <c r="B1393" t="s">
        <v>4159</v>
      </c>
      <c r="C1393" t="s">
        <v>4159</v>
      </c>
      <c r="D1393" t="str">
        <f>HYPERLINK("https://zfin.org/ZDB-GENE-160113-41")</f>
        <v>https://zfin.org/ZDB-GENE-160113-41</v>
      </c>
      <c r="E1393" t="s">
        <v>4160</v>
      </c>
    </row>
    <row r="1394" spans="1:5" x14ac:dyDescent="0.2">
      <c r="A1394" t="s">
        <v>4161</v>
      </c>
      <c r="B1394" t="s">
        <v>4162</v>
      </c>
      <c r="C1394" t="s">
        <v>4162</v>
      </c>
      <c r="D1394" t="str">
        <f>HYPERLINK("https://zfin.org/ZDB-GENE-160113-74")</f>
        <v>https://zfin.org/ZDB-GENE-160113-74</v>
      </c>
      <c r="E1394" t="s">
        <v>4163</v>
      </c>
    </row>
    <row r="1395" spans="1:5" x14ac:dyDescent="0.2">
      <c r="A1395" t="s">
        <v>4164</v>
      </c>
      <c r="B1395" t="s">
        <v>4165</v>
      </c>
      <c r="C1395" t="s">
        <v>4165</v>
      </c>
      <c r="D1395" t="str">
        <f>HYPERLINK("https://zfin.org/ZDB-GENE-160113-89")</f>
        <v>https://zfin.org/ZDB-GENE-160113-89</v>
      </c>
      <c r="E1395" t="s">
        <v>4166</v>
      </c>
    </row>
    <row r="1396" spans="1:5" x14ac:dyDescent="0.2">
      <c r="A1396" t="s">
        <v>4167</v>
      </c>
      <c r="B1396" t="s">
        <v>4168</v>
      </c>
      <c r="C1396" t="s">
        <v>4168</v>
      </c>
      <c r="D1396" t="str">
        <f>HYPERLINK("https://zfin.org/ZDB-GENE-070530-6")</f>
        <v>https://zfin.org/ZDB-GENE-070530-6</v>
      </c>
      <c r="E1396" t="s">
        <v>4169</v>
      </c>
    </row>
    <row r="1397" spans="1:5" x14ac:dyDescent="0.2">
      <c r="A1397" t="s">
        <v>4170</v>
      </c>
      <c r="B1397" t="s">
        <v>4171</v>
      </c>
      <c r="C1397" t="s">
        <v>4171</v>
      </c>
      <c r="D1397" t="str">
        <f>HYPERLINK("https://zfin.org/ZDB-GENE-160113-111")</f>
        <v>https://zfin.org/ZDB-GENE-160113-111</v>
      </c>
      <c r="E1397" t="s">
        <v>4172</v>
      </c>
    </row>
    <row r="1398" spans="1:5" x14ac:dyDescent="0.2">
      <c r="A1398" t="s">
        <v>4173</v>
      </c>
      <c r="B1398" t="s">
        <v>4174</v>
      </c>
      <c r="C1398" t="s">
        <v>4174</v>
      </c>
      <c r="D1398" t="str">
        <f>HYPERLINK("https://zfin.org/ZDB-GENE-020205-1")</f>
        <v>https://zfin.org/ZDB-GENE-020205-1</v>
      </c>
      <c r="E1398" t="s">
        <v>4175</v>
      </c>
    </row>
    <row r="1399" spans="1:5" x14ac:dyDescent="0.2">
      <c r="A1399" t="s">
        <v>4176</v>
      </c>
      <c r="B1399" t="s">
        <v>4177</v>
      </c>
      <c r="C1399" t="s">
        <v>4177</v>
      </c>
      <c r="D1399" t="str">
        <f>HYPERLINK("https://zfin.org/ZDB-GENE-060621-1")</f>
        <v>https://zfin.org/ZDB-GENE-060621-1</v>
      </c>
      <c r="E1399" t="s">
        <v>4178</v>
      </c>
    </row>
    <row r="1400" spans="1:5" x14ac:dyDescent="0.2">
      <c r="A1400" t="s">
        <v>4179</v>
      </c>
      <c r="B1400" t="s">
        <v>4180</v>
      </c>
      <c r="C1400" t="s">
        <v>4180</v>
      </c>
      <c r="D1400" t="str">
        <f>HYPERLINK("https://zfin.org/ZDB-GENE-160113-90")</f>
        <v>https://zfin.org/ZDB-GENE-160113-90</v>
      </c>
      <c r="E1400" t="s">
        <v>4181</v>
      </c>
    </row>
    <row r="1401" spans="1:5" x14ac:dyDescent="0.2">
      <c r="A1401" t="s">
        <v>4182</v>
      </c>
      <c r="B1401" t="s">
        <v>4183</v>
      </c>
      <c r="C1401" t="s">
        <v>4183</v>
      </c>
      <c r="D1401" t="str">
        <f>HYPERLINK("https://zfin.org/ZDB-GENE-030131-5649")</f>
        <v>https://zfin.org/ZDB-GENE-030131-5649</v>
      </c>
      <c r="E1401" t="s">
        <v>4184</v>
      </c>
    </row>
    <row r="1402" spans="1:5" x14ac:dyDescent="0.2">
      <c r="A1402" t="s">
        <v>4185</v>
      </c>
      <c r="B1402" t="s">
        <v>529</v>
      </c>
      <c r="C1402" t="s">
        <v>4186</v>
      </c>
      <c r="D1402" t="str">
        <f>HYPERLINK("https://zfin.org/ZDB-GENE-081205-1")</f>
        <v>https://zfin.org/ZDB-GENE-081205-1</v>
      </c>
      <c r="E1402" t="s">
        <v>530</v>
      </c>
    </row>
    <row r="1403" spans="1:5" x14ac:dyDescent="0.2">
      <c r="A1403" t="s">
        <v>4187</v>
      </c>
      <c r="B1403" t="s">
        <v>4188</v>
      </c>
      <c r="C1403" t="s">
        <v>4188</v>
      </c>
      <c r="D1403" t="str">
        <f>HYPERLINK("https://zfin.org/ZDB-GENE-040625-80")</f>
        <v>https://zfin.org/ZDB-GENE-040625-80</v>
      </c>
      <c r="E1403" t="s">
        <v>4189</v>
      </c>
    </row>
    <row r="1404" spans="1:5" x14ac:dyDescent="0.2">
      <c r="A1404" t="s">
        <v>4190</v>
      </c>
      <c r="B1404" t="s">
        <v>4191</v>
      </c>
      <c r="C1404" t="s">
        <v>4191</v>
      </c>
      <c r="D1404" t="str">
        <f>HYPERLINK("https://zfin.org/ZDB-GENE-110411-178")</f>
        <v>https://zfin.org/ZDB-GENE-110411-178</v>
      </c>
      <c r="E1404" t="s">
        <v>4192</v>
      </c>
    </row>
    <row r="1405" spans="1:5" x14ac:dyDescent="0.2">
      <c r="A1405" t="s">
        <v>4193</v>
      </c>
      <c r="B1405" t="s">
        <v>529</v>
      </c>
      <c r="C1405" t="s">
        <v>4194</v>
      </c>
      <c r="D1405" t="str">
        <f>HYPERLINK("https://zfin.org/ZDB-GENE-030131-6292")</f>
        <v>https://zfin.org/ZDB-GENE-030131-6292</v>
      </c>
      <c r="E1405" t="s">
        <v>3391</v>
      </c>
    </row>
    <row r="1406" spans="1:5" x14ac:dyDescent="0.2">
      <c r="A1406" t="s">
        <v>4195</v>
      </c>
      <c r="B1406" t="s">
        <v>4196</v>
      </c>
      <c r="C1406" t="s">
        <v>4196</v>
      </c>
      <c r="D1406" t="str">
        <f>HYPERLINK("https://zfin.org/ZDB-GENE-050417-123")</f>
        <v>https://zfin.org/ZDB-GENE-050417-123</v>
      </c>
      <c r="E1406" t="s">
        <v>4197</v>
      </c>
    </row>
    <row r="1407" spans="1:5" x14ac:dyDescent="0.2">
      <c r="A1407" t="s">
        <v>4198</v>
      </c>
      <c r="B1407" t="s">
        <v>4199</v>
      </c>
      <c r="C1407" t="s">
        <v>4199</v>
      </c>
      <c r="D1407" t="str">
        <f>HYPERLINK("https://zfin.org/ZDB-GENE-091001-1")</f>
        <v>https://zfin.org/ZDB-GENE-091001-1</v>
      </c>
      <c r="E1407" t="s">
        <v>4200</v>
      </c>
    </row>
    <row r="1408" spans="1:5" x14ac:dyDescent="0.2">
      <c r="A1408" t="s">
        <v>4201</v>
      </c>
      <c r="B1408" t="s">
        <v>4202</v>
      </c>
      <c r="C1408" t="s">
        <v>4202</v>
      </c>
      <c r="D1408" t="str">
        <f>HYPERLINK("https://zfin.org/ZDB-GENE-041219-2")</f>
        <v>https://zfin.org/ZDB-GENE-041219-2</v>
      </c>
      <c r="E1408" t="s">
        <v>4203</v>
      </c>
    </row>
    <row r="1409" spans="1:5" x14ac:dyDescent="0.2">
      <c r="A1409" t="s">
        <v>4204</v>
      </c>
      <c r="B1409" t="s">
        <v>4205</v>
      </c>
      <c r="C1409" t="s">
        <v>4205</v>
      </c>
      <c r="D1409" t="str">
        <f>HYPERLINK("https://zfin.org/ZDB-GENE-050522-103")</f>
        <v>https://zfin.org/ZDB-GENE-050522-103</v>
      </c>
      <c r="E1409" t="s">
        <v>4206</v>
      </c>
    </row>
    <row r="1410" spans="1:5" x14ac:dyDescent="0.2">
      <c r="A1410" t="s">
        <v>4207</v>
      </c>
      <c r="B1410" t="s">
        <v>4208</v>
      </c>
      <c r="C1410" t="s">
        <v>4208</v>
      </c>
      <c r="D1410" t="str">
        <f>HYPERLINK("https://zfin.org/ZDB-GENE-070112-2102")</f>
        <v>https://zfin.org/ZDB-GENE-070112-2102</v>
      </c>
      <c r="E1410" t="s">
        <v>4209</v>
      </c>
    </row>
    <row r="1411" spans="1:5" x14ac:dyDescent="0.2">
      <c r="A1411" t="s">
        <v>4210</v>
      </c>
      <c r="B1411" t="s">
        <v>4211</v>
      </c>
      <c r="C1411" t="s">
        <v>4211</v>
      </c>
      <c r="D1411" t="str">
        <f>HYPERLINK("https://zfin.org/ZDB-GENE-160113-38")</f>
        <v>https://zfin.org/ZDB-GENE-160113-38</v>
      </c>
      <c r="E1411" t="s">
        <v>4212</v>
      </c>
    </row>
    <row r="1412" spans="1:5" x14ac:dyDescent="0.2">
      <c r="A1412" t="s">
        <v>4213</v>
      </c>
      <c r="B1412" t="s">
        <v>4214</v>
      </c>
      <c r="C1412" t="s">
        <v>4214</v>
      </c>
      <c r="D1412" t="str">
        <f>HYPERLINK("https://zfin.org/ZDB-GENE-160113-104")</f>
        <v>https://zfin.org/ZDB-GENE-160113-104</v>
      </c>
      <c r="E1412" t="s">
        <v>4215</v>
      </c>
    </row>
    <row r="1413" spans="1:5" x14ac:dyDescent="0.2">
      <c r="A1413" t="s">
        <v>4216</v>
      </c>
      <c r="B1413" t="s">
        <v>4217</v>
      </c>
      <c r="C1413" t="s">
        <v>4217</v>
      </c>
      <c r="D1413" t="str">
        <f>HYPERLINK("https://zfin.org/ZDB-GENE-030131-3256")</f>
        <v>https://zfin.org/ZDB-GENE-030131-3256</v>
      </c>
      <c r="E1413" t="s">
        <v>4218</v>
      </c>
    </row>
    <row r="1414" spans="1:5" x14ac:dyDescent="0.2">
      <c r="A1414" t="s">
        <v>4219</v>
      </c>
      <c r="B1414" t="s">
        <v>4220</v>
      </c>
      <c r="C1414" t="s">
        <v>4220</v>
      </c>
      <c r="D1414" t="str">
        <f>HYPERLINK("https://zfin.org/ZDB-GENE-110411-201")</f>
        <v>https://zfin.org/ZDB-GENE-110411-201</v>
      </c>
      <c r="E1414" t="s">
        <v>4221</v>
      </c>
    </row>
    <row r="1415" spans="1:5" x14ac:dyDescent="0.2">
      <c r="A1415" t="s">
        <v>4222</v>
      </c>
      <c r="B1415" t="s">
        <v>4223</v>
      </c>
      <c r="C1415" t="s">
        <v>4223</v>
      </c>
      <c r="D1415" t="str">
        <f>HYPERLINK("https://zfin.org/ZDB-GENE-020123-1")</f>
        <v>https://zfin.org/ZDB-GENE-020123-1</v>
      </c>
      <c r="E1415" t="s">
        <v>4224</v>
      </c>
    </row>
    <row r="1416" spans="1:5" x14ac:dyDescent="0.2">
      <c r="A1416" t="s">
        <v>4225</v>
      </c>
      <c r="B1416" t="s">
        <v>4226</v>
      </c>
      <c r="C1416" t="s">
        <v>4226</v>
      </c>
      <c r="D1416" t="str">
        <f>HYPERLINK("https://zfin.org/ZDB-GENE-030131-5785")</f>
        <v>https://zfin.org/ZDB-GENE-030131-5785</v>
      </c>
      <c r="E1416" t="s">
        <v>4227</v>
      </c>
    </row>
    <row r="1417" spans="1:5" x14ac:dyDescent="0.2">
      <c r="A1417" t="s">
        <v>4228</v>
      </c>
      <c r="B1417" t="s">
        <v>4229</v>
      </c>
      <c r="C1417" t="s">
        <v>4229</v>
      </c>
      <c r="D1417" t="str">
        <f>HYPERLINK("https://zfin.org/ZDB-GENE-060503-309")</f>
        <v>https://zfin.org/ZDB-GENE-060503-309</v>
      </c>
      <c r="E1417" t="s">
        <v>4230</v>
      </c>
    </row>
    <row r="1418" spans="1:5" x14ac:dyDescent="0.2">
      <c r="A1418" t="s">
        <v>4231</v>
      </c>
      <c r="B1418" t="s">
        <v>4232</v>
      </c>
      <c r="C1418" t="s">
        <v>4232</v>
      </c>
      <c r="D1418" t="str">
        <f>HYPERLINK("https://zfin.org/ZDB-GENE-100922-235")</f>
        <v>https://zfin.org/ZDB-GENE-100922-235</v>
      </c>
      <c r="E1418" t="s">
        <v>4233</v>
      </c>
    </row>
    <row r="1419" spans="1:5" x14ac:dyDescent="0.2">
      <c r="A1419" t="s">
        <v>4234</v>
      </c>
      <c r="B1419" t="s">
        <v>4235</v>
      </c>
      <c r="C1419" t="s">
        <v>4235</v>
      </c>
      <c r="D1419" t="str">
        <f>HYPERLINK("https://zfin.org/ZDB-GENE-050320-59")</f>
        <v>https://zfin.org/ZDB-GENE-050320-59</v>
      </c>
      <c r="E1419" t="s">
        <v>4236</v>
      </c>
    </row>
    <row r="1420" spans="1:5" x14ac:dyDescent="0.2">
      <c r="A1420" t="s">
        <v>4237</v>
      </c>
      <c r="B1420" t="s">
        <v>4238</v>
      </c>
      <c r="C1420" t="s">
        <v>4238</v>
      </c>
      <c r="D1420" t="str">
        <f>HYPERLINK("https://zfin.org/ZDB-GENE-030131-6283")</f>
        <v>https://zfin.org/ZDB-GENE-030131-6283</v>
      </c>
      <c r="E1420" t="s">
        <v>4239</v>
      </c>
    </row>
    <row r="1421" spans="1:5" x14ac:dyDescent="0.2">
      <c r="A1421" t="s">
        <v>4240</v>
      </c>
      <c r="B1421" t="s">
        <v>4241</v>
      </c>
      <c r="C1421" t="s">
        <v>4241</v>
      </c>
      <c r="D1421" t="str">
        <f>HYPERLINK("https://zfin.org/ZDB-GENE-060929-620")</f>
        <v>https://zfin.org/ZDB-GENE-060929-620</v>
      </c>
      <c r="E1421" t="s">
        <v>4242</v>
      </c>
    </row>
    <row r="1422" spans="1:5" x14ac:dyDescent="0.2">
      <c r="A1422" t="s">
        <v>4243</v>
      </c>
      <c r="B1422" t="s">
        <v>4244</v>
      </c>
      <c r="C1422" t="s">
        <v>4244</v>
      </c>
      <c r="D1422" t="str">
        <f>HYPERLINK("https://zfin.org/ZDB-GENE-040801-240")</f>
        <v>https://zfin.org/ZDB-GENE-040801-240</v>
      </c>
      <c r="E1422" t="s">
        <v>4245</v>
      </c>
    </row>
    <row r="1423" spans="1:5" x14ac:dyDescent="0.2">
      <c r="A1423" t="s">
        <v>4246</v>
      </c>
      <c r="B1423" t="s">
        <v>4247</v>
      </c>
      <c r="C1423" t="s">
        <v>4247</v>
      </c>
      <c r="D1423" t="str">
        <f>HYPERLINK("https://zfin.org/ZDB-GENE-030519-2")</f>
        <v>https://zfin.org/ZDB-GENE-030519-2</v>
      </c>
      <c r="E1423" t="s">
        <v>4248</v>
      </c>
    </row>
    <row r="1424" spans="1:5" x14ac:dyDescent="0.2">
      <c r="A1424" t="s">
        <v>4249</v>
      </c>
      <c r="B1424" t="s">
        <v>4250</v>
      </c>
      <c r="C1424" t="s">
        <v>4250</v>
      </c>
      <c r="D1424" t="str">
        <f>HYPERLINK("https://zfin.org/ZDB-GENE-061013-109")</f>
        <v>https://zfin.org/ZDB-GENE-061013-109</v>
      </c>
      <c r="E1424" t="s">
        <v>4251</v>
      </c>
    </row>
    <row r="1425" spans="1:5" x14ac:dyDescent="0.2">
      <c r="A1425" t="s">
        <v>4252</v>
      </c>
      <c r="B1425" t="s">
        <v>4253</v>
      </c>
      <c r="C1425" t="s">
        <v>4253</v>
      </c>
      <c r="D1425" t="str">
        <f>HYPERLINK("https://zfin.org/ZDB-GENE-060825-319")</f>
        <v>https://zfin.org/ZDB-GENE-060825-319</v>
      </c>
      <c r="E1425" t="s">
        <v>4254</v>
      </c>
    </row>
    <row r="1426" spans="1:5" x14ac:dyDescent="0.2">
      <c r="A1426" t="s">
        <v>4255</v>
      </c>
      <c r="B1426" t="s">
        <v>4256</v>
      </c>
      <c r="C1426" t="s">
        <v>4256</v>
      </c>
      <c r="D1426" t="str">
        <f>HYPERLINK("https://zfin.org/ZDB-GENE-000831-3")</f>
        <v>https://zfin.org/ZDB-GENE-000831-3</v>
      </c>
      <c r="E1426" t="s">
        <v>4257</v>
      </c>
    </row>
    <row r="1427" spans="1:5" x14ac:dyDescent="0.2">
      <c r="A1427" t="s">
        <v>4258</v>
      </c>
      <c r="B1427" t="s">
        <v>4259</v>
      </c>
      <c r="C1427" t="s">
        <v>4259</v>
      </c>
      <c r="D1427" t="str">
        <f>HYPERLINK("https://zfin.org/ZDB-GENE-041210-25")</f>
        <v>https://zfin.org/ZDB-GENE-041210-25</v>
      </c>
      <c r="E1427" t="s">
        <v>4260</v>
      </c>
    </row>
    <row r="1428" spans="1:5" x14ac:dyDescent="0.2">
      <c r="A1428" t="s">
        <v>4261</v>
      </c>
      <c r="B1428" t="s">
        <v>4262</v>
      </c>
      <c r="C1428" t="s">
        <v>4262</v>
      </c>
      <c r="D1428" t="str">
        <f>HYPERLINK("https://zfin.org/ZDB-GENE-030131-3564")</f>
        <v>https://zfin.org/ZDB-GENE-030131-3564</v>
      </c>
      <c r="E1428" t="s">
        <v>4263</v>
      </c>
    </row>
    <row r="1429" spans="1:5" x14ac:dyDescent="0.2">
      <c r="A1429" t="s">
        <v>4264</v>
      </c>
      <c r="B1429" t="s">
        <v>4265</v>
      </c>
      <c r="C1429" t="s">
        <v>4265</v>
      </c>
      <c r="D1429" t="str">
        <f>HYPERLINK("https://zfin.org/ZDB-GENE-100419-3")</f>
        <v>https://zfin.org/ZDB-GENE-100419-3</v>
      </c>
      <c r="E1429" t="s">
        <v>4266</v>
      </c>
    </row>
    <row r="1430" spans="1:5" x14ac:dyDescent="0.2">
      <c r="A1430" t="s">
        <v>4267</v>
      </c>
      <c r="B1430" t="s">
        <v>4268</v>
      </c>
      <c r="C1430" t="s">
        <v>4268</v>
      </c>
      <c r="D1430" t="str">
        <f>HYPERLINK("https://zfin.org/ZDB-GENE-040801-217")</f>
        <v>https://zfin.org/ZDB-GENE-040801-217</v>
      </c>
      <c r="E1430" t="s">
        <v>4269</v>
      </c>
    </row>
    <row r="1431" spans="1:5" x14ac:dyDescent="0.2">
      <c r="A1431" t="s">
        <v>4270</v>
      </c>
      <c r="B1431" t="s">
        <v>4271</v>
      </c>
      <c r="C1431" t="s">
        <v>4271</v>
      </c>
      <c r="D1431" t="str">
        <f>HYPERLINK("https://zfin.org/ZDB-GENE-030131-6876")</f>
        <v>https://zfin.org/ZDB-GENE-030131-6876</v>
      </c>
      <c r="E1431" t="s">
        <v>4272</v>
      </c>
    </row>
    <row r="1432" spans="1:5" x14ac:dyDescent="0.2">
      <c r="A1432" t="s">
        <v>4273</v>
      </c>
      <c r="B1432" t="s">
        <v>4274</v>
      </c>
      <c r="C1432" t="s">
        <v>4274</v>
      </c>
      <c r="D1432" t="str">
        <f>HYPERLINK("https://zfin.org/ZDB-GENE-060526-132")</f>
        <v>https://zfin.org/ZDB-GENE-060526-132</v>
      </c>
      <c r="E1432" t="s">
        <v>4275</v>
      </c>
    </row>
    <row r="1433" spans="1:5" x14ac:dyDescent="0.2">
      <c r="A1433" t="s">
        <v>4276</v>
      </c>
      <c r="B1433" t="s">
        <v>4277</v>
      </c>
      <c r="C1433" t="s">
        <v>4277</v>
      </c>
      <c r="D1433" t="str">
        <f>HYPERLINK("https://zfin.org/ZDB-GENE-080219-29")</f>
        <v>https://zfin.org/ZDB-GENE-080219-29</v>
      </c>
      <c r="E1433" t="s">
        <v>4278</v>
      </c>
    </row>
    <row r="1434" spans="1:5" x14ac:dyDescent="0.2">
      <c r="A1434" t="s">
        <v>4279</v>
      </c>
      <c r="B1434" t="s">
        <v>4280</v>
      </c>
      <c r="C1434" t="s">
        <v>4280</v>
      </c>
      <c r="D1434" t="str">
        <f>HYPERLINK("https://zfin.org/ZDB-GENE-030131-2928")</f>
        <v>https://zfin.org/ZDB-GENE-030131-2928</v>
      </c>
      <c r="E1434" t="s">
        <v>4281</v>
      </c>
    </row>
    <row r="1435" spans="1:5" x14ac:dyDescent="0.2">
      <c r="A1435" t="s">
        <v>4282</v>
      </c>
      <c r="B1435" t="s">
        <v>4283</v>
      </c>
      <c r="C1435" t="s">
        <v>4283</v>
      </c>
      <c r="D1435" t="str">
        <f>HYPERLINK("https://zfin.org/ZDB-GENE-050208-99")</f>
        <v>https://zfin.org/ZDB-GENE-050208-99</v>
      </c>
      <c r="E1435" t="s">
        <v>4284</v>
      </c>
    </row>
    <row r="1436" spans="1:5" x14ac:dyDescent="0.2">
      <c r="A1436" t="s">
        <v>4285</v>
      </c>
      <c r="B1436" t="s">
        <v>4286</v>
      </c>
      <c r="C1436" t="s">
        <v>4286</v>
      </c>
      <c r="D1436" t="str">
        <f>HYPERLINK("https://zfin.org/ZDB-GENE-030131-8437")</f>
        <v>https://zfin.org/ZDB-GENE-030131-8437</v>
      </c>
      <c r="E1436" t="s">
        <v>4287</v>
      </c>
    </row>
    <row r="1437" spans="1:5" x14ac:dyDescent="0.2">
      <c r="A1437" t="s">
        <v>4288</v>
      </c>
      <c r="B1437" t="s">
        <v>4289</v>
      </c>
      <c r="C1437" t="s">
        <v>4289</v>
      </c>
      <c r="D1437" t="str">
        <f>HYPERLINK("https://zfin.org/ZDB-GENE-040724-148")</f>
        <v>https://zfin.org/ZDB-GENE-040724-148</v>
      </c>
      <c r="E1437" t="s">
        <v>4290</v>
      </c>
    </row>
    <row r="1438" spans="1:5" x14ac:dyDescent="0.2">
      <c r="A1438" t="s">
        <v>4291</v>
      </c>
      <c r="B1438" t="s">
        <v>4292</v>
      </c>
      <c r="C1438" t="s">
        <v>4292</v>
      </c>
      <c r="D1438" t="str">
        <f>HYPERLINK("https://zfin.org/ZDB-GENE-110913-89")</f>
        <v>https://zfin.org/ZDB-GENE-110913-89</v>
      </c>
      <c r="E1438" t="s">
        <v>4293</v>
      </c>
    </row>
    <row r="1439" spans="1:5" x14ac:dyDescent="0.2">
      <c r="A1439" t="s">
        <v>4294</v>
      </c>
      <c r="B1439" t="s">
        <v>4295</v>
      </c>
      <c r="C1439" t="s">
        <v>4295</v>
      </c>
      <c r="D1439" t="str">
        <f>HYPERLINK("https://zfin.org/ZDB-GENE-060526-92")</f>
        <v>https://zfin.org/ZDB-GENE-060526-92</v>
      </c>
      <c r="E1439" t="s">
        <v>4296</v>
      </c>
    </row>
    <row r="1440" spans="1:5" x14ac:dyDescent="0.2">
      <c r="A1440" t="s">
        <v>4297</v>
      </c>
      <c r="B1440" t="s">
        <v>4298</v>
      </c>
      <c r="C1440" t="s">
        <v>4298</v>
      </c>
      <c r="D1440" t="str">
        <f>HYPERLINK("https://zfin.org/ZDB-GENE-070424-247")</f>
        <v>https://zfin.org/ZDB-GENE-070424-247</v>
      </c>
      <c r="E1440" t="s">
        <v>4299</v>
      </c>
    </row>
    <row r="1441" spans="1:5" x14ac:dyDescent="0.2">
      <c r="A1441" t="s">
        <v>4300</v>
      </c>
      <c r="B1441" t="s">
        <v>4301</v>
      </c>
      <c r="C1441" t="s">
        <v>4301</v>
      </c>
      <c r="D1441" t="str">
        <f>HYPERLINK("https://zfin.org/ZDB-GENE-061103-253")</f>
        <v>https://zfin.org/ZDB-GENE-061103-253</v>
      </c>
      <c r="E1441" t="s">
        <v>4302</v>
      </c>
    </row>
    <row r="1442" spans="1:5" x14ac:dyDescent="0.2">
      <c r="A1442" t="s">
        <v>4303</v>
      </c>
      <c r="B1442" t="s">
        <v>4304</v>
      </c>
      <c r="C1442" t="s">
        <v>4304</v>
      </c>
      <c r="D1442" t="str">
        <f>HYPERLINK("https://zfin.org/ZDB-GENE-060929-372")</f>
        <v>https://zfin.org/ZDB-GENE-060929-372</v>
      </c>
      <c r="E1442" t="s">
        <v>4305</v>
      </c>
    </row>
    <row r="1443" spans="1:5" x14ac:dyDescent="0.2">
      <c r="A1443" t="s">
        <v>4306</v>
      </c>
      <c r="B1443" t="s">
        <v>4307</v>
      </c>
      <c r="C1443" t="s">
        <v>4307</v>
      </c>
      <c r="D1443" t="str">
        <f>HYPERLINK("https://zfin.org/ZDB-GENE-050302-97")</f>
        <v>https://zfin.org/ZDB-GENE-050302-97</v>
      </c>
      <c r="E1443" t="s">
        <v>4308</v>
      </c>
    </row>
    <row r="1444" spans="1:5" x14ac:dyDescent="0.2">
      <c r="A1444" t="s">
        <v>4309</v>
      </c>
      <c r="B1444" t="s">
        <v>4310</v>
      </c>
      <c r="C1444" t="s">
        <v>4310</v>
      </c>
      <c r="D1444" t="str">
        <f>HYPERLINK("https://zfin.org/ZDB-GENE-030325-1")</f>
        <v>https://zfin.org/ZDB-GENE-030325-1</v>
      </c>
      <c r="E1444" t="s">
        <v>4311</v>
      </c>
    </row>
    <row r="1445" spans="1:5" x14ac:dyDescent="0.2">
      <c r="A1445" t="s">
        <v>4312</v>
      </c>
      <c r="B1445" t="s">
        <v>4313</v>
      </c>
      <c r="C1445" t="s">
        <v>4313</v>
      </c>
      <c r="D1445" t="str">
        <f>HYPERLINK("https://zfin.org/ZDB-GENE-060130-4")</f>
        <v>https://zfin.org/ZDB-GENE-060130-4</v>
      </c>
      <c r="E1445" t="s">
        <v>4314</v>
      </c>
    </row>
    <row r="1446" spans="1:5" x14ac:dyDescent="0.2">
      <c r="A1446" t="s">
        <v>4315</v>
      </c>
      <c r="B1446" t="s">
        <v>4316</v>
      </c>
      <c r="C1446" t="s">
        <v>4316</v>
      </c>
      <c r="D1446" t="str">
        <f>HYPERLINK("https://zfin.org/ZDB-GENE-040426-1887")</f>
        <v>https://zfin.org/ZDB-GENE-040426-1887</v>
      </c>
      <c r="E1446" t="s">
        <v>4317</v>
      </c>
    </row>
    <row r="1447" spans="1:5" x14ac:dyDescent="0.2">
      <c r="A1447" t="s">
        <v>4318</v>
      </c>
      <c r="B1447" t="s">
        <v>4319</v>
      </c>
      <c r="C1447" t="s">
        <v>4319</v>
      </c>
      <c r="D1447" t="str">
        <f>HYPERLINK("https://zfin.org/ZDB-GENE-070705-170")</f>
        <v>https://zfin.org/ZDB-GENE-070705-170</v>
      </c>
      <c r="E1447" t="s">
        <v>4320</v>
      </c>
    </row>
    <row r="1448" spans="1:5" x14ac:dyDescent="0.2">
      <c r="A1448" t="s">
        <v>4321</v>
      </c>
      <c r="B1448" t="s">
        <v>4322</v>
      </c>
      <c r="C1448" t="s">
        <v>4322</v>
      </c>
      <c r="D1448" t="str">
        <f>HYPERLINK("https://zfin.org/ZDB-GENE-030131-2046")</f>
        <v>https://zfin.org/ZDB-GENE-030131-2046</v>
      </c>
      <c r="E1448" t="s">
        <v>4323</v>
      </c>
    </row>
    <row r="1449" spans="1:5" x14ac:dyDescent="0.2">
      <c r="A1449" t="s">
        <v>4324</v>
      </c>
      <c r="B1449" t="s">
        <v>4325</v>
      </c>
      <c r="C1449" t="s">
        <v>4325</v>
      </c>
      <c r="D1449" t="str">
        <f>HYPERLINK("https://zfin.org/ZDB-GENE-090313-360")</f>
        <v>https://zfin.org/ZDB-GENE-090313-360</v>
      </c>
      <c r="E1449" t="s">
        <v>4326</v>
      </c>
    </row>
    <row r="1450" spans="1:5" x14ac:dyDescent="0.2">
      <c r="A1450" t="s">
        <v>4327</v>
      </c>
      <c r="B1450" t="s">
        <v>4328</v>
      </c>
      <c r="C1450" t="s">
        <v>4328</v>
      </c>
      <c r="D1450" t="str">
        <f>HYPERLINK("https://zfin.org/ZDB-GENE-051120-171")</f>
        <v>https://zfin.org/ZDB-GENE-051120-171</v>
      </c>
      <c r="E1450" t="s">
        <v>4329</v>
      </c>
    </row>
    <row r="1451" spans="1:5" x14ac:dyDescent="0.2">
      <c r="A1451" t="s">
        <v>4330</v>
      </c>
      <c r="B1451" t="s">
        <v>4331</v>
      </c>
      <c r="C1451" t="s">
        <v>4331</v>
      </c>
      <c r="D1451" t="str">
        <f>HYPERLINK("https://zfin.org/ZDB-GENE-070112-2242")</f>
        <v>https://zfin.org/ZDB-GENE-070112-2242</v>
      </c>
      <c r="E1451" t="s">
        <v>4332</v>
      </c>
    </row>
    <row r="1452" spans="1:5" x14ac:dyDescent="0.2">
      <c r="A1452" t="s">
        <v>4333</v>
      </c>
      <c r="B1452" t="s">
        <v>4334</v>
      </c>
      <c r="C1452" t="s">
        <v>4334</v>
      </c>
      <c r="D1452" t="str">
        <f>HYPERLINK("https://zfin.org/ZDB-GENE-051120-24")</f>
        <v>https://zfin.org/ZDB-GENE-051120-24</v>
      </c>
      <c r="E1452" t="s">
        <v>4335</v>
      </c>
    </row>
    <row r="1453" spans="1:5" x14ac:dyDescent="0.2">
      <c r="A1453" t="s">
        <v>4336</v>
      </c>
      <c r="B1453" t="s">
        <v>4337</v>
      </c>
      <c r="C1453" t="s">
        <v>4337</v>
      </c>
      <c r="D1453" t="str">
        <f>HYPERLINK("https://zfin.org/ZDB-GENE-050506-78")</f>
        <v>https://zfin.org/ZDB-GENE-050506-78</v>
      </c>
      <c r="E1453" t="s">
        <v>4338</v>
      </c>
    </row>
    <row r="1454" spans="1:5" x14ac:dyDescent="0.2">
      <c r="A1454" t="s">
        <v>4339</v>
      </c>
      <c r="B1454" t="s">
        <v>4340</v>
      </c>
      <c r="C1454" t="s">
        <v>4340</v>
      </c>
      <c r="D1454" t="str">
        <f>HYPERLINK("https://zfin.org/ZDB-GENE-080215-13")</f>
        <v>https://zfin.org/ZDB-GENE-080215-13</v>
      </c>
      <c r="E1454" t="s">
        <v>4341</v>
      </c>
    </row>
    <row r="1455" spans="1:5" x14ac:dyDescent="0.2">
      <c r="A1455" t="s">
        <v>4342</v>
      </c>
      <c r="B1455" t="s">
        <v>4343</v>
      </c>
      <c r="C1455" t="s">
        <v>4343</v>
      </c>
      <c r="D1455" t="str">
        <f>HYPERLINK("https://zfin.org/ZDB-GENE-010605-5")</f>
        <v>https://zfin.org/ZDB-GENE-010605-5</v>
      </c>
      <c r="E1455" t="s">
        <v>4344</v>
      </c>
    </row>
    <row r="1456" spans="1:5" x14ac:dyDescent="0.2">
      <c r="A1456" t="s">
        <v>4345</v>
      </c>
      <c r="B1456" t="s">
        <v>4346</v>
      </c>
      <c r="C1456" t="s">
        <v>4346</v>
      </c>
      <c r="D1456" t="str">
        <f>HYPERLINK("https://zfin.org/ZDB-GENE-040426-2701")</f>
        <v>https://zfin.org/ZDB-GENE-040426-2701</v>
      </c>
      <c r="E1456" t="s">
        <v>4347</v>
      </c>
    </row>
    <row r="1457" spans="1:5" x14ac:dyDescent="0.2">
      <c r="A1457" t="s">
        <v>4348</v>
      </c>
      <c r="B1457" t="s">
        <v>4349</v>
      </c>
      <c r="C1457" t="s">
        <v>4349</v>
      </c>
      <c r="D1457" t="str">
        <f>HYPERLINK("https://zfin.org/ZDB-GENE-040718-225")</f>
        <v>https://zfin.org/ZDB-GENE-040718-225</v>
      </c>
      <c r="E1457" t="s">
        <v>4350</v>
      </c>
    </row>
    <row r="1458" spans="1:5" x14ac:dyDescent="0.2">
      <c r="A1458" t="s">
        <v>4351</v>
      </c>
      <c r="B1458" t="s">
        <v>4352</v>
      </c>
      <c r="C1458" t="s">
        <v>4352</v>
      </c>
      <c r="D1458" t="str">
        <f>HYPERLINK("https://zfin.org/ZDB-GENE-061103-88")</f>
        <v>https://zfin.org/ZDB-GENE-061103-88</v>
      </c>
      <c r="E1458" t="s">
        <v>4353</v>
      </c>
    </row>
    <row r="1459" spans="1:5" x14ac:dyDescent="0.2">
      <c r="A1459" t="s">
        <v>4354</v>
      </c>
      <c r="B1459" t="s">
        <v>4355</v>
      </c>
      <c r="C1459" t="s">
        <v>4355</v>
      </c>
      <c r="D1459" t="str">
        <f>HYPERLINK("https://zfin.org/ZDB-GENE-010306-3")</f>
        <v>https://zfin.org/ZDB-GENE-010306-3</v>
      </c>
      <c r="E1459" t="s">
        <v>4356</v>
      </c>
    </row>
    <row r="1460" spans="1:5" x14ac:dyDescent="0.2">
      <c r="A1460" t="s">
        <v>4357</v>
      </c>
      <c r="B1460" t="s">
        <v>4358</v>
      </c>
      <c r="C1460" t="s">
        <v>4358</v>
      </c>
      <c r="D1460" t="str">
        <f>HYPERLINK("https://zfin.org/ZDB-GENE-100922-143")</f>
        <v>https://zfin.org/ZDB-GENE-100922-143</v>
      </c>
      <c r="E1460" t="s">
        <v>4359</v>
      </c>
    </row>
    <row r="1461" spans="1:5" x14ac:dyDescent="0.2">
      <c r="A1461" t="s">
        <v>4360</v>
      </c>
      <c r="B1461" t="s">
        <v>4361</v>
      </c>
      <c r="C1461" t="s">
        <v>4361</v>
      </c>
      <c r="D1461" t="str">
        <f>HYPERLINK("https://zfin.org/ZDB-GENE-110914-188")</f>
        <v>https://zfin.org/ZDB-GENE-110914-188</v>
      </c>
      <c r="E1461" t="s">
        <v>4362</v>
      </c>
    </row>
    <row r="1462" spans="1:5" x14ac:dyDescent="0.2">
      <c r="A1462" t="s">
        <v>4363</v>
      </c>
      <c r="B1462" t="s">
        <v>4364</v>
      </c>
      <c r="C1462" t="s">
        <v>4364</v>
      </c>
      <c r="D1462" t="str">
        <f>HYPERLINK("https://zfin.org/ZDB-GENE-030131-5865")</f>
        <v>https://zfin.org/ZDB-GENE-030131-5865</v>
      </c>
      <c r="E1462" t="s">
        <v>4365</v>
      </c>
    </row>
    <row r="1463" spans="1:5" x14ac:dyDescent="0.2">
      <c r="A1463" t="s">
        <v>4366</v>
      </c>
      <c r="B1463" t="s">
        <v>4367</v>
      </c>
      <c r="C1463" t="s">
        <v>4367</v>
      </c>
      <c r="D1463" t="str">
        <f>HYPERLINK("https://zfin.org/ZDB-GENE-100922-73")</f>
        <v>https://zfin.org/ZDB-GENE-100922-73</v>
      </c>
      <c r="E1463" t="s">
        <v>4368</v>
      </c>
    </row>
    <row r="1464" spans="1:5" x14ac:dyDescent="0.2">
      <c r="A1464" t="s">
        <v>4369</v>
      </c>
      <c r="B1464" t="s">
        <v>4370</v>
      </c>
      <c r="C1464" t="s">
        <v>4370</v>
      </c>
      <c r="D1464" t="str">
        <f>HYPERLINK("https://zfin.org/ZDB-GENE-040426-2013")</f>
        <v>https://zfin.org/ZDB-GENE-040426-2013</v>
      </c>
      <c r="E1464" t="s">
        <v>4371</v>
      </c>
    </row>
    <row r="1465" spans="1:5" x14ac:dyDescent="0.2">
      <c r="A1465" t="s">
        <v>4372</v>
      </c>
      <c r="B1465" t="s">
        <v>4373</v>
      </c>
      <c r="C1465" t="s">
        <v>4373</v>
      </c>
      <c r="D1465" t="str">
        <f>HYPERLINK("https://zfin.org/ZDB-GENE-091204-278")</f>
        <v>https://zfin.org/ZDB-GENE-091204-278</v>
      </c>
      <c r="E1465" t="s">
        <v>4374</v>
      </c>
    </row>
    <row r="1466" spans="1:5" x14ac:dyDescent="0.2">
      <c r="A1466" t="s">
        <v>4375</v>
      </c>
      <c r="B1466" t="s">
        <v>4376</v>
      </c>
      <c r="C1466" t="s">
        <v>4376</v>
      </c>
      <c r="D1466" t="str">
        <f>HYPERLINK("https://zfin.org/ZDB-GENE-081104-293")</f>
        <v>https://zfin.org/ZDB-GENE-081104-293</v>
      </c>
      <c r="E1466" t="s">
        <v>4377</v>
      </c>
    </row>
    <row r="1467" spans="1:5" x14ac:dyDescent="0.2">
      <c r="A1467" t="s">
        <v>4378</v>
      </c>
      <c r="B1467" t="s">
        <v>4379</v>
      </c>
      <c r="C1467" t="s">
        <v>4379</v>
      </c>
      <c r="D1467" t="str">
        <f>HYPERLINK("https://zfin.org/ZDB-GENE-031116-52")</f>
        <v>https://zfin.org/ZDB-GENE-031116-52</v>
      </c>
      <c r="E1467" t="s">
        <v>4380</v>
      </c>
    </row>
    <row r="1468" spans="1:5" x14ac:dyDescent="0.2">
      <c r="A1468" t="s">
        <v>4381</v>
      </c>
      <c r="B1468" t="s">
        <v>4382</v>
      </c>
      <c r="C1468" t="s">
        <v>4382</v>
      </c>
      <c r="D1468" t="str">
        <f>HYPERLINK("https://zfin.org/ZDB-GENE-051108-1")</f>
        <v>https://zfin.org/ZDB-GENE-051108-1</v>
      </c>
      <c r="E1468" t="s">
        <v>4383</v>
      </c>
    </row>
    <row r="1469" spans="1:5" x14ac:dyDescent="0.2">
      <c r="A1469" t="s">
        <v>4384</v>
      </c>
      <c r="B1469" t="s">
        <v>4385</v>
      </c>
      <c r="C1469" t="s">
        <v>4385</v>
      </c>
      <c r="D1469" t="str">
        <f>HYPERLINK("https://zfin.org/ZDB-GENE-010724-3")</f>
        <v>https://zfin.org/ZDB-GENE-010724-3</v>
      </c>
      <c r="E1469" t="s">
        <v>4386</v>
      </c>
    </row>
    <row r="1470" spans="1:5" x14ac:dyDescent="0.2">
      <c r="A1470" t="s">
        <v>4387</v>
      </c>
      <c r="B1470" t="s">
        <v>4388</v>
      </c>
      <c r="C1470" t="s">
        <v>4388</v>
      </c>
      <c r="D1470" t="str">
        <f>HYPERLINK("https://zfin.org/ZDB-GENE-030131-1723")</f>
        <v>https://zfin.org/ZDB-GENE-030131-1723</v>
      </c>
      <c r="E1470" t="s">
        <v>4389</v>
      </c>
    </row>
    <row r="1471" spans="1:5" x14ac:dyDescent="0.2">
      <c r="A1471" t="s">
        <v>4390</v>
      </c>
      <c r="B1471" t="s">
        <v>4391</v>
      </c>
      <c r="C1471" t="s">
        <v>4391</v>
      </c>
      <c r="D1471" t="str">
        <f>HYPERLINK("https://zfin.org/ZDB-GENE-050913-105")</f>
        <v>https://zfin.org/ZDB-GENE-050913-105</v>
      </c>
      <c r="E1471" t="s">
        <v>4392</v>
      </c>
    </row>
    <row r="1472" spans="1:5" x14ac:dyDescent="0.2">
      <c r="A1472" t="s">
        <v>4393</v>
      </c>
      <c r="B1472" t="s">
        <v>4394</v>
      </c>
      <c r="C1472" t="s">
        <v>4394</v>
      </c>
      <c r="D1472" t="str">
        <f>HYPERLINK("https://zfin.org/ZDB-GENE-000210-25")</f>
        <v>https://zfin.org/ZDB-GENE-000210-25</v>
      </c>
      <c r="E1472" t="s">
        <v>4395</v>
      </c>
    </row>
    <row r="1473" spans="1:5" x14ac:dyDescent="0.2">
      <c r="A1473" t="s">
        <v>4396</v>
      </c>
      <c r="B1473" t="s">
        <v>4397</v>
      </c>
      <c r="C1473" t="s">
        <v>4397</v>
      </c>
      <c r="D1473" t="str">
        <f>HYPERLINK("https://zfin.org/ZDB-GENE-041210-73")</f>
        <v>https://zfin.org/ZDB-GENE-041210-73</v>
      </c>
      <c r="E1473" t="s">
        <v>4398</v>
      </c>
    </row>
    <row r="1474" spans="1:5" x14ac:dyDescent="0.2">
      <c r="A1474" t="s">
        <v>4399</v>
      </c>
      <c r="B1474" t="s">
        <v>4400</v>
      </c>
      <c r="C1474" t="s">
        <v>4400</v>
      </c>
      <c r="D1474" t="str">
        <f>HYPERLINK("https://zfin.org/ZDB-GENE-041008-211")</f>
        <v>https://zfin.org/ZDB-GENE-041008-211</v>
      </c>
      <c r="E1474" t="s">
        <v>4401</v>
      </c>
    </row>
    <row r="1475" spans="1:5" x14ac:dyDescent="0.2">
      <c r="A1475" t="s">
        <v>4402</v>
      </c>
      <c r="B1475" t="s">
        <v>4403</v>
      </c>
      <c r="C1475" t="s">
        <v>4403</v>
      </c>
      <c r="D1475" t="str">
        <f>HYPERLINK("https://zfin.org/ZDB-GENE-061009-52")</f>
        <v>https://zfin.org/ZDB-GENE-061009-52</v>
      </c>
      <c r="E1475" t="s">
        <v>4404</v>
      </c>
    </row>
    <row r="1476" spans="1:5" x14ac:dyDescent="0.2">
      <c r="A1476" t="s">
        <v>4405</v>
      </c>
      <c r="B1476" t="s">
        <v>4406</v>
      </c>
      <c r="C1476" t="s">
        <v>4406</v>
      </c>
      <c r="D1476" t="str">
        <f>HYPERLINK("https://zfin.org/ZDB-GENE-050428-1")</f>
        <v>https://zfin.org/ZDB-GENE-050428-1</v>
      </c>
      <c r="E1476" t="s">
        <v>4407</v>
      </c>
    </row>
    <row r="1477" spans="1:5" x14ac:dyDescent="0.2">
      <c r="A1477" t="s">
        <v>4408</v>
      </c>
      <c r="B1477" t="s">
        <v>4409</v>
      </c>
      <c r="C1477" t="s">
        <v>4409</v>
      </c>
      <c r="D1477" t="str">
        <f>HYPERLINK("https://zfin.org/ZDB-GENE-040718-346")</f>
        <v>https://zfin.org/ZDB-GENE-040718-346</v>
      </c>
      <c r="E1477" t="s">
        <v>4410</v>
      </c>
    </row>
    <row r="1478" spans="1:5" x14ac:dyDescent="0.2">
      <c r="A1478" t="s">
        <v>4411</v>
      </c>
      <c r="B1478" t="s">
        <v>4412</v>
      </c>
      <c r="C1478" t="s">
        <v>4412</v>
      </c>
      <c r="D1478" t="str">
        <f>HYPERLINK("https://zfin.org/ZDB-GENE-040718-393")</f>
        <v>https://zfin.org/ZDB-GENE-040718-393</v>
      </c>
      <c r="E1478" t="s">
        <v>4413</v>
      </c>
    </row>
    <row r="1479" spans="1:5" x14ac:dyDescent="0.2">
      <c r="A1479" t="s">
        <v>4414</v>
      </c>
      <c r="B1479" t="s">
        <v>4415</v>
      </c>
      <c r="C1479" t="s">
        <v>4415</v>
      </c>
      <c r="D1479" t="str">
        <f>HYPERLINK("https://zfin.org/ZDB-GENE-031201-3")</f>
        <v>https://zfin.org/ZDB-GENE-031201-3</v>
      </c>
      <c r="E1479" t="s">
        <v>4416</v>
      </c>
    </row>
    <row r="1480" spans="1:5" x14ac:dyDescent="0.2">
      <c r="A1480" t="s">
        <v>4417</v>
      </c>
      <c r="B1480" t="s">
        <v>4418</v>
      </c>
      <c r="C1480" t="s">
        <v>4418</v>
      </c>
      <c r="D1480" t="str">
        <f>HYPERLINK("https://zfin.org/ZDB-GENE-990415-63")</f>
        <v>https://zfin.org/ZDB-GENE-990415-63</v>
      </c>
      <c r="E1480" t="s">
        <v>4419</v>
      </c>
    </row>
    <row r="1481" spans="1:5" x14ac:dyDescent="0.2">
      <c r="A1481" t="s">
        <v>4420</v>
      </c>
      <c r="B1481" t="s">
        <v>4421</v>
      </c>
      <c r="C1481" t="s">
        <v>4421</v>
      </c>
      <c r="D1481" t="str">
        <f>HYPERLINK("https://zfin.org/ZDB-GENE-111012-3")</f>
        <v>https://zfin.org/ZDB-GENE-111012-3</v>
      </c>
      <c r="E1481" t="s">
        <v>4422</v>
      </c>
    </row>
    <row r="1482" spans="1:5" x14ac:dyDescent="0.2">
      <c r="A1482" t="s">
        <v>4423</v>
      </c>
      <c r="B1482" t="s">
        <v>4424</v>
      </c>
      <c r="C1482" t="s">
        <v>4424</v>
      </c>
      <c r="D1482" t="str">
        <f>HYPERLINK("https://zfin.org/ZDB-GENE-990714-3")</f>
        <v>https://zfin.org/ZDB-GENE-990714-3</v>
      </c>
      <c r="E1482" t="s">
        <v>4425</v>
      </c>
    </row>
    <row r="1483" spans="1:5" x14ac:dyDescent="0.2">
      <c r="A1483" t="s">
        <v>4426</v>
      </c>
      <c r="B1483" t="s">
        <v>4427</v>
      </c>
      <c r="C1483" t="s">
        <v>4427</v>
      </c>
      <c r="D1483" t="str">
        <f>HYPERLINK("https://zfin.org/ZDB-GENE-081022-43")</f>
        <v>https://zfin.org/ZDB-GENE-081022-43</v>
      </c>
      <c r="E1483" t="s">
        <v>4428</v>
      </c>
    </row>
    <row r="1484" spans="1:5" x14ac:dyDescent="0.2">
      <c r="A1484" t="s">
        <v>4429</v>
      </c>
      <c r="B1484" t="s">
        <v>4430</v>
      </c>
      <c r="C1484" t="s">
        <v>4430</v>
      </c>
      <c r="D1484" t="str">
        <f>HYPERLINK("https://zfin.org/ZDB-GENE-041210-130")</f>
        <v>https://zfin.org/ZDB-GENE-041210-130</v>
      </c>
      <c r="E1484" t="s">
        <v>4431</v>
      </c>
    </row>
    <row r="1485" spans="1:5" x14ac:dyDescent="0.2">
      <c r="A1485" t="s">
        <v>4432</v>
      </c>
      <c r="B1485" t="s">
        <v>4433</v>
      </c>
      <c r="C1485" t="s">
        <v>4433</v>
      </c>
      <c r="D1485" t="str">
        <f>HYPERLINK("https://zfin.org/ZDB-GENE-040426-2764")</f>
        <v>https://zfin.org/ZDB-GENE-040426-2764</v>
      </c>
      <c r="E1485" t="s">
        <v>4434</v>
      </c>
    </row>
    <row r="1486" spans="1:5" x14ac:dyDescent="0.2">
      <c r="A1486" t="s">
        <v>4435</v>
      </c>
      <c r="B1486" t="s">
        <v>4436</v>
      </c>
      <c r="C1486" t="s">
        <v>4436</v>
      </c>
      <c r="D1486" t="str">
        <f>HYPERLINK("https://zfin.org/ZDB-GENE-080220-22")</f>
        <v>https://zfin.org/ZDB-GENE-080220-22</v>
      </c>
      <c r="E1486" t="s">
        <v>4437</v>
      </c>
    </row>
    <row r="1487" spans="1:5" x14ac:dyDescent="0.2">
      <c r="A1487" t="s">
        <v>4438</v>
      </c>
      <c r="B1487" t="s">
        <v>4439</v>
      </c>
      <c r="C1487" t="s">
        <v>4439</v>
      </c>
      <c r="D1487" t="str">
        <f>HYPERLINK("https://zfin.org/ZDB-GENE-060429-1")</f>
        <v>https://zfin.org/ZDB-GENE-060429-1</v>
      </c>
      <c r="E1487" t="s">
        <v>4440</v>
      </c>
    </row>
    <row r="1488" spans="1:5" x14ac:dyDescent="0.2">
      <c r="A1488" t="s">
        <v>4441</v>
      </c>
      <c r="B1488" t="s">
        <v>4442</v>
      </c>
      <c r="C1488" t="s">
        <v>4442</v>
      </c>
      <c r="D1488" t="str">
        <f>HYPERLINK("https://zfin.org/ZDB-GENE-060929-32")</f>
        <v>https://zfin.org/ZDB-GENE-060929-32</v>
      </c>
      <c r="E1488" t="s">
        <v>4443</v>
      </c>
    </row>
    <row r="1489" spans="1:5" x14ac:dyDescent="0.2">
      <c r="A1489" t="s">
        <v>4444</v>
      </c>
      <c r="B1489" t="s">
        <v>4445</v>
      </c>
      <c r="C1489" t="s">
        <v>4445</v>
      </c>
      <c r="D1489" t="str">
        <f>HYPERLINK("https://zfin.org/ZDB-GENE-030131-3217")</f>
        <v>https://zfin.org/ZDB-GENE-030131-3217</v>
      </c>
      <c r="E1489" t="s">
        <v>4446</v>
      </c>
    </row>
    <row r="1490" spans="1:5" x14ac:dyDescent="0.2">
      <c r="A1490" t="s">
        <v>4447</v>
      </c>
      <c r="B1490" t="s">
        <v>4448</v>
      </c>
      <c r="C1490" t="s">
        <v>4448</v>
      </c>
      <c r="D1490" t="str">
        <f>HYPERLINK("https://zfin.org/ZDB-GENE-050320-13")</f>
        <v>https://zfin.org/ZDB-GENE-050320-13</v>
      </c>
      <c r="E1490" t="s">
        <v>4449</v>
      </c>
    </row>
    <row r="1491" spans="1:5" x14ac:dyDescent="0.2">
      <c r="A1491" t="s">
        <v>4450</v>
      </c>
      <c r="B1491" t="s">
        <v>4451</v>
      </c>
      <c r="C1491" t="s">
        <v>4451</v>
      </c>
      <c r="D1491" t="str">
        <f>HYPERLINK("https://zfin.org/ZDB-GENE-050309-102")</f>
        <v>https://zfin.org/ZDB-GENE-050309-102</v>
      </c>
      <c r="E1491" t="s">
        <v>4452</v>
      </c>
    </row>
    <row r="1492" spans="1:5" x14ac:dyDescent="0.2">
      <c r="A1492" t="s">
        <v>4453</v>
      </c>
      <c r="B1492" t="s">
        <v>4454</v>
      </c>
      <c r="C1492" t="s">
        <v>4454</v>
      </c>
      <c r="D1492" t="str">
        <f>HYPERLINK("https://zfin.org/ZDB-GENE-070521-2")</f>
        <v>https://zfin.org/ZDB-GENE-070521-2</v>
      </c>
      <c r="E1492" t="s">
        <v>4455</v>
      </c>
    </row>
    <row r="1493" spans="1:5" x14ac:dyDescent="0.2">
      <c r="A1493" t="s">
        <v>4456</v>
      </c>
      <c r="B1493" t="s">
        <v>4457</v>
      </c>
      <c r="C1493" t="s">
        <v>4457</v>
      </c>
      <c r="D1493" t="str">
        <f>HYPERLINK("https://zfin.org/ZDB-GENE-030131-4694")</f>
        <v>https://zfin.org/ZDB-GENE-030131-4694</v>
      </c>
      <c r="E1493" t="s">
        <v>4458</v>
      </c>
    </row>
    <row r="1494" spans="1:5" x14ac:dyDescent="0.2">
      <c r="A1494" t="s">
        <v>4459</v>
      </c>
      <c r="B1494" t="s">
        <v>4460</v>
      </c>
      <c r="C1494" t="s">
        <v>4460</v>
      </c>
      <c r="D1494" t="str">
        <f>HYPERLINK("https://zfin.org/ZDB-GENE-040805-1")</f>
        <v>https://zfin.org/ZDB-GENE-040805-1</v>
      </c>
      <c r="E1494" t="s">
        <v>4461</v>
      </c>
    </row>
    <row r="1495" spans="1:5" x14ac:dyDescent="0.2">
      <c r="A1495" t="s">
        <v>4462</v>
      </c>
      <c r="B1495" t="s">
        <v>4463</v>
      </c>
      <c r="C1495" t="s">
        <v>4463</v>
      </c>
      <c r="D1495" t="str">
        <f>HYPERLINK("https://zfin.org/ZDB-GENE-110913-87")</f>
        <v>https://zfin.org/ZDB-GENE-110913-87</v>
      </c>
      <c r="E1495" t="s">
        <v>4464</v>
      </c>
    </row>
    <row r="1496" spans="1:5" x14ac:dyDescent="0.2">
      <c r="A1496" t="s">
        <v>4465</v>
      </c>
      <c r="B1496" t="s">
        <v>4466</v>
      </c>
      <c r="C1496" t="s">
        <v>4466</v>
      </c>
      <c r="D1496" t="str">
        <f>HYPERLINK("https://zfin.org/ZDB-GENE-040426-1745")</f>
        <v>https://zfin.org/ZDB-GENE-040426-1745</v>
      </c>
      <c r="E1496" t="s">
        <v>4467</v>
      </c>
    </row>
    <row r="1497" spans="1:5" x14ac:dyDescent="0.2">
      <c r="A1497" t="s">
        <v>4468</v>
      </c>
      <c r="B1497" t="s">
        <v>4469</v>
      </c>
      <c r="C1497" t="s">
        <v>4469</v>
      </c>
      <c r="D1497" t="str">
        <f>HYPERLINK("https://zfin.org/ZDB-GENE-041008-161")</f>
        <v>https://zfin.org/ZDB-GENE-041008-161</v>
      </c>
      <c r="E1497" t="s">
        <v>4470</v>
      </c>
    </row>
    <row r="1498" spans="1:5" x14ac:dyDescent="0.2">
      <c r="A1498" t="s">
        <v>4471</v>
      </c>
      <c r="B1498" t="s">
        <v>4472</v>
      </c>
      <c r="C1498" t="s">
        <v>4472</v>
      </c>
      <c r="D1498" t="str">
        <f>HYPERLINK("https://zfin.org/ZDB-GENE-040801-32")</f>
        <v>https://zfin.org/ZDB-GENE-040801-32</v>
      </c>
      <c r="E1498" t="s">
        <v>4473</v>
      </c>
    </row>
    <row r="1499" spans="1:5" x14ac:dyDescent="0.2">
      <c r="A1499" t="s">
        <v>4474</v>
      </c>
      <c r="B1499" t="s">
        <v>4475</v>
      </c>
      <c r="C1499" t="s">
        <v>4475</v>
      </c>
      <c r="D1499" t="str">
        <f>HYPERLINK("https://zfin.org/ZDB-GENE-141216-165")</f>
        <v>https://zfin.org/ZDB-GENE-141216-165</v>
      </c>
      <c r="E1499" t="s">
        <v>4476</v>
      </c>
    </row>
    <row r="1500" spans="1:5" x14ac:dyDescent="0.2">
      <c r="A1500" t="s">
        <v>4477</v>
      </c>
      <c r="B1500" t="s">
        <v>4478</v>
      </c>
      <c r="C1500" t="s">
        <v>4478</v>
      </c>
      <c r="D1500" t="str">
        <f>HYPERLINK("https://zfin.org/ZDB-GENE-040724-254")</f>
        <v>https://zfin.org/ZDB-GENE-040724-254</v>
      </c>
      <c r="E1500" t="s">
        <v>4479</v>
      </c>
    </row>
    <row r="1501" spans="1:5" x14ac:dyDescent="0.2">
      <c r="A1501" t="s">
        <v>4480</v>
      </c>
      <c r="B1501" t="s">
        <v>4481</v>
      </c>
      <c r="C1501" t="s">
        <v>4481</v>
      </c>
      <c r="D1501" t="str">
        <f>HYPERLINK("https://zfin.org/ZDB-GENE-050512-1")</f>
        <v>https://zfin.org/ZDB-GENE-050512-1</v>
      </c>
      <c r="E1501" t="s">
        <v>4482</v>
      </c>
    </row>
    <row r="1502" spans="1:5" x14ac:dyDescent="0.2">
      <c r="A1502" t="s">
        <v>4483</v>
      </c>
      <c r="B1502" t="s">
        <v>4484</v>
      </c>
      <c r="C1502" t="s">
        <v>4484</v>
      </c>
      <c r="D1502" t="str">
        <f>HYPERLINK("https://zfin.org/ZDB-GENE-030826-19")</f>
        <v>https://zfin.org/ZDB-GENE-030826-19</v>
      </c>
      <c r="E1502" t="s">
        <v>4485</v>
      </c>
    </row>
    <row r="1503" spans="1:5" x14ac:dyDescent="0.2">
      <c r="A1503" t="s">
        <v>4486</v>
      </c>
      <c r="B1503" t="s">
        <v>4487</v>
      </c>
      <c r="C1503" t="s">
        <v>4487</v>
      </c>
      <c r="D1503" t="str">
        <f>HYPERLINK("https://zfin.org/ZDB-GENE-100901-1")</f>
        <v>https://zfin.org/ZDB-GENE-100901-1</v>
      </c>
      <c r="E1503" t="s">
        <v>4488</v>
      </c>
    </row>
    <row r="1504" spans="1:5" x14ac:dyDescent="0.2">
      <c r="A1504" t="s">
        <v>4489</v>
      </c>
      <c r="B1504" t="s">
        <v>4490</v>
      </c>
      <c r="C1504" t="s">
        <v>4490</v>
      </c>
      <c r="D1504" t="str">
        <f>HYPERLINK("https://zfin.org/ZDB-GENE-030131-5306")</f>
        <v>https://zfin.org/ZDB-GENE-030131-5306</v>
      </c>
      <c r="E1504" t="s">
        <v>4491</v>
      </c>
    </row>
    <row r="1505" spans="1:5" x14ac:dyDescent="0.2">
      <c r="A1505" t="s">
        <v>4492</v>
      </c>
      <c r="B1505" t="s">
        <v>4493</v>
      </c>
      <c r="C1505" t="s">
        <v>4493</v>
      </c>
      <c r="D1505" t="str">
        <f>HYPERLINK("https://zfin.org/ZDB-GENE-041010-117")</f>
        <v>https://zfin.org/ZDB-GENE-041010-117</v>
      </c>
      <c r="E1505" t="s">
        <v>4494</v>
      </c>
    </row>
    <row r="1506" spans="1:5" x14ac:dyDescent="0.2">
      <c r="A1506" t="s">
        <v>4495</v>
      </c>
      <c r="B1506" t="s">
        <v>4496</v>
      </c>
      <c r="C1506" t="s">
        <v>4496</v>
      </c>
      <c r="D1506" t="str">
        <f>HYPERLINK("https://zfin.org/ZDB-GENE-050522-154")</f>
        <v>https://zfin.org/ZDB-GENE-050522-154</v>
      </c>
      <c r="E1506" t="s">
        <v>4497</v>
      </c>
    </row>
    <row r="1507" spans="1:5" x14ac:dyDescent="0.2">
      <c r="A1507" t="s">
        <v>4498</v>
      </c>
      <c r="B1507" t="s">
        <v>4499</v>
      </c>
      <c r="C1507" t="s">
        <v>4499</v>
      </c>
      <c r="D1507" t="str">
        <f>HYPERLINK("https://zfin.org/ZDB-GENE-060531-162")</f>
        <v>https://zfin.org/ZDB-GENE-060531-162</v>
      </c>
      <c r="E1507" t="s">
        <v>4500</v>
      </c>
    </row>
    <row r="1508" spans="1:5" x14ac:dyDescent="0.2">
      <c r="A1508" t="s">
        <v>4501</v>
      </c>
      <c r="B1508" t="s">
        <v>4502</v>
      </c>
      <c r="C1508" t="s">
        <v>4502</v>
      </c>
      <c r="D1508" t="str">
        <f>HYPERLINK("https://zfin.org/ZDB-GENE-060803-1")</f>
        <v>https://zfin.org/ZDB-GENE-060803-1</v>
      </c>
      <c r="E1508" t="s">
        <v>4503</v>
      </c>
    </row>
    <row r="1509" spans="1:5" x14ac:dyDescent="0.2">
      <c r="A1509" t="s">
        <v>4504</v>
      </c>
      <c r="B1509" t="s">
        <v>4505</v>
      </c>
      <c r="C1509" t="s">
        <v>4505</v>
      </c>
      <c r="D1509" t="str">
        <f>HYPERLINK("https://zfin.org/ZDB-GENE-081107-49")</f>
        <v>https://zfin.org/ZDB-GENE-081107-49</v>
      </c>
      <c r="E1509" t="s">
        <v>4506</v>
      </c>
    </row>
    <row r="1510" spans="1:5" x14ac:dyDescent="0.2">
      <c r="A1510" t="s">
        <v>4507</v>
      </c>
      <c r="B1510" t="s">
        <v>4508</v>
      </c>
      <c r="C1510" t="s">
        <v>4508</v>
      </c>
      <c r="D1510" t="str">
        <f>HYPERLINK("https://zfin.org/ZDB-GENE-070424-5")</f>
        <v>https://zfin.org/ZDB-GENE-070424-5</v>
      </c>
      <c r="E1510" t="s">
        <v>4509</v>
      </c>
    </row>
    <row r="1511" spans="1:5" x14ac:dyDescent="0.2">
      <c r="A1511" t="s">
        <v>4510</v>
      </c>
      <c r="B1511" t="s">
        <v>4511</v>
      </c>
      <c r="C1511" t="s">
        <v>4511</v>
      </c>
      <c r="D1511" t="str">
        <f>HYPERLINK("https://zfin.org/ZDB-GENE-070705-182")</f>
        <v>https://zfin.org/ZDB-GENE-070705-182</v>
      </c>
      <c r="E1511" t="s">
        <v>4512</v>
      </c>
    </row>
    <row r="1512" spans="1:5" x14ac:dyDescent="0.2">
      <c r="A1512" t="s">
        <v>4513</v>
      </c>
      <c r="B1512" t="s">
        <v>4514</v>
      </c>
      <c r="C1512" t="s">
        <v>4514</v>
      </c>
      <c r="D1512" t="str">
        <f>HYPERLINK("https://zfin.org/ZDB-GENE-050417-101")</f>
        <v>https://zfin.org/ZDB-GENE-050417-101</v>
      </c>
      <c r="E1512" t="s">
        <v>4515</v>
      </c>
    </row>
    <row r="1513" spans="1:5" x14ac:dyDescent="0.2">
      <c r="A1513" t="s">
        <v>4516</v>
      </c>
      <c r="B1513" t="s">
        <v>4517</v>
      </c>
      <c r="C1513" t="s">
        <v>4517</v>
      </c>
      <c r="D1513" t="str">
        <f>HYPERLINK("https://zfin.org/ZDB-GENE-990621-1")</f>
        <v>https://zfin.org/ZDB-GENE-990621-1</v>
      </c>
      <c r="E1513" t="s">
        <v>4518</v>
      </c>
    </row>
    <row r="1514" spans="1:5" x14ac:dyDescent="0.2">
      <c r="A1514" t="s">
        <v>4519</v>
      </c>
      <c r="B1514" t="s">
        <v>4520</v>
      </c>
      <c r="C1514" t="s">
        <v>4520</v>
      </c>
      <c r="D1514" t="str">
        <f>HYPERLINK("https://zfin.org/ZDB-GENE-070424-81")</f>
        <v>https://zfin.org/ZDB-GENE-070424-81</v>
      </c>
      <c r="E1514" t="s">
        <v>4521</v>
      </c>
    </row>
    <row r="1515" spans="1:5" x14ac:dyDescent="0.2">
      <c r="A1515" t="s">
        <v>4522</v>
      </c>
      <c r="B1515" t="s">
        <v>4523</v>
      </c>
      <c r="C1515" t="s">
        <v>4523</v>
      </c>
      <c r="D1515" t="str">
        <f>HYPERLINK("https://zfin.org/ZDB-GENE-010320-1")</f>
        <v>https://zfin.org/ZDB-GENE-010320-1</v>
      </c>
      <c r="E1515" t="s">
        <v>4524</v>
      </c>
    </row>
    <row r="1516" spans="1:5" x14ac:dyDescent="0.2">
      <c r="A1516" t="s">
        <v>4525</v>
      </c>
      <c r="B1516" t="s">
        <v>4526</v>
      </c>
      <c r="C1516" t="s">
        <v>4526</v>
      </c>
      <c r="D1516" t="str">
        <f>HYPERLINK("https://zfin.org/ZDB-GENE-070912-449")</f>
        <v>https://zfin.org/ZDB-GENE-070912-449</v>
      </c>
      <c r="E1516" t="s">
        <v>4527</v>
      </c>
    </row>
    <row r="1517" spans="1:5" x14ac:dyDescent="0.2">
      <c r="A1517" t="s">
        <v>4528</v>
      </c>
      <c r="B1517" t="s">
        <v>4529</v>
      </c>
      <c r="C1517" t="s">
        <v>4529</v>
      </c>
      <c r="D1517" t="str">
        <f>HYPERLINK("https://zfin.org/ZDB-GENE-040426-1716")</f>
        <v>https://zfin.org/ZDB-GENE-040426-1716</v>
      </c>
      <c r="E1517" t="s">
        <v>4530</v>
      </c>
    </row>
    <row r="1518" spans="1:5" x14ac:dyDescent="0.2">
      <c r="A1518" t="s">
        <v>4531</v>
      </c>
      <c r="B1518" t="s">
        <v>4532</v>
      </c>
      <c r="C1518" t="s">
        <v>4532</v>
      </c>
      <c r="D1518" t="str">
        <f>HYPERLINK("https://zfin.org/ZDB-GENE-131127-441")</f>
        <v>https://zfin.org/ZDB-GENE-131127-441</v>
      </c>
      <c r="E1518" t="s">
        <v>4533</v>
      </c>
    </row>
    <row r="1519" spans="1:5" x14ac:dyDescent="0.2">
      <c r="A1519" t="s">
        <v>4534</v>
      </c>
      <c r="B1519" t="s">
        <v>4535</v>
      </c>
      <c r="C1519" t="s">
        <v>4535</v>
      </c>
      <c r="D1519" t="str">
        <f>HYPERLINK("https://zfin.org/ZDB-GENE-030729-15")</f>
        <v>https://zfin.org/ZDB-GENE-030729-15</v>
      </c>
      <c r="E1519" t="s">
        <v>4536</v>
      </c>
    </row>
    <row r="1520" spans="1:5" x14ac:dyDescent="0.2">
      <c r="A1520" t="s">
        <v>4537</v>
      </c>
      <c r="B1520" t="s">
        <v>4538</v>
      </c>
      <c r="C1520" t="s">
        <v>4538</v>
      </c>
      <c r="D1520" t="str">
        <f>HYPERLINK("https://zfin.org/ZDB-GENE-060503-427")</f>
        <v>https://zfin.org/ZDB-GENE-060503-427</v>
      </c>
      <c r="E1520" t="s">
        <v>4539</v>
      </c>
    </row>
    <row r="1521" spans="1:5" x14ac:dyDescent="0.2">
      <c r="A1521" t="s">
        <v>4540</v>
      </c>
      <c r="B1521" t="s">
        <v>4541</v>
      </c>
      <c r="C1521" t="s">
        <v>4541</v>
      </c>
      <c r="D1521" t="str">
        <f>HYPERLINK("https://zfin.org/ZDB-GENE-021031-3")</f>
        <v>https://zfin.org/ZDB-GENE-021031-3</v>
      </c>
      <c r="E1521" t="s">
        <v>4542</v>
      </c>
    </row>
    <row r="1522" spans="1:5" x14ac:dyDescent="0.2">
      <c r="A1522" t="s">
        <v>4543</v>
      </c>
      <c r="B1522" t="s">
        <v>4544</v>
      </c>
      <c r="C1522" t="s">
        <v>4544</v>
      </c>
      <c r="D1522" t="str">
        <f>HYPERLINK("https://zfin.org/ZDB-GENE-040718-378")</f>
        <v>https://zfin.org/ZDB-GENE-040718-378</v>
      </c>
      <c r="E1522" t="s">
        <v>4545</v>
      </c>
    </row>
    <row r="1523" spans="1:5" x14ac:dyDescent="0.2">
      <c r="A1523" t="s">
        <v>4546</v>
      </c>
      <c r="B1523" t="s">
        <v>4547</v>
      </c>
      <c r="C1523" t="s">
        <v>4547</v>
      </c>
      <c r="D1523" t="str">
        <f>HYPERLINK("https://zfin.org/ZDB-GENE-030131-5395")</f>
        <v>https://zfin.org/ZDB-GENE-030131-5395</v>
      </c>
      <c r="E1523" t="s">
        <v>4548</v>
      </c>
    </row>
    <row r="1524" spans="1:5" x14ac:dyDescent="0.2">
      <c r="A1524" t="s">
        <v>4549</v>
      </c>
      <c r="B1524" t="s">
        <v>4550</v>
      </c>
      <c r="C1524" t="s">
        <v>4550</v>
      </c>
      <c r="D1524" t="str">
        <f>HYPERLINK("https://zfin.org/ZDB-GENE-060526-4")</f>
        <v>https://zfin.org/ZDB-GENE-060526-4</v>
      </c>
      <c r="E1524" t="s">
        <v>4551</v>
      </c>
    </row>
    <row r="1525" spans="1:5" x14ac:dyDescent="0.2">
      <c r="A1525" t="s">
        <v>4552</v>
      </c>
      <c r="B1525" t="s">
        <v>4553</v>
      </c>
      <c r="C1525" t="s">
        <v>4553</v>
      </c>
      <c r="D1525" t="str">
        <f>HYPERLINK("https://zfin.org/ZDB-GENE-030131-4791")</f>
        <v>https://zfin.org/ZDB-GENE-030131-4791</v>
      </c>
      <c r="E1525" t="s">
        <v>4554</v>
      </c>
    </row>
    <row r="1526" spans="1:5" x14ac:dyDescent="0.2">
      <c r="A1526" t="s">
        <v>4555</v>
      </c>
      <c r="B1526" t="s">
        <v>4556</v>
      </c>
      <c r="C1526" t="s">
        <v>4556</v>
      </c>
      <c r="D1526" t="str">
        <f>HYPERLINK("https://zfin.org/ZDB-GENE-141219-42")</f>
        <v>https://zfin.org/ZDB-GENE-141219-42</v>
      </c>
      <c r="E1526" t="s">
        <v>4557</v>
      </c>
    </row>
    <row r="1527" spans="1:5" x14ac:dyDescent="0.2">
      <c r="A1527" t="s">
        <v>4558</v>
      </c>
      <c r="B1527" t="s">
        <v>4559</v>
      </c>
      <c r="C1527" t="s">
        <v>4559</v>
      </c>
      <c r="D1527" t="str">
        <f>HYPERLINK("https://zfin.org/ZDB-GENE-030616-226")</f>
        <v>https://zfin.org/ZDB-GENE-030616-226</v>
      </c>
      <c r="E1527" t="s">
        <v>4560</v>
      </c>
    </row>
    <row r="1528" spans="1:5" x14ac:dyDescent="0.2">
      <c r="A1528" t="s">
        <v>4561</v>
      </c>
      <c r="B1528" t="s">
        <v>4562</v>
      </c>
      <c r="C1528" t="s">
        <v>4562</v>
      </c>
      <c r="D1528" t="str">
        <f>HYPERLINK("https://zfin.org/ZDB-GENE-030131-1361")</f>
        <v>https://zfin.org/ZDB-GENE-030131-1361</v>
      </c>
      <c r="E1528" t="s">
        <v>4563</v>
      </c>
    </row>
    <row r="1529" spans="1:5" x14ac:dyDescent="0.2">
      <c r="A1529" t="s">
        <v>4564</v>
      </c>
      <c r="B1529" t="s">
        <v>4565</v>
      </c>
      <c r="C1529" t="s">
        <v>4565</v>
      </c>
      <c r="D1529" t="str">
        <f>HYPERLINK("https://zfin.org/ZDB-GENE-050227-21")</f>
        <v>https://zfin.org/ZDB-GENE-050227-21</v>
      </c>
      <c r="E1529" t="s">
        <v>4566</v>
      </c>
    </row>
    <row r="1530" spans="1:5" x14ac:dyDescent="0.2">
      <c r="A1530" t="s">
        <v>4567</v>
      </c>
      <c r="B1530" t="s">
        <v>4568</v>
      </c>
      <c r="C1530" t="s">
        <v>4568</v>
      </c>
      <c r="D1530" t="str">
        <f>HYPERLINK("https://zfin.org/ZDB-GENE-040122-3")</f>
        <v>https://zfin.org/ZDB-GENE-040122-3</v>
      </c>
      <c r="E1530" t="s">
        <v>4569</v>
      </c>
    </row>
    <row r="1531" spans="1:5" x14ac:dyDescent="0.2">
      <c r="A1531" t="s">
        <v>4570</v>
      </c>
      <c r="B1531" t="s">
        <v>4571</v>
      </c>
      <c r="C1531" t="s">
        <v>4571</v>
      </c>
      <c r="D1531" t="str">
        <f>HYPERLINK("https://zfin.org/ZDB-GENE-030131-4748")</f>
        <v>https://zfin.org/ZDB-GENE-030131-4748</v>
      </c>
      <c r="E1531" t="s">
        <v>4572</v>
      </c>
    </row>
    <row r="1532" spans="1:5" x14ac:dyDescent="0.2">
      <c r="A1532" t="s">
        <v>4573</v>
      </c>
      <c r="B1532" t="s">
        <v>4574</v>
      </c>
      <c r="C1532" t="s">
        <v>4574</v>
      </c>
      <c r="D1532" t="str">
        <f>HYPERLINK("https://zfin.org/ZDB-GENE-040426-1332")</f>
        <v>https://zfin.org/ZDB-GENE-040426-1332</v>
      </c>
      <c r="E1532" t="s">
        <v>4575</v>
      </c>
    </row>
    <row r="1533" spans="1:5" x14ac:dyDescent="0.2">
      <c r="A1533" t="s">
        <v>4576</v>
      </c>
      <c r="B1533" t="s">
        <v>4577</v>
      </c>
      <c r="C1533" t="s">
        <v>4577</v>
      </c>
      <c r="D1533" t="str">
        <f>HYPERLINK("https://zfin.org/ZDB-GENE-030131-787")</f>
        <v>https://zfin.org/ZDB-GENE-030131-787</v>
      </c>
      <c r="E1533" t="s">
        <v>4578</v>
      </c>
    </row>
    <row r="1534" spans="1:5" x14ac:dyDescent="0.2">
      <c r="A1534" t="s">
        <v>4579</v>
      </c>
      <c r="B1534" t="s">
        <v>4580</v>
      </c>
      <c r="C1534" t="s">
        <v>4580</v>
      </c>
      <c r="D1534" t="str">
        <f>HYPERLINK("https://zfin.org/ZDB-GENE-041210-132")</f>
        <v>https://zfin.org/ZDB-GENE-041210-132</v>
      </c>
      <c r="E1534" t="s">
        <v>4581</v>
      </c>
    </row>
    <row r="1535" spans="1:5" x14ac:dyDescent="0.2">
      <c r="A1535" t="s">
        <v>4582</v>
      </c>
      <c r="B1535" t="s">
        <v>4583</v>
      </c>
      <c r="C1535" t="s">
        <v>4583</v>
      </c>
      <c r="D1535" t="str">
        <f>HYPERLINK("https://zfin.org/ZDB-GENE-070705-176")</f>
        <v>https://zfin.org/ZDB-GENE-070705-176</v>
      </c>
      <c r="E1535" t="s">
        <v>4584</v>
      </c>
    </row>
    <row r="1536" spans="1:5" x14ac:dyDescent="0.2">
      <c r="A1536" t="s">
        <v>4585</v>
      </c>
      <c r="B1536" t="s">
        <v>4586</v>
      </c>
      <c r="C1536" t="s">
        <v>4586</v>
      </c>
      <c r="D1536" t="str">
        <f>HYPERLINK("https://zfin.org/ZDB-GENE-050522-256")</f>
        <v>https://zfin.org/ZDB-GENE-050522-256</v>
      </c>
      <c r="E1536" t="s">
        <v>4587</v>
      </c>
    </row>
    <row r="1537" spans="1:5" x14ac:dyDescent="0.2">
      <c r="A1537" t="s">
        <v>4588</v>
      </c>
      <c r="B1537" t="s">
        <v>4589</v>
      </c>
      <c r="C1537" t="s">
        <v>4589</v>
      </c>
      <c r="D1537" t="str">
        <f>HYPERLINK("https://zfin.org/ZDB-GENE-030131-6069")</f>
        <v>https://zfin.org/ZDB-GENE-030131-6069</v>
      </c>
      <c r="E1537" t="s">
        <v>4590</v>
      </c>
    </row>
    <row r="1538" spans="1:5" x14ac:dyDescent="0.2">
      <c r="A1538" t="s">
        <v>4591</v>
      </c>
      <c r="B1538" t="s">
        <v>4592</v>
      </c>
      <c r="C1538" t="s">
        <v>4592</v>
      </c>
      <c r="D1538" t="str">
        <f>HYPERLINK("https://zfin.org/ZDB-GENE-040625-7")</f>
        <v>https://zfin.org/ZDB-GENE-040625-7</v>
      </c>
      <c r="E1538" t="s">
        <v>4593</v>
      </c>
    </row>
    <row r="1539" spans="1:5" x14ac:dyDescent="0.2">
      <c r="A1539" t="s">
        <v>4594</v>
      </c>
      <c r="B1539" t="s">
        <v>4595</v>
      </c>
      <c r="C1539" t="s">
        <v>4595</v>
      </c>
      <c r="D1539" t="str">
        <f>HYPERLINK("https://zfin.org/ZDB-GENE-030131-439")</f>
        <v>https://zfin.org/ZDB-GENE-030131-439</v>
      </c>
      <c r="E1539" t="s">
        <v>4596</v>
      </c>
    </row>
    <row r="1540" spans="1:5" x14ac:dyDescent="0.2">
      <c r="A1540" t="s">
        <v>4597</v>
      </c>
      <c r="B1540" t="s">
        <v>4598</v>
      </c>
      <c r="C1540" t="s">
        <v>4598</v>
      </c>
      <c r="D1540" t="str">
        <f>HYPERLINK("https://zfin.org/ZDB-GENE-040718-14")</f>
        <v>https://zfin.org/ZDB-GENE-040718-14</v>
      </c>
      <c r="E1540" t="s">
        <v>4599</v>
      </c>
    </row>
    <row r="1541" spans="1:5" x14ac:dyDescent="0.2">
      <c r="A1541" t="s">
        <v>4600</v>
      </c>
      <c r="B1541" t="s">
        <v>4601</v>
      </c>
      <c r="C1541" t="s">
        <v>4601</v>
      </c>
      <c r="D1541" t="str">
        <f>HYPERLINK("https://zfin.org/ZDB-GENE-000411-1")</f>
        <v>https://zfin.org/ZDB-GENE-000411-1</v>
      </c>
      <c r="E1541" t="s">
        <v>4602</v>
      </c>
    </row>
    <row r="1542" spans="1:5" x14ac:dyDescent="0.2">
      <c r="A1542" t="s">
        <v>4603</v>
      </c>
      <c r="B1542" t="s">
        <v>4604</v>
      </c>
      <c r="C1542" t="s">
        <v>4604</v>
      </c>
      <c r="D1542" t="str">
        <f>HYPERLINK("https://zfin.org/ZDB-GENE-050808-2")</f>
        <v>https://zfin.org/ZDB-GENE-050808-2</v>
      </c>
      <c r="E1542" t="s">
        <v>4605</v>
      </c>
    </row>
    <row r="1543" spans="1:5" x14ac:dyDescent="0.2">
      <c r="A1543" t="s">
        <v>4606</v>
      </c>
      <c r="B1543" t="s">
        <v>4607</v>
      </c>
      <c r="C1543" t="s">
        <v>4607</v>
      </c>
      <c r="D1543" t="str">
        <f>HYPERLINK("https://zfin.org/ZDB-GENE-100922-259")</f>
        <v>https://zfin.org/ZDB-GENE-100922-259</v>
      </c>
      <c r="E1543" t="s">
        <v>4608</v>
      </c>
    </row>
    <row r="1544" spans="1:5" x14ac:dyDescent="0.2">
      <c r="A1544" t="s">
        <v>4609</v>
      </c>
      <c r="B1544" t="s">
        <v>4610</v>
      </c>
      <c r="C1544" t="s">
        <v>4610</v>
      </c>
      <c r="D1544" t="str">
        <f>HYPERLINK("https://zfin.org/ZDB-GENE-030131-8575")</f>
        <v>https://zfin.org/ZDB-GENE-030131-8575</v>
      </c>
      <c r="E1544" t="s">
        <v>4611</v>
      </c>
    </row>
    <row r="1545" spans="1:5" x14ac:dyDescent="0.2">
      <c r="A1545" t="s">
        <v>4612</v>
      </c>
      <c r="B1545" t="s">
        <v>4613</v>
      </c>
      <c r="C1545" t="s">
        <v>4613</v>
      </c>
      <c r="D1545" t="str">
        <f>HYPERLINK("https://zfin.org/ZDB-GENE-031118-20")</f>
        <v>https://zfin.org/ZDB-GENE-031118-20</v>
      </c>
      <c r="E1545" t="s">
        <v>4614</v>
      </c>
    </row>
    <row r="1546" spans="1:5" x14ac:dyDescent="0.2">
      <c r="A1546" t="s">
        <v>4615</v>
      </c>
      <c r="B1546" t="s">
        <v>4616</v>
      </c>
      <c r="C1546" t="s">
        <v>4616</v>
      </c>
      <c r="D1546" t="str">
        <f>HYPERLINK("https://zfin.org/ZDB-GENE-030910-4")</f>
        <v>https://zfin.org/ZDB-GENE-030910-4</v>
      </c>
      <c r="E1546" t="s">
        <v>4617</v>
      </c>
    </row>
    <row r="1547" spans="1:5" x14ac:dyDescent="0.2">
      <c r="A1547" t="s">
        <v>4618</v>
      </c>
      <c r="B1547" t="s">
        <v>4619</v>
      </c>
      <c r="C1547" t="s">
        <v>4619</v>
      </c>
      <c r="D1547" t="str">
        <f>HYPERLINK("https://zfin.org/ZDB-GENE-131121-354")</f>
        <v>https://zfin.org/ZDB-GENE-131121-354</v>
      </c>
      <c r="E1547" t="s">
        <v>4620</v>
      </c>
    </row>
    <row r="1548" spans="1:5" x14ac:dyDescent="0.2">
      <c r="A1548" t="s">
        <v>4621</v>
      </c>
      <c r="B1548" t="s">
        <v>4622</v>
      </c>
      <c r="C1548" t="s">
        <v>4622</v>
      </c>
      <c r="D1548" t="str">
        <f>HYPERLINK("https://zfin.org/ZDB-GENE-040426-1356")</f>
        <v>https://zfin.org/ZDB-GENE-040426-1356</v>
      </c>
      <c r="E1548" t="s">
        <v>4623</v>
      </c>
    </row>
    <row r="1549" spans="1:5" x14ac:dyDescent="0.2">
      <c r="A1549" t="s">
        <v>4624</v>
      </c>
      <c r="B1549" t="s">
        <v>4625</v>
      </c>
      <c r="C1549" t="s">
        <v>4625</v>
      </c>
      <c r="D1549" t="str">
        <f>HYPERLINK("https://zfin.org/ZDB-GENE-070105-3")</f>
        <v>https://zfin.org/ZDB-GENE-070105-3</v>
      </c>
      <c r="E1549" t="s">
        <v>4626</v>
      </c>
    </row>
    <row r="1550" spans="1:5" x14ac:dyDescent="0.2">
      <c r="A1550" t="s">
        <v>4627</v>
      </c>
      <c r="B1550" t="s">
        <v>4628</v>
      </c>
      <c r="C1550" t="s">
        <v>4628</v>
      </c>
      <c r="D1550" t="str">
        <f>HYPERLINK("https://zfin.org/ZDB-GENE-081028-51")</f>
        <v>https://zfin.org/ZDB-GENE-081028-51</v>
      </c>
      <c r="E1550" t="s">
        <v>4629</v>
      </c>
    </row>
    <row r="1551" spans="1:5" x14ac:dyDescent="0.2">
      <c r="A1551" t="s">
        <v>4630</v>
      </c>
      <c r="B1551" t="s">
        <v>4631</v>
      </c>
      <c r="C1551" t="s">
        <v>4631</v>
      </c>
      <c r="D1551" t="str">
        <f>HYPERLINK("https://zfin.org/ZDB-GENE-040426-1404")</f>
        <v>https://zfin.org/ZDB-GENE-040426-1404</v>
      </c>
      <c r="E1551" t="s">
        <v>4632</v>
      </c>
    </row>
    <row r="1552" spans="1:5" x14ac:dyDescent="0.2">
      <c r="A1552" t="s">
        <v>4633</v>
      </c>
      <c r="B1552" t="s">
        <v>4634</v>
      </c>
      <c r="C1552" t="s">
        <v>4634</v>
      </c>
      <c r="D1552" t="str">
        <f>HYPERLINK("https://zfin.org/ZDB-GENE-041105-6")</f>
        <v>https://zfin.org/ZDB-GENE-041105-6</v>
      </c>
      <c r="E1552" t="s">
        <v>4635</v>
      </c>
    </row>
    <row r="1553" spans="1:5" x14ac:dyDescent="0.2">
      <c r="A1553" t="s">
        <v>4636</v>
      </c>
      <c r="B1553" t="s">
        <v>4637</v>
      </c>
      <c r="C1553" t="s">
        <v>4637</v>
      </c>
      <c r="D1553" t="str">
        <f>HYPERLINK("https://zfin.org/ZDB-GENE-030131-419")</f>
        <v>https://zfin.org/ZDB-GENE-030131-419</v>
      </c>
      <c r="E1553" t="s">
        <v>4638</v>
      </c>
    </row>
    <row r="1554" spans="1:5" x14ac:dyDescent="0.2">
      <c r="A1554" t="s">
        <v>4639</v>
      </c>
      <c r="B1554" t="s">
        <v>4640</v>
      </c>
      <c r="C1554" t="s">
        <v>4640</v>
      </c>
      <c r="D1554" t="str">
        <f>HYPERLINK("https://zfin.org/ZDB-GENE-040426-703")</f>
        <v>https://zfin.org/ZDB-GENE-040426-703</v>
      </c>
      <c r="E1554" t="s">
        <v>4641</v>
      </c>
    </row>
    <row r="1555" spans="1:5" x14ac:dyDescent="0.2">
      <c r="A1555" t="s">
        <v>4642</v>
      </c>
      <c r="B1555" t="s">
        <v>4643</v>
      </c>
      <c r="C1555" t="s">
        <v>4643</v>
      </c>
      <c r="D1555" t="str">
        <f>HYPERLINK("https://zfin.org/ZDB-GENE-030425-4")</f>
        <v>https://zfin.org/ZDB-GENE-030425-4</v>
      </c>
      <c r="E1555" t="s">
        <v>4644</v>
      </c>
    </row>
    <row r="1556" spans="1:5" x14ac:dyDescent="0.2">
      <c r="A1556" t="s">
        <v>4645</v>
      </c>
      <c r="B1556" t="s">
        <v>4646</v>
      </c>
      <c r="C1556" t="s">
        <v>4646</v>
      </c>
      <c r="D1556" t="str">
        <f>HYPERLINK("https://zfin.org/ZDB-GENE-041118-15")</f>
        <v>https://zfin.org/ZDB-GENE-041118-15</v>
      </c>
      <c r="E1556" t="s">
        <v>4647</v>
      </c>
    </row>
    <row r="1557" spans="1:5" x14ac:dyDescent="0.2">
      <c r="A1557" t="s">
        <v>4648</v>
      </c>
      <c r="B1557" t="s">
        <v>4649</v>
      </c>
      <c r="C1557" t="s">
        <v>4649</v>
      </c>
      <c r="D1557" t="str">
        <f>HYPERLINK("https://zfin.org/ZDB-GENE-141216-454")</f>
        <v>https://zfin.org/ZDB-GENE-141216-454</v>
      </c>
      <c r="E1557" t="s">
        <v>4650</v>
      </c>
    </row>
    <row r="1558" spans="1:5" x14ac:dyDescent="0.2">
      <c r="A1558" t="s">
        <v>4651</v>
      </c>
      <c r="B1558" t="s">
        <v>4652</v>
      </c>
      <c r="C1558" t="s">
        <v>4652</v>
      </c>
      <c r="D1558" t="str">
        <f>HYPERLINK("https://zfin.org/ZDB-GENE-130530-563")</f>
        <v>https://zfin.org/ZDB-GENE-130530-563</v>
      </c>
      <c r="E1558" t="s">
        <v>4653</v>
      </c>
    </row>
    <row r="1559" spans="1:5" x14ac:dyDescent="0.2">
      <c r="A1559" t="s">
        <v>4654</v>
      </c>
      <c r="B1559" t="s">
        <v>4655</v>
      </c>
      <c r="C1559" t="s">
        <v>4655</v>
      </c>
      <c r="D1559" t="str">
        <f>HYPERLINK("https://zfin.org/ZDB-GENE-040426-1656")</f>
        <v>https://zfin.org/ZDB-GENE-040426-1656</v>
      </c>
      <c r="E1559" t="s">
        <v>4656</v>
      </c>
    </row>
    <row r="1560" spans="1:5" x14ac:dyDescent="0.2">
      <c r="A1560" t="s">
        <v>4657</v>
      </c>
      <c r="B1560" t="s">
        <v>4658</v>
      </c>
      <c r="C1560" t="s">
        <v>4658</v>
      </c>
      <c r="D1560" t="str">
        <f>HYPERLINK("https://zfin.org/ZDB-GENE-070705-78")</f>
        <v>https://zfin.org/ZDB-GENE-070705-78</v>
      </c>
      <c r="E1560" t="s">
        <v>4659</v>
      </c>
    </row>
    <row r="1561" spans="1:5" x14ac:dyDescent="0.2">
      <c r="A1561" t="s">
        <v>4660</v>
      </c>
      <c r="B1561" t="s">
        <v>4661</v>
      </c>
      <c r="C1561" t="s">
        <v>4661</v>
      </c>
      <c r="D1561" t="str">
        <f>HYPERLINK("https://zfin.org/ZDB-GENE-110408-44")</f>
        <v>https://zfin.org/ZDB-GENE-110408-44</v>
      </c>
      <c r="E1561" t="s">
        <v>4662</v>
      </c>
    </row>
    <row r="1562" spans="1:5" x14ac:dyDescent="0.2">
      <c r="A1562" t="s">
        <v>4663</v>
      </c>
      <c r="B1562" t="s">
        <v>4664</v>
      </c>
      <c r="C1562" t="s">
        <v>4664</v>
      </c>
      <c r="D1562" t="str">
        <f>HYPERLINK("https://zfin.org/ZDB-GENE-041210-190")</f>
        <v>https://zfin.org/ZDB-GENE-041210-190</v>
      </c>
      <c r="E1562" t="s">
        <v>4665</v>
      </c>
    </row>
    <row r="1563" spans="1:5" x14ac:dyDescent="0.2">
      <c r="A1563" t="s">
        <v>4666</v>
      </c>
      <c r="B1563" t="s">
        <v>4667</v>
      </c>
      <c r="C1563" t="s">
        <v>4667</v>
      </c>
      <c r="D1563" t="str">
        <f>HYPERLINK("https://zfin.org/ZDB-GENE-070821-6")</f>
        <v>https://zfin.org/ZDB-GENE-070821-6</v>
      </c>
      <c r="E1563" t="s">
        <v>4668</v>
      </c>
    </row>
    <row r="1564" spans="1:5" x14ac:dyDescent="0.2">
      <c r="A1564" t="s">
        <v>4669</v>
      </c>
      <c r="B1564" t="s">
        <v>4670</v>
      </c>
      <c r="C1564" t="s">
        <v>4670</v>
      </c>
      <c r="D1564" t="str">
        <f>HYPERLINK("https://zfin.org/ZDB-GENE-131127-86")</f>
        <v>https://zfin.org/ZDB-GENE-131127-86</v>
      </c>
      <c r="E1564" t="s">
        <v>4671</v>
      </c>
    </row>
    <row r="1565" spans="1:5" x14ac:dyDescent="0.2">
      <c r="A1565" t="s">
        <v>4672</v>
      </c>
      <c r="B1565" t="s">
        <v>4673</v>
      </c>
      <c r="C1565" t="s">
        <v>4673</v>
      </c>
      <c r="D1565" t="str">
        <f>HYPERLINK("https://zfin.org/ZDB-GENE-070112-2062")</f>
        <v>https://zfin.org/ZDB-GENE-070112-2062</v>
      </c>
      <c r="E1565" t="s">
        <v>4674</v>
      </c>
    </row>
    <row r="1566" spans="1:5" x14ac:dyDescent="0.2">
      <c r="A1566" t="s">
        <v>4675</v>
      </c>
      <c r="B1566" t="s">
        <v>4676</v>
      </c>
      <c r="C1566" t="s">
        <v>4676</v>
      </c>
      <c r="D1566" t="str">
        <f>HYPERLINK("https://zfin.org/ZDB-GENE-041114-135")</f>
        <v>https://zfin.org/ZDB-GENE-041114-135</v>
      </c>
      <c r="E1566" t="s">
        <v>4677</v>
      </c>
    </row>
    <row r="1567" spans="1:5" x14ac:dyDescent="0.2">
      <c r="A1567" t="s">
        <v>4678</v>
      </c>
      <c r="B1567" t="s">
        <v>4679</v>
      </c>
      <c r="C1567" t="s">
        <v>4679</v>
      </c>
      <c r="D1567" t="str">
        <f>HYPERLINK("https://zfin.org/ZDB-GENE-041114-7")</f>
        <v>https://zfin.org/ZDB-GENE-041114-7</v>
      </c>
      <c r="E1567" t="s">
        <v>4680</v>
      </c>
    </row>
    <row r="1568" spans="1:5" x14ac:dyDescent="0.2">
      <c r="A1568" t="s">
        <v>4681</v>
      </c>
      <c r="B1568" t="s">
        <v>4682</v>
      </c>
      <c r="C1568" t="s">
        <v>4682</v>
      </c>
      <c r="D1568" t="str">
        <f>HYPERLINK("https://zfin.org/ZDB-GENE-060810-182")</f>
        <v>https://zfin.org/ZDB-GENE-060810-182</v>
      </c>
      <c r="E1568" t="s">
        <v>4683</v>
      </c>
    </row>
    <row r="1569" spans="1:5" x14ac:dyDescent="0.2">
      <c r="A1569" t="s">
        <v>4684</v>
      </c>
      <c r="B1569" t="s">
        <v>4685</v>
      </c>
      <c r="C1569" t="s">
        <v>4685</v>
      </c>
      <c r="D1569" t="str">
        <f>HYPERLINK("https://zfin.org/ZDB-GENE-030131-4086")</f>
        <v>https://zfin.org/ZDB-GENE-030131-4086</v>
      </c>
      <c r="E1569" t="s">
        <v>4686</v>
      </c>
    </row>
    <row r="1570" spans="1:5" x14ac:dyDescent="0.2">
      <c r="A1570" t="s">
        <v>4687</v>
      </c>
      <c r="B1570" t="s">
        <v>4688</v>
      </c>
      <c r="C1570" t="s">
        <v>4688</v>
      </c>
      <c r="D1570" t="str">
        <f>HYPERLINK("https://zfin.org/ZDB-GENE-040426-745")</f>
        <v>https://zfin.org/ZDB-GENE-040426-745</v>
      </c>
      <c r="E1570" t="s">
        <v>4689</v>
      </c>
    </row>
    <row r="1571" spans="1:5" x14ac:dyDescent="0.2">
      <c r="A1571" t="s">
        <v>4690</v>
      </c>
      <c r="B1571" t="s">
        <v>4691</v>
      </c>
      <c r="C1571" t="s">
        <v>4691</v>
      </c>
      <c r="D1571" t="str">
        <f>HYPERLINK("https://zfin.org/ZDB-GENE-060421-2603")</f>
        <v>https://zfin.org/ZDB-GENE-060421-2603</v>
      </c>
      <c r="E1571" t="s">
        <v>4692</v>
      </c>
    </row>
    <row r="1572" spans="1:5" x14ac:dyDescent="0.2">
      <c r="A1572" t="s">
        <v>4693</v>
      </c>
      <c r="B1572" t="s">
        <v>4694</v>
      </c>
      <c r="C1572" t="s">
        <v>4694</v>
      </c>
      <c r="D1572" t="str">
        <f>HYPERLINK("https://zfin.org/ZDB-GENE-081104-255")</f>
        <v>https://zfin.org/ZDB-GENE-081104-255</v>
      </c>
      <c r="E1572" t="s">
        <v>4695</v>
      </c>
    </row>
    <row r="1573" spans="1:5" x14ac:dyDescent="0.2">
      <c r="A1573" t="s">
        <v>4696</v>
      </c>
      <c r="B1573" t="s">
        <v>4697</v>
      </c>
      <c r="C1573" t="s">
        <v>4697</v>
      </c>
      <c r="D1573" t="str">
        <f>HYPERLINK("https://zfin.org/ZDB-GENE-090313-68")</f>
        <v>https://zfin.org/ZDB-GENE-090313-68</v>
      </c>
      <c r="E1573" t="s">
        <v>4698</v>
      </c>
    </row>
    <row r="1574" spans="1:5" x14ac:dyDescent="0.2">
      <c r="A1574" t="s">
        <v>4699</v>
      </c>
      <c r="B1574" t="s">
        <v>4700</v>
      </c>
      <c r="C1574" t="s">
        <v>4700</v>
      </c>
      <c r="D1574" t="str">
        <f>HYPERLINK("https://zfin.org/ZDB-GENE-061117-4")</f>
        <v>https://zfin.org/ZDB-GENE-061117-4</v>
      </c>
      <c r="E1574" t="s">
        <v>4701</v>
      </c>
    </row>
    <row r="1575" spans="1:5" x14ac:dyDescent="0.2">
      <c r="A1575" t="s">
        <v>4702</v>
      </c>
      <c r="B1575" t="s">
        <v>4703</v>
      </c>
      <c r="C1575" t="s">
        <v>4703</v>
      </c>
      <c r="D1575" t="str">
        <f>HYPERLINK("https://zfin.org/ZDB-GENE-040426-2676")</f>
        <v>https://zfin.org/ZDB-GENE-040426-2676</v>
      </c>
      <c r="E1575" t="s">
        <v>4704</v>
      </c>
    </row>
    <row r="1576" spans="1:5" x14ac:dyDescent="0.2">
      <c r="A1576" t="s">
        <v>4705</v>
      </c>
      <c r="B1576" t="s">
        <v>4706</v>
      </c>
      <c r="C1576" t="s">
        <v>4706</v>
      </c>
      <c r="D1576" t="str">
        <f>HYPERLINK("https://zfin.org/ZDB-GENE-101117-1")</f>
        <v>https://zfin.org/ZDB-GENE-101117-1</v>
      </c>
      <c r="E1576" t="s">
        <v>4707</v>
      </c>
    </row>
    <row r="1577" spans="1:5" x14ac:dyDescent="0.2">
      <c r="A1577" t="s">
        <v>4708</v>
      </c>
      <c r="B1577" t="s">
        <v>4709</v>
      </c>
      <c r="C1577" t="s">
        <v>4709</v>
      </c>
      <c r="D1577" t="str">
        <f>HYPERLINK("https://zfin.org/ZDB-GENE-090612-2")</f>
        <v>https://zfin.org/ZDB-GENE-090612-2</v>
      </c>
      <c r="E1577" t="s">
        <v>4710</v>
      </c>
    </row>
    <row r="1578" spans="1:5" x14ac:dyDescent="0.2">
      <c r="A1578" t="s">
        <v>4711</v>
      </c>
      <c r="B1578" t="s">
        <v>4712</v>
      </c>
      <c r="C1578" t="s">
        <v>4712</v>
      </c>
      <c r="D1578" t="str">
        <f>HYPERLINK("https://zfin.org/ZDB-GENE-980526-27")</f>
        <v>https://zfin.org/ZDB-GENE-980526-27</v>
      </c>
      <c r="E1578" t="s">
        <v>4713</v>
      </c>
    </row>
    <row r="1579" spans="1:5" x14ac:dyDescent="0.2">
      <c r="A1579" t="s">
        <v>4714</v>
      </c>
      <c r="B1579" t="s">
        <v>4715</v>
      </c>
      <c r="C1579" t="s">
        <v>4715</v>
      </c>
      <c r="D1579" t="str">
        <f>HYPERLINK("https://zfin.org/ZDB-GENE-070508-1")</f>
        <v>https://zfin.org/ZDB-GENE-070508-1</v>
      </c>
      <c r="E1579" t="s">
        <v>4716</v>
      </c>
    </row>
    <row r="1580" spans="1:5" x14ac:dyDescent="0.2">
      <c r="A1580" t="s">
        <v>4717</v>
      </c>
      <c r="B1580" t="s">
        <v>4718</v>
      </c>
      <c r="C1580" t="s">
        <v>4718</v>
      </c>
      <c r="D1580" t="str">
        <f>HYPERLINK("https://zfin.org/ZDB-GENE-051030-30")</f>
        <v>https://zfin.org/ZDB-GENE-051030-30</v>
      </c>
      <c r="E1580" t="s">
        <v>4719</v>
      </c>
    </row>
    <row r="1581" spans="1:5" x14ac:dyDescent="0.2">
      <c r="A1581" t="s">
        <v>4720</v>
      </c>
      <c r="B1581" t="s">
        <v>4721</v>
      </c>
      <c r="C1581" t="s">
        <v>4721</v>
      </c>
      <c r="D1581" t="str">
        <f>HYPERLINK("https://zfin.org/ZDB-GENE-030826-11")</f>
        <v>https://zfin.org/ZDB-GENE-030826-11</v>
      </c>
      <c r="E1581" t="s">
        <v>4722</v>
      </c>
    </row>
    <row r="1582" spans="1:5" x14ac:dyDescent="0.2">
      <c r="A1582" t="s">
        <v>4723</v>
      </c>
      <c r="B1582" t="s">
        <v>4724</v>
      </c>
      <c r="C1582" t="s">
        <v>4724</v>
      </c>
      <c r="D1582" t="str">
        <f>HYPERLINK("https://zfin.org/ZDB-GENE-990415-206")</f>
        <v>https://zfin.org/ZDB-GENE-990415-206</v>
      </c>
      <c r="E1582" t="s">
        <v>4725</v>
      </c>
    </row>
    <row r="1583" spans="1:5" x14ac:dyDescent="0.2">
      <c r="A1583" t="s">
        <v>4726</v>
      </c>
      <c r="B1583" t="s">
        <v>4727</v>
      </c>
      <c r="C1583" t="s">
        <v>4727</v>
      </c>
      <c r="D1583" t="str">
        <f>HYPERLINK("https://zfin.org/ZDB-GENE-030131-1670")</f>
        <v>https://zfin.org/ZDB-GENE-030131-1670</v>
      </c>
      <c r="E1583" t="s">
        <v>4728</v>
      </c>
    </row>
    <row r="1584" spans="1:5" x14ac:dyDescent="0.2">
      <c r="A1584" t="s">
        <v>4729</v>
      </c>
      <c r="B1584" t="s">
        <v>4730</v>
      </c>
      <c r="C1584" t="s">
        <v>4730</v>
      </c>
      <c r="D1584" t="str">
        <f>HYPERLINK("https://zfin.org/ZDB-GENE-070705-453")</f>
        <v>https://zfin.org/ZDB-GENE-070705-453</v>
      </c>
      <c r="E1584" t="s">
        <v>4731</v>
      </c>
    </row>
    <row r="1585" spans="1:5" x14ac:dyDescent="0.2">
      <c r="A1585" t="s">
        <v>4732</v>
      </c>
      <c r="B1585" t="s">
        <v>4733</v>
      </c>
      <c r="C1585" t="s">
        <v>4733</v>
      </c>
      <c r="D1585" t="str">
        <f>HYPERLINK("https://zfin.org/ZDB-GENE-040809-2")</f>
        <v>https://zfin.org/ZDB-GENE-040809-2</v>
      </c>
      <c r="E1585" t="s">
        <v>4734</v>
      </c>
    </row>
    <row r="1586" spans="1:5" x14ac:dyDescent="0.2">
      <c r="A1586" t="s">
        <v>4735</v>
      </c>
      <c r="B1586" t="s">
        <v>4736</v>
      </c>
      <c r="C1586" t="s">
        <v>4736</v>
      </c>
      <c r="D1586" t="str">
        <f>HYPERLINK("https://zfin.org/ZDB-GENE-141219-19")</f>
        <v>https://zfin.org/ZDB-GENE-141219-19</v>
      </c>
      <c r="E1586" t="s">
        <v>4737</v>
      </c>
    </row>
    <row r="1587" spans="1:5" x14ac:dyDescent="0.2">
      <c r="A1587" t="s">
        <v>4738</v>
      </c>
      <c r="B1587" t="s">
        <v>4739</v>
      </c>
      <c r="C1587" t="s">
        <v>4739</v>
      </c>
      <c r="D1587" t="str">
        <f>HYPERLINK("https://zfin.org/ZDB-GENE-030131-7377")</f>
        <v>https://zfin.org/ZDB-GENE-030131-7377</v>
      </c>
      <c r="E1587" t="s">
        <v>4740</v>
      </c>
    </row>
    <row r="1588" spans="1:5" x14ac:dyDescent="0.2">
      <c r="A1588" t="s">
        <v>4741</v>
      </c>
      <c r="B1588" t="s">
        <v>4742</v>
      </c>
      <c r="C1588" t="s">
        <v>4742</v>
      </c>
      <c r="D1588" t="str">
        <f>HYPERLINK("https://zfin.org/ZDB-GENE-121105-12")</f>
        <v>https://zfin.org/ZDB-GENE-121105-12</v>
      </c>
      <c r="E1588" t="s">
        <v>4743</v>
      </c>
    </row>
    <row r="1589" spans="1:5" x14ac:dyDescent="0.2">
      <c r="A1589" t="s">
        <v>4744</v>
      </c>
      <c r="B1589" t="s">
        <v>4745</v>
      </c>
      <c r="C1589" t="s">
        <v>4745</v>
      </c>
      <c r="D1589" t="str">
        <f>HYPERLINK("https://zfin.org/ZDB-GENE-110411-157")</f>
        <v>https://zfin.org/ZDB-GENE-110411-157</v>
      </c>
      <c r="E1589" t="s">
        <v>4746</v>
      </c>
    </row>
    <row r="1590" spans="1:5" x14ac:dyDescent="0.2">
      <c r="A1590" t="s">
        <v>4747</v>
      </c>
      <c r="B1590" t="s">
        <v>4748</v>
      </c>
      <c r="C1590" t="s">
        <v>4748</v>
      </c>
      <c r="D1590" t="str">
        <f>HYPERLINK("https://zfin.org/ZDB-GENE-070725-6")</f>
        <v>https://zfin.org/ZDB-GENE-070725-6</v>
      </c>
      <c r="E1590" t="s">
        <v>4749</v>
      </c>
    </row>
    <row r="1591" spans="1:5" x14ac:dyDescent="0.2">
      <c r="A1591" t="s">
        <v>4750</v>
      </c>
      <c r="B1591" t="s">
        <v>4751</v>
      </c>
      <c r="C1591" t="s">
        <v>4751</v>
      </c>
      <c r="D1591" t="str">
        <f>HYPERLINK("https://zfin.org/ZDB-GENE-081103-62")</f>
        <v>https://zfin.org/ZDB-GENE-081103-62</v>
      </c>
      <c r="E1591" t="s">
        <v>4752</v>
      </c>
    </row>
    <row r="1592" spans="1:5" x14ac:dyDescent="0.2">
      <c r="A1592" t="s">
        <v>4753</v>
      </c>
      <c r="B1592" t="s">
        <v>4754</v>
      </c>
      <c r="C1592" t="s">
        <v>4754</v>
      </c>
      <c r="D1592" t="str">
        <f>HYPERLINK("https://zfin.org/ZDB-GENE-141219-37")</f>
        <v>https://zfin.org/ZDB-GENE-141219-37</v>
      </c>
      <c r="E1592" t="s">
        <v>4755</v>
      </c>
    </row>
    <row r="1593" spans="1:5" x14ac:dyDescent="0.2">
      <c r="A1593" t="s">
        <v>4756</v>
      </c>
      <c r="B1593" t="s">
        <v>4757</v>
      </c>
      <c r="C1593" t="s">
        <v>4757</v>
      </c>
      <c r="D1593" t="str">
        <f>HYPERLINK("https://zfin.org/ZDB-GENE-030131-4485")</f>
        <v>https://zfin.org/ZDB-GENE-030131-4485</v>
      </c>
      <c r="E1593" t="s">
        <v>4758</v>
      </c>
    </row>
    <row r="1594" spans="1:5" x14ac:dyDescent="0.2">
      <c r="A1594" t="s">
        <v>4759</v>
      </c>
      <c r="B1594" t="s">
        <v>4760</v>
      </c>
      <c r="C1594" t="s">
        <v>4760</v>
      </c>
      <c r="D1594" t="str">
        <f>HYPERLINK("https://zfin.org/ZDB-GENE-050506-59")</f>
        <v>https://zfin.org/ZDB-GENE-050506-59</v>
      </c>
      <c r="E1594" t="s">
        <v>4761</v>
      </c>
    </row>
    <row r="1595" spans="1:5" x14ac:dyDescent="0.2">
      <c r="A1595" t="s">
        <v>4762</v>
      </c>
      <c r="B1595" t="s">
        <v>4763</v>
      </c>
      <c r="C1595" t="s">
        <v>4763</v>
      </c>
      <c r="D1595" t="str">
        <f>HYPERLINK("https://zfin.org/ZDB-GENE-030616-51")</f>
        <v>https://zfin.org/ZDB-GENE-030616-51</v>
      </c>
      <c r="E1595" t="s">
        <v>4764</v>
      </c>
    </row>
    <row r="1596" spans="1:5" x14ac:dyDescent="0.2">
      <c r="A1596" t="s">
        <v>4765</v>
      </c>
      <c r="B1596" t="s">
        <v>4766</v>
      </c>
      <c r="C1596" t="s">
        <v>4766</v>
      </c>
      <c r="D1596" t="str">
        <f>HYPERLINK("https://zfin.org/ZDB-GENE-030131-6584")</f>
        <v>https://zfin.org/ZDB-GENE-030131-6584</v>
      </c>
      <c r="E1596" t="s">
        <v>4767</v>
      </c>
    </row>
    <row r="1597" spans="1:5" x14ac:dyDescent="0.2">
      <c r="A1597" t="s">
        <v>4768</v>
      </c>
      <c r="B1597" t="s">
        <v>4769</v>
      </c>
      <c r="C1597" t="s">
        <v>4769</v>
      </c>
      <c r="D1597" t="str">
        <f>HYPERLINK("https://zfin.org/ZDB-GENE-041114-102")</f>
        <v>https://zfin.org/ZDB-GENE-041114-102</v>
      </c>
      <c r="E1597" t="s">
        <v>4770</v>
      </c>
    </row>
    <row r="1598" spans="1:5" x14ac:dyDescent="0.2">
      <c r="A1598" t="s">
        <v>4771</v>
      </c>
      <c r="B1598" t="s">
        <v>4772</v>
      </c>
      <c r="C1598" t="s">
        <v>4772</v>
      </c>
      <c r="D1598" t="str">
        <f>HYPERLINK("https://zfin.org/ZDB-GENE-040718-342")</f>
        <v>https://zfin.org/ZDB-GENE-040718-342</v>
      </c>
      <c r="E1598" t="s">
        <v>4773</v>
      </c>
    </row>
    <row r="1599" spans="1:5" x14ac:dyDescent="0.2">
      <c r="A1599" t="s">
        <v>4774</v>
      </c>
      <c r="B1599" t="s">
        <v>4775</v>
      </c>
      <c r="C1599" t="s">
        <v>4775</v>
      </c>
      <c r="D1599" t="str">
        <f>HYPERLINK("https://zfin.org/ZDB-GENE-070705-171")</f>
        <v>https://zfin.org/ZDB-GENE-070705-171</v>
      </c>
      <c r="E1599" t="s">
        <v>4776</v>
      </c>
    </row>
    <row r="1600" spans="1:5" x14ac:dyDescent="0.2">
      <c r="A1600" t="s">
        <v>4777</v>
      </c>
      <c r="B1600" t="s">
        <v>4778</v>
      </c>
      <c r="C1600" t="s">
        <v>4778</v>
      </c>
      <c r="D1600" t="str">
        <f>HYPERLINK("https://zfin.org/ZDB-GENE-040718-278")</f>
        <v>https://zfin.org/ZDB-GENE-040718-278</v>
      </c>
      <c r="E1600" t="s">
        <v>4779</v>
      </c>
    </row>
    <row r="1601" spans="1:5" x14ac:dyDescent="0.2">
      <c r="A1601" t="s">
        <v>4780</v>
      </c>
      <c r="B1601" t="s">
        <v>4781</v>
      </c>
      <c r="C1601" t="s">
        <v>4781</v>
      </c>
      <c r="D1601" t="str">
        <f>HYPERLINK("https://zfin.org/ZDB-GENE-070228-2")</f>
        <v>https://zfin.org/ZDB-GENE-070228-2</v>
      </c>
      <c r="E1601" t="s">
        <v>4782</v>
      </c>
    </row>
    <row r="1602" spans="1:5" x14ac:dyDescent="0.2">
      <c r="A1602" t="s">
        <v>4783</v>
      </c>
      <c r="B1602" t="s">
        <v>4784</v>
      </c>
      <c r="C1602" t="s">
        <v>4784</v>
      </c>
      <c r="D1602" t="str">
        <f>HYPERLINK("https://zfin.org/ZDB-GENE-040912-87")</f>
        <v>https://zfin.org/ZDB-GENE-040912-87</v>
      </c>
      <c r="E1602" t="s">
        <v>4785</v>
      </c>
    </row>
    <row r="1603" spans="1:5" x14ac:dyDescent="0.2">
      <c r="A1603" t="s">
        <v>4786</v>
      </c>
      <c r="B1603" t="s">
        <v>4787</v>
      </c>
      <c r="C1603" t="s">
        <v>4787</v>
      </c>
      <c r="D1603" t="str">
        <f>HYPERLINK("https://zfin.org/ZDB-GENE-040718-72")</f>
        <v>https://zfin.org/ZDB-GENE-040718-72</v>
      </c>
      <c r="E1603" t="s">
        <v>4788</v>
      </c>
    </row>
    <row r="1604" spans="1:5" x14ac:dyDescent="0.2">
      <c r="A1604" t="s">
        <v>4789</v>
      </c>
      <c r="B1604" t="s">
        <v>4790</v>
      </c>
      <c r="C1604" t="s">
        <v>4790</v>
      </c>
      <c r="D1604" t="str">
        <f>HYPERLINK("https://zfin.org/ZDB-GENE-141216-389")</f>
        <v>https://zfin.org/ZDB-GENE-141216-389</v>
      </c>
      <c r="E1604" t="s">
        <v>4791</v>
      </c>
    </row>
    <row r="1605" spans="1:5" x14ac:dyDescent="0.2">
      <c r="A1605" t="s">
        <v>4792</v>
      </c>
      <c r="B1605" t="s">
        <v>4793</v>
      </c>
      <c r="C1605" t="s">
        <v>4793</v>
      </c>
      <c r="D1605" t="str">
        <f>HYPERLINK("https://zfin.org/ZDB-GENE-030131-4011")</f>
        <v>https://zfin.org/ZDB-GENE-030131-4011</v>
      </c>
      <c r="E1605" t="s">
        <v>4794</v>
      </c>
    </row>
    <row r="1606" spans="1:5" x14ac:dyDescent="0.2">
      <c r="A1606" t="s">
        <v>4795</v>
      </c>
      <c r="B1606" t="s">
        <v>4796</v>
      </c>
      <c r="C1606" t="s">
        <v>4796</v>
      </c>
      <c r="D1606" t="str">
        <f>HYPERLINK("https://zfin.org/ZDB-GENE-060312-16")</f>
        <v>https://zfin.org/ZDB-GENE-060312-16</v>
      </c>
      <c r="E1606" t="s">
        <v>4797</v>
      </c>
    </row>
    <row r="1607" spans="1:5" x14ac:dyDescent="0.2">
      <c r="A1607" t="s">
        <v>4798</v>
      </c>
      <c r="B1607" t="s">
        <v>4799</v>
      </c>
      <c r="C1607" t="s">
        <v>4799</v>
      </c>
      <c r="D1607" t="str">
        <f>HYPERLINK("https://zfin.org/ZDB-GENE-050320-74")</f>
        <v>https://zfin.org/ZDB-GENE-050320-74</v>
      </c>
      <c r="E1607" t="s">
        <v>4800</v>
      </c>
    </row>
    <row r="1608" spans="1:5" x14ac:dyDescent="0.2">
      <c r="A1608" t="s">
        <v>4801</v>
      </c>
      <c r="B1608" t="s">
        <v>4802</v>
      </c>
      <c r="C1608" t="s">
        <v>4802</v>
      </c>
      <c r="D1608" t="str">
        <f>HYPERLINK("https://zfin.org/ZDB-GENE-060117-4")</f>
        <v>https://zfin.org/ZDB-GENE-060117-4</v>
      </c>
      <c r="E1608" t="s">
        <v>4803</v>
      </c>
    </row>
    <row r="1609" spans="1:5" x14ac:dyDescent="0.2">
      <c r="A1609" t="s">
        <v>4804</v>
      </c>
      <c r="B1609" t="s">
        <v>4805</v>
      </c>
      <c r="C1609" t="s">
        <v>4805</v>
      </c>
      <c r="D1609" t="str">
        <f>HYPERLINK("https://zfin.org/ZDB-GENE-030131-7191")</f>
        <v>https://zfin.org/ZDB-GENE-030131-7191</v>
      </c>
      <c r="E1609" t="s">
        <v>4806</v>
      </c>
    </row>
    <row r="1610" spans="1:5" x14ac:dyDescent="0.2">
      <c r="A1610" t="s">
        <v>4807</v>
      </c>
      <c r="B1610" t="s">
        <v>4808</v>
      </c>
      <c r="C1610" t="s">
        <v>4808</v>
      </c>
      <c r="D1610" t="str">
        <f>HYPERLINK("https://zfin.org/ZDB-GENE-010226-1")</f>
        <v>https://zfin.org/ZDB-GENE-010226-1</v>
      </c>
      <c r="E1610" t="s">
        <v>4809</v>
      </c>
    </row>
    <row r="1611" spans="1:5" x14ac:dyDescent="0.2">
      <c r="A1611" t="s">
        <v>4810</v>
      </c>
      <c r="B1611" t="s">
        <v>4811</v>
      </c>
      <c r="C1611" t="s">
        <v>4811</v>
      </c>
      <c r="D1611" t="str">
        <f>HYPERLINK("https://zfin.org/ZDB-GENE-030131-5664")</f>
        <v>https://zfin.org/ZDB-GENE-030131-5664</v>
      </c>
      <c r="E1611" t="s">
        <v>4812</v>
      </c>
    </row>
    <row r="1612" spans="1:5" x14ac:dyDescent="0.2">
      <c r="A1612" t="s">
        <v>4813</v>
      </c>
      <c r="B1612" t="s">
        <v>4814</v>
      </c>
      <c r="C1612" t="s">
        <v>4814</v>
      </c>
      <c r="D1612" t="str">
        <f>HYPERLINK("https://zfin.org/ZDB-GENE-050419-61")</f>
        <v>https://zfin.org/ZDB-GENE-050419-61</v>
      </c>
      <c r="E1612" t="s">
        <v>4815</v>
      </c>
    </row>
    <row r="1613" spans="1:5" x14ac:dyDescent="0.2">
      <c r="A1613" t="s">
        <v>4816</v>
      </c>
      <c r="B1613" t="s">
        <v>4817</v>
      </c>
      <c r="C1613" t="s">
        <v>4817</v>
      </c>
      <c r="D1613" t="str">
        <f>HYPERLINK("https://zfin.org/ZDB-GENE-050912-1")</f>
        <v>https://zfin.org/ZDB-GENE-050912-1</v>
      </c>
      <c r="E1613" t="s">
        <v>4818</v>
      </c>
    </row>
    <row r="1614" spans="1:5" x14ac:dyDescent="0.2">
      <c r="A1614" t="s">
        <v>4819</v>
      </c>
      <c r="B1614" t="s">
        <v>4820</v>
      </c>
      <c r="C1614" t="s">
        <v>4820</v>
      </c>
      <c r="D1614" t="str">
        <f>HYPERLINK("https://zfin.org/ZDB-GENE-131118-13")</f>
        <v>https://zfin.org/ZDB-GENE-131118-13</v>
      </c>
      <c r="E1614" t="s">
        <v>4821</v>
      </c>
    </row>
    <row r="1615" spans="1:5" x14ac:dyDescent="0.2">
      <c r="A1615" t="s">
        <v>4822</v>
      </c>
      <c r="B1615" t="s">
        <v>4823</v>
      </c>
      <c r="C1615" t="s">
        <v>4823</v>
      </c>
      <c r="D1615" t="str">
        <f>HYPERLINK("https://zfin.org/ZDB-GENE-110411-71")</f>
        <v>https://zfin.org/ZDB-GENE-110411-71</v>
      </c>
      <c r="E1615" t="s">
        <v>4824</v>
      </c>
    </row>
    <row r="1616" spans="1:5" x14ac:dyDescent="0.2">
      <c r="A1616" t="s">
        <v>4825</v>
      </c>
      <c r="B1616" t="s">
        <v>4826</v>
      </c>
      <c r="C1616" t="s">
        <v>4826</v>
      </c>
      <c r="D1616" t="str">
        <f>HYPERLINK("https://zfin.org/ZDB-GENE-040426-2022")</f>
        <v>https://zfin.org/ZDB-GENE-040426-2022</v>
      </c>
      <c r="E1616" t="s">
        <v>4827</v>
      </c>
    </row>
    <row r="1617" spans="1:5" x14ac:dyDescent="0.2">
      <c r="A1617" t="s">
        <v>4828</v>
      </c>
      <c r="B1617" t="s">
        <v>4829</v>
      </c>
      <c r="C1617" t="s">
        <v>4829</v>
      </c>
      <c r="D1617" t="str">
        <f>HYPERLINK("https://zfin.org/ZDB-GENE-071004-104")</f>
        <v>https://zfin.org/ZDB-GENE-071004-104</v>
      </c>
      <c r="E1617" t="s">
        <v>4830</v>
      </c>
    </row>
    <row r="1618" spans="1:5" x14ac:dyDescent="0.2">
      <c r="A1618" t="s">
        <v>4831</v>
      </c>
      <c r="B1618" t="s">
        <v>4832</v>
      </c>
      <c r="C1618" t="s">
        <v>4832</v>
      </c>
      <c r="D1618" t="str">
        <f>HYPERLINK("https://zfin.org/ZDB-GENE-131127-97")</f>
        <v>https://zfin.org/ZDB-GENE-131127-97</v>
      </c>
      <c r="E1618" t="s">
        <v>4833</v>
      </c>
    </row>
    <row r="1619" spans="1:5" x14ac:dyDescent="0.2">
      <c r="A1619" t="s">
        <v>4834</v>
      </c>
      <c r="B1619" t="s">
        <v>4835</v>
      </c>
      <c r="C1619" t="s">
        <v>4835</v>
      </c>
      <c r="D1619" t="str">
        <f>HYPERLINK("https://zfin.org/ZDB-GENE-030131-5391")</f>
        <v>https://zfin.org/ZDB-GENE-030131-5391</v>
      </c>
      <c r="E1619" t="s">
        <v>4836</v>
      </c>
    </row>
    <row r="1620" spans="1:5" x14ac:dyDescent="0.2">
      <c r="A1620" t="s">
        <v>4837</v>
      </c>
      <c r="B1620" t="s">
        <v>4838</v>
      </c>
      <c r="C1620" t="s">
        <v>4838</v>
      </c>
      <c r="D1620" t="str">
        <f>HYPERLINK("https://zfin.org/ZDB-GENE-120703-42")</f>
        <v>https://zfin.org/ZDB-GENE-120703-42</v>
      </c>
      <c r="E1620" t="s">
        <v>4839</v>
      </c>
    </row>
    <row r="1621" spans="1:5" x14ac:dyDescent="0.2">
      <c r="A1621" t="s">
        <v>4840</v>
      </c>
      <c r="B1621" t="s">
        <v>4841</v>
      </c>
      <c r="C1621" t="s">
        <v>4841</v>
      </c>
      <c r="D1621" t="str">
        <f>HYPERLINK("https://zfin.org/ZDB-GENE-041111-134")</f>
        <v>https://zfin.org/ZDB-GENE-041111-134</v>
      </c>
      <c r="E1621" t="s">
        <v>4842</v>
      </c>
    </row>
    <row r="1622" spans="1:5" x14ac:dyDescent="0.2">
      <c r="A1622" t="s">
        <v>4843</v>
      </c>
      <c r="B1622" t="s">
        <v>4844</v>
      </c>
      <c r="C1622" t="s">
        <v>4844</v>
      </c>
      <c r="D1622" t="str">
        <f>HYPERLINK("https://zfin.org/ZDB-GENE-050306-35")</f>
        <v>https://zfin.org/ZDB-GENE-050306-35</v>
      </c>
      <c r="E1622" t="s">
        <v>4845</v>
      </c>
    </row>
    <row r="1623" spans="1:5" x14ac:dyDescent="0.2">
      <c r="A1623" t="s">
        <v>4846</v>
      </c>
      <c r="B1623" t="s">
        <v>4847</v>
      </c>
      <c r="C1623" t="s">
        <v>4847</v>
      </c>
      <c r="D1623" t="str">
        <f>HYPERLINK("https://zfin.org/ZDB-GENE-071004-55")</f>
        <v>https://zfin.org/ZDB-GENE-071004-55</v>
      </c>
      <c r="E1623" t="s">
        <v>4848</v>
      </c>
    </row>
    <row r="1624" spans="1:5" x14ac:dyDescent="0.2">
      <c r="A1624" t="s">
        <v>4849</v>
      </c>
      <c r="B1624" t="s">
        <v>4850</v>
      </c>
      <c r="C1624" t="s">
        <v>4850</v>
      </c>
      <c r="D1624" t="str">
        <f>HYPERLINK("https://zfin.org/ZDB-GENE-100922-114")</f>
        <v>https://zfin.org/ZDB-GENE-100922-114</v>
      </c>
      <c r="E1624" t="s">
        <v>4851</v>
      </c>
    </row>
    <row r="1625" spans="1:5" x14ac:dyDescent="0.2">
      <c r="A1625" t="s">
        <v>4852</v>
      </c>
      <c r="B1625" t="s">
        <v>4853</v>
      </c>
      <c r="C1625" t="s">
        <v>4853</v>
      </c>
      <c r="D1625" t="str">
        <f>HYPERLINK("https://zfin.org/ZDB-GENE-030131-1452")</f>
        <v>https://zfin.org/ZDB-GENE-030131-1452</v>
      </c>
      <c r="E1625" t="s">
        <v>4854</v>
      </c>
    </row>
    <row r="1626" spans="1:5" x14ac:dyDescent="0.2">
      <c r="A1626" t="s">
        <v>4855</v>
      </c>
      <c r="B1626" t="s">
        <v>4856</v>
      </c>
      <c r="C1626" t="s">
        <v>4856</v>
      </c>
      <c r="D1626" t="str">
        <f>HYPERLINK("https://zfin.org/ZDB-GENE-030131-2590")</f>
        <v>https://zfin.org/ZDB-GENE-030131-2590</v>
      </c>
      <c r="E1626" t="s">
        <v>4857</v>
      </c>
    </row>
    <row r="1627" spans="1:5" x14ac:dyDescent="0.2">
      <c r="A1627" t="s">
        <v>4858</v>
      </c>
      <c r="B1627" t="s">
        <v>4859</v>
      </c>
      <c r="C1627" t="s">
        <v>4859</v>
      </c>
      <c r="D1627" t="str">
        <f>HYPERLINK("https://zfin.org/ZDB-GENE-070912-646")</f>
        <v>https://zfin.org/ZDB-GENE-070912-646</v>
      </c>
      <c r="E1627" t="s">
        <v>4860</v>
      </c>
    </row>
    <row r="1628" spans="1:5" x14ac:dyDescent="0.2">
      <c r="A1628" t="s">
        <v>4861</v>
      </c>
      <c r="B1628" t="s">
        <v>4862</v>
      </c>
      <c r="C1628" t="s">
        <v>4862</v>
      </c>
      <c r="D1628" t="str">
        <f>HYPERLINK("https://zfin.org/ZDB-GENE-040426-2532")</f>
        <v>https://zfin.org/ZDB-GENE-040426-2532</v>
      </c>
      <c r="E1628" t="s">
        <v>4863</v>
      </c>
    </row>
    <row r="1629" spans="1:5" x14ac:dyDescent="0.2">
      <c r="A1629" t="s">
        <v>4864</v>
      </c>
      <c r="B1629" t="s">
        <v>4865</v>
      </c>
      <c r="C1629" t="s">
        <v>4865</v>
      </c>
      <c r="D1629" t="str">
        <f>HYPERLINK("https://zfin.org/ZDB-GENE-040426-1412")</f>
        <v>https://zfin.org/ZDB-GENE-040426-1412</v>
      </c>
      <c r="E1629" t="s">
        <v>4866</v>
      </c>
    </row>
    <row r="1630" spans="1:5" x14ac:dyDescent="0.2">
      <c r="A1630" t="s">
        <v>4867</v>
      </c>
      <c r="B1630" t="s">
        <v>4868</v>
      </c>
      <c r="C1630" t="s">
        <v>4868</v>
      </c>
      <c r="D1630" t="str">
        <f>HYPERLINK("https://zfin.org/ZDB-GENE-041008-106")</f>
        <v>https://zfin.org/ZDB-GENE-041008-106</v>
      </c>
      <c r="E1630" t="s">
        <v>4869</v>
      </c>
    </row>
    <row r="1631" spans="1:5" x14ac:dyDescent="0.2">
      <c r="A1631" t="s">
        <v>4870</v>
      </c>
      <c r="B1631" t="s">
        <v>4871</v>
      </c>
      <c r="C1631" t="s">
        <v>4871</v>
      </c>
      <c r="D1631" t="str">
        <f>HYPERLINK("https://zfin.org/ZDB-GENE-110408-60")</f>
        <v>https://zfin.org/ZDB-GENE-110408-60</v>
      </c>
      <c r="E1631" t="s">
        <v>4872</v>
      </c>
    </row>
    <row r="1632" spans="1:5" x14ac:dyDescent="0.2">
      <c r="A1632" t="s">
        <v>4873</v>
      </c>
      <c r="B1632" t="s">
        <v>4874</v>
      </c>
      <c r="C1632" t="s">
        <v>4874</v>
      </c>
      <c r="D1632" t="str">
        <f>HYPERLINK("https://zfin.org/ZDB-GENE-050307-1")</f>
        <v>https://zfin.org/ZDB-GENE-050307-1</v>
      </c>
      <c r="E1632" t="s">
        <v>4875</v>
      </c>
    </row>
    <row r="1633" spans="1:5" x14ac:dyDescent="0.2">
      <c r="A1633" t="s">
        <v>4876</v>
      </c>
      <c r="B1633" t="s">
        <v>4877</v>
      </c>
      <c r="C1633" t="s">
        <v>4877</v>
      </c>
      <c r="D1633" t="str">
        <f>HYPERLINK("https://zfin.org/ZDB-GENE-091204-176")</f>
        <v>https://zfin.org/ZDB-GENE-091204-176</v>
      </c>
      <c r="E1633" t="s">
        <v>4878</v>
      </c>
    </row>
    <row r="1634" spans="1:5" x14ac:dyDescent="0.2">
      <c r="A1634" t="s">
        <v>4879</v>
      </c>
      <c r="B1634" t="s">
        <v>4880</v>
      </c>
      <c r="C1634" t="s">
        <v>4880</v>
      </c>
      <c r="D1634" t="str">
        <f>HYPERLINK("https://zfin.org/ZDB-GENE-030131-12")</f>
        <v>https://zfin.org/ZDB-GENE-030131-12</v>
      </c>
      <c r="E1634" t="s">
        <v>4881</v>
      </c>
    </row>
    <row r="1635" spans="1:5" x14ac:dyDescent="0.2">
      <c r="A1635" t="s">
        <v>4882</v>
      </c>
      <c r="B1635" t="s">
        <v>4883</v>
      </c>
      <c r="C1635" t="s">
        <v>4883</v>
      </c>
      <c r="D1635" t="str">
        <f>HYPERLINK("https://zfin.org/ZDB-GENE-050417-271")</f>
        <v>https://zfin.org/ZDB-GENE-050417-271</v>
      </c>
      <c r="E1635" t="s">
        <v>4884</v>
      </c>
    </row>
    <row r="1636" spans="1:5" x14ac:dyDescent="0.2">
      <c r="A1636" t="s">
        <v>4885</v>
      </c>
      <c r="B1636" t="s">
        <v>4886</v>
      </c>
      <c r="C1636" t="s">
        <v>4886</v>
      </c>
      <c r="D1636" t="str">
        <f>HYPERLINK("https://zfin.org/ZDB-GENE-070912-481")</f>
        <v>https://zfin.org/ZDB-GENE-070912-481</v>
      </c>
      <c r="E1636" t="s">
        <v>4887</v>
      </c>
    </row>
    <row r="1637" spans="1:5" x14ac:dyDescent="0.2">
      <c r="A1637" t="s">
        <v>4888</v>
      </c>
      <c r="B1637" t="s">
        <v>4889</v>
      </c>
      <c r="C1637" t="s">
        <v>4889</v>
      </c>
      <c r="D1637" t="str">
        <f>HYPERLINK("https://zfin.org/ZDB-GENE-131127-210")</f>
        <v>https://zfin.org/ZDB-GENE-131127-210</v>
      </c>
      <c r="E1637" t="s">
        <v>4890</v>
      </c>
    </row>
    <row r="1638" spans="1:5" x14ac:dyDescent="0.2">
      <c r="A1638" t="s">
        <v>4891</v>
      </c>
      <c r="B1638" t="s">
        <v>4892</v>
      </c>
      <c r="C1638" t="s">
        <v>4892</v>
      </c>
      <c r="D1638" t="str">
        <f>HYPERLINK("https://zfin.org/ZDB-GENE-030131-3112")</f>
        <v>https://zfin.org/ZDB-GENE-030131-3112</v>
      </c>
      <c r="E1638" t="s">
        <v>4893</v>
      </c>
    </row>
    <row r="1639" spans="1:5" x14ac:dyDescent="0.2">
      <c r="A1639" t="s">
        <v>4894</v>
      </c>
      <c r="B1639" t="s">
        <v>4895</v>
      </c>
      <c r="C1639" t="s">
        <v>4895</v>
      </c>
      <c r="D1639" t="str">
        <f>HYPERLINK("https://zfin.org/ZDB-GENE-050809-101")</f>
        <v>https://zfin.org/ZDB-GENE-050809-101</v>
      </c>
      <c r="E1639" t="s">
        <v>4896</v>
      </c>
    </row>
    <row r="1640" spans="1:5" x14ac:dyDescent="0.2">
      <c r="A1640" t="s">
        <v>4897</v>
      </c>
      <c r="B1640" t="s">
        <v>4898</v>
      </c>
      <c r="C1640" t="s">
        <v>4898</v>
      </c>
      <c r="D1640" t="str">
        <f>HYPERLINK("https://zfin.org/ZDB-GENE-120215-187")</f>
        <v>https://zfin.org/ZDB-GENE-120215-187</v>
      </c>
      <c r="E1640" t="s">
        <v>4899</v>
      </c>
    </row>
    <row r="1641" spans="1:5" x14ac:dyDescent="0.2">
      <c r="A1641" t="s">
        <v>4900</v>
      </c>
      <c r="B1641" t="s">
        <v>4901</v>
      </c>
      <c r="C1641" t="s">
        <v>4901</v>
      </c>
      <c r="D1641" t="str">
        <f>HYPERLINK("https://zfin.org/ZDB-GENE-030131-267")</f>
        <v>https://zfin.org/ZDB-GENE-030131-267</v>
      </c>
      <c r="E1641" t="s">
        <v>4902</v>
      </c>
    </row>
    <row r="1642" spans="1:5" x14ac:dyDescent="0.2">
      <c r="A1642" t="s">
        <v>4903</v>
      </c>
      <c r="B1642" t="s">
        <v>4904</v>
      </c>
      <c r="C1642" t="s">
        <v>4904</v>
      </c>
      <c r="D1642" t="str">
        <f>HYPERLINK("https://zfin.org/ZDB-GENE-030131-2743")</f>
        <v>https://zfin.org/ZDB-GENE-030131-2743</v>
      </c>
      <c r="E1642" t="s">
        <v>4905</v>
      </c>
    </row>
    <row r="1643" spans="1:5" x14ac:dyDescent="0.2">
      <c r="A1643" t="s">
        <v>4906</v>
      </c>
      <c r="B1643" t="s">
        <v>4907</v>
      </c>
      <c r="C1643" t="s">
        <v>4907</v>
      </c>
      <c r="D1643" t="str">
        <f>HYPERLINK("https://zfin.org/ZDB-GENE-090312-149")</f>
        <v>https://zfin.org/ZDB-GENE-090312-149</v>
      </c>
      <c r="E1643" t="s">
        <v>4908</v>
      </c>
    </row>
    <row r="1644" spans="1:5" x14ac:dyDescent="0.2">
      <c r="A1644" t="s">
        <v>4909</v>
      </c>
      <c r="B1644" t="s">
        <v>4910</v>
      </c>
      <c r="C1644" t="s">
        <v>4910</v>
      </c>
      <c r="D1644" t="str">
        <f>HYPERLINK("https://zfin.org/ZDB-GENE-030131-3332")</f>
        <v>https://zfin.org/ZDB-GENE-030131-3332</v>
      </c>
      <c r="E1644" t="s">
        <v>4911</v>
      </c>
    </row>
    <row r="1645" spans="1:5" x14ac:dyDescent="0.2">
      <c r="A1645" t="s">
        <v>4912</v>
      </c>
      <c r="B1645" t="s">
        <v>4913</v>
      </c>
      <c r="C1645" t="s">
        <v>4913</v>
      </c>
      <c r="D1645" t="str">
        <f>HYPERLINK("https://zfin.org/ZDB-GENE-040715-6")</f>
        <v>https://zfin.org/ZDB-GENE-040715-6</v>
      </c>
      <c r="E1645" t="s">
        <v>4914</v>
      </c>
    </row>
    <row r="1646" spans="1:5" x14ac:dyDescent="0.2">
      <c r="A1646" t="s">
        <v>4915</v>
      </c>
      <c r="B1646" t="s">
        <v>4916</v>
      </c>
      <c r="C1646" t="s">
        <v>4916</v>
      </c>
      <c r="D1646" t="str">
        <f>HYPERLINK("https://zfin.org/ZDB-GENE-020919-1")</f>
        <v>https://zfin.org/ZDB-GENE-020919-1</v>
      </c>
      <c r="E1646" t="s">
        <v>4917</v>
      </c>
    </row>
    <row r="1647" spans="1:5" x14ac:dyDescent="0.2">
      <c r="A1647" t="s">
        <v>4918</v>
      </c>
      <c r="B1647" t="s">
        <v>4919</v>
      </c>
      <c r="C1647" t="s">
        <v>4919</v>
      </c>
      <c r="D1647" t="str">
        <f>HYPERLINK("https://zfin.org/ZDB-GENE-041114-138")</f>
        <v>https://zfin.org/ZDB-GENE-041114-138</v>
      </c>
      <c r="E1647" t="s">
        <v>4920</v>
      </c>
    </row>
    <row r="1648" spans="1:5" x14ac:dyDescent="0.2">
      <c r="A1648" t="s">
        <v>4921</v>
      </c>
      <c r="B1648" t="s">
        <v>4922</v>
      </c>
      <c r="C1648" t="s">
        <v>4922</v>
      </c>
      <c r="D1648" t="str">
        <f>HYPERLINK("https://zfin.org/ZDB-GENE-131127-550")</f>
        <v>https://zfin.org/ZDB-GENE-131127-550</v>
      </c>
      <c r="E1648" t="s">
        <v>4923</v>
      </c>
    </row>
    <row r="1649" spans="1:5" x14ac:dyDescent="0.2">
      <c r="A1649" t="s">
        <v>4924</v>
      </c>
      <c r="B1649" t="s">
        <v>4925</v>
      </c>
      <c r="C1649" t="s">
        <v>4925</v>
      </c>
      <c r="D1649" t="str">
        <f>HYPERLINK("https://zfin.org/ZDB-GENE-060825-301")</f>
        <v>https://zfin.org/ZDB-GENE-060825-301</v>
      </c>
      <c r="E1649" t="s">
        <v>4926</v>
      </c>
    </row>
    <row r="1650" spans="1:5" x14ac:dyDescent="0.2">
      <c r="A1650" t="s">
        <v>4927</v>
      </c>
      <c r="B1650" t="s">
        <v>4928</v>
      </c>
      <c r="C1650" t="s">
        <v>4928</v>
      </c>
      <c r="D1650" t="str">
        <f>HYPERLINK("https://zfin.org/ZDB-GENE-061013-602")</f>
        <v>https://zfin.org/ZDB-GENE-061013-602</v>
      </c>
      <c r="E1650" t="s">
        <v>4929</v>
      </c>
    </row>
    <row r="1651" spans="1:5" x14ac:dyDescent="0.2">
      <c r="A1651" t="s">
        <v>4930</v>
      </c>
      <c r="B1651" t="s">
        <v>4931</v>
      </c>
      <c r="C1651" t="s">
        <v>4931</v>
      </c>
      <c r="D1651" t="str">
        <f>HYPERLINK("https://zfin.org/ZDB-GENE-131120-178")</f>
        <v>https://zfin.org/ZDB-GENE-131120-178</v>
      </c>
      <c r="E1651" t="s">
        <v>4932</v>
      </c>
    </row>
    <row r="1652" spans="1:5" x14ac:dyDescent="0.2">
      <c r="A1652" t="s">
        <v>4933</v>
      </c>
      <c r="B1652" t="s">
        <v>4934</v>
      </c>
      <c r="C1652" t="s">
        <v>4934</v>
      </c>
      <c r="D1652" t="str">
        <f>HYPERLINK("https://zfin.org/ZDB-GENE-131126-61")</f>
        <v>https://zfin.org/ZDB-GENE-131126-61</v>
      </c>
      <c r="E1652" t="s">
        <v>4935</v>
      </c>
    </row>
    <row r="1653" spans="1:5" x14ac:dyDescent="0.2">
      <c r="A1653" t="s">
        <v>4936</v>
      </c>
      <c r="B1653" t="s">
        <v>4937</v>
      </c>
      <c r="C1653" t="s">
        <v>4937</v>
      </c>
      <c r="D1653" t="str">
        <f>HYPERLINK("https://zfin.org/ZDB-GENE-050320-33")</f>
        <v>https://zfin.org/ZDB-GENE-050320-33</v>
      </c>
      <c r="E1653" t="s">
        <v>4938</v>
      </c>
    </row>
    <row r="1654" spans="1:5" x14ac:dyDescent="0.2">
      <c r="A1654" t="s">
        <v>4939</v>
      </c>
      <c r="B1654" t="s">
        <v>4940</v>
      </c>
      <c r="C1654" t="s">
        <v>4940</v>
      </c>
      <c r="D1654" t="str">
        <f>HYPERLINK("https://zfin.org/ZDB-GENE-040426-2670")</f>
        <v>https://zfin.org/ZDB-GENE-040426-2670</v>
      </c>
      <c r="E1654" t="s">
        <v>4941</v>
      </c>
    </row>
    <row r="1655" spans="1:5" x14ac:dyDescent="0.2">
      <c r="A1655" t="s">
        <v>4942</v>
      </c>
      <c r="B1655" t="s">
        <v>4943</v>
      </c>
      <c r="C1655" t="s">
        <v>4943</v>
      </c>
      <c r="D1655" t="str">
        <f>HYPERLINK("https://zfin.org/ZDB-GENE-031001-9")</f>
        <v>https://zfin.org/ZDB-GENE-031001-9</v>
      </c>
      <c r="E1655" t="s">
        <v>4944</v>
      </c>
    </row>
    <row r="1656" spans="1:5" x14ac:dyDescent="0.2">
      <c r="A1656" t="s">
        <v>4945</v>
      </c>
      <c r="B1656" t="s">
        <v>4946</v>
      </c>
      <c r="C1656" t="s">
        <v>4946</v>
      </c>
      <c r="D1656" t="str">
        <f>HYPERLINK("https://zfin.org/ZDB-GENE-040426-2205")</f>
        <v>https://zfin.org/ZDB-GENE-040426-2205</v>
      </c>
      <c r="E1656" t="s">
        <v>4947</v>
      </c>
    </row>
    <row r="1657" spans="1:5" x14ac:dyDescent="0.2">
      <c r="A1657" t="s">
        <v>4948</v>
      </c>
      <c r="B1657" t="s">
        <v>4949</v>
      </c>
      <c r="C1657" t="s">
        <v>4949</v>
      </c>
      <c r="D1657" t="str">
        <f>HYPERLINK("https://zfin.org/ZDB-GENE-070705-153")</f>
        <v>https://zfin.org/ZDB-GENE-070705-153</v>
      </c>
      <c r="E1657" t="s">
        <v>4950</v>
      </c>
    </row>
    <row r="1658" spans="1:5" x14ac:dyDescent="0.2">
      <c r="A1658" t="s">
        <v>4951</v>
      </c>
      <c r="B1658" t="s">
        <v>4952</v>
      </c>
      <c r="C1658" t="s">
        <v>4952</v>
      </c>
      <c r="D1658" t="str">
        <f>HYPERLINK("https://zfin.org/ZDB-GENE-041210-9")</f>
        <v>https://zfin.org/ZDB-GENE-041210-9</v>
      </c>
      <c r="E1658" t="s">
        <v>4953</v>
      </c>
    </row>
    <row r="1659" spans="1:5" x14ac:dyDescent="0.2">
      <c r="A1659" t="s">
        <v>4954</v>
      </c>
      <c r="B1659" t="s">
        <v>4955</v>
      </c>
      <c r="C1659" t="s">
        <v>4955</v>
      </c>
      <c r="D1659" t="str">
        <f>HYPERLINK("https://zfin.org/ZDB-GENE-081028-33")</f>
        <v>https://zfin.org/ZDB-GENE-081028-33</v>
      </c>
      <c r="E1659" t="s">
        <v>4956</v>
      </c>
    </row>
    <row r="1660" spans="1:5" x14ac:dyDescent="0.2">
      <c r="A1660" t="s">
        <v>4957</v>
      </c>
      <c r="B1660" t="s">
        <v>4958</v>
      </c>
      <c r="C1660" t="s">
        <v>4958</v>
      </c>
      <c r="D1660" t="str">
        <f>HYPERLINK("https://zfin.org/ZDB-GENE-040426-720")</f>
        <v>https://zfin.org/ZDB-GENE-040426-720</v>
      </c>
      <c r="E1660" t="s">
        <v>4959</v>
      </c>
    </row>
    <row r="1661" spans="1:5" x14ac:dyDescent="0.2">
      <c r="A1661" t="s">
        <v>4960</v>
      </c>
      <c r="B1661" t="s">
        <v>4961</v>
      </c>
      <c r="C1661" t="s">
        <v>4961</v>
      </c>
      <c r="D1661" t="str">
        <f>HYPERLINK("https://zfin.org/ZDB-GENE-091204-92")</f>
        <v>https://zfin.org/ZDB-GENE-091204-92</v>
      </c>
      <c r="E1661" t="s">
        <v>4962</v>
      </c>
    </row>
    <row r="1662" spans="1:5" x14ac:dyDescent="0.2">
      <c r="A1662" t="s">
        <v>4963</v>
      </c>
      <c r="B1662" t="s">
        <v>4964</v>
      </c>
      <c r="C1662" t="s">
        <v>4964</v>
      </c>
      <c r="D1662" t="str">
        <f>HYPERLINK("https://zfin.org/ZDB-GENE-111117-3")</f>
        <v>https://zfin.org/ZDB-GENE-111117-3</v>
      </c>
      <c r="E1662" t="s">
        <v>4965</v>
      </c>
    </row>
    <row r="1663" spans="1:5" x14ac:dyDescent="0.2">
      <c r="A1663" t="s">
        <v>4966</v>
      </c>
      <c r="B1663" t="s">
        <v>4967</v>
      </c>
      <c r="C1663" t="s">
        <v>4967</v>
      </c>
      <c r="D1663" t="str">
        <f>HYPERLINK("https://zfin.org/ZDB-GENE-040426-1333")</f>
        <v>https://zfin.org/ZDB-GENE-040426-1333</v>
      </c>
      <c r="E1663" t="s">
        <v>4968</v>
      </c>
    </row>
    <row r="1664" spans="1:5" x14ac:dyDescent="0.2">
      <c r="A1664" t="s">
        <v>4969</v>
      </c>
      <c r="B1664" t="s">
        <v>4970</v>
      </c>
      <c r="C1664" t="s">
        <v>4970</v>
      </c>
      <c r="D1664" t="str">
        <f>HYPERLINK("https://zfin.org/ZDB-GENE-100210-2")</f>
        <v>https://zfin.org/ZDB-GENE-100210-2</v>
      </c>
      <c r="E1664" t="s">
        <v>4971</v>
      </c>
    </row>
    <row r="1665" spans="1:5" x14ac:dyDescent="0.2">
      <c r="A1665" t="s">
        <v>4972</v>
      </c>
      <c r="B1665" t="s">
        <v>4973</v>
      </c>
      <c r="C1665" t="s">
        <v>4973</v>
      </c>
      <c r="D1665" t="str">
        <f>HYPERLINK("https://zfin.org/ZDB-GENE-050327-55")</f>
        <v>https://zfin.org/ZDB-GENE-050327-55</v>
      </c>
      <c r="E1665" t="s">
        <v>4974</v>
      </c>
    </row>
    <row r="1666" spans="1:5" x14ac:dyDescent="0.2">
      <c r="A1666" t="s">
        <v>4975</v>
      </c>
      <c r="B1666" t="s">
        <v>4976</v>
      </c>
      <c r="C1666" t="s">
        <v>4976</v>
      </c>
      <c r="D1666" t="str">
        <f>HYPERLINK("https://zfin.org/ZDB-GENE-040718-119")</f>
        <v>https://zfin.org/ZDB-GENE-040718-119</v>
      </c>
      <c r="E1666" t="s">
        <v>4977</v>
      </c>
    </row>
    <row r="1667" spans="1:5" x14ac:dyDescent="0.2">
      <c r="A1667" t="s">
        <v>4978</v>
      </c>
      <c r="B1667" t="s">
        <v>4979</v>
      </c>
      <c r="C1667" t="s">
        <v>4979</v>
      </c>
      <c r="D1667" t="str">
        <f>HYPERLINK("https://zfin.org/ZDB-GENE-040625-156")</f>
        <v>https://zfin.org/ZDB-GENE-040625-156</v>
      </c>
      <c r="E1667" t="s">
        <v>4980</v>
      </c>
    </row>
    <row r="1668" spans="1:5" x14ac:dyDescent="0.2">
      <c r="A1668" t="s">
        <v>4981</v>
      </c>
      <c r="B1668" t="s">
        <v>4982</v>
      </c>
      <c r="C1668" t="s">
        <v>4982</v>
      </c>
      <c r="D1668" t="str">
        <f>HYPERLINK("https://zfin.org/ZDB-GENE-041210-72")</f>
        <v>https://zfin.org/ZDB-GENE-041210-72</v>
      </c>
      <c r="E1668" t="s">
        <v>4983</v>
      </c>
    </row>
    <row r="1669" spans="1:5" x14ac:dyDescent="0.2">
      <c r="A1669" t="s">
        <v>4984</v>
      </c>
      <c r="B1669" t="s">
        <v>4985</v>
      </c>
      <c r="C1669" t="s">
        <v>4985</v>
      </c>
      <c r="D1669" t="str">
        <f>HYPERLINK("https://zfin.org/ZDB-GENE-030131-8308")</f>
        <v>https://zfin.org/ZDB-GENE-030131-8308</v>
      </c>
      <c r="E1669" t="s">
        <v>4986</v>
      </c>
    </row>
    <row r="1670" spans="1:5" x14ac:dyDescent="0.2">
      <c r="A1670" t="s">
        <v>4987</v>
      </c>
      <c r="B1670" t="s">
        <v>4988</v>
      </c>
      <c r="C1670" t="s">
        <v>4988</v>
      </c>
      <c r="D1670" t="str">
        <f>HYPERLINK("https://zfin.org/ZDB-GENE-041108-2")</f>
        <v>https://zfin.org/ZDB-GENE-041108-2</v>
      </c>
      <c r="E1670" t="s">
        <v>4989</v>
      </c>
    </row>
    <row r="1671" spans="1:5" x14ac:dyDescent="0.2">
      <c r="A1671" t="s">
        <v>4990</v>
      </c>
      <c r="B1671" t="s">
        <v>4991</v>
      </c>
      <c r="C1671" t="s">
        <v>4991</v>
      </c>
      <c r="D1671" t="str">
        <f>HYPERLINK("https://zfin.org/ZDB-GENE-041010-139")</f>
        <v>https://zfin.org/ZDB-GENE-041010-139</v>
      </c>
      <c r="E1671" t="s">
        <v>4992</v>
      </c>
    </row>
    <row r="1672" spans="1:5" x14ac:dyDescent="0.2">
      <c r="A1672" t="s">
        <v>4993</v>
      </c>
      <c r="B1672" t="s">
        <v>4994</v>
      </c>
      <c r="C1672" t="s">
        <v>4994</v>
      </c>
      <c r="D1672" t="str">
        <f>HYPERLINK("https://zfin.org/ZDB-GENE-080226-6")</f>
        <v>https://zfin.org/ZDB-GENE-080226-6</v>
      </c>
      <c r="E1672" t="s">
        <v>4995</v>
      </c>
    </row>
    <row r="1673" spans="1:5" x14ac:dyDescent="0.2">
      <c r="A1673" t="s">
        <v>4996</v>
      </c>
      <c r="B1673" t="s">
        <v>4997</v>
      </c>
      <c r="C1673" t="s">
        <v>4997</v>
      </c>
      <c r="D1673" t="str">
        <f>HYPERLINK("https://zfin.org/ZDB-GENE-030616-511")</f>
        <v>https://zfin.org/ZDB-GENE-030616-511</v>
      </c>
      <c r="E1673" t="s">
        <v>4998</v>
      </c>
    </row>
    <row r="1674" spans="1:5" x14ac:dyDescent="0.2">
      <c r="A1674" t="s">
        <v>4999</v>
      </c>
      <c r="B1674" t="s">
        <v>5000</v>
      </c>
      <c r="C1674" t="s">
        <v>5000</v>
      </c>
      <c r="D1674" t="str">
        <f>HYPERLINK("https://zfin.org/ZDB-GENE-041210-76")</f>
        <v>https://zfin.org/ZDB-GENE-041210-76</v>
      </c>
      <c r="E1674" t="s">
        <v>5001</v>
      </c>
    </row>
    <row r="1675" spans="1:5" x14ac:dyDescent="0.2">
      <c r="A1675" t="s">
        <v>5002</v>
      </c>
      <c r="B1675" t="s">
        <v>5003</v>
      </c>
      <c r="C1675" t="s">
        <v>5003</v>
      </c>
      <c r="D1675" t="str">
        <f>HYPERLINK("https://zfin.org/ZDB-GENE-030131-6414")</f>
        <v>https://zfin.org/ZDB-GENE-030131-6414</v>
      </c>
      <c r="E1675" t="s">
        <v>5004</v>
      </c>
    </row>
    <row r="1676" spans="1:5" x14ac:dyDescent="0.2">
      <c r="A1676" t="s">
        <v>5005</v>
      </c>
      <c r="B1676" t="s">
        <v>5006</v>
      </c>
      <c r="C1676" t="s">
        <v>5006</v>
      </c>
      <c r="D1676" t="str">
        <f>HYPERLINK("https://zfin.org/ZDB-GENE-031218-1")</f>
        <v>https://zfin.org/ZDB-GENE-031218-1</v>
      </c>
      <c r="E1676" t="s">
        <v>5007</v>
      </c>
    </row>
    <row r="1677" spans="1:5" x14ac:dyDescent="0.2">
      <c r="A1677" t="s">
        <v>5008</v>
      </c>
      <c r="B1677" t="s">
        <v>5009</v>
      </c>
      <c r="C1677" t="s">
        <v>5009</v>
      </c>
      <c r="D1677" t="str">
        <f>HYPERLINK("https://zfin.org/ZDB-GENE-041114-90")</f>
        <v>https://zfin.org/ZDB-GENE-041114-90</v>
      </c>
      <c r="E1677" t="s">
        <v>5010</v>
      </c>
    </row>
    <row r="1678" spans="1:5" x14ac:dyDescent="0.2">
      <c r="A1678" t="s">
        <v>5011</v>
      </c>
      <c r="B1678" t="s">
        <v>5012</v>
      </c>
      <c r="C1678" t="s">
        <v>5012</v>
      </c>
      <c r="D1678" t="str">
        <f>HYPERLINK("https://zfin.org/ZDB-GENE-040801-237")</f>
        <v>https://zfin.org/ZDB-GENE-040801-237</v>
      </c>
      <c r="E1678" t="s">
        <v>5013</v>
      </c>
    </row>
    <row r="1679" spans="1:5" x14ac:dyDescent="0.2">
      <c r="A1679" t="s">
        <v>5014</v>
      </c>
      <c r="B1679" t="s">
        <v>5015</v>
      </c>
      <c r="C1679" t="s">
        <v>5015</v>
      </c>
      <c r="D1679" t="str">
        <f>HYPERLINK("https://zfin.org/ZDB-GENE-030131-7145")</f>
        <v>https://zfin.org/ZDB-GENE-030131-7145</v>
      </c>
      <c r="E1679" t="s">
        <v>5016</v>
      </c>
    </row>
    <row r="1680" spans="1:5" x14ac:dyDescent="0.2">
      <c r="A1680" t="s">
        <v>5017</v>
      </c>
      <c r="B1680" t="s">
        <v>5018</v>
      </c>
      <c r="C1680" t="s">
        <v>5018</v>
      </c>
      <c r="D1680" t="str">
        <f>HYPERLINK("https://zfin.org/ZDB-GENE-040912-63")</f>
        <v>https://zfin.org/ZDB-GENE-040912-63</v>
      </c>
      <c r="E1680" t="s">
        <v>5019</v>
      </c>
    </row>
    <row r="1681" spans="1:5" x14ac:dyDescent="0.2">
      <c r="A1681" t="s">
        <v>5020</v>
      </c>
      <c r="B1681" t="s">
        <v>5021</v>
      </c>
      <c r="C1681" t="s">
        <v>5021</v>
      </c>
      <c r="D1681" t="str">
        <f>HYPERLINK("https://zfin.org/ZDB-GENE-030131-2725")</f>
        <v>https://zfin.org/ZDB-GENE-030131-2725</v>
      </c>
      <c r="E1681" t="s">
        <v>5022</v>
      </c>
    </row>
    <row r="1682" spans="1:5" x14ac:dyDescent="0.2">
      <c r="A1682" t="s">
        <v>5023</v>
      </c>
      <c r="B1682" t="s">
        <v>5024</v>
      </c>
      <c r="C1682" t="s">
        <v>5024</v>
      </c>
      <c r="D1682" t="str">
        <f>HYPERLINK("https://zfin.org/ZDB-GENE-041111-174")</f>
        <v>https://zfin.org/ZDB-GENE-041111-174</v>
      </c>
      <c r="E1682" t="s">
        <v>5025</v>
      </c>
    </row>
    <row r="1683" spans="1:5" x14ac:dyDescent="0.2">
      <c r="A1683" t="s">
        <v>5026</v>
      </c>
      <c r="B1683" t="s">
        <v>5027</v>
      </c>
      <c r="C1683" t="s">
        <v>5027</v>
      </c>
      <c r="D1683" t="str">
        <f>HYPERLINK("https://zfin.org/ZDB-GENE-040426-1245")</f>
        <v>https://zfin.org/ZDB-GENE-040426-1245</v>
      </c>
      <c r="E1683" t="s">
        <v>5028</v>
      </c>
    </row>
    <row r="1684" spans="1:5" x14ac:dyDescent="0.2">
      <c r="A1684" t="s">
        <v>5029</v>
      </c>
      <c r="B1684" t="s">
        <v>5030</v>
      </c>
      <c r="C1684" t="s">
        <v>5030</v>
      </c>
      <c r="D1684" t="str">
        <f>HYPERLINK("https://zfin.org/ZDB-GENE-040724-74")</f>
        <v>https://zfin.org/ZDB-GENE-040724-74</v>
      </c>
      <c r="E1684" t="s">
        <v>5031</v>
      </c>
    </row>
    <row r="1685" spans="1:5" x14ac:dyDescent="0.2">
      <c r="A1685" t="s">
        <v>5032</v>
      </c>
      <c r="B1685" t="s">
        <v>5033</v>
      </c>
      <c r="C1685" t="s">
        <v>5033</v>
      </c>
      <c r="D1685" t="str">
        <f>HYPERLINK("https://zfin.org/ZDB-GENE-040724-77")</f>
        <v>https://zfin.org/ZDB-GENE-040724-77</v>
      </c>
      <c r="E1685" t="s">
        <v>5034</v>
      </c>
    </row>
    <row r="1686" spans="1:5" x14ac:dyDescent="0.2">
      <c r="A1686" t="s">
        <v>5035</v>
      </c>
      <c r="B1686" t="s">
        <v>5036</v>
      </c>
      <c r="C1686" t="s">
        <v>5036</v>
      </c>
      <c r="D1686" t="str">
        <f>HYPERLINK("https://zfin.org/ZDB-GENE-110914-21")</f>
        <v>https://zfin.org/ZDB-GENE-110914-21</v>
      </c>
      <c r="E1686" t="s">
        <v>5037</v>
      </c>
    </row>
    <row r="1687" spans="1:5" x14ac:dyDescent="0.2">
      <c r="A1687" t="s">
        <v>5038</v>
      </c>
      <c r="B1687" t="s">
        <v>5039</v>
      </c>
      <c r="C1687" t="s">
        <v>5039</v>
      </c>
      <c r="D1687" t="str">
        <f>HYPERLINK("https://zfin.org/ZDB-GENE-040718-92")</f>
        <v>https://zfin.org/ZDB-GENE-040718-92</v>
      </c>
      <c r="E1687" t="s">
        <v>5040</v>
      </c>
    </row>
    <row r="1688" spans="1:5" x14ac:dyDescent="0.2">
      <c r="A1688" t="s">
        <v>5041</v>
      </c>
      <c r="B1688" t="s">
        <v>5042</v>
      </c>
      <c r="C1688" t="s">
        <v>5042</v>
      </c>
      <c r="D1688" t="str">
        <f>HYPERLINK("https://zfin.org/ZDB-GENE-030131-4905")</f>
        <v>https://zfin.org/ZDB-GENE-030131-4905</v>
      </c>
      <c r="E1688" t="s">
        <v>5043</v>
      </c>
    </row>
    <row r="1689" spans="1:5" x14ac:dyDescent="0.2">
      <c r="A1689" t="s">
        <v>5044</v>
      </c>
      <c r="B1689" t="s">
        <v>5045</v>
      </c>
      <c r="C1689" t="s">
        <v>5045</v>
      </c>
      <c r="D1689" t="str">
        <f>HYPERLINK("https://zfin.org/ZDB-GENE-040426-1243")</f>
        <v>https://zfin.org/ZDB-GENE-040426-1243</v>
      </c>
      <c r="E1689" t="s">
        <v>5046</v>
      </c>
    </row>
    <row r="1690" spans="1:5" x14ac:dyDescent="0.2">
      <c r="A1690" t="s">
        <v>5047</v>
      </c>
      <c r="B1690" t="s">
        <v>5048</v>
      </c>
      <c r="C1690" t="s">
        <v>5048</v>
      </c>
      <c r="D1690" t="str">
        <f>HYPERLINK("https://zfin.org/ZDB-GENE-030131-5923")</f>
        <v>https://zfin.org/ZDB-GENE-030131-5923</v>
      </c>
      <c r="E1690" t="s">
        <v>5049</v>
      </c>
    </row>
    <row r="1691" spans="1:5" x14ac:dyDescent="0.2">
      <c r="A1691" t="s">
        <v>5050</v>
      </c>
      <c r="B1691" t="s">
        <v>5051</v>
      </c>
      <c r="C1691" t="s">
        <v>5051</v>
      </c>
      <c r="D1691" t="str">
        <f>HYPERLINK("https://zfin.org/ZDB-GENE-050913-67")</f>
        <v>https://zfin.org/ZDB-GENE-050913-67</v>
      </c>
      <c r="E1691" t="s">
        <v>5052</v>
      </c>
    </row>
    <row r="1692" spans="1:5" x14ac:dyDescent="0.2">
      <c r="A1692" t="s">
        <v>5053</v>
      </c>
      <c r="B1692" t="s">
        <v>5054</v>
      </c>
      <c r="C1692" t="s">
        <v>5054</v>
      </c>
      <c r="D1692" t="str">
        <f>HYPERLINK("https://zfin.org/ZDB-GENE-050318-2")</f>
        <v>https://zfin.org/ZDB-GENE-050318-2</v>
      </c>
      <c r="E1692" t="s">
        <v>5055</v>
      </c>
    </row>
    <row r="1693" spans="1:5" x14ac:dyDescent="0.2">
      <c r="A1693" t="s">
        <v>5056</v>
      </c>
      <c r="B1693" t="s">
        <v>5057</v>
      </c>
      <c r="C1693" t="s">
        <v>5057</v>
      </c>
      <c r="D1693" t="str">
        <f>HYPERLINK("https://zfin.org/ZDB-GENE-040426-2273")</f>
        <v>https://zfin.org/ZDB-GENE-040426-2273</v>
      </c>
      <c r="E1693" t="s">
        <v>5058</v>
      </c>
    </row>
    <row r="1694" spans="1:5" x14ac:dyDescent="0.2">
      <c r="A1694" t="s">
        <v>5059</v>
      </c>
      <c r="B1694" t="s">
        <v>5060</v>
      </c>
      <c r="C1694" t="s">
        <v>5060</v>
      </c>
      <c r="D1694" t="str">
        <f>HYPERLINK("https://zfin.org/ZDB-GENE-131121-97")</f>
        <v>https://zfin.org/ZDB-GENE-131121-97</v>
      </c>
      <c r="E1694" t="s">
        <v>5061</v>
      </c>
    </row>
    <row r="1695" spans="1:5" x14ac:dyDescent="0.2">
      <c r="A1695" t="s">
        <v>5062</v>
      </c>
      <c r="B1695" t="s">
        <v>5063</v>
      </c>
      <c r="C1695" t="s">
        <v>5063</v>
      </c>
      <c r="D1695" t="str">
        <f>HYPERLINK("https://zfin.org/ZDB-GENE-040426-1071")</f>
        <v>https://zfin.org/ZDB-GENE-040426-1071</v>
      </c>
      <c r="E1695" t="s">
        <v>5064</v>
      </c>
    </row>
    <row r="1696" spans="1:5" x14ac:dyDescent="0.2">
      <c r="A1696" t="s">
        <v>5065</v>
      </c>
      <c r="B1696" t="s">
        <v>5066</v>
      </c>
      <c r="C1696" t="s">
        <v>5066</v>
      </c>
      <c r="D1696" t="str">
        <f>HYPERLINK("https://zfin.org/ZDB-GENE-061110-126")</f>
        <v>https://zfin.org/ZDB-GENE-061110-126</v>
      </c>
      <c r="E1696" t="s">
        <v>5067</v>
      </c>
    </row>
    <row r="1697" spans="1:5" x14ac:dyDescent="0.2">
      <c r="A1697" t="s">
        <v>5068</v>
      </c>
      <c r="B1697" t="s">
        <v>5069</v>
      </c>
      <c r="C1697" t="s">
        <v>5069</v>
      </c>
      <c r="D1697" t="str">
        <f>HYPERLINK("https://zfin.org/ZDB-GENE-040724-124")</f>
        <v>https://zfin.org/ZDB-GENE-040724-124</v>
      </c>
      <c r="E1697" t="s">
        <v>5070</v>
      </c>
    </row>
    <row r="1698" spans="1:5" x14ac:dyDescent="0.2">
      <c r="A1698" t="s">
        <v>5071</v>
      </c>
      <c r="B1698" t="s">
        <v>5072</v>
      </c>
      <c r="C1698" t="s">
        <v>5072</v>
      </c>
      <c r="D1698" t="str">
        <f>HYPERLINK("https://zfin.org/ZDB-GENE-041010-90")</f>
        <v>https://zfin.org/ZDB-GENE-041010-90</v>
      </c>
      <c r="E1698" t="s">
        <v>5073</v>
      </c>
    </row>
    <row r="1699" spans="1:5" x14ac:dyDescent="0.2">
      <c r="A1699" t="s">
        <v>5074</v>
      </c>
      <c r="B1699" t="s">
        <v>5075</v>
      </c>
      <c r="C1699" t="s">
        <v>5075</v>
      </c>
      <c r="D1699" t="str">
        <f>HYPERLINK("https://zfin.org/ZDB-GENE-031204-5")</f>
        <v>https://zfin.org/ZDB-GENE-031204-5</v>
      </c>
      <c r="E1699" t="s">
        <v>5076</v>
      </c>
    </row>
    <row r="1700" spans="1:5" x14ac:dyDescent="0.2">
      <c r="A1700" t="s">
        <v>5077</v>
      </c>
      <c r="B1700" t="s">
        <v>5078</v>
      </c>
      <c r="C1700" t="s">
        <v>5078</v>
      </c>
      <c r="D1700" t="str">
        <f>HYPERLINK("https://zfin.org/ZDB-GENE-080303-7")</f>
        <v>https://zfin.org/ZDB-GENE-080303-7</v>
      </c>
      <c r="E1700" t="s">
        <v>5079</v>
      </c>
    </row>
    <row r="1701" spans="1:5" x14ac:dyDescent="0.2">
      <c r="A1701" t="s">
        <v>5080</v>
      </c>
      <c r="B1701" t="s">
        <v>5081</v>
      </c>
      <c r="C1701" t="s">
        <v>5081</v>
      </c>
      <c r="D1701" t="str">
        <f>HYPERLINK("https://zfin.org/ZDB-GENE-010906-1")</f>
        <v>https://zfin.org/ZDB-GENE-010906-1</v>
      </c>
      <c r="E1701" t="s">
        <v>5082</v>
      </c>
    </row>
    <row r="1702" spans="1:5" x14ac:dyDescent="0.2">
      <c r="A1702" t="s">
        <v>5083</v>
      </c>
      <c r="B1702" t="s">
        <v>5084</v>
      </c>
      <c r="C1702" t="s">
        <v>5084</v>
      </c>
      <c r="D1702" t="str">
        <f>HYPERLINK("https://zfin.org/ZDB-GENE-040426-1948")</f>
        <v>https://zfin.org/ZDB-GENE-040426-1948</v>
      </c>
      <c r="E1702" t="s">
        <v>5085</v>
      </c>
    </row>
    <row r="1703" spans="1:5" x14ac:dyDescent="0.2">
      <c r="A1703" t="s">
        <v>5086</v>
      </c>
      <c r="B1703" t="s">
        <v>5087</v>
      </c>
      <c r="C1703" t="s">
        <v>5087</v>
      </c>
      <c r="D1703" t="str">
        <f>HYPERLINK("https://zfin.org/ZDB-GENE-030131-1301")</f>
        <v>https://zfin.org/ZDB-GENE-030131-1301</v>
      </c>
      <c r="E1703" t="s">
        <v>5088</v>
      </c>
    </row>
    <row r="1704" spans="1:5" x14ac:dyDescent="0.2">
      <c r="A1704" t="s">
        <v>5089</v>
      </c>
      <c r="B1704" t="s">
        <v>5090</v>
      </c>
      <c r="C1704" t="s">
        <v>5090</v>
      </c>
      <c r="D1704" t="str">
        <f>HYPERLINK("https://zfin.org/ZDB-GENE-000605-2")</f>
        <v>https://zfin.org/ZDB-GENE-000605-2</v>
      </c>
      <c r="E1704" t="s">
        <v>5091</v>
      </c>
    </row>
    <row r="1705" spans="1:5" x14ac:dyDescent="0.2">
      <c r="A1705" t="s">
        <v>5092</v>
      </c>
      <c r="B1705" t="s">
        <v>5093</v>
      </c>
      <c r="C1705" t="s">
        <v>5093</v>
      </c>
      <c r="D1705" t="str">
        <f>HYPERLINK("https://zfin.org/ZDB-GENE-040724-84")</f>
        <v>https://zfin.org/ZDB-GENE-040724-84</v>
      </c>
      <c r="E1705" t="s">
        <v>5094</v>
      </c>
    </row>
    <row r="1706" spans="1:5" x14ac:dyDescent="0.2">
      <c r="A1706" t="s">
        <v>5095</v>
      </c>
      <c r="B1706" t="s">
        <v>5096</v>
      </c>
      <c r="C1706" t="s">
        <v>5096</v>
      </c>
      <c r="D1706" t="str">
        <f>HYPERLINK("https://zfin.org/ZDB-GENE-080722-16")</f>
        <v>https://zfin.org/ZDB-GENE-080722-16</v>
      </c>
      <c r="E1706" t="s">
        <v>5097</v>
      </c>
    </row>
    <row r="1707" spans="1:5" x14ac:dyDescent="0.2">
      <c r="A1707" t="s">
        <v>5098</v>
      </c>
      <c r="B1707" t="s">
        <v>5099</v>
      </c>
      <c r="C1707" t="s">
        <v>5099</v>
      </c>
      <c r="D1707" t="str">
        <f>HYPERLINK("https://zfin.org/ZDB-GENE-020102-1")</f>
        <v>https://zfin.org/ZDB-GENE-020102-1</v>
      </c>
      <c r="E1707" t="s">
        <v>5100</v>
      </c>
    </row>
    <row r="1708" spans="1:5" x14ac:dyDescent="0.2">
      <c r="A1708" t="s">
        <v>5101</v>
      </c>
      <c r="B1708" t="s">
        <v>5102</v>
      </c>
      <c r="C1708" t="s">
        <v>5102</v>
      </c>
      <c r="D1708" t="str">
        <f>HYPERLINK("https://zfin.org/ZDB-GENE-030131-7860")</f>
        <v>https://zfin.org/ZDB-GENE-030131-7860</v>
      </c>
      <c r="E1708" t="s">
        <v>5103</v>
      </c>
    </row>
    <row r="1709" spans="1:5" x14ac:dyDescent="0.2">
      <c r="A1709" t="s">
        <v>5104</v>
      </c>
      <c r="B1709" t="s">
        <v>5105</v>
      </c>
      <c r="C1709" t="s">
        <v>5105</v>
      </c>
      <c r="D1709" t="str">
        <f>HYPERLINK("https://zfin.org/ZDB-GENE-050320-28")</f>
        <v>https://zfin.org/ZDB-GENE-050320-28</v>
      </c>
      <c r="E1709" t="s">
        <v>5106</v>
      </c>
    </row>
    <row r="1710" spans="1:5" x14ac:dyDescent="0.2">
      <c r="A1710" t="s">
        <v>5107</v>
      </c>
      <c r="B1710" t="s">
        <v>5108</v>
      </c>
      <c r="C1710" t="s">
        <v>5108</v>
      </c>
      <c r="D1710" t="str">
        <f>HYPERLINK("https://zfin.org/ZDB-GENE-030131-8332")</f>
        <v>https://zfin.org/ZDB-GENE-030131-8332</v>
      </c>
      <c r="E1710" t="s">
        <v>5109</v>
      </c>
    </row>
    <row r="1711" spans="1:5" x14ac:dyDescent="0.2">
      <c r="A1711" t="s">
        <v>5110</v>
      </c>
      <c r="B1711" t="s">
        <v>5111</v>
      </c>
      <c r="C1711" t="s">
        <v>5111</v>
      </c>
      <c r="D1711" t="str">
        <f>HYPERLINK("https://zfin.org/ZDB-GENE-131127-219")</f>
        <v>https://zfin.org/ZDB-GENE-131127-219</v>
      </c>
      <c r="E1711" t="s">
        <v>5112</v>
      </c>
    </row>
    <row r="1712" spans="1:5" x14ac:dyDescent="0.2">
      <c r="A1712" t="s">
        <v>5113</v>
      </c>
      <c r="B1712" t="s">
        <v>5114</v>
      </c>
      <c r="C1712" t="s">
        <v>5114</v>
      </c>
      <c r="D1712" t="str">
        <f>HYPERLINK("https://zfin.org/ZDB-GENE-030131-9187")</f>
        <v>https://zfin.org/ZDB-GENE-030131-9187</v>
      </c>
      <c r="E1712" t="s">
        <v>5115</v>
      </c>
    </row>
    <row r="1713" spans="1:5" x14ac:dyDescent="0.2">
      <c r="A1713" t="s">
        <v>5116</v>
      </c>
      <c r="B1713" t="s">
        <v>5117</v>
      </c>
      <c r="C1713" t="s">
        <v>5117</v>
      </c>
      <c r="D1713" t="str">
        <f>HYPERLINK("https://zfin.org/ZDB-GENE-081028-31")</f>
        <v>https://zfin.org/ZDB-GENE-081028-31</v>
      </c>
      <c r="E1713" t="s">
        <v>5118</v>
      </c>
    </row>
    <row r="1714" spans="1:5" x14ac:dyDescent="0.2">
      <c r="A1714" t="s">
        <v>5119</v>
      </c>
      <c r="B1714" t="s">
        <v>5120</v>
      </c>
      <c r="C1714" t="s">
        <v>5120</v>
      </c>
      <c r="D1714" t="str">
        <f>HYPERLINK("https://zfin.org/ZDB-GENE-050411-25")</f>
        <v>https://zfin.org/ZDB-GENE-050411-25</v>
      </c>
      <c r="E1714" t="s">
        <v>5121</v>
      </c>
    </row>
    <row r="1715" spans="1:5" x14ac:dyDescent="0.2">
      <c r="A1715" t="s">
        <v>5122</v>
      </c>
      <c r="B1715" t="s">
        <v>5123</v>
      </c>
      <c r="C1715" t="s">
        <v>5123</v>
      </c>
      <c r="D1715" t="str">
        <f>HYPERLINK("https://zfin.org/ZDB-GENE-121214-76")</f>
        <v>https://zfin.org/ZDB-GENE-121214-76</v>
      </c>
      <c r="E1715" t="s">
        <v>5124</v>
      </c>
    </row>
    <row r="1716" spans="1:5" x14ac:dyDescent="0.2">
      <c r="A1716" t="s">
        <v>5125</v>
      </c>
      <c r="B1716" t="s">
        <v>5126</v>
      </c>
      <c r="C1716" t="s">
        <v>5126</v>
      </c>
      <c r="D1716" t="str">
        <f>HYPERLINK("https://zfin.org/ZDB-GENE-050810-2")</f>
        <v>https://zfin.org/ZDB-GENE-050810-2</v>
      </c>
      <c r="E1716" t="s">
        <v>5127</v>
      </c>
    </row>
    <row r="1717" spans="1:5" x14ac:dyDescent="0.2">
      <c r="A1717" t="s">
        <v>5128</v>
      </c>
      <c r="B1717" t="s">
        <v>5129</v>
      </c>
      <c r="C1717" t="s">
        <v>5129</v>
      </c>
      <c r="D1717" t="str">
        <f>HYPERLINK("https://zfin.org/ZDB-GENE-131121-608")</f>
        <v>https://zfin.org/ZDB-GENE-131121-608</v>
      </c>
      <c r="E1717" t="s">
        <v>5130</v>
      </c>
    </row>
    <row r="1718" spans="1:5" x14ac:dyDescent="0.2">
      <c r="A1718" t="s">
        <v>5131</v>
      </c>
      <c r="B1718" t="s">
        <v>5132</v>
      </c>
      <c r="C1718" t="s">
        <v>5132</v>
      </c>
      <c r="D1718" t="str">
        <f>HYPERLINK("https://zfin.org/ZDB-GENE-030828-12")</f>
        <v>https://zfin.org/ZDB-GENE-030828-12</v>
      </c>
      <c r="E1718" t="s">
        <v>5133</v>
      </c>
    </row>
    <row r="1719" spans="1:5" x14ac:dyDescent="0.2">
      <c r="A1719" t="s">
        <v>5134</v>
      </c>
      <c r="B1719" t="s">
        <v>5135</v>
      </c>
      <c r="C1719" t="s">
        <v>5135</v>
      </c>
      <c r="D1719" t="str">
        <f>HYPERLINK("https://zfin.org/ZDB-GENE-070323-2")</f>
        <v>https://zfin.org/ZDB-GENE-070323-2</v>
      </c>
      <c r="E1719" t="s">
        <v>5136</v>
      </c>
    </row>
    <row r="1720" spans="1:5" x14ac:dyDescent="0.2">
      <c r="A1720" t="s">
        <v>5137</v>
      </c>
      <c r="B1720" t="s">
        <v>5138</v>
      </c>
      <c r="C1720" t="s">
        <v>5138</v>
      </c>
      <c r="D1720" t="str">
        <f>HYPERLINK("https://zfin.org/ZDB-GENE-040504-1")</f>
        <v>https://zfin.org/ZDB-GENE-040504-1</v>
      </c>
      <c r="E1720" t="s">
        <v>5139</v>
      </c>
    </row>
    <row r="1721" spans="1:5" x14ac:dyDescent="0.2">
      <c r="A1721" t="s">
        <v>5140</v>
      </c>
      <c r="B1721" t="s">
        <v>5141</v>
      </c>
      <c r="C1721" t="s">
        <v>5141</v>
      </c>
      <c r="D1721" t="str">
        <f>HYPERLINK("https://zfin.org/ZDB-GENE-040912-49")</f>
        <v>https://zfin.org/ZDB-GENE-040912-49</v>
      </c>
      <c r="E1721" t="s">
        <v>5142</v>
      </c>
    </row>
    <row r="1722" spans="1:5" x14ac:dyDescent="0.2">
      <c r="A1722" t="s">
        <v>5143</v>
      </c>
      <c r="B1722" t="s">
        <v>5144</v>
      </c>
      <c r="C1722" t="s">
        <v>5144</v>
      </c>
      <c r="D1722" t="str">
        <f>HYPERLINK("https://zfin.org/ZDB-GENE-110420-1")</f>
        <v>https://zfin.org/ZDB-GENE-110420-1</v>
      </c>
      <c r="E1722" t="s">
        <v>5145</v>
      </c>
    </row>
    <row r="1723" spans="1:5" x14ac:dyDescent="0.2">
      <c r="A1723" t="s">
        <v>5146</v>
      </c>
      <c r="B1723" t="s">
        <v>5147</v>
      </c>
      <c r="C1723" t="s">
        <v>5147</v>
      </c>
      <c r="D1723" t="str">
        <f>HYPERLINK("https://zfin.org/ZDB-GENE-061103-58")</f>
        <v>https://zfin.org/ZDB-GENE-061103-58</v>
      </c>
      <c r="E1723" t="s">
        <v>5148</v>
      </c>
    </row>
    <row r="1724" spans="1:5" x14ac:dyDescent="0.2">
      <c r="A1724" t="s">
        <v>5149</v>
      </c>
      <c r="B1724" t="s">
        <v>5150</v>
      </c>
      <c r="C1724" t="s">
        <v>5150</v>
      </c>
      <c r="D1724" t="str">
        <f>HYPERLINK("https://zfin.org/ZDB-GENE-030429-9")</f>
        <v>https://zfin.org/ZDB-GENE-030429-9</v>
      </c>
      <c r="E1724" t="s">
        <v>5151</v>
      </c>
    </row>
    <row r="1725" spans="1:5" x14ac:dyDescent="0.2">
      <c r="A1725" t="s">
        <v>5152</v>
      </c>
      <c r="B1725" t="s">
        <v>5153</v>
      </c>
      <c r="C1725" t="s">
        <v>5153</v>
      </c>
      <c r="D1725" t="str">
        <f>HYPERLINK("https://zfin.org/ZDB-GENE-080403-6")</f>
        <v>https://zfin.org/ZDB-GENE-080403-6</v>
      </c>
      <c r="E1725" t="s">
        <v>5154</v>
      </c>
    </row>
    <row r="1726" spans="1:5" x14ac:dyDescent="0.2">
      <c r="A1726" t="s">
        <v>5155</v>
      </c>
      <c r="B1726" t="s">
        <v>5156</v>
      </c>
      <c r="C1726" t="s">
        <v>5156</v>
      </c>
      <c r="D1726" t="str">
        <f>HYPERLINK("https://zfin.org/ZDB-GENE-080716-1")</f>
        <v>https://zfin.org/ZDB-GENE-080716-1</v>
      </c>
      <c r="E1726" t="s">
        <v>5157</v>
      </c>
    </row>
    <row r="1727" spans="1:5" x14ac:dyDescent="0.2">
      <c r="A1727" t="s">
        <v>5158</v>
      </c>
      <c r="B1727" t="s">
        <v>5159</v>
      </c>
      <c r="C1727" t="s">
        <v>5159</v>
      </c>
      <c r="D1727" t="str">
        <f>HYPERLINK("https://zfin.org/ZDB-GENE-110125-5")</f>
        <v>https://zfin.org/ZDB-GENE-110125-5</v>
      </c>
      <c r="E1727" t="s">
        <v>5160</v>
      </c>
    </row>
    <row r="1728" spans="1:5" x14ac:dyDescent="0.2">
      <c r="A1728" t="s">
        <v>5161</v>
      </c>
      <c r="B1728" t="s">
        <v>5162</v>
      </c>
      <c r="C1728" t="s">
        <v>5162</v>
      </c>
      <c r="D1728" t="str">
        <f>HYPERLINK("https://zfin.org/ZDB-GENE-021120-3")</f>
        <v>https://zfin.org/ZDB-GENE-021120-3</v>
      </c>
      <c r="E1728" t="s">
        <v>5163</v>
      </c>
    </row>
    <row r="1729" spans="1:5" x14ac:dyDescent="0.2">
      <c r="A1729" t="s">
        <v>5164</v>
      </c>
      <c r="B1729" t="s">
        <v>5165</v>
      </c>
      <c r="C1729" t="s">
        <v>5165</v>
      </c>
      <c r="D1729" t="str">
        <f>HYPERLINK("https://zfin.org/ZDB-GENE-030826-5")</f>
        <v>https://zfin.org/ZDB-GENE-030826-5</v>
      </c>
      <c r="E1729" t="s">
        <v>5166</v>
      </c>
    </row>
    <row r="1730" spans="1:5" x14ac:dyDescent="0.2">
      <c r="A1730" t="s">
        <v>5167</v>
      </c>
      <c r="B1730" t="s">
        <v>5168</v>
      </c>
      <c r="C1730" t="s">
        <v>5168</v>
      </c>
      <c r="D1730" t="str">
        <f>HYPERLINK("https://zfin.org/ZDB-GENE-050522-380")</f>
        <v>https://zfin.org/ZDB-GENE-050522-380</v>
      </c>
      <c r="E1730" t="s">
        <v>5169</v>
      </c>
    </row>
    <row r="1731" spans="1:5" x14ac:dyDescent="0.2">
      <c r="A1731" t="s">
        <v>5170</v>
      </c>
      <c r="B1731" t="s">
        <v>5171</v>
      </c>
      <c r="C1731" t="s">
        <v>5171</v>
      </c>
      <c r="D1731" t="str">
        <f>HYPERLINK("https://zfin.org/ZDB-GENE-040426-2833")</f>
        <v>https://zfin.org/ZDB-GENE-040426-2833</v>
      </c>
      <c r="E1731" t="s">
        <v>5172</v>
      </c>
    </row>
    <row r="1732" spans="1:5" x14ac:dyDescent="0.2">
      <c r="A1732" t="s">
        <v>5173</v>
      </c>
      <c r="B1732" t="s">
        <v>5174</v>
      </c>
      <c r="C1732" t="s">
        <v>5174</v>
      </c>
      <c r="D1732" t="str">
        <f>HYPERLINK("https://zfin.org/ZDB-GENE-050522-203")</f>
        <v>https://zfin.org/ZDB-GENE-050522-203</v>
      </c>
      <c r="E1732" t="s">
        <v>5175</v>
      </c>
    </row>
    <row r="1733" spans="1:5" x14ac:dyDescent="0.2">
      <c r="A1733" t="s">
        <v>5176</v>
      </c>
      <c r="B1733" t="s">
        <v>5177</v>
      </c>
      <c r="C1733" t="s">
        <v>5177</v>
      </c>
      <c r="D1733" t="str">
        <f>HYPERLINK("https://zfin.org/ZDB-GENE-030131-7440")</f>
        <v>https://zfin.org/ZDB-GENE-030131-7440</v>
      </c>
      <c r="E1733" t="s">
        <v>5178</v>
      </c>
    </row>
    <row r="1734" spans="1:5" x14ac:dyDescent="0.2">
      <c r="A1734" t="s">
        <v>5179</v>
      </c>
      <c r="B1734" t="s">
        <v>5180</v>
      </c>
      <c r="C1734" t="s">
        <v>5180</v>
      </c>
      <c r="D1734" t="str">
        <f>HYPERLINK("https://zfin.org/ZDB-GENE-131121-391")</f>
        <v>https://zfin.org/ZDB-GENE-131121-391</v>
      </c>
      <c r="E1734" t="s">
        <v>5181</v>
      </c>
    </row>
    <row r="1735" spans="1:5" x14ac:dyDescent="0.2">
      <c r="A1735" t="s">
        <v>5182</v>
      </c>
      <c r="B1735" t="s">
        <v>5183</v>
      </c>
      <c r="C1735" t="s">
        <v>5183</v>
      </c>
      <c r="D1735" t="str">
        <f>HYPERLINK("https://zfin.org/ZDB-GENE-060526-375")</f>
        <v>https://zfin.org/ZDB-GENE-060526-375</v>
      </c>
      <c r="E1735" t="s">
        <v>5184</v>
      </c>
    </row>
    <row r="1736" spans="1:5" x14ac:dyDescent="0.2">
      <c r="A1736" t="s">
        <v>5185</v>
      </c>
      <c r="B1736" t="s">
        <v>5186</v>
      </c>
      <c r="C1736" t="s">
        <v>5186</v>
      </c>
      <c r="D1736" t="str">
        <f>HYPERLINK("https://zfin.org/ZDB-GENE-131121-643")</f>
        <v>https://zfin.org/ZDB-GENE-131121-643</v>
      </c>
      <c r="E1736" t="s">
        <v>5187</v>
      </c>
    </row>
    <row r="1737" spans="1:5" x14ac:dyDescent="0.2">
      <c r="A1737" t="s">
        <v>5188</v>
      </c>
      <c r="B1737" t="s">
        <v>5189</v>
      </c>
      <c r="C1737" t="s">
        <v>5189</v>
      </c>
      <c r="D1737" t="str">
        <f>HYPERLINK("https://zfin.org/ZDB-GENE-160113-42")</f>
        <v>https://zfin.org/ZDB-GENE-160113-42</v>
      </c>
      <c r="E1737" t="s">
        <v>5190</v>
      </c>
    </row>
    <row r="1738" spans="1:5" x14ac:dyDescent="0.2">
      <c r="A1738" t="s">
        <v>5191</v>
      </c>
      <c r="B1738" t="s">
        <v>5192</v>
      </c>
      <c r="C1738" t="s">
        <v>5192</v>
      </c>
      <c r="D1738" t="str">
        <f>HYPERLINK("https://zfin.org/ZDB-GENE-040426-1064")</f>
        <v>https://zfin.org/ZDB-GENE-040426-1064</v>
      </c>
      <c r="E1738" t="s">
        <v>5193</v>
      </c>
    </row>
    <row r="1739" spans="1:5" x14ac:dyDescent="0.2">
      <c r="A1739" t="s">
        <v>5194</v>
      </c>
      <c r="B1739" t="s">
        <v>5195</v>
      </c>
      <c r="C1739" t="s">
        <v>5195</v>
      </c>
      <c r="D1739" t="str">
        <f>HYPERLINK("https://zfin.org/ZDB-GENE-070912-586")</f>
        <v>https://zfin.org/ZDB-GENE-070912-586</v>
      </c>
      <c r="E1739" t="s">
        <v>5196</v>
      </c>
    </row>
    <row r="1740" spans="1:5" x14ac:dyDescent="0.2">
      <c r="A1740" t="s">
        <v>5197</v>
      </c>
      <c r="B1740" t="s">
        <v>5198</v>
      </c>
      <c r="C1740" t="s">
        <v>5198</v>
      </c>
      <c r="D1740" t="str">
        <f>HYPERLINK("https://zfin.org/ZDB-GENE-050320-104")</f>
        <v>https://zfin.org/ZDB-GENE-050320-104</v>
      </c>
      <c r="E1740" t="s">
        <v>5199</v>
      </c>
    </row>
    <row r="1741" spans="1:5" x14ac:dyDescent="0.2">
      <c r="A1741" t="s">
        <v>5200</v>
      </c>
      <c r="B1741" t="s">
        <v>5201</v>
      </c>
      <c r="C1741" t="s">
        <v>5201</v>
      </c>
      <c r="D1741" t="str">
        <f>HYPERLINK("https://zfin.org/ZDB-GENE-040426-2666")</f>
        <v>https://zfin.org/ZDB-GENE-040426-2666</v>
      </c>
      <c r="E1741" t="s">
        <v>5202</v>
      </c>
    </row>
    <row r="1742" spans="1:5" x14ac:dyDescent="0.2">
      <c r="A1742" t="s">
        <v>5203</v>
      </c>
      <c r="B1742" t="s">
        <v>5204</v>
      </c>
      <c r="C1742" t="s">
        <v>5204</v>
      </c>
      <c r="D1742" t="str">
        <f>HYPERLINK("https://zfin.org/ZDB-GENE-040204-1")</f>
        <v>https://zfin.org/ZDB-GENE-040204-1</v>
      </c>
      <c r="E1742" t="s">
        <v>5205</v>
      </c>
    </row>
    <row r="1743" spans="1:5" x14ac:dyDescent="0.2">
      <c r="A1743" t="s">
        <v>5206</v>
      </c>
      <c r="B1743" t="s">
        <v>5207</v>
      </c>
      <c r="C1743" t="s">
        <v>5207</v>
      </c>
      <c r="D1743" t="str">
        <f>HYPERLINK("https://zfin.org/ZDB-GENE-040426-1276")</f>
        <v>https://zfin.org/ZDB-GENE-040426-1276</v>
      </c>
      <c r="E1743" t="s">
        <v>5208</v>
      </c>
    </row>
    <row r="1744" spans="1:5" x14ac:dyDescent="0.2">
      <c r="A1744" t="s">
        <v>5209</v>
      </c>
      <c r="B1744" t="s">
        <v>5210</v>
      </c>
      <c r="C1744" t="s">
        <v>5210</v>
      </c>
      <c r="D1744" t="str">
        <f>HYPERLINK("https://zfin.org/ZDB-GENE-060810-116")</f>
        <v>https://zfin.org/ZDB-GENE-060810-116</v>
      </c>
      <c r="E1744" t="s">
        <v>5211</v>
      </c>
    </row>
    <row r="1745" spans="1:5" x14ac:dyDescent="0.2">
      <c r="A1745" t="s">
        <v>5212</v>
      </c>
      <c r="B1745" t="s">
        <v>5213</v>
      </c>
      <c r="C1745" t="s">
        <v>5213</v>
      </c>
      <c r="D1745" t="str">
        <f>HYPERLINK("https://zfin.org/ZDB-GENE-040426-947")</f>
        <v>https://zfin.org/ZDB-GENE-040426-947</v>
      </c>
      <c r="E1745" t="s">
        <v>5214</v>
      </c>
    </row>
    <row r="1746" spans="1:5" x14ac:dyDescent="0.2">
      <c r="A1746" t="s">
        <v>5215</v>
      </c>
      <c r="B1746" t="s">
        <v>5216</v>
      </c>
      <c r="C1746" t="s">
        <v>5216</v>
      </c>
      <c r="D1746" t="str">
        <f>HYPERLINK("https://zfin.org/ZDB-GENE-030616-462")</f>
        <v>https://zfin.org/ZDB-GENE-030616-462</v>
      </c>
      <c r="E1746" t="s">
        <v>5217</v>
      </c>
    </row>
    <row r="1747" spans="1:5" x14ac:dyDescent="0.2">
      <c r="A1747" t="s">
        <v>5218</v>
      </c>
      <c r="B1747" t="s">
        <v>5219</v>
      </c>
      <c r="C1747" t="s">
        <v>5219</v>
      </c>
      <c r="D1747" t="str">
        <f>HYPERLINK("https://zfin.org/ZDB-GENE-101215-2")</f>
        <v>https://zfin.org/ZDB-GENE-101215-2</v>
      </c>
      <c r="E1747" t="s">
        <v>5220</v>
      </c>
    </row>
    <row r="1748" spans="1:5" x14ac:dyDescent="0.2">
      <c r="A1748" t="s">
        <v>5221</v>
      </c>
      <c r="B1748" t="s">
        <v>5222</v>
      </c>
      <c r="C1748" t="s">
        <v>5222</v>
      </c>
      <c r="D1748" t="str">
        <f>HYPERLINK("https://zfin.org/ZDB-GENE-090312-6")</f>
        <v>https://zfin.org/ZDB-GENE-090312-6</v>
      </c>
      <c r="E1748" t="s">
        <v>5223</v>
      </c>
    </row>
    <row r="1749" spans="1:5" x14ac:dyDescent="0.2">
      <c r="A1749" t="s">
        <v>5224</v>
      </c>
      <c r="B1749" t="s">
        <v>5225</v>
      </c>
      <c r="C1749" t="s">
        <v>5225</v>
      </c>
      <c r="D1749" t="str">
        <f>HYPERLINK("https://zfin.org/ZDB-GENE-990715-6")</f>
        <v>https://zfin.org/ZDB-GENE-990715-6</v>
      </c>
      <c r="E1749" t="s">
        <v>5226</v>
      </c>
    </row>
    <row r="1750" spans="1:5" x14ac:dyDescent="0.2">
      <c r="A1750" t="s">
        <v>5227</v>
      </c>
      <c r="B1750" t="s">
        <v>5228</v>
      </c>
      <c r="C1750" t="s">
        <v>5228</v>
      </c>
      <c r="D1750" t="str">
        <f>HYPERLINK("https://zfin.org/ZDB-GENE-131126-80")</f>
        <v>https://zfin.org/ZDB-GENE-131126-80</v>
      </c>
      <c r="E1750" t="s">
        <v>5229</v>
      </c>
    </row>
    <row r="1751" spans="1:5" x14ac:dyDescent="0.2">
      <c r="A1751" t="s">
        <v>5230</v>
      </c>
      <c r="B1751" t="s">
        <v>5231</v>
      </c>
      <c r="C1751" t="s">
        <v>5231</v>
      </c>
      <c r="D1751" t="str">
        <f>HYPERLINK("https://zfin.org/ZDB-GENE-090311-19")</f>
        <v>https://zfin.org/ZDB-GENE-090311-19</v>
      </c>
      <c r="E1751" t="s">
        <v>5232</v>
      </c>
    </row>
    <row r="1752" spans="1:5" x14ac:dyDescent="0.2">
      <c r="A1752" t="s">
        <v>5233</v>
      </c>
      <c r="B1752" t="s">
        <v>5234</v>
      </c>
      <c r="C1752" t="s">
        <v>5234</v>
      </c>
      <c r="D1752" t="str">
        <f>HYPERLINK("https://zfin.org/ZDB-GENE-000816-1")</f>
        <v>https://zfin.org/ZDB-GENE-000816-1</v>
      </c>
      <c r="E1752" t="s">
        <v>5235</v>
      </c>
    </row>
    <row r="1753" spans="1:5" x14ac:dyDescent="0.2">
      <c r="A1753" t="s">
        <v>5236</v>
      </c>
      <c r="B1753" t="s">
        <v>5237</v>
      </c>
      <c r="C1753" t="s">
        <v>5237</v>
      </c>
      <c r="D1753" t="str">
        <f>HYPERLINK("https://zfin.org/ZDB-GENE-090312-137")</f>
        <v>https://zfin.org/ZDB-GENE-090312-137</v>
      </c>
      <c r="E1753" t="s">
        <v>5238</v>
      </c>
    </row>
    <row r="1754" spans="1:5" x14ac:dyDescent="0.2">
      <c r="A1754" t="s">
        <v>5239</v>
      </c>
      <c r="B1754" t="s">
        <v>5240</v>
      </c>
      <c r="C1754" t="s">
        <v>5240</v>
      </c>
      <c r="D1754" t="str">
        <f>HYPERLINK("https://zfin.org/ZDB-GENE-070705-142")</f>
        <v>https://zfin.org/ZDB-GENE-070705-142</v>
      </c>
      <c r="E1754" t="s">
        <v>5241</v>
      </c>
    </row>
    <row r="1755" spans="1:5" x14ac:dyDescent="0.2">
      <c r="A1755" t="s">
        <v>5242</v>
      </c>
      <c r="B1755" t="s">
        <v>5243</v>
      </c>
      <c r="C1755" t="s">
        <v>5243</v>
      </c>
      <c r="D1755" t="str">
        <f>HYPERLINK("https://zfin.org/ZDB-GENE-030131-7957")</f>
        <v>https://zfin.org/ZDB-GENE-030131-7957</v>
      </c>
      <c r="E1755" t="s">
        <v>5244</v>
      </c>
    </row>
    <row r="1756" spans="1:5" x14ac:dyDescent="0.2">
      <c r="A1756" t="s">
        <v>5245</v>
      </c>
      <c r="B1756" t="s">
        <v>5246</v>
      </c>
      <c r="C1756" t="s">
        <v>5246</v>
      </c>
      <c r="D1756" t="str">
        <f>HYPERLINK("https://zfin.org/ZDB-GENE-061207-10")</f>
        <v>https://zfin.org/ZDB-GENE-061207-10</v>
      </c>
      <c r="E1756" t="s">
        <v>5247</v>
      </c>
    </row>
    <row r="1757" spans="1:5" x14ac:dyDescent="0.2">
      <c r="A1757" t="s">
        <v>5248</v>
      </c>
      <c r="B1757" t="s">
        <v>5249</v>
      </c>
      <c r="C1757" t="s">
        <v>5249</v>
      </c>
      <c r="D1757" t="str">
        <f>HYPERLINK("https://zfin.org/ZDB-GENE-040701-1")</f>
        <v>https://zfin.org/ZDB-GENE-040701-1</v>
      </c>
      <c r="E1757" t="s">
        <v>5250</v>
      </c>
    </row>
    <row r="1758" spans="1:5" x14ac:dyDescent="0.2">
      <c r="A1758" t="s">
        <v>5251</v>
      </c>
      <c r="B1758" t="s">
        <v>5252</v>
      </c>
      <c r="C1758" t="s">
        <v>5252</v>
      </c>
      <c r="D1758" t="str">
        <f>HYPERLINK("https://zfin.org/ZDB-GENE-030826-15")</f>
        <v>https://zfin.org/ZDB-GENE-030826-15</v>
      </c>
      <c r="E1758" t="s">
        <v>5253</v>
      </c>
    </row>
    <row r="1759" spans="1:5" x14ac:dyDescent="0.2">
      <c r="A1759" t="s">
        <v>5254</v>
      </c>
      <c r="B1759" t="s">
        <v>5255</v>
      </c>
      <c r="C1759" t="s">
        <v>5255</v>
      </c>
      <c r="D1759" t="str">
        <f>HYPERLINK("https://zfin.org/ZDB-GENE-040426-57")</f>
        <v>https://zfin.org/ZDB-GENE-040426-57</v>
      </c>
      <c r="E1759" t="s">
        <v>5256</v>
      </c>
    </row>
    <row r="1760" spans="1:5" x14ac:dyDescent="0.2">
      <c r="A1760" t="s">
        <v>5257</v>
      </c>
      <c r="B1760" t="s">
        <v>5258</v>
      </c>
      <c r="C1760" t="s">
        <v>5258</v>
      </c>
      <c r="D1760" t="str">
        <f>HYPERLINK("https://zfin.org/ZDB-GENE-050506-105")</f>
        <v>https://zfin.org/ZDB-GENE-050506-105</v>
      </c>
      <c r="E1760" t="s">
        <v>5259</v>
      </c>
    </row>
    <row r="1761" spans="1:5" x14ac:dyDescent="0.2">
      <c r="A1761" t="s">
        <v>5260</v>
      </c>
      <c r="B1761" t="s">
        <v>5261</v>
      </c>
      <c r="C1761" t="s">
        <v>5261</v>
      </c>
      <c r="D1761" t="str">
        <f>HYPERLINK("https://zfin.org/ZDB-GENE-060929-914")</f>
        <v>https://zfin.org/ZDB-GENE-060929-914</v>
      </c>
      <c r="E1761" t="s">
        <v>5262</v>
      </c>
    </row>
    <row r="1762" spans="1:5" x14ac:dyDescent="0.2">
      <c r="A1762" t="s">
        <v>5263</v>
      </c>
      <c r="B1762" t="s">
        <v>5264</v>
      </c>
      <c r="C1762" t="s">
        <v>5264</v>
      </c>
      <c r="D1762" t="str">
        <f>HYPERLINK("https://zfin.org/ZDB-GENE-080218-12")</f>
        <v>https://zfin.org/ZDB-GENE-080218-12</v>
      </c>
      <c r="E1762" t="s">
        <v>5265</v>
      </c>
    </row>
    <row r="1763" spans="1:5" x14ac:dyDescent="0.2">
      <c r="A1763" t="s">
        <v>5266</v>
      </c>
      <c r="B1763" t="s">
        <v>5267</v>
      </c>
      <c r="C1763" t="s">
        <v>5267</v>
      </c>
      <c r="D1763" t="str">
        <f>HYPERLINK("https://zfin.org/ZDB-GENE-050309-124")</f>
        <v>https://zfin.org/ZDB-GENE-050309-124</v>
      </c>
      <c r="E1763" t="s">
        <v>5268</v>
      </c>
    </row>
    <row r="1764" spans="1:5" x14ac:dyDescent="0.2">
      <c r="A1764" t="s">
        <v>5269</v>
      </c>
      <c r="B1764" t="s">
        <v>5270</v>
      </c>
      <c r="C1764" t="s">
        <v>5270</v>
      </c>
      <c r="D1764" t="str">
        <f>HYPERLINK("https://zfin.org/ZDB-GENE-041212-5")</f>
        <v>https://zfin.org/ZDB-GENE-041212-5</v>
      </c>
      <c r="E1764" t="s">
        <v>5271</v>
      </c>
    </row>
    <row r="1765" spans="1:5" x14ac:dyDescent="0.2">
      <c r="A1765" t="s">
        <v>5272</v>
      </c>
      <c r="B1765" t="s">
        <v>5273</v>
      </c>
      <c r="C1765" t="s">
        <v>5273</v>
      </c>
      <c r="D1765" t="str">
        <f>HYPERLINK("https://zfin.org/ZDB-GENE-110208-3")</f>
        <v>https://zfin.org/ZDB-GENE-110208-3</v>
      </c>
      <c r="E1765" t="s">
        <v>5274</v>
      </c>
    </row>
    <row r="1766" spans="1:5" x14ac:dyDescent="0.2">
      <c r="A1766" t="s">
        <v>5275</v>
      </c>
      <c r="B1766" t="s">
        <v>5276</v>
      </c>
      <c r="C1766" t="s">
        <v>5276</v>
      </c>
      <c r="D1766" t="str">
        <f>HYPERLINK("https://zfin.org/ZDB-GENE-040426-711")</f>
        <v>https://zfin.org/ZDB-GENE-040426-711</v>
      </c>
      <c r="E1766" t="s">
        <v>5277</v>
      </c>
    </row>
    <row r="1767" spans="1:5" x14ac:dyDescent="0.2">
      <c r="A1767" t="s">
        <v>5278</v>
      </c>
      <c r="B1767" t="s">
        <v>5279</v>
      </c>
      <c r="C1767" t="s">
        <v>5279</v>
      </c>
      <c r="D1767" t="str">
        <f>HYPERLINK("https://zfin.org/ZDB-GENE-070510-1")</f>
        <v>https://zfin.org/ZDB-GENE-070510-1</v>
      </c>
      <c r="E1767" t="s">
        <v>5280</v>
      </c>
    </row>
    <row r="1768" spans="1:5" x14ac:dyDescent="0.2">
      <c r="A1768" t="s">
        <v>5281</v>
      </c>
      <c r="B1768" t="s">
        <v>5282</v>
      </c>
      <c r="C1768" t="s">
        <v>5282</v>
      </c>
      <c r="D1768" t="str">
        <f>HYPERLINK("https://zfin.org/ZDB-GENE-041111-178")</f>
        <v>https://zfin.org/ZDB-GENE-041111-178</v>
      </c>
      <c r="E1768" t="s">
        <v>5283</v>
      </c>
    </row>
    <row r="1769" spans="1:5" x14ac:dyDescent="0.2">
      <c r="A1769" t="s">
        <v>5284</v>
      </c>
      <c r="B1769" t="s">
        <v>5285</v>
      </c>
      <c r="C1769" t="s">
        <v>5285</v>
      </c>
      <c r="D1769" t="str">
        <f>HYPERLINK("https://zfin.org/ZDB-GENE-040426-1119")</f>
        <v>https://zfin.org/ZDB-GENE-040426-1119</v>
      </c>
      <c r="E1769" t="s">
        <v>5286</v>
      </c>
    </row>
    <row r="1770" spans="1:5" x14ac:dyDescent="0.2">
      <c r="A1770" t="s">
        <v>5287</v>
      </c>
      <c r="B1770" t="s">
        <v>5288</v>
      </c>
      <c r="C1770" t="s">
        <v>5288</v>
      </c>
      <c r="D1770" t="str">
        <f>HYPERLINK("https://zfin.org/ZDB-GENE-091116-47")</f>
        <v>https://zfin.org/ZDB-GENE-091116-47</v>
      </c>
      <c r="E1770" t="s">
        <v>5289</v>
      </c>
    </row>
    <row r="1771" spans="1:5" x14ac:dyDescent="0.2">
      <c r="A1771" t="s">
        <v>5290</v>
      </c>
      <c r="B1771" t="s">
        <v>5291</v>
      </c>
      <c r="C1771" t="s">
        <v>5291</v>
      </c>
      <c r="D1771" t="str">
        <f>HYPERLINK("https://zfin.org/ZDB-GENE-041114-189")</f>
        <v>https://zfin.org/ZDB-GENE-041114-189</v>
      </c>
      <c r="E1771" t="s">
        <v>5292</v>
      </c>
    </row>
    <row r="1772" spans="1:5" x14ac:dyDescent="0.2">
      <c r="A1772" t="s">
        <v>5293</v>
      </c>
      <c r="B1772" t="s">
        <v>5294</v>
      </c>
      <c r="C1772" t="s">
        <v>5294</v>
      </c>
      <c r="D1772" t="str">
        <f>HYPERLINK("https://zfin.org/ZDB-GENE-041212-36")</f>
        <v>https://zfin.org/ZDB-GENE-041212-36</v>
      </c>
      <c r="E1772" t="s">
        <v>5295</v>
      </c>
    </row>
    <row r="1773" spans="1:5" x14ac:dyDescent="0.2">
      <c r="A1773" t="s">
        <v>5296</v>
      </c>
      <c r="B1773" t="s">
        <v>5297</v>
      </c>
      <c r="C1773" t="s">
        <v>5297</v>
      </c>
      <c r="D1773" t="str">
        <f>HYPERLINK("https://zfin.org/ZDB-GENE-070912-578")</f>
        <v>https://zfin.org/ZDB-GENE-070912-578</v>
      </c>
      <c r="E1773" t="s">
        <v>5298</v>
      </c>
    </row>
    <row r="1774" spans="1:5" x14ac:dyDescent="0.2">
      <c r="A1774" t="s">
        <v>5299</v>
      </c>
      <c r="B1774" t="s">
        <v>5300</v>
      </c>
      <c r="C1774" t="s">
        <v>5300</v>
      </c>
      <c r="D1774" t="str">
        <f>HYPERLINK("https://zfin.org/ZDB-GENE-040718-224")</f>
        <v>https://zfin.org/ZDB-GENE-040718-224</v>
      </c>
      <c r="E1774" t="s">
        <v>5301</v>
      </c>
    </row>
    <row r="1775" spans="1:5" x14ac:dyDescent="0.2">
      <c r="A1775" t="s">
        <v>5302</v>
      </c>
      <c r="B1775" t="s">
        <v>5303</v>
      </c>
      <c r="C1775" t="s">
        <v>5303</v>
      </c>
      <c r="D1775" t="str">
        <f>HYPERLINK("https://zfin.org/ZDB-GENE-141216-105")</f>
        <v>https://zfin.org/ZDB-GENE-141216-105</v>
      </c>
      <c r="E1775" t="s">
        <v>5304</v>
      </c>
    </row>
    <row r="1776" spans="1:5" x14ac:dyDescent="0.2">
      <c r="A1776" t="s">
        <v>5305</v>
      </c>
      <c r="B1776" t="s">
        <v>5306</v>
      </c>
      <c r="C1776" t="s">
        <v>5306</v>
      </c>
      <c r="D1776" t="str">
        <f>HYPERLINK("https://zfin.org/ZDB-GENE-041010-191")</f>
        <v>https://zfin.org/ZDB-GENE-041010-191</v>
      </c>
      <c r="E1776" t="s">
        <v>5307</v>
      </c>
    </row>
    <row r="1777" spans="1:5" x14ac:dyDescent="0.2">
      <c r="A1777" t="s">
        <v>5308</v>
      </c>
      <c r="B1777" t="s">
        <v>5309</v>
      </c>
      <c r="C1777" t="s">
        <v>5309</v>
      </c>
      <c r="D1777" t="str">
        <f>HYPERLINK("https://zfin.org/ZDB-GENE-030131-8277")</f>
        <v>https://zfin.org/ZDB-GENE-030131-8277</v>
      </c>
      <c r="E1777" t="s">
        <v>5310</v>
      </c>
    </row>
    <row r="1778" spans="1:5" x14ac:dyDescent="0.2">
      <c r="A1778" t="s">
        <v>5311</v>
      </c>
      <c r="B1778" t="s">
        <v>5312</v>
      </c>
      <c r="C1778" t="s">
        <v>5312</v>
      </c>
      <c r="D1778" t="str">
        <f>HYPERLINK("https://zfin.org/ZDB-GENE-070705-143")</f>
        <v>https://zfin.org/ZDB-GENE-070705-143</v>
      </c>
      <c r="E1778" t="s">
        <v>5313</v>
      </c>
    </row>
    <row r="1779" spans="1:5" x14ac:dyDescent="0.2">
      <c r="A1779" t="s">
        <v>5314</v>
      </c>
      <c r="B1779" t="s">
        <v>5315</v>
      </c>
      <c r="C1779" t="s">
        <v>5315</v>
      </c>
      <c r="D1779" t="str">
        <f>HYPERLINK("https://zfin.org/ZDB-GENE-030131-9405")</f>
        <v>https://zfin.org/ZDB-GENE-030131-9405</v>
      </c>
      <c r="E1779" t="s">
        <v>5316</v>
      </c>
    </row>
    <row r="1780" spans="1:5" x14ac:dyDescent="0.2">
      <c r="A1780" t="s">
        <v>5317</v>
      </c>
      <c r="B1780" t="s">
        <v>5318</v>
      </c>
      <c r="C1780" t="s">
        <v>5318</v>
      </c>
      <c r="D1780" t="str">
        <f>HYPERLINK("https://zfin.org/ZDB-GENE-120525-2")</f>
        <v>https://zfin.org/ZDB-GENE-120525-2</v>
      </c>
      <c r="E1780" t="s">
        <v>5319</v>
      </c>
    </row>
    <row r="1781" spans="1:5" x14ac:dyDescent="0.2">
      <c r="A1781" t="s">
        <v>5320</v>
      </c>
      <c r="B1781" t="s">
        <v>5321</v>
      </c>
      <c r="C1781" t="s">
        <v>5321</v>
      </c>
      <c r="D1781" t="str">
        <f>HYPERLINK("https://zfin.org/ZDB-GENE-040912-152")</f>
        <v>https://zfin.org/ZDB-GENE-040912-152</v>
      </c>
      <c r="E1781" t="s">
        <v>5322</v>
      </c>
    </row>
    <row r="1782" spans="1:5" x14ac:dyDescent="0.2">
      <c r="A1782" t="s">
        <v>5323</v>
      </c>
      <c r="B1782" t="s">
        <v>5324</v>
      </c>
      <c r="C1782" t="s">
        <v>5324</v>
      </c>
      <c r="D1782" t="str">
        <f>HYPERLINK("https://zfin.org/ZDB-GENE-040718-275")</f>
        <v>https://zfin.org/ZDB-GENE-040718-275</v>
      </c>
      <c r="E1782" t="s">
        <v>5325</v>
      </c>
    </row>
    <row r="1783" spans="1:5" x14ac:dyDescent="0.2">
      <c r="A1783" t="s">
        <v>5326</v>
      </c>
      <c r="B1783" t="s">
        <v>5327</v>
      </c>
      <c r="C1783" t="s">
        <v>5327</v>
      </c>
      <c r="D1783" t="str">
        <f>HYPERLINK("https://zfin.org/ZDB-GENE-030131-2642")</f>
        <v>https://zfin.org/ZDB-GENE-030131-2642</v>
      </c>
      <c r="E1783" t="s">
        <v>5328</v>
      </c>
    </row>
    <row r="1784" spans="1:5" x14ac:dyDescent="0.2">
      <c r="A1784" t="s">
        <v>5329</v>
      </c>
      <c r="B1784" t="s">
        <v>5330</v>
      </c>
      <c r="C1784" t="s">
        <v>5330</v>
      </c>
      <c r="D1784" t="str">
        <f>HYPERLINK("https://zfin.org/ZDB-GENE-040426-1164")</f>
        <v>https://zfin.org/ZDB-GENE-040426-1164</v>
      </c>
      <c r="E1784" t="s">
        <v>5331</v>
      </c>
    </row>
    <row r="1785" spans="1:5" x14ac:dyDescent="0.2">
      <c r="A1785" t="s">
        <v>5332</v>
      </c>
      <c r="B1785" t="s">
        <v>5333</v>
      </c>
      <c r="C1785" t="s">
        <v>5333</v>
      </c>
      <c r="D1785" t="str">
        <f>HYPERLINK("https://zfin.org/ZDB-GENE-080229-4")</f>
        <v>https://zfin.org/ZDB-GENE-080229-4</v>
      </c>
      <c r="E1785" t="s">
        <v>5334</v>
      </c>
    </row>
    <row r="1786" spans="1:5" x14ac:dyDescent="0.2">
      <c r="A1786" t="s">
        <v>5335</v>
      </c>
      <c r="B1786" t="s">
        <v>5336</v>
      </c>
      <c r="C1786" t="s">
        <v>5336</v>
      </c>
      <c r="D1786" t="str">
        <f>HYPERLINK("https://zfin.org/ZDB-GENE-081103-49")</f>
        <v>https://zfin.org/ZDB-GENE-081103-49</v>
      </c>
      <c r="E1786" t="s">
        <v>5337</v>
      </c>
    </row>
    <row r="1787" spans="1:5" x14ac:dyDescent="0.2">
      <c r="A1787" t="s">
        <v>5338</v>
      </c>
      <c r="B1787" t="s">
        <v>5339</v>
      </c>
      <c r="C1787" t="s">
        <v>5339</v>
      </c>
      <c r="D1787" t="str">
        <f>HYPERLINK("https://zfin.org/ZDB-GENE-061103-409")</f>
        <v>https://zfin.org/ZDB-GENE-061103-409</v>
      </c>
      <c r="E1787" t="s">
        <v>5340</v>
      </c>
    </row>
    <row r="1788" spans="1:5" x14ac:dyDescent="0.2">
      <c r="A1788" t="s">
        <v>5341</v>
      </c>
      <c r="B1788" t="s">
        <v>5342</v>
      </c>
      <c r="C1788" t="s">
        <v>5342</v>
      </c>
      <c r="D1788" t="str">
        <f>HYPERLINK("https://zfin.org/ZDB-GENE-040426-2646")</f>
        <v>https://zfin.org/ZDB-GENE-040426-2646</v>
      </c>
      <c r="E1788" t="s">
        <v>5343</v>
      </c>
    </row>
    <row r="1789" spans="1:5" x14ac:dyDescent="0.2">
      <c r="A1789" t="s">
        <v>5344</v>
      </c>
      <c r="B1789" t="s">
        <v>5345</v>
      </c>
      <c r="C1789" t="s">
        <v>5345</v>
      </c>
      <c r="D1789" t="str">
        <f>HYPERLINK("https://zfin.org/ZDB-GENE-040801-85")</f>
        <v>https://zfin.org/ZDB-GENE-040801-85</v>
      </c>
      <c r="E1789" t="s">
        <v>5346</v>
      </c>
    </row>
    <row r="1790" spans="1:5" x14ac:dyDescent="0.2">
      <c r="A1790" t="s">
        <v>5347</v>
      </c>
      <c r="B1790" t="s">
        <v>5348</v>
      </c>
      <c r="C1790" t="s">
        <v>5348</v>
      </c>
      <c r="D1790" t="str">
        <f>HYPERLINK("https://zfin.org/ZDB-GENE-050417-49")</f>
        <v>https://zfin.org/ZDB-GENE-050417-49</v>
      </c>
      <c r="E1790" t="s">
        <v>5349</v>
      </c>
    </row>
    <row r="1791" spans="1:5" x14ac:dyDescent="0.2">
      <c r="A1791" t="s">
        <v>5350</v>
      </c>
      <c r="B1791" t="s">
        <v>5351</v>
      </c>
      <c r="C1791" t="s">
        <v>5351</v>
      </c>
      <c r="D1791" t="str">
        <f>HYPERLINK("https://zfin.org/ZDB-GENE-081103-55")</f>
        <v>https://zfin.org/ZDB-GENE-081103-55</v>
      </c>
      <c r="E1791" t="s">
        <v>5352</v>
      </c>
    </row>
    <row r="1792" spans="1:5" x14ac:dyDescent="0.2">
      <c r="A1792" t="s">
        <v>5353</v>
      </c>
      <c r="B1792" t="s">
        <v>5354</v>
      </c>
      <c r="C1792" t="s">
        <v>5354</v>
      </c>
      <c r="D1792" t="str">
        <f>HYPERLINK("https://zfin.org/ZDB-GENE-050522-98")</f>
        <v>https://zfin.org/ZDB-GENE-050522-98</v>
      </c>
      <c r="E1792" t="s">
        <v>5355</v>
      </c>
    </row>
    <row r="1793" spans="1:5" x14ac:dyDescent="0.2">
      <c r="A1793" t="s">
        <v>5356</v>
      </c>
      <c r="B1793" t="s">
        <v>5357</v>
      </c>
      <c r="C1793" t="s">
        <v>5357</v>
      </c>
      <c r="D1793" t="str">
        <f>HYPERLINK("https://zfin.org/ZDB-GENE-110914-42")</f>
        <v>https://zfin.org/ZDB-GENE-110914-42</v>
      </c>
      <c r="E1793" t="s">
        <v>5358</v>
      </c>
    </row>
    <row r="1794" spans="1:5" x14ac:dyDescent="0.2">
      <c r="A1794" t="s">
        <v>5359</v>
      </c>
      <c r="B1794" t="s">
        <v>5360</v>
      </c>
      <c r="C1794" t="s">
        <v>5360</v>
      </c>
      <c r="D1794" t="str">
        <f>HYPERLINK("https://zfin.org/ZDB-GENE-040426-2693")</f>
        <v>https://zfin.org/ZDB-GENE-040426-2693</v>
      </c>
      <c r="E1794" t="s">
        <v>5361</v>
      </c>
    </row>
    <row r="1795" spans="1:5" x14ac:dyDescent="0.2">
      <c r="A1795" t="s">
        <v>5362</v>
      </c>
      <c r="B1795" t="s">
        <v>5363</v>
      </c>
      <c r="C1795" t="s">
        <v>5363</v>
      </c>
      <c r="D1795" t="str">
        <f>HYPERLINK("https://zfin.org/ZDB-GENE-040128-16")</f>
        <v>https://zfin.org/ZDB-GENE-040128-16</v>
      </c>
      <c r="E1795" t="s">
        <v>5364</v>
      </c>
    </row>
    <row r="1796" spans="1:5" x14ac:dyDescent="0.2">
      <c r="A1796" t="s">
        <v>5365</v>
      </c>
      <c r="B1796" t="s">
        <v>5366</v>
      </c>
      <c r="C1796" t="s">
        <v>5366</v>
      </c>
      <c r="D1796" t="str">
        <f>HYPERLINK("https://zfin.org/ZDB-GENE-131122-50")</f>
        <v>https://zfin.org/ZDB-GENE-131122-50</v>
      </c>
      <c r="E1796" t="s">
        <v>5367</v>
      </c>
    </row>
    <row r="1797" spans="1:5" x14ac:dyDescent="0.2">
      <c r="A1797" t="s">
        <v>5368</v>
      </c>
      <c r="B1797" t="s">
        <v>5369</v>
      </c>
      <c r="C1797" t="s">
        <v>5369</v>
      </c>
      <c r="D1797" t="str">
        <f>HYPERLINK("https://zfin.org/ZDB-GENE-131119-54")</f>
        <v>https://zfin.org/ZDB-GENE-131119-54</v>
      </c>
      <c r="E1797" t="s">
        <v>5370</v>
      </c>
    </row>
    <row r="1798" spans="1:5" x14ac:dyDescent="0.2">
      <c r="A1798" t="s">
        <v>5371</v>
      </c>
      <c r="B1798" t="s">
        <v>5372</v>
      </c>
      <c r="C1798" t="s">
        <v>5372</v>
      </c>
      <c r="D1798" t="str">
        <f>HYPERLINK("https://zfin.org/ZDB-GENE-131121-169")</f>
        <v>https://zfin.org/ZDB-GENE-131121-169</v>
      </c>
      <c r="E1798" t="s">
        <v>5373</v>
      </c>
    </row>
    <row r="1799" spans="1:5" x14ac:dyDescent="0.2">
      <c r="A1799" t="s">
        <v>5374</v>
      </c>
      <c r="B1799" t="s">
        <v>5375</v>
      </c>
      <c r="C1799" t="s">
        <v>5375</v>
      </c>
      <c r="D1799" t="str">
        <f>HYPERLINK("https://zfin.org/ZDB-GENE-080303-9")</f>
        <v>https://zfin.org/ZDB-GENE-080303-9</v>
      </c>
      <c r="E1799" t="s">
        <v>5376</v>
      </c>
    </row>
    <row r="1800" spans="1:5" x14ac:dyDescent="0.2">
      <c r="A1800" t="s">
        <v>5377</v>
      </c>
      <c r="B1800" t="s">
        <v>5378</v>
      </c>
      <c r="C1800" t="s">
        <v>5378</v>
      </c>
      <c r="D1800" t="str">
        <f>HYPERLINK("https://zfin.org/ZDB-GENE-030131-9103")</f>
        <v>https://zfin.org/ZDB-GENE-030131-9103</v>
      </c>
      <c r="E1800" t="s">
        <v>5379</v>
      </c>
    </row>
    <row r="1801" spans="1:5" x14ac:dyDescent="0.2">
      <c r="A1801" t="s">
        <v>5380</v>
      </c>
      <c r="B1801" t="s">
        <v>5381</v>
      </c>
      <c r="C1801" t="s">
        <v>5381</v>
      </c>
      <c r="D1801" t="str">
        <f>HYPERLINK("https://zfin.org/ZDB-GENE-090312-170")</f>
        <v>https://zfin.org/ZDB-GENE-090312-170</v>
      </c>
      <c r="E1801" t="s">
        <v>5382</v>
      </c>
    </row>
    <row r="1802" spans="1:5" x14ac:dyDescent="0.2">
      <c r="A1802" t="s">
        <v>5383</v>
      </c>
      <c r="B1802" t="s">
        <v>5384</v>
      </c>
      <c r="C1802" t="s">
        <v>5384</v>
      </c>
      <c r="D1802" t="str">
        <f>HYPERLINK("https://zfin.org/ZDB-GENE-021011-2")</f>
        <v>https://zfin.org/ZDB-GENE-021011-2</v>
      </c>
      <c r="E1802" t="s">
        <v>5385</v>
      </c>
    </row>
    <row r="1803" spans="1:5" x14ac:dyDescent="0.2">
      <c r="A1803" t="s">
        <v>5386</v>
      </c>
      <c r="B1803" t="s">
        <v>5387</v>
      </c>
      <c r="C1803" t="s">
        <v>5387</v>
      </c>
      <c r="D1803" t="str">
        <f>HYPERLINK("https://zfin.org/ZDB-GENE-040426-1385")</f>
        <v>https://zfin.org/ZDB-GENE-040426-1385</v>
      </c>
      <c r="E1803" t="s">
        <v>5388</v>
      </c>
    </row>
    <row r="1804" spans="1:5" x14ac:dyDescent="0.2">
      <c r="A1804" t="s">
        <v>5389</v>
      </c>
      <c r="B1804" t="s">
        <v>5390</v>
      </c>
      <c r="C1804" t="s">
        <v>5390</v>
      </c>
      <c r="D1804" t="str">
        <f>HYPERLINK("https://zfin.org/ZDB-GENE-030131-8656")</f>
        <v>https://zfin.org/ZDB-GENE-030131-8656</v>
      </c>
      <c r="E1804" t="s">
        <v>5391</v>
      </c>
    </row>
    <row r="1805" spans="1:5" x14ac:dyDescent="0.2">
      <c r="A1805" t="s">
        <v>5392</v>
      </c>
      <c r="B1805" t="s">
        <v>5393</v>
      </c>
      <c r="C1805" t="s">
        <v>5393</v>
      </c>
      <c r="D1805" t="str">
        <f>HYPERLINK("https://zfin.org/ZDB-GENE-070912-269")</f>
        <v>https://zfin.org/ZDB-GENE-070912-269</v>
      </c>
      <c r="E1805" t="s">
        <v>5394</v>
      </c>
    </row>
    <row r="1806" spans="1:5" x14ac:dyDescent="0.2">
      <c r="A1806" t="s">
        <v>5395</v>
      </c>
      <c r="B1806" t="s">
        <v>5396</v>
      </c>
      <c r="C1806" t="s">
        <v>5396</v>
      </c>
      <c r="D1806" t="str">
        <f>HYPERLINK("https://zfin.org/ZDB-GENE-090312-41")</f>
        <v>https://zfin.org/ZDB-GENE-090312-41</v>
      </c>
      <c r="E1806" t="s">
        <v>5397</v>
      </c>
    </row>
    <row r="1807" spans="1:5" x14ac:dyDescent="0.2">
      <c r="A1807" t="s">
        <v>5398</v>
      </c>
      <c r="B1807" t="s">
        <v>5399</v>
      </c>
      <c r="C1807" t="s">
        <v>5399</v>
      </c>
      <c r="D1807" t="str">
        <f>HYPERLINK("https://zfin.org/ZDB-GENE-030131-6503")</f>
        <v>https://zfin.org/ZDB-GENE-030131-6503</v>
      </c>
      <c r="E1807" t="s">
        <v>5400</v>
      </c>
    </row>
    <row r="1808" spans="1:5" x14ac:dyDescent="0.2">
      <c r="A1808" t="s">
        <v>5401</v>
      </c>
      <c r="B1808" t="s">
        <v>5402</v>
      </c>
      <c r="C1808" t="s">
        <v>5402</v>
      </c>
      <c r="D1808" t="str">
        <f>HYPERLINK("https://zfin.org/ZDB-GENE-040912-107")</f>
        <v>https://zfin.org/ZDB-GENE-040912-107</v>
      </c>
      <c r="E1808" t="s">
        <v>5403</v>
      </c>
    </row>
    <row r="1809" spans="1:5" x14ac:dyDescent="0.2">
      <c r="A1809" t="s">
        <v>5404</v>
      </c>
      <c r="B1809" t="s">
        <v>5405</v>
      </c>
      <c r="C1809" t="s">
        <v>5405</v>
      </c>
      <c r="D1809" t="str">
        <f>HYPERLINK("https://zfin.org/ZDB-GENE-030131-5177")</f>
        <v>https://zfin.org/ZDB-GENE-030131-5177</v>
      </c>
      <c r="E1809" t="s">
        <v>5406</v>
      </c>
    </row>
    <row r="1810" spans="1:5" x14ac:dyDescent="0.2">
      <c r="A1810" t="s">
        <v>5407</v>
      </c>
      <c r="B1810" t="s">
        <v>5408</v>
      </c>
      <c r="C1810" t="s">
        <v>5408</v>
      </c>
      <c r="D1810" t="str">
        <f>HYPERLINK("https://zfin.org/ZDB-GENE-040801-228")</f>
        <v>https://zfin.org/ZDB-GENE-040801-228</v>
      </c>
      <c r="E1810" t="s">
        <v>5409</v>
      </c>
    </row>
    <row r="1811" spans="1:5" x14ac:dyDescent="0.2">
      <c r="A1811" t="s">
        <v>5410</v>
      </c>
      <c r="B1811" t="s">
        <v>5411</v>
      </c>
      <c r="C1811" t="s">
        <v>5411</v>
      </c>
      <c r="D1811" t="str">
        <f>HYPERLINK("https://zfin.org/ZDB-GENE-060421-4949")</f>
        <v>https://zfin.org/ZDB-GENE-060421-4949</v>
      </c>
      <c r="E1811" t="s">
        <v>5412</v>
      </c>
    </row>
    <row r="1812" spans="1:5" x14ac:dyDescent="0.2">
      <c r="A1812" t="s">
        <v>5413</v>
      </c>
      <c r="B1812" t="s">
        <v>5414</v>
      </c>
      <c r="C1812" t="s">
        <v>5414</v>
      </c>
      <c r="D1812" t="str">
        <f>HYPERLINK("https://zfin.org/ZDB-GENE-040426-1636")</f>
        <v>https://zfin.org/ZDB-GENE-040426-1636</v>
      </c>
      <c r="E1812" t="s">
        <v>5415</v>
      </c>
    </row>
    <row r="1813" spans="1:5" x14ac:dyDescent="0.2">
      <c r="A1813" t="s">
        <v>5416</v>
      </c>
      <c r="B1813" t="s">
        <v>5417</v>
      </c>
      <c r="C1813" t="s">
        <v>5417</v>
      </c>
      <c r="D1813" t="str">
        <f>HYPERLINK("https://zfin.org/ZDB-GENE-050417-439")</f>
        <v>https://zfin.org/ZDB-GENE-050417-439</v>
      </c>
      <c r="E1813" t="s">
        <v>5418</v>
      </c>
    </row>
    <row r="1814" spans="1:5" x14ac:dyDescent="0.2">
      <c r="A1814" t="s">
        <v>5419</v>
      </c>
      <c r="B1814" t="s">
        <v>5420</v>
      </c>
      <c r="C1814" t="s">
        <v>5420</v>
      </c>
      <c r="D1814" t="str">
        <f>HYPERLINK("https://zfin.org/ZDB-GENE-141222-72")</f>
        <v>https://zfin.org/ZDB-GENE-141222-72</v>
      </c>
      <c r="E1814" t="s">
        <v>5421</v>
      </c>
    </row>
    <row r="1815" spans="1:5" x14ac:dyDescent="0.2">
      <c r="A1815" t="s">
        <v>5422</v>
      </c>
      <c r="B1815" t="s">
        <v>5423</v>
      </c>
      <c r="C1815" t="s">
        <v>5423</v>
      </c>
      <c r="D1815" t="str">
        <f>HYPERLINK("https://zfin.org/ZDB-GENE-030128-3")</f>
        <v>https://zfin.org/ZDB-GENE-030128-3</v>
      </c>
      <c r="E1815" t="s">
        <v>5424</v>
      </c>
    </row>
    <row r="1816" spans="1:5" x14ac:dyDescent="0.2">
      <c r="A1816" t="s">
        <v>5425</v>
      </c>
      <c r="B1816" t="s">
        <v>5426</v>
      </c>
      <c r="C1816" t="s">
        <v>5426</v>
      </c>
      <c r="D1816" t="str">
        <f>HYPERLINK("https://zfin.org/ZDB-GENE-040426-2170")</f>
        <v>https://zfin.org/ZDB-GENE-040426-2170</v>
      </c>
      <c r="E1816" t="s">
        <v>5427</v>
      </c>
    </row>
    <row r="1817" spans="1:5" x14ac:dyDescent="0.2">
      <c r="A1817" t="s">
        <v>5428</v>
      </c>
      <c r="B1817" t="s">
        <v>5429</v>
      </c>
      <c r="C1817" t="s">
        <v>5429</v>
      </c>
      <c r="D1817" t="str">
        <f>HYPERLINK("https://zfin.org/ZDB-GENE-040426-1504")</f>
        <v>https://zfin.org/ZDB-GENE-040426-1504</v>
      </c>
      <c r="E1817" t="s">
        <v>5430</v>
      </c>
    </row>
    <row r="1818" spans="1:5" x14ac:dyDescent="0.2">
      <c r="A1818" t="s">
        <v>5431</v>
      </c>
      <c r="B1818" t="s">
        <v>5432</v>
      </c>
      <c r="C1818" t="s">
        <v>5432</v>
      </c>
      <c r="D1818" t="str">
        <f>HYPERLINK("https://zfin.org/ZDB-GENE-031002-48")</f>
        <v>https://zfin.org/ZDB-GENE-031002-48</v>
      </c>
      <c r="E1818" t="s">
        <v>5433</v>
      </c>
    </row>
    <row r="1819" spans="1:5" x14ac:dyDescent="0.2">
      <c r="A1819" t="s">
        <v>5434</v>
      </c>
      <c r="B1819" t="s">
        <v>5435</v>
      </c>
      <c r="C1819" t="s">
        <v>5435</v>
      </c>
      <c r="D1819" t="str">
        <f>HYPERLINK("https://zfin.org/ZDB-GENE-050417-2")</f>
        <v>https://zfin.org/ZDB-GENE-050417-2</v>
      </c>
      <c r="E1819" t="s">
        <v>5436</v>
      </c>
    </row>
    <row r="1820" spans="1:5" x14ac:dyDescent="0.2">
      <c r="A1820" t="s">
        <v>5437</v>
      </c>
      <c r="B1820" t="s">
        <v>5438</v>
      </c>
      <c r="C1820" t="s">
        <v>5438</v>
      </c>
      <c r="D1820" t="str">
        <f>HYPERLINK("https://zfin.org/ZDB-GENE-050522-504")</f>
        <v>https://zfin.org/ZDB-GENE-050522-504</v>
      </c>
      <c r="E1820" t="s">
        <v>5439</v>
      </c>
    </row>
    <row r="1821" spans="1:5" x14ac:dyDescent="0.2">
      <c r="A1821" t="s">
        <v>5440</v>
      </c>
      <c r="B1821" t="s">
        <v>5441</v>
      </c>
      <c r="C1821" t="s">
        <v>5441</v>
      </c>
      <c r="D1821" t="str">
        <f>HYPERLINK("https://zfin.org/ZDB-GENE-060810-58")</f>
        <v>https://zfin.org/ZDB-GENE-060810-58</v>
      </c>
      <c r="E1821" t="s">
        <v>5442</v>
      </c>
    </row>
    <row r="1822" spans="1:5" x14ac:dyDescent="0.2">
      <c r="A1822" t="s">
        <v>5443</v>
      </c>
      <c r="B1822" t="s">
        <v>5444</v>
      </c>
      <c r="C1822" t="s">
        <v>5444</v>
      </c>
      <c r="D1822" t="str">
        <f>HYPERLINK("https://zfin.org/ZDB-GENE-091204-348")</f>
        <v>https://zfin.org/ZDB-GENE-091204-348</v>
      </c>
      <c r="E1822" t="s">
        <v>5445</v>
      </c>
    </row>
    <row r="1823" spans="1:5" x14ac:dyDescent="0.2">
      <c r="A1823" t="s">
        <v>5446</v>
      </c>
      <c r="B1823" t="s">
        <v>5447</v>
      </c>
      <c r="C1823" t="s">
        <v>5447</v>
      </c>
      <c r="D1823" t="str">
        <f>HYPERLINK("https://zfin.org/ZDB-GENE-110127-3")</f>
        <v>https://zfin.org/ZDB-GENE-110127-3</v>
      </c>
      <c r="E1823" t="s">
        <v>5448</v>
      </c>
    </row>
    <row r="1824" spans="1:5" x14ac:dyDescent="0.2">
      <c r="A1824" t="s">
        <v>5449</v>
      </c>
      <c r="B1824" t="s">
        <v>5450</v>
      </c>
      <c r="C1824" t="s">
        <v>5450</v>
      </c>
      <c r="D1824" t="str">
        <f>HYPERLINK("https://zfin.org/ZDB-GENE-030909-6")</f>
        <v>https://zfin.org/ZDB-GENE-030909-6</v>
      </c>
      <c r="E1824" t="s">
        <v>5451</v>
      </c>
    </row>
    <row r="1825" spans="1:5" x14ac:dyDescent="0.2">
      <c r="A1825" t="s">
        <v>5452</v>
      </c>
      <c r="B1825" t="s">
        <v>5453</v>
      </c>
      <c r="C1825" t="s">
        <v>5453</v>
      </c>
      <c r="D1825" t="str">
        <f>HYPERLINK("https://zfin.org/ZDB-GENE-070912-530")</f>
        <v>https://zfin.org/ZDB-GENE-070912-530</v>
      </c>
      <c r="E1825" t="s">
        <v>5454</v>
      </c>
    </row>
    <row r="1826" spans="1:5" x14ac:dyDescent="0.2">
      <c r="A1826" t="s">
        <v>5455</v>
      </c>
      <c r="B1826" t="s">
        <v>5456</v>
      </c>
      <c r="C1826" t="s">
        <v>5456</v>
      </c>
      <c r="D1826" t="str">
        <f>HYPERLINK("https://zfin.org/ZDB-GENE-040831-3")</f>
        <v>https://zfin.org/ZDB-GENE-040831-3</v>
      </c>
      <c r="E1826" t="s">
        <v>5457</v>
      </c>
    </row>
    <row r="1827" spans="1:5" x14ac:dyDescent="0.2">
      <c r="A1827" t="s">
        <v>5458</v>
      </c>
      <c r="B1827" t="s">
        <v>5459</v>
      </c>
      <c r="C1827" t="s">
        <v>5459</v>
      </c>
      <c r="D1827" t="str">
        <f>HYPERLINK("https://zfin.org/ZDB-GENE-030616-358")</f>
        <v>https://zfin.org/ZDB-GENE-030616-358</v>
      </c>
      <c r="E1827" t="s">
        <v>5460</v>
      </c>
    </row>
    <row r="1828" spans="1:5" x14ac:dyDescent="0.2">
      <c r="A1828" t="s">
        <v>5461</v>
      </c>
      <c r="B1828" t="s">
        <v>5462</v>
      </c>
      <c r="C1828" t="s">
        <v>5462</v>
      </c>
      <c r="D1828" t="str">
        <f>HYPERLINK("https://zfin.org/ZDB-GENE-140106-137")</f>
        <v>https://zfin.org/ZDB-GENE-140106-137</v>
      </c>
      <c r="E1828" t="s">
        <v>5463</v>
      </c>
    </row>
    <row r="1829" spans="1:5" x14ac:dyDescent="0.2">
      <c r="A1829" t="s">
        <v>5464</v>
      </c>
      <c r="B1829" t="s">
        <v>5465</v>
      </c>
      <c r="C1829" t="s">
        <v>5465</v>
      </c>
      <c r="D1829" t="str">
        <f>HYPERLINK("https://zfin.org/ZDB-GENE-050913-158")</f>
        <v>https://zfin.org/ZDB-GENE-050913-158</v>
      </c>
      <c r="E1829" t="s">
        <v>5466</v>
      </c>
    </row>
    <row r="1830" spans="1:5" x14ac:dyDescent="0.2">
      <c r="A1830" t="s">
        <v>5467</v>
      </c>
      <c r="B1830" t="s">
        <v>5468</v>
      </c>
      <c r="C1830" t="s">
        <v>5468</v>
      </c>
      <c r="D1830" t="str">
        <f>HYPERLINK("https://zfin.org/ZDB-GENE-030131-7435")</f>
        <v>https://zfin.org/ZDB-GENE-030131-7435</v>
      </c>
      <c r="E1830" t="s">
        <v>5469</v>
      </c>
    </row>
    <row r="1831" spans="1:5" x14ac:dyDescent="0.2">
      <c r="A1831" t="s">
        <v>5470</v>
      </c>
      <c r="B1831" t="s">
        <v>5471</v>
      </c>
      <c r="C1831" t="s">
        <v>5471</v>
      </c>
      <c r="D1831" t="str">
        <f>HYPERLINK("https://zfin.org/ZDB-GENE-091006-3")</f>
        <v>https://zfin.org/ZDB-GENE-091006-3</v>
      </c>
      <c r="E1831" t="s">
        <v>5472</v>
      </c>
    </row>
    <row r="1832" spans="1:5" x14ac:dyDescent="0.2">
      <c r="A1832" t="s">
        <v>5473</v>
      </c>
      <c r="B1832" t="s">
        <v>5474</v>
      </c>
      <c r="C1832" t="s">
        <v>5474</v>
      </c>
      <c r="D1832" t="str">
        <f>HYPERLINK("https://zfin.org/ZDB-GENE-040801-170")</f>
        <v>https://zfin.org/ZDB-GENE-040801-170</v>
      </c>
      <c r="E1832" t="s">
        <v>5475</v>
      </c>
    </row>
    <row r="1833" spans="1:5" x14ac:dyDescent="0.2">
      <c r="A1833" t="s">
        <v>5476</v>
      </c>
      <c r="B1833" t="s">
        <v>5477</v>
      </c>
      <c r="C1833" t="s">
        <v>5477</v>
      </c>
      <c r="D1833" t="str">
        <f>HYPERLINK("https://zfin.org/ZDB-GENE-060503-663")</f>
        <v>https://zfin.org/ZDB-GENE-060503-663</v>
      </c>
      <c r="E1833" t="s">
        <v>5478</v>
      </c>
    </row>
    <row r="1834" spans="1:5" x14ac:dyDescent="0.2">
      <c r="A1834" t="s">
        <v>5479</v>
      </c>
      <c r="B1834" t="s">
        <v>5480</v>
      </c>
      <c r="C1834" t="s">
        <v>5480</v>
      </c>
      <c r="D1834" t="str">
        <f>HYPERLINK("https://zfin.org/ZDB-GENE-060503-324")</f>
        <v>https://zfin.org/ZDB-GENE-060503-324</v>
      </c>
      <c r="E1834" t="s">
        <v>5481</v>
      </c>
    </row>
    <row r="1835" spans="1:5" x14ac:dyDescent="0.2">
      <c r="A1835" t="s">
        <v>5482</v>
      </c>
      <c r="B1835" t="s">
        <v>5483</v>
      </c>
      <c r="C1835" t="s">
        <v>5483</v>
      </c>
      <c r="D1835" t="str">
        <f>HYPERLINK("https://zfin.org/ZDB-GENE-030131-9473")</f>
        <v>https://zfin.org/ZDB-GENE-030131-9473</v>
      </c>
      <c r="E1835" t="s">
        <v>5484</v>
      </c>
    </row>
    <row r="1836" spans="1:5" x14ac:dyDescent="0.2">
      <c r="A1836" t="s">
        <v>5485</v>
      </c>
      <c r="B1836" t="s">
        <v>5486</v>
      </c>
      <c r="C1836" t="s">
        <v>5486</v>
      </c>
      <c r="D1836" t="str">
        <f>HYPERLINK("https://zfin.org/ZDB-GENE-110603-4")</f>
        <v>https://zfin.org/ZDB-GENE-110603-4</v>
      </c>
      <c r="E1836" t="s">
        <v>5487</v>
      </c>
    </row>
    <row r="1837" spans="1:5" x14ac:dyDescent="0.2">
      <c r="A1837" t="s">
        <v>5488</v>
      </c>
      <c r="B1837" t="s">
        <v>5489</v>
      </c>
      <c r="C1837" t="s">
        <v>5489</v>
      </c>
      <c r="D1837" t="str">
        <f>HYPERLINK("https://zfin.org/ZDB-GENE-040105-1")</f>
        <v>https://zfin.org/ZDB-GENE-040105-1</v>
      </c>
      <c r="E1837" t="s">
        <v>5490</v>
      </c>
    </row>
    <row r="1838" spans="1:5" x14ac:dyDescent="0.2">
      <c r="A1838" t="s">
        <v>5491</v>
      </c>
      <c r="B1838" t="s">
        <v>5492</v>
      </c>
      <c r="C1838" t="s">
        <v>5492</v>
      </c>
      <c r="D1838" t="str">
        <f>HYPERLINK("https://zfin.org/ZDB-GENE-030910-2")</f>
        <v>https://zfin.org/ZDB-GENE-030910-2</v>
      </c>
      <c r="E1838" t="s">
        <v>5493</v>
      </c>
    </row>
    <row r="1839" spans="1:5" x14ac:dyDescent="0.2">
      <c r="A1839" t="s">
        <v>5494</v>
      </c>
      <c r="B1839" t="s">
        <v>5495</v>
      </c>
      <c r="C1839" t="s">
        <v>5495</v>
      </c>
      <c r="D1839" t="str">
        <f>HYPERLINK("https://zfin.org/ZDB-GENE-040625-115")</f>
        <v>https://zfin.org/ZDB-GENE-040625-115</v>
      </c>
      <c r="E1839" t="s">
        <v>5496</v>
      </c>
    </row>
    <row r="1840" spans="1:5" x14ac:dyDescent="0.2">
      <c r="A1840" t="s">
        <v>5497</v>
      </c>
      <c r="B1840" t="s">
        <v>5498</v>
      </c>
      <c r="C1840" t="s">
        <v>5498</v>
      </c>
      <c r="D1840" t="str">
        <f>HYPERLINK("https://zfin.org/ZDB-GENE-060929-864")</f>
        <v>https://zfin.org/ZDB-GENE-060929-864</v>
      </c>
      <c r="E1840" t="s">
        <v>5499</v>
      </c>
    </row>
    <row r="1841" spans="1:5" x14ac:dyDescent="0.2">
      <c r="A1841" t="s">
        <v>5500</v>
      </c>
      <c r="B1841" t="s">
        <v>5501</v>
      </c>
      <c r="C1841" t="s">
        <v>5501</v>
      </c>
      <c r="D1841" t="str">
        <f>HYPERLINK("https://zfin.org/ZDB-GENE-090716-1")</f>
        <v>https://zfin.org/ZDB-GENE-090716-1</v>
      </c>
      <c r="E1841" t="s">
        <v>5502</v>
      </c>
    </row>
    <row r="1842" spans="1:5" x14ac:dyDescent="0.2">
      <c r="A1842" t="s">
        <v>5503</v>
      </c>
      <c r="B1842" t="s">
        <v>5504</v>
      </c>
      <c r="C1842" t="s">
        <v>5504</v>
      </c>
      <c r="D1842" t="str">
        <f>HYPERLINK("https://zfin.org/ZDB-GENE-040801-149")</f>
        <v>https://zfin.org/ZDB-GENE-040801-149</v>
      </c>
      <c r="E1842" t="s">
        <v>5505</v>
      </c>
    </row>
    <row r="1843" spans="1:5" x14ac:dyDescent="0.2">
      <c r="A1843" t="s">
        <v>5506</v>
      </c>
      <c r="B1843" t="s">
        <v>5507</v>
      </c>
      <c r="C1843" t="s">
        <v>5507</v>
      </c>
      <c r="D1843" t="str">
        <f>HYPERLINK("https://zfin.org/ZDB-GENE-050227-6")</f>
        <v>https://zfin.org/ZDB-GENE-050227-6</v>
      </c>
      <c r="E1843" t="s">
        <v>5508</v>
      </c>
    </row>
    <row r="1844" spans="1:5" x14ac:dyDescent="0.2">
      <c r="A1844" t="s">
        <v>5509</v>
      </c>
      <c r="B1844" t="s">
        <v>5510</v>
      </c>
      <c r="C1844" t="s">
        <v>5510</v>
      </c>
      <c r="D1844" t="str">
        <f>HYPERLINK("https://zfin.org/ZDB-GENE-040426-2482")</f>
        <v>https://zfin.org/ZDB-GENE-040426-2482</v>
      </c>
      <c r="E1844" t="s">
        <v>5511</v>
      </c>
    </row>
    <row r="1845" spans="1:5" x14ac:dyDescent="0.2">
      <c r="A1845" t="s">
        <v>5512</v>
      </c>
      <c r="B1845" t="s">
        <v>5513</v>
      </c>
      <c r="C1845" t="s">
        <v>5513</v>
      </c>
      <c r="D1845" t="str">
        <f>HYPERLINK("https://zfin.org/ZDB-GENE-030131-2469")</f>
        <v>https://zfin.org/ZDB-GENE-030131-2469</v>
      </c>
      <c r="E1845" t="s">
        <v>5514</v>
      </c>
    </row>
    <row r="1846" spans="1:5" x14ac:dyDescent="0.2">
      <c r="A1846" t="s">
        <v>5515</v>
      </c>
      <c r="B1846" t="s">
        <v>5516</v>
      </c>
      <c r="C1846" t="s">
        <v>5516</v>
      </c>
      <c r="D1846" t="str">
        <f>HYPERLINK("https://zfin.org/ZDB-GENE-041210-4")</f>
        <v>https://zfin.org/ZDB-GENE-041210-4</v>
      </c>
      <c r="E1846" t="s">
        <v>5517</v>
      </c>
    </row>
    <row r="1847" spans="1:5" x14ac:dyDescent="0.2">
      <c r="A1847" t="s">
        <v>5518</v>
      </c>
      <c r="B1847" t="s">
        <v>5519</v>
      </c>
      <c r="C1847" t="s">
        <v>5519</v>
      </c>
      <c r="D1847" t="str">
        <f>HYPERLINK("https://zfin.org/ZDB-GENE-030131-8726")</f>
        <v>https://zfin.org/ZDB-GENE-030131-8726</v>
      </c>
      <c r="E1847" t="s">
        <v>5520</v>
      </c>
    </row>
    <row r="1848" spans="1:5" x14ac:dyDescent="0.2">
      <c r="A1848" t="s">
        <v>5521</v>
      </c>
      <c r="B1848" t="s">
        <v>5522</v>
      </c>
      <c r="C1848" t="s">
        <v>5522</v>
      </c>
      <c r="D1848" t="str">
        <f>HYPERLINK("https://zfin.org/ZDB-GENE-070705-339")</f>
        <v>https://zfin.org/ZDB-GENE-070705-339</v>
      </c>
      <c r="E1848" t="s">
        <v>5523</v>
      </c>
    </row>
    <row r="1849" spans="1:5" x14ac:dyDescent="0.2">
      <c r="A1849" t="s">
        <v>5524</v>
      </c>
      <c r="B1849" t="s">
        <v>5525</v>
      </c>
      <c r="C1849" t="s">
        <v>5525</v>
      </c>
      <c r="D1849" t="str">
        <f>HYPERLINK("https://zfin.org/ZDB-GENE-130530-555")</f>
        <v>https://zfin.org/ZDB-GENE-130530-555</v>
      </c>
      <c r="E1849" t="s">
        <v>5526</v>
      </c>
    </row>
    <row r="1850" spans="1:5" x14ac:dyDescent="0.2">
      <c r="A1850" t="s">
        <v>5527</v>
      </c>
      <c r="B1850" t="s">
        <v>5528</v>
      </c>
      <c r="C1850" t="s">
        <v>5528</v>
      </c>
      <c r="D1850" t="str">
        <f>HYPERLINK("https://zfin.org/ZDB-GENE-060825-255")</f>
        <v>https://zfin.org/ZDB-GENE-060825-255</v>
      </c>
      <c r="E1850" t="s">
        <v>5529</v>
      </c>
    </row>
    <row r="1851" spans="1:5" x14ac:dyDescent="0.2">
      <c r="A1851" t="s">
        <v>5530</v>
      </c>
      <c r="B1851" t="s">
        <v>5531</v>
      </c>
      <c r="C1851" t="s">
        <v>5531</v>
      </c>
      <c r="D1851" t="str">
        <f>HYPERLINK("https://zfin.org/ZDB-GENE-141216-311")</f>
        <v>https://zfin.org/ZDB-GENE-141216-311</v>
      </c>
      <c r="E1851" t="s">
        <v>5532</v>
      </c>
    </row>
    <row r="1852" spans="1:5" x14ac:dyDescent="0.2">
      <c r="A1852" t="s">
        <v>5533</v>
      </c>
      <c r="B1852" t="s">
        <v>5534</v>
      </c>
      <c r="C1852" t="s">
        <v>5534</v>
      </c>
      <c r="D1852" t="str">
        <f>HYPERLINK("https://zfin.org/ZDB-GENE-010607-1")</f>
        <v>https://zfin.org/ZDB-GENE-010607-1</v>
      </c>
      <c r="E1852" t="s">
        <v>5535</v>
      </c>
    </row>
    <row r="1853" spans="1:5" x14ac:dyDescent="0.2">
      <c r="A1853" t="s">
        <v>5536</v>
      </c>
      <c r="B1853" t="s">
        <v>5537</v>
      </c>
      <c r="C1853" t="s">
        <v>5537</v>
      </c>
      <c r="D1853" t="str">
        <f>HYPERLINK("https://zfin.org/ZDB-GENE-030131-8690")</f>
        <v>https://zfin.org/ZDB-GENE-030131-8690</v>
      </c>
      <c r="E1853" t="s">
        <v>5538</v>
      </c>
    </row>
    <row r="1854" spans="1:5" x14ac:dyDescent="0.2">
      <c r="A1854" t="s">
        <v>5539</v>
      </c>
      <c r="B1854" t="s">
        <v>5540</v>
      </c>
      <c r="C1854" t="s">
        <v>5540</v>
      </c>
      <c r="D1854" t="str">
        <f>HYPERLINK("https://zfin.org/ZDB-GENE-040426-783")</f>
        <v>https://zfin.org/ZDB-GENE-040426-783</v>
      </c>
      <c r="E1854" t="s">
        <v>5541</v>
      </c>
    </row>
    <row r="1855" spans="1:5" x14ac:dyDescent="0.2">
      <c r="A1855" t="s">
        <v>5542</v>
      </c>
      <c r="B1855" t="s">
        <v>5543</v>
      </c>
      <c r="C1855" t="s">
        <v>5543</v>
      </c>
      <c r="D1855" t="str">
        <f>HYPERLINK("https://zfin.org/ZDB-GENE-070112-1692")</f>
        <v>https://zfin.org/ZDB-GENE-070112-1692</v>
      </c>
      <c r="E1855" t="s">
        <v>5544</v>
      </c>
    </row>
    <row r="1856" spans="1:5" x14ac:dyDescent="0.2">
      <c r="A1856" t="s">
        <v>5545</v>
      </c>
      <c r="B1856" t="s">
        <v>5546</v>
      </c>
      <c r="C1856" t="s">
        <v>5546</v>
      </c>
      <c r="D1856" t="str">
        <f>HYPERLINK("https://zfin.org/ZDB-GENE-120727-12")</f>
        <v>https://zfin.org/ZDB-GENE-120727-12</v>
      </c>
      <c r="E1856" t="s">
        <v>5547</v>
      </c>
    </row>
    <row r="1857" spans="1:5" x14ac:dyDescent="0.2">
      <c r="A1857" t="s">
        <v>5548</v>
      </c>
      <c r="B1857" t="s">
        <v>5549</v>
      </c>
      <c r="C1857" t="s">
        <v>5549</v>
      </c>
      <c r="D1857" t="str">
        <f>HYPERLINK("https://zfin.org/ZDB-GENE-040426-2275")</f>
        <v>https://zfin.org/ZDB-GENE-040426-2275</v>
      </c>
      <c r="E1857" t="s">
        <v>5550</v>
      </c>
    </row>
    <row r="1858" spans="1:5" x14ac:dyDescent="0.2">
      <c r="A1858" t="s">
        <v>5551</v>
      </c>
      <c r="B1858" t="s">
        <v>5552</v>
      </c>
      <c r="C1858" t="s">
        <v>5552</v>
      </c>
      <c r="D1858" t="str">
        <f>HYPERLINK("https://zfin.org/ZDB-GENE-061207-11")</f>
        <v>https://zfin.org/ZDB-GENE-061207-11</v>
      </c>
      <c r="E1858" t="s">
        <v>5553</v>
      </c>
    </row>
    <row r="1859" spans="1:5" x14ac:dyDescent="0.2">
      <c r="A1859" t="s">
        <v>5554</v>
      </c>
      <c r="B1859" t="s">
        <v>5555</v>
      </c>
      <c r="C1859" t="s">
        <v>5555</v>
      </c>
      <c r="D1859" t="str">
        <f>HYPERLINK("https://zfin.org/ZDB-GENE-041024-2")</f>
        <v>https://zfin.org/ZDB-GENE-041024-2</v>
      </c>
      <c r="E1859" t="s">
        <v>5556</v>
      </c>
    </row>
    <row r="1860" spans="1:5" x14ac:dyDescent="0.2">
      <c r="A1860" t="s">
        <v>5557</v>
      </c>
      <c r="B1860" t="s">
        <v>5558</v>
      </c>
      <c r="C1860" t="s">
        <v>5558</v>
      </c>
      <c r="D1860" t="str">
        <f>HYPERLINK("https://zfin.org/ZDB-GENE-090313-96")</f>
        <v>https://zfin.org/ZDB-GENE-090313-96</v>
      </c>
      <c r="E1860" t="s">
        <v>5559</v>
      </c>
    </row>
    <row r="1861" spans="1:5" x14ac:dyDescent="0.2">
      <c r="A1861" t="s">
        <v>5560</v>
      </c>
      <c r="B1861" t="s">
        <v>5561</v>
      </c>
      <c r="C1861" t="s">
        <v>5561</v>
      </c>
      <c r="D1861" t="str">
        <f>HYPERLINK("https://zfin.org/ZDB-GENE-980526-333")</f>
        <v>https://zfin.org/ZDB-GENE-980526-333</v>
      </c>
      <c r="E1861" t="s">
        <v>5562</v>
      </c>
    </row>
    <row r="1862" spans="1:5" x14ac:dyDescent="0.2">
      <c r="A1862" t="s">
        <v>5563</v>
      </c>
      <c r="B1862" t="s">
        <v>5564</v>
      </c>
      <c r="C1862" t="s">
        <v>5564</v>
      </c>
      <c r="D1862" t="str">
        <f>HYPERLINK("https://zfin.org/ZDB-GENE-141216-306")</f>
        <v>https://zfin.org/ZDB-GENE-141216-306</v>
      </c>
      <c r="E1862" t="s">
        <v>5565</v>
      </c>
    </row>
    <row r="1863" spans="1:5" x14ac:dyDescent="0.2">
      <c r="A1863" t="s">
        <v>5566</v>
      </c>
      <c r="B1863" t="s">
        <v>5567</v>
      </c>
      <c r="C1863" t="s">
        <v>5567</v>
      </c>
      <c r="D1863" t="str">
        <f>HYPERLINK("https://zfin.org/ZDB-GENE-141222-102")</f>
        <v>https://zfin.org/ZDB-GENE-141222-102</v>
      </c>
      <c r="E1863" t="s">
        <v>5568</v>
      </c>
    </row>
    <row r="1864" spans="1:5" x14ac:dyDescent="0.2">
      <c r="A1864" t="s">
        <v>5569</v>
      </c>
      <c r="B1864" t="s">
        <v>5570</v>
      </c>
      <c r="C1864" t="s">
        <v>5570</v>
      </c>
      <c r="D1864" t="str">
        <f>HYPERLINK("https://zfin.org/ZDB-GENE-081104-256")</f>
        <v>https://zfin.org/ZDB-GENE-081104-256</v>
      </c>
      <c r="E1864" t="s">
        <v>5571</v>
      </c>
    </row>
    <row r="1865" spans="1:5" x14ac:dyDescent="0.2">
      <c r="A1865" t="s">
        <v>5572</v>
      </c>
      <c r="B1865" t="s">
        <v>5573</v>
      </c>
      <c r="C1865" t="s">
        <v>5573</v>
      </c>
      <c r="D1865" t="str">
        <f>HYPERLINK("https://zfin.org/ZDB-GENE-131127-260")</f>
        <v>https://zfin.org/ZDB-GENE-131127-260</v>
      </c>
      <c r="E1865" t="s">
        <v>5574</v>
      </c>
    </row>
    <row r="1866" spans="1:5" x14ac:dyDescent="0.2">
      <c r="A1866" t="s">
        <v>5575</v>
      </c>
      <c r="B1866" t="s">
        <v>5576</v>
      </c>
      <c r="C1866" t="s">
        <v>5576</v>
      </c>
      <c r="D1866" t="str">
        <f>HYPERLINK("https://zfin.org/ZDB-GENE-141212-229")</f>
        <v>https://zfin.org/ZDB-GENE-141212-229</v>
      </c>
      <c r="E1866" t="s">
        <v>5577</v>
      </c>
    </row>
    <row r="1867" spans="1:5" x14ac:dyDescent="0.2">
      <c r="A1867" t="s">
        <v>5578</v>
      </c>
      <c r="B1867" t="s">
        <v>5579</v>
      </c>
      <c r="C1867" t="s">
        <v>5579</v>
      </c>
      <c r="D1867" t="str">
        <f>HYPERLINK("https://zfin.org/ZDB-GENE-040426-1609")</f>
        <v>https://zfin.org/ZDB-GENE-040426-1609</v>
      </c>
      <c r="E1867" t="s">
        <v>5580</v>
      </c>
    </row>
    <row r="1868" spans="1:5" x14ac:dyDescent="0.2">
      <c r="A1868" t="s">
        <v>5581</v>
      </c>
      <c r="B1868" t="s">
        <v>5582</v>
      </c>
      <c r="C1868" t="s">
        <v>5582</v>
      </c>
      <c r="D1868" t="str">
        <f>HYPERLINK("https://zfin.org/ZDB-GENE-131127-622")</f>
        <v>https://zfin.org/ZDB-GENE-131127-622</v>
      </c>
      <c r="E1868" t="s">
        <v>5583</v>
      </c>
    </row>
    <row r="1869" spans="1:5" x14ac:dyDescent="0.2">
      <c r="A1869" t="s">
        <v>5584</v>
      </c>
      <c r="B1869" t="s">
        <v>5585</v>
      </c>
      <c r="C1869" t="s">
        <v>5585</v>
      </c>
      <c r="D1869" t="str">
        <f>HYPERLINK("https://zfin.org/ZDB-GENE-030131-8525")</f>
        <v>https://zfin.org/ZDB-GENE-030131-8525</v>
      </c>
      <c r="E1869" t="s">
        <v>5586</v>
      </c>
    </row>
    <row r="1870" spans="1:5" x14ac:dyDescent="0.2">
      <c r="A1870" t="s">
        <v>5587</v>
      </c>
      <c r="B1870" t="s">
        <v>5588</v>
      </c>
      <c r="C1870" t="s">
        <v>5588</v>
      </c>
      <c r="D1870" t="str">
        <f>HYPERLINK("https://zfin.org/ZDB-GENE-091013-5")</f>
        <v>https://zfin.org/ZDB-GENE-091013-5</v>
      </c>
      <c r="E1870" t="s">
        <v>5589</v>
      </c>
    </row>
    <row r="1871" spans="1:5" x14ac:dyDescent="0.2">
      <c r="A1871" t="s">
        <v>5590</v>
      </c>
      <c r="B1871" t="s">
        <v>5591</v>
      </c>
      <c r="C1871" t="s">
        <v>5591</v>
      </c>
      <c r="D1871" t="str">
        <f>HYPERLINK("https://zfin.org/ZDB-GENE-040426-847")</f>
        <v>https://zfin.org/ZDB-GENE-040426-847</v>
      </c>
      <c r="E1871" t="s">
        <v>5592</v>
      </c>
    </row>
    <row r="1872" spans="1:5" x14ac:dyDescent="0.2">
      <c r="A1872" t="s">
        <v>5593</v>
      </c>
      <c r="B1872" t="s">
        <v>5594</v>
      </c>
      <c r="C1872" t="s">
        <v>5594</v>
      </c>
      <c r="D1872" t="str">
        <f>HYPERLINK("https://zfin.org/ZDB-GENE-060825-267")</f>
        <v>https://zfin.org/ZDB-GENE-060825-267</v>
      </c>
      <c r="E1872" t="s">
        <v>5595</v>
      </c>
    </row>
    <row r="1873" spans="1:5" x14ac:dyDescent="0.2">
      <c r="A1873" t="s">
        <v>5596</v>
      </c>
      <c r="B1873" t="s">
        <v>5597</v>
      </c>
      <c r="C1873" t="s">
        <v>5597</v>
      </c>
      <c r="D1873" t="str">
        <f>HYPERLINK("https://zfin.org/ZDB-GENE-071008-2")</f>
        <v>https://zfin.org/ZDB-GENE-071008-2</v>
      </c>
      <c r="E1873" t="s">
        <v>5598</v>
      </c>
    </row>
    <row r="1874" spans="1:5" x14ac:dyDescent="0.2">
      <c r="A1874" t="s">
        <v>5599</v>
      </c>
      <c r="B1874" t="s">
        <v>5600</v>
      </c>
      <c r="C1874" t="s">
        <v>5600</v>
      </c>
      <c r="D1874" t="str">
        <f>HYPERLINK("https://zfin.org/ZDB-GENE-041010-23")</f>
        <v>https://zfin.org/ZDB-GENE-041010-23</v>
      </c>
      <c r="E1874" t="s">
        <v>5601</v>
      </c>
    </row>
    <row r="1875" spans="1:5" x14ac:dyDescent="0.2">
      <c r="A1875" t="s">
        <v>5602</v>
      </c>
      <c r="B1875" t="s">
        <v>5603</v>
      </c>
      <c r="C1875" t="s">
        <v>5603</v>
      </c>
      <c r="D1875" t="str">
        <f>HYPERLINK("https://zfin.org/ZDB-GENE-040625-157")</f>
        <v>https://zfin.org/ZDB-GENE-040625-157</v>
      </c>
      <c r="E1875" t="s">
        <v>5604</v>
      </c>
    </row>
    <row r="1876" spans="1:5" x14ac:dyDescent="0.2">
      <c r="A1876" t="s">
        <v>5605</v>
      </c>
      <c r="B1876" t="s">
        <v>5606</v>
      </c>
      <c r="C1876" t="s">
        <v>5606</v>
      </c>
      <c r="D1876" t="str">
        <f>HYPERLINK("https://zfin.org/ZDB-GENE-050417-367")</f>
        <v>https://zfin.org/ZDB-GENE-050417-367</v>
      </c>
      <c r="E1876" t="s">
        <v>5607</v>
      </c>
    </row>
    <row r="1877" spans="1:5" x14ac:dyDescent="0.2">
      <c r="A1877" t="s">
        <v>5608</v>
      </c>
      <c r="B1877" t="s">
        <v>5609</v>
      </c>
      <c r="C1877" t="s">
        <v>5609</v>
      </c>
      <c r="D1877" t="str">
        <f>HYPERLINK("https://zfin.org/ZDB-GENE-070912-60")</f>
        <v>https://zfin.org/ZDB-GENE-070912-60</v>
      </c>
      <c r="E1877" t="s">
        <v>5610</v>
      </c>
    </row>
    <row r="1878" spans="1:5" x14ac:dyDescent="0.2">
      <c r="A1878" t="s">
        <v>5611</v>
      </c>
      <c r="B1878" t="s">
        <v>5612</v>
      </c>
      <c r="C1878" t="s">
        <v>5612</v>
      </c>
      <c r="D1878" t="str">
        <f>HYPERLINK("https://zfin.org/ZDB-GENE-081104-78")</f>
        <v>https://zfin.org/ZDB-GENE-081104-78</v>
      </c>
      <c r="E1878" t="s">
        <v>5613</v>
      </c>
    </row>
    <row r="1879" spans="1:5" x14ac:dyDescent="0.2">
      <c r="A1879" t="s">
        <v>5614</v>
      </c>
      <c r="B1879" t="s">
        <v>5615</v>
      </c>
      <c r="C1879" t="s">
        <v>5615</v>
      </c>
      <c r="D1879" t="str">
        <f>HYPERLINK("https://zfin.org/ZDB-GENE-070912-214")</f>
        <v>https://zfin.org/ZDB-GENE-070912-214</v>
      </c>
      <c r="E1879" t="s">
        <v>5616</v>
      </c>
    </row>
    <row r="1880" spans="1:5" x14ac:dyDescent="0.2">
      <c r="A1880" t="s">
        <v>5617</v>
      </c>
      <c r="B1880" t="s">
        <v>5618</v>
      </c>
      <c r="C1880" t="s">
        <v>5618</v>
      </c>
      <c r="D1880" t="str">
        <f>HYPERLINK("https://zfin.org/ZDB-GENE-141216-486")</f>
        <v>https://zfin.org/ZDB-GENE-141216-486</v>
      </c>
      <c r="E1880" t="s">
        <v>5619</v>
      </c>
    </row>
    <row r="1881" spans="1:5" x14ac:dyDescent="0.2">
      <c r="A1881" t="s">
        <v>5620</v>
      </c>
      <c r="B1881" t="s">
        <v>5621</v>
      </c>
      <c r="C1881" t="s">
        <v>5621</v>
      </c>
      <c r="D1881" t="str">
        <f>HYPERLINK("https://zfin.org/ZDB-GENE-041010-202")</f>
        <v>https://zfin.org/ZDB-GENE-041010-202</v>
      </c>
      <c r="E1881" t="s">
        <v>5622</v>
      </c>
    </row>
    <row r="1882" spans="1:5" x14ac:dyDescent="0.2">
      <c r="A1882" t="s">
        <v>5623</v>
      </c>
      <c r="B1882" t="s">
        <v>5624</v>
      </c>
      <c r="C1882" t="s">
        <v>5624</v>
      </c>
      <c r="D1882" t="str">
        <f>HYPERLINK("https://zfin.org/ZDB-GENE-080723-52")</f>
        <v>https://zfin.org/ZDB-GENE-080723-52</v>
      </c>
      <c r="E1882" t="s">
        <v>5625</v>
      </c>
    </row>
    <row r="1883" spans="1:5" x14ac:dyDescent="0.2">
      <c r="A1883" t="s">
        <v>5626</v>
      </c>
      <c r="B1883" t="s">
        <v>5627</v>
      </c>
      <c r="C1883" t="s">
        <v>5627</v>
      </c>
      <c r="D1883" t="str">
        <f>HYPERLINK("https://zfin.org/ZDB-GENE-030131-4154")</f>
        <v>https://zfin.org/ZDB-GENE-030131-4154</v>
      </c>
      <c r="E1883" t="s">
        <v>5628</v>
      </c>
    </row>
    <row r="1884" spans="1:5" x14ac:dyDescent="0.2">
      <c r="A1884" t="s">
        <v>5629</v>
      </c>
      <c r="B1884" t="s">
        <v>5630</v>
      </c>
      <c r="C1884" t="s">
        <v>5630</v>
      </c>
      <c r="D1884" t="str">
        <f>HYPERLINK("https://zfin.org/ZDB-GENE-070209-3")</f>
        <v>https://zfin.org/ZDB-GENE-070209-3</v>
      </c>
      <c r="E1884" t="s">
        <v>5631</v>
      </c>
    </row>
    <row r="1885" spans="1:5" x14ac:dyDescent="0.2">
      <c r="A1885" t="s">
        <v>5632</v>
      </c>
      <c r="B1885" t="s">
        <v>5633</v>
      </c>
      <c r="C1885" t="s">
        <v>5633</v>
      </c>
      <c r="D1885" t="str">
        <f>HYPERLINK("https://zfin.org/ZDB-GENE-070410-61")</f>
        <v>https://zfin.org/ZDB-GENE-070410-61</v>
      </c>
      <c r="E1885" t="s">
        <v>5634</v>
      </c>
    </row>
    <row r="1886" spans="1:5" x14ac:dyDescent="0.2">
      <c r="A1886" t="s">
        <v>5635</v>
      </c>
      <c r="B1886" t="s">
        <v>5636</v>
      </c>
      <c r="C1886" t="s">
        <v>5636</v>
      </c>
      <c r="D1886" t="str">
        <f>HYPERLINK("https://zfin.org/ZDB-GENE-090828-2")</f>
        <v>https://zfin.org/ZDB-GENE-090828-2</v>
      </c>
      <c r="E1886" t="s">
        <v>5637</v>
      </c>
    </row>
    <row r="1887" spans="1:5" x14ac:dyDescent="0.2">
      <c r="A1887" t="s">
        <v>5638</v>
      </c>
      <c r="B1887" t="s">
        <v>5639</v>
      </c>
      <c r="C1887" t="s">
        <v>5639</v>
      </c>
      <c r="D1887" t="str">
        <f>HYPERLINK("https://zfin.org/ZDB-GENE-030131-9210")</f>
        <v>https://zfin.org/ZDB-GENE-030131-9210</v>
      </c>
      <c r="E1887" t="s">
        <v>5640</v>
      </c>
    </row>
    <row r="1888" spans="1:5" x14ac:dyDescent="0.2">
      <c r="A1888" t="s">
        <v>5641</v>
      </c>
      <c r="B1888" t="s">
        <v>5642</v>
      </c>
      <c r="C1888" t="s">
        <v>5642</v>
      </c>
      <c r="D1888" t="str">
        <f>HYPERLINK("https://zfin.org/ZDB-GENE-050522-319")</f>
        <v>https://zfin.org/ZDB-GENE-050522-319</v>
      </c>
      <c r="E1888" t="s">
        <v>5643</v>
      </c>
    </row>
    <row r="1889" spans="1:5" x14ac:dyDescent="0.2">
      <c r="A1889" t="s">
        <v>5644</v>
      </c>
      <c r="B1889" t="s">
        <v>5645</v>
      </c>
      <c r="C1889" t="s">
        <v>5645</v>
      </c>
      <c r="D1889" t="str">
        <f>HYPERLINK("https://zfin.org/ZDB-GENE-060825-242")</f>
        <v>https://zfin.org/ZDB-GENE-060825-242</v>
      </c>
      <c r="E1889" t="s">
        <v>5646</v>
      </c>
    </row>
    <row r="1890" spans="1:5" x14ac:dyDescent="0.2">
      <c r="A1890" t="s">
        <v>5647</v>
      </c>
      <c r="B1890" t="s">
        <v>5648</v>
      </c>
      <c r="C1890" t="s">
        <v>5648</v>
      </c>
      <c r="D1890" t="str">
        <f>HYPERLINK("https://zfin.org/ZDB-GENE-141216-178")</f>
        <v>https://zfin.org/ZDB-GENE-141216-178</v>
      </c>
      <c r="E1890" t="s">
        <v>5649</v>
      </c>
    </row>
    <row r="1891" spans="1:5" x14ac:dyDescent="0.2">
      <c r="A1891" t="s">
        <v>5650</v>
      </c>
      <c r="B1891" t="s">
        <v>5651</v>
      </c>
      <c r="C1891" t="s">
        <v>5651</v>
      </c>
      <c r="D1891" t="str">
        <f>HYPERLINK("https://zfin.org/ZDB-GENE-060929-1042")</f>
        <v>https://zfin.org/ZDB-GENE-060929-1042</v>
      </c>
      <c r="E1891" t="s">
        <v>5652</v>
      </c>
    </row>
    <row r="1892" spans="1:5" x14ac:dyDescent="0.2">
      <c r="A1892" t="s">
        <v>5653</v>
      </c>
      <c r="B1892" t="s">
        <v>5654</v>
      </c>
      <c r="C1892" t="s">
        <v>5654</v>
      </c>
      <c r="D1892" t="str">
        <f>HYPERLINK("https://zfin.org/ZDB-GENE-020103-1")</f>
        <v>https://zfin.org/ZDB-GENE-020103-1</v>
      </c>
      <c r="E1892" t="s">
        <v>5655</v>
      </c>
    </row>
    <row r="1893" spans="1:5" x14ac:dyDescent="0.2">
      <c r="A1893" t="s">
        <v>5656</v>
      </c>
      <c r="B1893" t="s">
        <v>5657</v>
      </c>
      <c r="C1893" t="s">
        <v>5657</v>
      </c>
      <c r="D1893" t="str">
        <f>HYPERLINK("https://zfin.org/ZDB-GENE-070112-2362")</f>
        <v>https://zfin.org/ZDB-GENE-070112-2362</v>
      </c>
      <c r="E1893" t="s">
        <v>5658</v>
      </c>
    </row>
    <row r="1894" spans="1:5" x14ac:dyDescent="0.2">
      <c r="A1894" t="s">
        <v>5659</v>
      </c>
      <c r="B1894" t="s">
        <v>5660</v>
      </c>
      <c r="C1894" t="s">
        <v>5660</v>
      </c>
      <c r="D1894" t="str">
        <f>HYPERLINK("https://zfin.org/ZDB-GENE-061122-1")</f>
        <v>https://zfin.org/ZDB-GENE-061122-1</v>
      </c>
      <c r="E1894" t="s">
        <v>5661</v>
      </c>
    </row>
    <row r="1895" spans="1:5" x14ac:dyDescent="0.2">
      <c r="A1895" t="s">
        <v>5662</v>
      </c>
      <c r="B1895" t="s">
        <v>5663</v>
      </c>
      <c r="C1895" t="s">
        <v>5663</v>
      </c>
      <c r="D1895" t="str">
        <f>HYPERLINK("https://zfin.org/ZDB-GENE-050306-1")</f>
        <v>https://zfin.org/ZDB-GENE-050306-1</v>
      </c>
      <c r="E1895" t="s">
        <v>5664</v>
      </c>
    </row>
    <row r="1896" spans="1:5" x14ac:dyDescent="0.2">
      <c r="A1896" t="s">
        <v>5665</v>
      </c>
      <c r="B1896" t="s">
        <v>5666</v>
      </c>
      <c r="C1896" t="s">
        <v>5666</v>
      </c>
      <c r="D1896" t="str">
        <f>HYPERLINK("https://zfin.org/ZDB-GENE-030131-5982")</f>
        <v>https://zfin.org/ZDB-GENE-030131-5982</v>
      </c>
      <c r="E1896" t="s">
        <v>5667</v>
      </c>
    </row>
    <row r="1897" spans="1:5" x14ac:dyDescent="0.2">
      <c r="A1897" t="s">
        <v>5668</v>
      </c>
      <c r="B1897" t="s">
        <v>5669</v>
      </c>
      <c r="C1897" t="s">
        <v>5669</v>
      </c>
      <c r="D1897" t="str">
        <f>HYPERLINK("https://zfin.org/ZDB-GENE-050102-5")</f>
        <v>https://zfin.org/ZDB-GENE-050102-5</v>
      </c>
      <c r="E1897" t="s">
        <v>5670</v>
      </c>
    </row>
    <row r="1898" spans="1:5" x14ac:dyDescent="0.2">
      <c r="A1898" t="s">
        <v>5671</v>
      </c>
      <c r="B1898" t="s">
        <v>5672</v>
      </c>
      <c r="C1898" t="s">
        <v>5672</v>
      </c>
      <c r="D1898" t="str">
        <f>HYPERLINK("https://zfin.org/ZDB-GENE-040426-2206")</f>
        <v>https://zfin.org/ZDB-GENE-040426-2206</v>
      </c>
      <c r="E1898" t="s">
        <v>5673</v>
      </c>
    </row>
    <row r="1899" spans="1:5" x14ac:dyDescent="0.2">
      <c r="A1899" t="s">
        <v>5674</v>
      </c>
      <c r="B1899" t="s">
        <v>5675</v>
      </c>
      <c r="C1899" t="s">
        <v>5675</v>
      </c>
      <c r="D1899" t="str">
        <f>HYPERLINK("https://zfin.org/ZDB-GENE-040426-2536")</f>
        <v>https://zfin.org/ZDB-GENE-040426-2536</v>
      </c>
      <c r="E1899" t="s">
        <v>5676</v>
      </c>
    </row>
    <row r="1900" spans="1:5" x14ac:dyDescent="0.2">
      <c r="A1900" t="s">
        <v>5677</v>
      </c>
      <c r="B1900" t="s">
        <v>5678</v>
      </c>
      <c r="C1900" t="s">
        <v>5678</v>
      </c>
      <c r="D1900" t="str">
        <f>HYPERLINK("https://zfin.org/ZDB-GENE-030131-9184")</f>
        <v>https://zfin.org/ZDB-GENE-030131-9184</v>
      </c>
      <c r="E1900" t="s">
        <v>5679</v>
      </c>
    </row>
    <row r="1901" spans="1:5" x14ac:dyDescent="0.2">
      <c r="A1901" t="s">
        <v>5680</v>
      </c>
      <c r="B1901" t="s">
        <v>5681</v>
      </c>
      <c r="C1901" t="s">
        <v>5681</v>
      </c>
      <c r="D1901" t="str">
        <f>HYPERLINK("https://zfin.org/ZDB-GENE-041212-26")</f>
        <v>https://zfin.org/ZDB-GENE-041212-26</v>
      </c>
      <c r="E1901" t="s">
        <v>5682</v>
      </c>
    </row>
    <row r="1902" spans="1:5" x14ac:dyDescent="0.2">
      <c r="A1902" t="s">
        <v>5683</v>
      </c>
      <c r="B1902" t="s">
        <v>5684</v>
      </c>
      <c r="C1902" t="s">
        <v>5684</v>
      </c>
      <c r="D1902" t="str">
        <f>HYPERLINK("https://zfin.org/ZDB-GENE-050522-505")</f>
        <v>https://zfin.org/ZDB-GENE-050522-505</v>
      </c>
      <c r="E1902" t="s">
        <v>5685</v>
      </c>
    </row>
    <row r="1903" spans="1:5" x14ac:dyDescent="0.2">
      <c r="A1903" t="s">
        <v>5686</v>
      </c>
      <c r="B1903" t="s">
        <v>5687</v>
      </c>
      <c r="C1903" t="s">
        <v>5687</v>
      </c>
      <c r="D1903" t="str">
        <f>HYPERLINK("https://zfin.org/ZDB-GENE-040426-2113")</f>
        <v>https://zfin.org/ZDB-GENE-040426-2113</v>
      </c>
      <c r="E1903" t="s">
        <v>5688</v>
      </c>
    </row>
    <row r="1904" spans="1:5" x14ac:dyDescent="0.2">
      <c r="A1904" t="s">
        <v>5689</v>
      </c>
      <c r="B1904" t="s">
        <v>5690</v>
      </c>
      <c r="C1904" t="s">
        <v>5690</v>
      </c>
      <c r="D1904" t="str">
        <f>HYPERLINK("https://zfin.org/ZDB-GENE-020213-1")</f>
        <v>https://zfin.org/ZDB-GENE-020213-1</v>
      </c>
      <c r="E1904" t="s">
        <v>5691</v>
      </c>
    </row>
    <row r="1905" spans="1:5" x14ac:dyDescent="0.2">
      <c r="A1905" t="s">
        <v>5692</v>
      </c>
      <c r="B1905" t="s">
        <v>5693</v>
      </c>
      <c r="C1905" t="s">
        <v>5693</v>
      </c>
      <c r="D1905" t="str">
        <f>HYPERLINK("https://zfin.org/ZDB-GENE-040426-2043")</f>
        <v>https://zfin.org/ZDB-GENE-040426-2043</v>
      </c>
      <c r="E1905" t="s">
        <v>5694</v>
      </c>
    </row>
    <row r="1906" spans="1:5" x14ac:dyDescent="0.2">
      <c r="A1906" t="s">
        <v>5695</v>
      </c>
      <c r="B1906" t="s">
        <v>5696</v>
      </c>
      <c r="C1906" t="s">
        <v>5696</v>
      </c>
      <c r="D1906" t="str">
        <f>HYPERLINK("https://zfin.org/ZDB-GENE-020423-2")</f>
        <v>https://zfin.org/ZDB-GENE-020423-2</v>
      </c>
      <c r="E1906" t="s">
        <v>5697</v>
      </c>
    </row>
    <row r="1907" spans="1:5" x14ac:dyDescent="0.2">
      <c r="A1907" t="s">
        <v>5698</v>
      </c>
      <c r="B1907" t="s">
        <v>5699</v>
      </c>
      <c r="C1907" t="s">
        <v>5699</v>
      </c>
      <c r="D1907" t="str">
        <f>HYPERLINK("https://zfin.org/ZDB-GENE-060331-97")</f>
        <v>https://zfin.org/ZDB-GENE-060331-97</v>
      </c>
      <c r="E1907" t="s">
        <v>5700</v>
      </c>
    </row>
    <row r="1908" spans="1:5" x14ac:dyDescent="0.2">
      <c r="A1908" t="s">
        <v>5701</v>
      </c>
      <c r="B1908" t="s">
        <v>5702</v>
      </c>
      <c r="C1908" t="s">
        <v>5702</v>
      </c>
      <c r="D1908" t="str">
        <f>HYPERLINK("https://zfin.org/ZDB-GENE-030131-5947")</f>
        <v>https://zfin.org/ZDB-GENE-030131-5947</v>
      </c>
      <c r="E1908" t="s">
        <v>5703</v>
      </c>
    </row>
    <row r="1909" spans="1:5" x14ac:dyDescent="0.2">
      <c r="A1909" t="s">
        <v>5704</v>
      </c>
      <c r="B1909" t="s">
        <v>5705</v>
      </c>
      <c r="C1909" t="s">
        <v>5705</v>
      </c>
      <c r="D1909" t="str">
        <f>HYPERLINK("https://zfin.org/ZDB-GENE-041210-131")</f>
        <v>https://zfin.org/ZDB-GENE-041210-131</v>
      </c>
      <c r="E1909" t="s">
        <v>5706</v>
      </c>
    </row>
    <row r="1910" spans="1:5" x14ac:dyDescent="0.2">
      <c r="A1910" t="s">
        <v>5707</v>
      </c>
      <c r="B1910" t="s">
        <v>5708</v>
      </c>
      <c r="C1910" t="s">
        <v>5708</v>
      </c>
      <c r="D1910" t="str">
        <f>HYPERLINK("https://zfin.org/ZDB-GENE-030829-19")</f>
        <v>https://zfin.org/ZDB-GENE-030829-19</v>
      </c>
      <c r="E1910" t="s">
        <v>5709</v>
      </c>
    </row>
    <row r="1911" spans="1:5" x14ac:dyDescent="0.2">
      <c r="A1911" t="s">
        <v>5710</v>
      </c>
      <c r="B1911" t="s">
        <v>5711</v>
      </c>
      <c r="C1911" t="s">
        <v>5711</v>
      </c>
      <c r="D1911" t="str">
        <f>HYPERLINK("https://zfin.org/ZDB-GENE-131127-148")</f>
        <v>https://zfin.org/ZDB-GENE-131127-148</v>
      </c>
      <c r="E1911" t="s">
        <v>5712</v>
      </c>
    </row>
    <row r="1912" spans="1:5" x14ac:dyDescent="0.2">
      <c r="A1912" t="s">
        <v>5713</v>
      </c>
      <c r="B1912" t="s">
        <v>5714</v>
      </c>
      <c r="C1912" t="s">
        <v>5715</v>
      </c>
      <c r="D1912" t="str">
        <f>HYPERLINK("https://zfin.org/ZDB-GENE-091118-90")</f>
        <v>https://zfin.org/ZDB-GENE-091118-90</v>
      </c>
      <c r="E1912" t="s">
        <v>5716</v>
      </c>
    </row>
    <row r="1913" spans="1:5" x14ac:dyDescent="0.2">
      <c r="A1913" t="s">
        <v>5717</v>
      </c>
      <c r="B1913" t="s">
        <v>5718</v>
      </c>
      <c r="C1913" t="s">
        <v>5718</v>
      </c>
      <c r="D1913" t="str">
        <f>HYPERLINK("https://zfin.org/ZDB-GENE-060825-182")</f>
        <v>https://zfin.org/ZDB-GENE-060825-182</v>
      </c>
      <c r="E1913" t="s">
        <v>5719</v>
      </c>
    </row>
    <row r="1914" spans="1:5" x14ac:dyDescent="0.2">
      <c r="A1914" t="s">
        <v>5720</v>
      </c>
      <c r="B1914" t="s">
        <v>5721</v>
      </c>
      <c r="C1914" t="s">
        <v>5721</v>
      </c>
      <c r="D1914" t="str">
        <f>HYPERLINK("https://zfin.org/ZDB-GENE-001127-4")</f>
        <v>https://zfin.org/ZDB-GENE-001127-4</v>
      </c>
      <c r="E1914" t="s">
        <v>5722</v>
      </c>
    </row>
    <row r="1915" spans="1:5" x14ac:dyDescent="0.2">
      <c r="A1915" t="s">
        <v>5723</v>
      </c>
      <c r="B1915" t="s">
        <v>5724</v>
      </c>
      <c r="C1915" t="s">
        <v>5724</v>
      </c>
      <c r="D1915" t="str">
        <f>HYPERLINK("https://zfin.org/ZDB-GENE-040426-2421")</f>
        <v>https://zfin.org/ZDB-GENE-040426-2421</v>
      </c>
      <c r="E1915" t="s">
        <v>5725</v>
      </c>
    </row>
    <row r="1916" spans="1:5" x14ac:dyDescent="0.2">
      <c r="A1916" t="s">
        <v>5726</v>
      </c>
      <c r="B1916" t="s">
        <v>5727</v>
      </c>
      <c r="C1916" t="s">
        <v>5727</v>
      </c>
      <c r="D1916" t="str">
        <f>HYPERLINK("https://zfin.org/ZDB-GENE-040426-1415")</f>
        <v>https://zfin.org/ZDB-GENE-040426-1415</v>
      </c>
      <c r="E1916" t="s">
        <v>5728</v>
      </c>
    </row>
    <row r="1917" spans="1:5" x14ac:dyDescent="0.2">
      <c r="A1917" t="s">
        <v>5729</v>
      </c>
      <c r="B1917" t="s">
        <v>5730</v>
      </c>
      <c r="C1917" t="s">
        <v>5730</v>
      </c>
      <c r="D1917" t="str">
        <f>HYPERLINK("https://zfin.org/ZDB-GENE-030131-9944")</f>
        <v>https://zfin.org/ZDB-GENE-030131-9944</v>
      </c>
      <c r="E1917" t="s">
        <v>5731</v>
      </c>
    </row>
    <row r="1918" spans="1:5" x14ac:dyDescent="0.2">
      <c r="A1918" t="s">
        <v>5732</v>
      </c>
      <c r="B1918" t="s">
        <v>5733</v>
      </c>
      <c r="C1918" t="s">
        <v>5733</v>
      </c>
      <c r="D1918" t="str">
        <f>HYPERLINK("https://zfin.org/ZDB-GENE-131121-272")</f>
        <v>https://zfin.org/ZDB-GENE-131121-272</v>
      </c>
      <c r="E1918" t="s">
        <v>5734</v>
      </c>
    </row>
    <row r="1919" spans="1:5" x14ac:dyDescent="0.2">
      <c r="A1919" t="s">
        <v>5735</v>
      </c>
      <c r="B1919" t="s">
        <v>5736</v>
      </c>
      <c r="C1919" t="s">
        <v>5736</v>
      </c>
      <c r="D1919" t="str">
        <f>HYPERLINK("https://zfin.org/ZDB-GENE-160114-48")</f>
        <v>https://zfin.org/ZDB-GENE-160114-48</v>
      </c>
      <c r="E1919" t="s">
        <v>5737</v>
      </c>
    </row>
    <row r="1920" spans="1:5" x14ac:dyDescent="0.2">
      <c r="A1920" t="s">
        <v>5738</v>
      </c>
      <c r="B1920" t="s">
        <v>5739</v>
      </c>
      <c r="C1920" t="s">
        <v>5739</v>
      </c>
      <c r="D1920" t="str">
        <f>HYPERLINK("https://zfin.org/ZDB-GENE-060526-62")</f>
        <v>https://zfin.org/ZDB-GENE-060526-62</v>
      </c>
      <c r="E1920" t="s">
        <v>5740</v>
      </c>
    </row>
    <row r="1921" spans="1:5" x14ac:dyDescent="0.2">
      <c r="A1921" t="s">
        <v>5741</v>
      </c>
      <c r="B1921" t="s">
        <v>5742</v>
      </c>
      <c r="C1921" t="s">
        <v>5742</v>
      </c>
      <c r="D1921" t="str">
        <f>HYPERLINK("https://zfin.org/ZDB-GENE-060810-147")</f>
        <v>https://zfin.org/ZDB-GENE-060810-147</v>
      </c>
      <c r="E1921" t="s">
        <v>5743</v>
      </c>
    </row>
    <row r="1922" spans="1:5" x14ac:dyDescent="0.2">
      <c r="A1922" t="s">
        <v>5744</v>
      </c>
      <c r="B1922" t="s">
        <v>5745</v>
      </c>
      <c r="C1922" t="s">
        <v>5745</v>
      </c>
      <c r="D1922" t="str">
        <f>HYPERLINK("https://zfin.org/ZDB-GENE-031107-3")</f>
        <v>https://zfin.org/ZDB-GENE-031107-3</v>
      </c>
      <c r="E1922" t="s">
        <v>5746</v>
      </c>
    </row>
    <row r="1923" spans="1:5" x14ac:dyDescent="0.2">
      <c r="A1923" t="s">
        <v>5747</v>
      </c>
      <c r="B1923" t="s">
        <v>5748</v>
      </c>
      <c r="C1923" t="s">
        <v>5748</v>
      </c>
      <c r="D1923" t="str">
        <f>HYPERLINK("https://zfin.org/ZDB-GENE-040426-1289")</f>
        <v>https://zfin.org/ZDB-GENE-040426-1289</v>
      </c>
      <c r="E1923" t="s">
        <v>5749</v>
      </c>
    </row>
    <row r="1924" spans="1:5" x14ac:dyDescent="0.2">
      <c r="A1924" t="s">
        <v>5750</v>
      </c>
      <c r="B1924" t="s">
        <v>5751</v>
      </c>
      <c r="C1924" t="s">
        <v>5751</v>
      </c>
      <c r="D1924" t="str">
        <f>HYPERLINK("https://zfin.org/ZDB-GENE-030131-5044")</f>
        <v>https://zfin.org/ZDB-GENE-030131-5044</v>
      </c>
      <c r="E1924" t="s">
        <v>5752</v>
      </c>
    </row>
    <row r="1925" spans="1:5" x14ac:dyDescent="0.2">
      <c r="A1925" t="s">
        <v>5753</v>
      </c>
      <c r="B1925" t="s">
        <v>5754</v>
      </c>
      <c r="C1925" t="s">
        <v>5754</v>
      </c>
      <c r="D1925" t="str">
        <f>HYPERLINK("https://zfin.org/ZDB-GENE-141216-158")</f>
        <v>https://zfin.org/ZDB-GENE-141216-158</v>
      </c>
      <c r="E1925" t="s">
        <v>5755</v>
      </c>
    </row>
    <row r="1926" spans="1:5" x14ac:dyDescent="0.2">
      <c r="A1926" t="s">
        <v>5756</v>
      </c>
      <c r="B1926" t="s">
        <v>5757</v>
      </c>
      <c r="C1926" t="s">
        <v>5757</v>
      </c>
      <c r="D1926" t="str">
        <f>HYPERLINK("https://zfin.org/ZDB-GENE-000406-10")</f>
        <v>https://zfin.org/ZDB-GENE-000406-10</v>
      </c>
      <c r="E1926" t="s">
        <v>5758</v>
      </c>
    </row>
    <row r="1927" spans="1:5" x14ac:dyDescent="0.2">
      <c r="A1927" t="s">
        <v>5759</v>
      </c>
      <c r="B1927" t="s">
        <v>5760</v>
      </c>
      <c r="C1927" t="s">
        <v>5760</v>
      </c>
      <c r="D1927" t="str">
        <f>HYPERLINK("https://zfin.org/ZDB-GENE-050407-2")</f>
        <v>https://zfin.org/ZDB-GENE-050407-2</v>
      </c>
      <c r="E1927" t="s">
        <v>5761</v>
      </c>
    </row>
    <row r="1928" spans="1:5" x14ac:dyDescent="0.2">
      <c r="A1928" t="s">
        <v>5762</v>
      </c>
      <c r="B1928" t="s">
        <v>5763</v>
      </c>
      <c r="C1928" t="s">
        <v>5763</v>
      </c>
      <c r="D1928" t="str">
        <f>HYPERLINK("https://zfin.org/ZDB-GENE-060526-374")</f>
        <v>https://zfin.org/ZDB-GENE-060526-374</v>
      </c>
      <c r="E1928" t="s">
        <v>5764</v>
      </c>
    </row>
    <row r="1929" spans="1:5" x14ac:dyDescent="0.2">
      <c r="A1929" t="s">
        <v>5765</v>
      </c>
      <c r="B1929" t="s">
        <v>5766</v>
      </c>
      <c r="C1929" t="s">
        <v>5766</v>
      </c>
      <c r="D1929" t="str">
        <f>HYPERLINK("https://zfin.org/ZDB-GENE-091116-14")</f>
        <v>https://zfin.org/ZDB-GENE-091116-14</v>
      </c>
      <c r="E1929" t="s">
        <v>5767</v>
      </c>
    </row>
    <row r="1930" spans="1:5" x14ac:dyDescent="0.2">
      <c r="A1930" t="s">
        <v>5768</v>
      </c>
      <c r="B1930" t="s">
        <v>5769</v>
      </c>
      <c r="C1930" t="s">
        <v>5769</v>
      </c>
      <c r="D1930" t="str">
        <f>HYPERLINK("https://zfin.org/ZDB-GENE-060421-6122")</f>
        <v>https://zfin.org/ZDB-GENE-060421-6122</v>
      </c>
      <c r="E1930" t="s">
        <v>5770</v>
      </c>
    </row>
    <row r="1931" spans="1:5" x14ac:dyDescent="0.2">
      <c r="A1931" t="s">
        <v>5771</v>
      </c>
      <c r="B1931" t="s">
        <v>5772</v>
      </c>
      <c r="C1931" t="s">
        <v>5772</v>
      </c>
      <c r="D1931" t="str">
        <f>HYPERLINK("https://zfin.org/ZDB-GENE-030131-179")</f>
        <v>https://zfin.org/ZDB-GENE-030131-179</v>
      </c>
      <c r="E1931" t="s">
        <v>5773</v>
      </c>
    </row>
    <row r="1932" spans="1:5" x14ac:dyDescent="0.2">
      <c r="A1932" t="s">
        <v>5774</v>
      </c>
      <c r="B1932" t="s">
        <v>5775</v>
      </c>
      <c r="C1932" t="s">
        <v>5775</v>
      </c>
      <c r="D1932" t="str">
        <f>HYPERLINK("https://zfin.org/ZDB-GENE-050417-441")</f>
        <v>https://zfin.org/ZDB-GENE-050417-441</v>
      </c>
      <c r="E1932" t="s">
        <v>5776</v>
      </c>
    </row>
    <row r="1933" spans="1:5" x14ac:dyDescent="0.2">
      <c r="A1933" t="s">
        <v>5777</v>
      </c>
      <c r="B1933" t="s">
        <v>5778</v>
      </c>
      <c r="C1933" t="s">
        <v>5778</v>
      </c>
      <c r="D1933" t="str">
        <f>HYPERLINK("https://zfin.org/ZDB-GENE-040426-2183")</f>
        <v>https://zfin.org/ZDB-GENE-040426-2183</v>
      </c>
      <c r="E1933" t="s">
        <v>5779</v>
      </c>
    </row>
    <row r="1934" spans="1:5" x14ac:dyDescent="0.2">
      <c r="A1934" t="s">
        <v>5780</v>
      </c>
      <c r="B1934" t="s">
        <v>5781</v>
      </c>
      <c r="C1934" t="s">
        <v>5781</v>
      </c>
      <c r="D1934" t="str">
        <f>HYPERLINK("https://zfin.org/ZDB-GENE-070424-102")</f>
        <v>https://zfin.org/ZDB-GENE-070424-102</v>
      </c>
      <c r="E1934" t="s">
        <v>5782</v>
      </c>
    </row>
    <row r="1935" spans="1:5" x14ac:dyDescent="0.2">
      <c r="A1935" t="s">
        <v>5783</v>
      </c>
      <c r="B1935" t="s">
        <v>5784</v>
      </c>
      <c r="C1935" t="s">
        <v>5784</v>
      </c>
      <c r="D1935" t="str">
        <f>HYPERLINK("https://zfin.org/ZDB-GENE-030219-98")</f>
        <v>https://zfin.org/ZDB-GENE-030219-98</v>
      </c>
      <c r="E1935" t="s">
        <v>5785</v>
      </c>
    </row>
    <row r="1936" spans="1:5" x14ac:dyDescent="0.2">
      <c r="A1936" t="s">
        <v>5786</v>
      </c>
      <c r="B1936" t="s">
        <v>5787</v>
      </c>
      <c r="C1936" t="s">
        <v>5787</v>
      </c>
      <c r="D1936" t="str">
        <f>HYPERLINK("https://zfin.org/")</f>
        <v>https://zfin.org/</v>
      </c>
      <c r="E1936" t="s">
        <v>5788</v>
      </c>
    </row>
    <row r="1937" spans="1:5" x14ac:dyDescent="0.2">
      <c r="A1937" t="s">
        <v>5789</v>
      </c>
      <c r="B1937" t="s">
        <v>5790</v>
      </c>
      <c r="C1937" t="s">
        <v>5790</v>
      </c>
      <c r="D1937" t="str">
        <f>HYPERLINK("https://zfin.org/ZDB-GENE-030131-3157")</f>
        <v>https://zfin.org/ZDB-GENE-030131-3157</v>
      </c>
      <c r="E1937" t="s">
        <v>5791</v>
      </c>
    </row>
    <row r="1938" spans="1:5" x14ac:dyDescent="0.2">
      <c r="A1938" t="s">
        <v>5792</v>
      </c>
      <c r="B1938" t="s">
        <v>5793</v>
      </c>
      <c r="C1938" t="s">
        <v>5793</v>
      </c>
      <c r="D1938" t="str">
        <f>HYPERLINK("https://zfin.org/ZDB-GENE-040109-7")</f>
        <v>https://zfin.org/ZDB-GENE-040109-7</v>
      </c>
      <c r="E1938" t="s">
        <v>5794</v>
      </c>
    </row>
    <row r="1939" spans="1:5" x14ac:dyDescent="0.2">
      <c r="A1939" t="s">
        <v>5795</v>
      </c>
      <c r="B1939" t="s">
        <v>5796</v>
      </c>
      <c r="C1939" t="s">
        <v>5796</v>
      </c>
      <c r="D1939" t="str">
        <f>HYPERLINK("https://zfin.org/ZDB-GENE-040912-59")</f>
        <v>https://zfin.org/ZDB-GENE-040912-59</v>
      </c>
      <c r="E1939" t="s">
        <v>5797</v>
      </c>
    </row>
    <row r="1940" spans="1:5" x14ac:dyDescent="0.2">
      <c r="A1940" t="s">
        <v>5798</v>
      </c>
      <c r="B1940" t="s">
        <v>5799</v>
      </c>
      <c r="C1940" t="s">
        <v>5799</v>
      </c>
      <c r="D1940" t="str">
        <f>HYPERLINK("https://zfin.org/ZDB-GENE-010426-3")</f>
        <v>https://zfin.org/ZDB-GENE-010426-3</v>
      </c>
      <c r="E1940" t="s">
        <v>5800</v>
      </c>
    </row>
    <row r="1941" spans="1:5" x14ac:dyDescent="0.2">
      <c r="A1941" t="s">
        <v>5801</v>
      </c>
      <c r="B1941" t="s">
        <v>5802</v>
      </c>
      <c r="C1941" t="s">
        <v>5802</v>
      </c>
      <c r="D1941" t="str">
        <f>HYPERLINK("https://zfin.org/ZDB-GENE-030131-2523")</f>
        <v>https://zfin.org/ZDB-GENE-030131-2523</v>
      </c>
      <c r="E1941" t="s">
        <v>5803</v>
      </c>
    </row>
    <row r="1942" spans="1:5" x14ac:dyDescent="0.2">
      <c r="A1942" t="s">
        <v>5804</v>
      </c>
      <c r="B1942" t="s">
        <v>5805</v>
      </c>
      <c r="C1942" t="s">
        <v>5805</v>
      </c>
      <c r="D1942" t="str">
        <f>HYPERLINK("https://zfin.org/ZDB-GENE-060616-210")</f>
        <v>https://zfin.org/ZDB-GENE-060616-210</v>
      </c>
      <c r="E1942" t="s">
        <v>5806</v>
      </c>
    </row>
    <row r="1943" spans="1:5" x14ac:dyDescent="0.2">
      <c r="A1943" t="s">
        <v>5807</v>
      </c>
      <c r="B1943" t="s">
        <v>5808</v>
      </c>
      <c r="C1943" t="s">
        <v>5808</v>
      </c>
      <c r="D1943" t="str">
        <f>HYPERLINK("https://zfin.org/ZDB-GENE-070928-24")</f>
        <v>https://zfin.org/ZDB-GENE-070928-24</v>
      </c>
      <c r="E1943" t="s">
        <v>5809</v>
      </c>
    </row>
    <row r="1944" spans="1:5" x14ac:dyDescent="0.2">
      <c r="A1944" t="s">
        <v>5810</v>
      </c>
      <c r="B1944" t="s">
        <v>5811</v>
      </c>
      <c r="C1944" t="s">
        <v>5811</v>
      </c>
      <c r="D1944" t="str">
        <f>HYPERLINK("https://zfin.org/ZDB-GENE-131127-383")</f>
        <v>https://zfin.org/ZDB-GENE-131127-383</v>
      </c>
      <c r="E1944" t="s">
        <v>5812</v>
      </c>
    </row>
    <row r="1945" spans="1:5" x14ac:dyDescent="0.2">
      <c r="A1945" t="s">
        <v>5813</v>
      </c>
      <c r="B1945" t="s">
        <v>5814</v>
      </c>
      <c r="C1945" t="s">
        <v>5814</v>
      </c>
      <c r="D1945" t="str">
        <f>HYPERLINK("https://zfin.org/ZDB-GENE-040426-1166")</f>
        <v>https://zfin.org/ZDB-GENE-040426-1166</v>
      </c>
      <c r="E1945" t="s">
        <v>5815</v>
      </c>
    </row>
    <row r="1946" spans="1:5" x14ac:dyDescent="0.2">
      <c r="A1946" t="s">
        <v>5816</v>
      </c>
      <c r="B1946" t="s">
        <v>5817</v>
      </c>
      <c r="C1946" t="s">
        <v>5817</v>
      </c>
      <c r="D1946" t="str">
        <f>HYPERLINK("https://zfin.org/ZDB-GENE-091006-4")</f>
        <v>https://zfin.org/ZDB-GENE-091006-4</v>
      </c>
      <c r="E1946" t="s">
        <v>5818</v>
      </c>
    </row>
    <row r="1947" spans="1:5" x14ac:dyDescent="0.2">
      <c r="A1947" t="s">
        <v>5819</v>
      </c>
      <c r="B1947" t="s">
        <v>5820</v>
      </c>
      <c r="C1947" t="s">
        <v>5820</v>
      </c>
      <c r="D1947" t="str">
        <f>HYPERLINK("https://zfin.org/ZDB-GENE-990603-7")</f>
        <v>https://zfin.org/ZDB-GENE-990603-7</v>
      </c>
      <c r="E1947" t="s">
        <v>5821</v>
      </c>
    </row>
    <row r="1948" spans="1:5" x14ac:dyDescent="0.2">
      <c r="A1948" t="s">
        <v>5822</v>
      </c>
      <c r="B1948" t="s">
        <v>5823</v>
      </c>
      <c r="C1948" t="s">
        <v>5823</v>
      </c>
      <c r="D1948" t="str">
        <f>HYPERLINK("https://zfin.org/ZDB-GENE-111102-1")</f>
        <v>https://zfin.org/ZDB-GENE-111102-1</v>
      </c>
      <c r="E1948" t="s">
        <v>5824</v>
      </c>
    </row>
    <row r="1949" spans="1:5" x14ac:dyDescent="0.2">
      <c r="A1949" t="s">
        <v>5825</v>
      </c>
      <c r="B1949" t="s">
        <v>5826</v>
      </c>
      <c r="C1949" t="s">
        <v>5826</v>
      </c>
      <c r="D1949" t="str">
        <f>HYPERLINK("https://zfin.org/ZDB-GENE-141216-477")</f>
        <v>https://zfin.org/ZDB-GENE-141216-477</v>
      </c>
      <c r="E1949" t="s">
        <v>5827</v>
      </c>
    </row>
    <row r="1950" spans="1:5" x14ac:dyDescent="0.2">
      <c r="A1950" t="s">
        <v>5828</v>
      </c>
      <c r="B1950" t="s">
        <v>5829</v>
      </c>
      <c r="C1950" t="s">
        <v>5829</v>
      </c>
      <c r="D1950" t="str">
        <f>HYPERLINK("https://zfin.org/ZDB-GENE-141219-22")</f>
        <v>https://zfin.org/ZDB-GENE-141219-22</v>
      </c>
      <c r="E1950" t="s">
        <v>5830</v>
      </c>
    </row>
    <row r="1951" spans="1:5" x14ac:dyDescent="0.2">
      <c r="A1951" t="s">
        <v>5831</v>
      </c>
      <c r="B1951" t="s">
        <v>5832</v>
      </c>
      <c r="C1951" t="s">
        <v>5832</v>
      </c>
      <c r="D1951" t="str">
        <f>HYPERLINK("https://zfin.org/ZDB-GENE-081103-64")</f>
        <v>https://zfin.org/ZDB-GENE-081103-64</v>
      </c>
      <c r="E1951" t="s">
        <v>5833</v>
      </c>
    </row>
    <row r="1952" spans="1:5" x14ac:dyDescent="0.2">
      <c r="A1952" t="s">
        <v>5834</v>
      </c>
      <c r="B1952" t="s">
        <v>5835</v>
      </c>
      <c r="C1952" t="s">
        <v>5835</v>
      </c>
      <c r="D1952" t="str">
        <f>HYPERLINK("https://zfin.org/ZDB-GENE-060815-3")</f>
        <v>https://zfin.org/ZDB-GENE-060815-3</v>
      </c>
      <c r="E1952" t="s">
        <v>5836</v>
      </c>
    </row>
    <row r="1953" spans="1:5" x14ac:dyDescent="0.2">
      <c r="A1953" t="s">
        <v>5837</v>
      </c>
      <c r="B1953" t="s">
        <v>5838</v>
      </c>
      <c r="C1953" t="s">
        <v>5838</v>
      </c>
      <c r="D1953" t="str">
        <f>HYPERLINK("https://zfin.org/ZDB-GENE-040808-45")</f>
        <v>https://zfin.org/ZDB-GENE-040808-45</v>
      </c>
      <c r="E1953" t="s">
        <v>5839</v>
      </c>
    </row>
    <row r="1954" spans="1:5" x14ac:dyDescent="0.2">
      <c r="A1954" t="s">
        <v>5840</v>
      </c>
      <c r="B1954" t="s">
        <v>5841</v>
      </c>
      <c r="C1954" t="s">
        <v>5841</v>
      </c>
      <c r="D1954" t="str">
        <f>HYPERLINK("https://zfin.org/ZDB-GENE-110913-27")</f>
        <v>https://zfin.org/ZDB-GENE-110913-27</v>
      </c>
      <c r="E1954" t="s">
        <v>5842</v>
      </c>
    </row>
    <row r="1955" spans="1:5" x14ac:dyDescent="0.2">
      <c r="A1955" t="s">
        <v>5843</v>
      </c>
      <c r="B1955" t="s">
        <v>5844</v>
      </c>
      <c r="C1955" t="s">
        <v>5844</v>
      </c>
      <c r="D1955" t="str">
        <f>HYPERLINK("https://zfin.org/ZDB-GENE-131121-246")</f>
        <v>https://zfin.org/ZDB-GENE-131121-246</v>
      </c>
      <c r="E1955" t="s">
        <v>5845</v>
      </c>
    </row>
    <row r="1956" spans="1:5" x14ac:dyDescent="0.2">
      <c r="A1956" t="s">
        <v>5846</v>
      </c>
      <c r="B1956" t="s">
        <v>5847</v>
      </c>
      <c r="C1956" t="s">
        <v>5847</v>
      </c>
      <c r="D1956" t="str">
        <f>HYPERLINK("https://zfin.org/ZDB-GENE-080327-12")</f>
        <v>https://zfin.org/ZDB-GENE-080327-12</v>
      </c>
      <c r="E1956" t="s">
        <v>5848</v>
      </c>
    </row>
    <row r="1957" spans="1:5" x14ac:dyDescent="0.2">
      <c r="A1957" t="s">
        <v>5849</v>
      </c>
      <c r="B1957" t="s">
        <v>5850</v>
      </c>
      <c r="C1957" t="s">
        <v>5850</v>
      </c>
      <c r="D1957" t="str">
        <f>HYPERLINK("https://zfin.org/ZDB-GENE-070620-6")</f>
        <v>https://zfin.org/ZDB-GENE-070620-6</v>
      </c>
      <c r="E1957" t="s">
        <v>5851</v>
      </c>
    </row>
    <row r="1958" spans="1:5" x14ac:dyDescent="0.2">
      <c r="A1958" t="s">
        <v>5852</v>
      </c>
      <c r="B1958" t="s">
        <v>5853</v>
      </c>
      <c r="C1958" t="s">
        <v>5853</v>
      </c>
      <c r="D1958" t="str">
        <f>HYPERLINK("https://zfin.org/ZDB-GENE-030131-2513")</f>
        <v>https://zfin.org/ZDB-GENE-030131-2513</v>
      </c>
      <c r="E1958" t="s">
        <v>5854</v>
      </c>
    </row>
    <row r="1959" spans="1:5" x14ac:dyDescent="0.2">
      <c r="A1959" t="s">
        <v>5855</v>
      </c>
      <c r="B1959" t="s">
        <v>5856</v>
      </c>
      <c r="C1959" t="s">
        <v>5856</v>
      </c>
      <c r="D1959" t="str">
        <f>HYPERLINK("https://zfin.org/ZDB-GENE-040426-2720")</f>
        <v>https://zfin.org/ZDB-GENE-040426-2720</v>
      </c>
      <c r="E1959" t="s">
        <v>5857</v>
      </c>
    </row>
    <row r="1960" spans="1:5" x14ac:dyDescent="0.2">
      <c r="A1960" t="s">
        <v>5858</v>
      </c>
      <c r="B1960" t="s">
        <v>5859</v>
      </c>
      <c r="C1960" t="s">
        <v>5859</v>
      </c>
      <c r="D1960" t="str">
        <f>HYPERLINK("https://zfin.org/ZDB-GENE-050417-161")</f>
        <v>https://zfin.org/ZDB-GENE-050417-161</v>
      </c>
      <c r="E1960" t="s">
        <v>5860</v>
      </c>
    </row>
    <row r="1961" spans="1:5" x14ac:dyDescent="0.2">
      <c r="A1961" t="s">
        <v>5861</v>
      </c>
      <c r="B1961" t="s">
        <v>5862</v>
      </c>
      <c r="C1961" t="s">
        <v>5862</v>
      </c>
      <c r="D1961" t="str">
        <f>HYPERLINK("https://zfin.org/ZDB-GENE-081103-26")</f>
        <v>https://zfin.org/ZDB-GENE-081103-26</v>
      </c>
      <c r="E1961" t="s">
        <v>5863</v>
      </c>
    </row>
    <row r="1962" spans="1:5" x14ac:dyDescent="0.2">
      <c r="A1962" t="s">
        <v>5864</v>
      </c>
      <c r="B1962" t="s">
        <v>5865</v>
      </c>
      <c r="C1962" t="s">
        <v>5865</v>
      </c>
      <c r="D1962" t="str">
        <f>HYPERLINK("https://zfin.org/ZDB-GENE-060810-64")</f>
        <v>https://zfin.org/ZDB-GENE-060810-64</v>
      </c>
      <c r="E1962" t="s">
        <v>5866</v>
      </c>
    </row>
    <row r="1963" spans="1:5" x14ac:dyDescent="0.2">
      <c r="A1963" t="s">
        <v>5867</v>
      </c>
      <c r="B1963" t="s">
        <v>5868</v>
      </c>
      <c r="C1963" t="s">
        <v>5868</v>
      </c>
      <c r="D1963" t="str">
        <f>HYPERLINK("https://zfin.org/ZDB-GENE-070209-271")</f>
        <v>https://zfin.org/ZDB-GENE-070209-271</v>
      </c>
      <c r="E1963" t="s">
        <v>5869</v>
      </c>
    </row>
    <row r="1964" spans="1:5" x14ac:dyDescent="0.2">
      <c r="A1964" t="s">
        <v>5870</v>
      </c>
      <c r="B1964" t="s">
        <v>5871</v>
      </c>
      <c r="C1964" t="s">
        <v>5871</v>
      </c>
      <c r="D1964" t="str">
        <f>HYPERLINK("https://zfin.org/ZDB-GENE-050306-53")</f>
        <v>https://zfin.org/ZDB-GENE-050306-53</v>
      </c>
      <c r="E1964" t="s">
        <v>5872</v>
      </c>
    </row>
    <row r="1965" spans="1:5" x14ac:dyDescent="0.2">
      <c r="A1965" t="s">
        <v>5873</v>
      </c>
      <c r="B1965" t="s">
        <v>5874</v>
      </c>
      <c r="C1965" t="s">
        <v>5874</v>
      </c>
      <c r="D1965" t="str">
        <f>HYPERLINK("https://zfin.org/ZDB-GENE-071004-68")</f>
        <v>https://zfin.org/ZDB-GENE-071004-68</v>
      </c>
      <c r="E1965" t="s">
        <v>5875</v>
      </c>
    </row>
    <row r="1966" spans="1:5" x14ac:dyDescent="0.2">
      <c r="A1966" t="s">
        <v>5876</v>
      </c>
      <c r="B1966" t="s">
        <v>5877</v>
      </c>
      <c r="C1966" t="s">
        <v>5877</v>
      </c>
      <c r="D1966" t="str">
        <f>HYPERLINK("https://zfin.org/ZDB-GENE-071203-2")</f>
        <v>https://zfin.org/ZDB-GENE-071203-2</v>
      </c>
      <c r="E1966" t="s">
        <v>5878</v>
      </c>
    </row>
    <row r="1967" spans="1:5" x14ac:dyDescent="0.2">
      <c r="A1967" t="s">
        <v>5879</v>
      </c>
      <c r="B1967" t="s">
        <v>5880</v>
      </c>
      <c r="C1967" t="s">
        <v>5880</v>
      </c>
      <c r="D1967" t="str">
        <f>HYPERLINK("https://zfin.org/ZDB-GENE-070122-1")</f>
        <v>https://zfin.org/ZDB-GENE-070122-1</v>
      </c>
      <c r="E1967" t="s">
        <v>5881</v>
      </c>
    </row>
    <row r="1968" spans="1:5" x14ac:dyDescent="0.2">
      <c r="A1968" t="s">
        <v>5882</v>
      </c>
      <c r="B1968" t="s">
        <v>5883</v>
      </c>
      <c r="C1968" t="s">
        <v>5883</v>
      </c>
      <c r="D1968" t="str">
        <f>HYPERLINK("https://zfin.org/ZDB-GENE-070927-10")</f>
        <v>https://zfin.org/ZDB-GENE-070927-10</v>
      </c>
      <c r="E1968" t="s">
        <v>5884</v>
      </c>
    </row>
    <row r="1969" spans="1:5" x14ac:dyDescent="0.2">
      <c r="A1969" t="s">
        <v>5885</v>
      </c>
      <c r="B1969" t="s">
        <v>5886</v>
      </c>
      <c r="C1969" t="s">
        <v>5886</v>
      </c>
      <c r="D1969" t="str">
        <f>HYPERLINK("https://zfin.org/ZDB-GENE-031002-2")</f>
        <v>https://zfin.org/ZDB-GENE-031002-2</v>
      </c>
      <c r="E1969" t="s">
        <v>5887</v>
      </c>
    </row>
    <row r="1970" spans="1:5" x14ac:dyDescent="0.2">
      <c r="A1970" t="s">
        <v>5888</v>
      </c>
      <c r="B1970" t="s">
        <v>5889</v>
      </c>
      <c r="C1970" t="s">
        <v>5889</v>
      </c>
      <c r="D1970" t="str">
        <f>HYPERLINK("https://zfin.org/ZDB-GENE-070410-137")</f>
        <v>https://zfin.org/ZDB-GENE-070410-137</v>
      </c>
      <c r="E1970" t="s">
        <v>5890</v>
      </c>
    </row>
    <row r="1971" spans="1:5" x14ac:dyDescent="0.2">
      <c r="A1971" t="s">
        <v>5891</v>
      </c>
      <c r="B1971" t="s">
        <v>5892</v>
      </c>
      <c r="C1971" t="s">
        <v>5892</v>
      </c>
      <c r="D1971" t="str">
        <f>HYPERLINK("https://zfin.org/ZDB-GENE-070705-190")</f>
        <v>https://zfin.org/ZDB-GENE-070705-190</v>
      </c>
      <c r="E1971" t="s">
        <v>5893</v>
      </c>
    </row>
    <row r="1972" spans="1:5" x14ac:dyDescent="0.2">
      <c r="A1972" t="s">
        <v>5894</v>
      </c>
      <c r="B1972" t="s">
        <v>5895</v>
      </c>
      <c r="C1972" t="s">
        <v>5895</v>
      </c>
      <c r="D1972" t="str">
        <f>HYPERLINK("https://zfin.org/ZDB-GENE-030131-3670")</f>
        <v>https://zfin.org/ZDB-GENE-030131-3670</v>
      </c>
      <c r="E1972" t="s">
        <v>5896</v>
      </c>
    </row>
    <row r="1973" spans="1:5" x14ac:dyDescent="0.2">
      <c r="A1973" t="s">
        <v>5897</v>
      </c>
      <c r="B1973" t="s">
        <v>5898</v>
      </c>
      <c r="C1973" t="s">
        <v>5898</v>
      </c>
      <c r="D1973" t="str">
        <f>HYPERLINK("https://zfin.org/ZDB-GENE-050311-1")</f>
        <v>https://zfin.org/ZDB-GENE-050311-1</v>
      </c>
      <c r="E1973" t="s">
        <v>5899</v>
      </c>
    </row>
    <row r="1974" spans="1:5" x14ac:dyDescent="0.2">
      <c r="A1974" t="s">
        <v>5900</v>
      </c>
      <c r="B1974" t="s">
        <v>5901</v>
      </c>
      <c r="C1974" t="s">
        <v>5901</v>
      </c>
      <c r="D1974" t="str">
        <f>HYPERLINK("https://zfin.org/ZDB-GENE-061207-48")</f>
        <v>https://zfin.org/ZDB-GENE-061207-48</v>
      </c>
      <c r="E1974" t="s">
        <v>5902</v>
      </c>
    </row>
    <row r="1975" spans="1:5" x14ac:dyDescent="0.2">
      <c r="A1975" t="s">
        <v>5903</v>
      </c>
      <c r="B1975" t="s">
        <v>5904</v>
      </c>
      <c r="C1975" t="s">
        <v>5904</v>
      </c>
      <c r="D1975" t="str">
        <f>HYPERLINK("https://zfin.org/ZDB-GENE-141216-414")</f>
        <v>https://zfin.org/ZDB-GENE-141216-414</v>
      </c>
      <c r="E1975" t="s">
        <v>5905</v>
      </c>
    </row>
    <row r="1976" spans="1:5" x14ac:dyDescent="0.2">
      <c r="A1976" t="s">
        <v>5906</v>
      </c>
      <c r="B1976" t="s">
        <v>5907</v>
      </c>
      <c r="C1976" t="s">
        <v>5907</v>
      </c>
      <c r="D1976" t="str">
        <f>HYPERLINK("https://zfin.org/ZDB-GENE-120411-25")</f>
        <v>https://zfin.org/ZDB-GENE-120411-25</v>
      </c>
      <c r="E1976" t="s">
        <v>5908</v>
      </c>
    </row>
    <row r="1977" spans="1:5" x14ac:dyDescent="0.2">
      <c r="A1977" t="s">
        <v>5909</v>
      </c>
      <c r="B1977" t="s">
        <v>5910</v>
      </c>
      <c r="C1977" t="s">
        <v>5910</v>
      </c>
      <c r="D1977" t="str">
        <f>HYPERLINK("https://zfin.org/ZDB-GENE-030131-2853")</f>
        <v>https://zfin.org/ZDB-GENE-030131-2853</v>
      </c>
      <c r="E1977" t="s">
        <v>5911</v>
      </c>
    </row>
    <row r="1978" spans="1:5" x14ac:dyDescent="0.2">
      <c r="A1978" t="s">
        <v>5912</v>
      </c>
      <c r="B1978" t="s">
        <v>5913</v>
      </c>
      <c r="C1978" t="s">
        <v>5913</v>
      </c>
      <c r="D1978" t="str">
        <f>HYPERLINK("https://zfin.org/ZDB-GENE-030616-357")</f>
        <v>https://zfin.org/ZDB-GENE-030616-357</v>
      </c>
      <c r="E1978" t="s">
        <v>5914</v>
      </c>
    </row>
    <row r="1979" spans="1:5" x14ac:dyDescent="0.2">
      <c r="A1979" t="s">
        <v>5915</v>
      </c>
      <c r="B1979" t="s">
        <v>5916</v>
      </c>
      <c r="C1979" t="s">
        <v>5916</v>
      </c>
      <c r="D1979" t="str">
        <f>HYPERLINK("https://zfin.org/ZDB-GENE-050309-147")</f>
        <v>https://zfin.org/ZDB-GENE-050309-147</v>
      </c>
      <c r="E1979" t="s">
        <v>5917</v>
      </c>
    </row>
    <row r="1980" spans="1:5" x14ac:dyDescent="0.2">
      <c r="A1980" t="s">
        <v>5918</v>
      </c>
      <c r="B1980" t="s">
        <v>5919</v>
      </c>
      <c r="C1980" t="s">
        <v>5919</v>
      </c>
      <c r="D1980" t="str">
        <f>HYPERLINK("https://zfin.org/ZDB-GENE-100920-9")</f>
        <v>https://zfin.org/ZDB-GENE-100920-9</v>
      </c>
      <c r="E1980" t="s">
        <v>5920</v>
      </c>
    </row>
    <row r="1981" spans="1:5" x14ac:dyDescent="0.2">
      <c r="A1981" t="s">
        <v>5921</v>
      </c>
      <c r="B1981" t="s">
        <v>5922</v>
      </c>
      <c r="C1981" t="s">
        <v>5922</v>
      </c>
      <c r="D1981" t="str">
        <f>HYPERLINK("https://zfin.org/ZDB-GENE-030131-9416")</f>
        <v>https://zfin.org/ZDB-GENE-030131-9416</v>
      </c>
      <c r="E1981" t="s">
        <v>5923</v>
      </c>
    </row>
    <row r="1982" spans="1:5" x14ac:dyDescent="0.2">
      <c r="A1982" t="s">
        <v>5924</v>
      </c>
      <c r="B1982" t="s">
        <v>5925</v>
      </c>
      <c r="C1982" t="s">
        <v>5925</v>
      </c>
      <c r="D1982" t="str">
        <f>HYPERLINK("https://zfin.org/ZDB-GENE-060825-259")</f>
        <v>https://zfin.org/ZDB-GENE-060825-259</v>
      </c>
      <c r="E1982" t="s">
        <v>5926</v>
      </c>
    </row>
    <row r="1983" spans="1:5" x14ac:dyDescent="0.2">
      <c r="A1983" t="s">
        <v>5927</v>
      </c>
      <c r="B1983" t="s">
        <v>5928</v>
      </c>
      <c r="C1983" t="s">
        <v>5928</v>
      </c>
      <c r="D1983" t="str">
        <f>HYPERLINK("https://zfin.org/ZDB-GENE-050417-145")</f>
        <v>https://zfin.org/ZDB-GENE-050417-145</v>
      </c>
      <c r="E1983" t="s">
        <v>5929</v>
      </c>
    </row>
    <row r="1984" spans="1:5" x14ac:dyDescent="0.2">
      <c r="A1984" t="s">
        <v>5930</v>
      </c>
      <c r="B1984" t="s">
        <v>5931</v>
      </c>
      <c r="C1984" t="s">
        <v>5931</v>
      </c>
      <c r="D1984" t="str">
        <f>HYPERLINK("https://zfin.org/ZDB-GENE-060526-81")</f>
        <v>https://zfin.org/ZDB-GENE-060526-81</v>
      </c>
      <c r="E1984" t="s">
        <v>5932</v>
      </c>
    </row>
    <row r="1985" spans="1:5" x14ac:dyDescent="0.2">
      <c r="A1985" t="s">
        <v>5933</v>
      </c>
      <c r="B1985" t="s">
        <v>5934</v>
      </c>
      <c r="C1985" t="s">
        <v>5934</v>
      </c>
      <c r="D1985" t="str">
        <f>HYPERLINK("https://zfin.org/ZDB-GENE-061207-9")</f>
        <v>https://zfin.org/ZDB-GENE-061207-9</v>
      </c>
      <c r="E1985" t="s">
        <v>5935</v>
      </c>
    </row>
    <row r="1986" spans="1:5" x14ac:dyDescent="0.2">
      <c r="A1986" t="s">
        <v>5936</v>
      </c>
      <c r="B1986" t="s">
        <v>5937</v>
      </c>
      <c r="C1986" t="s">
        <v>5937</v>
      </c>
      <c r="D1986" t="str">
        <f>HYPERLINK("https://zfin.org/ZDB-GENE-111123-3")</f>
        <v>https://zfin.org/ZDB-GENE-111123-3</v>
      </c>
      <c r="E1986" t="s">
        <v>5938</v>
      </c>
    </row>
    <row r="1987" spans="1:5" x14ac:dyDescent="0.2">
      <c r="A1987" t="s">
        <v>5939</v>
      </c>
      <c r="B1987" t="s">
        <v>5940</v>
      </c>
      <c r="C1987" t="s">
        <v>5940</v>
      </c>
      <c r="D1987" t="str">
        <f>HYPERLINK("https://zfin.org/ZDB-GENE-070713-2")</f>
        <v>https://zfin.org/ZDB-GENE-070713-2</v>
      </c>
      <c r="E1987" t="s">
        <v>5941</v>
      </c>
    </row>
    <row r="1988" spans="1:5" x14ac:dyDescent="0.2">
      <c r="A1988" t="s">
        <v>5942</v>
      </c>
      <c r="B1988" t="s">
        <v>5943</v>
      </c>
      <c r="C1988" t="s">
        <v>5943</v>
      </c>
      <c r="D1988" t="str">
        <f>HYPERLINK("https://zfin.org/ZDB-GENE-030131-8755")</f>
        <v>https://zfin.org/ZDB-GENE-030131-8755</v>
      </c>
      <c r="E1988" t="s">
        <v>5944</v>
      </c>
    </row>
    <row r="1989" spans="1:5" x14ac:dyDescent="0.2">
      <c r="A1989" t="s">
        <v>5945</v>
      </c>
      <c r="B1989" t="s">
        <v>5946</v>
      </c>
      <c r="C1989" t="s">
        <v>5946</v>
      </c>
      <c r="D1989" t="str">
        <f>HYPERLINK("https://zfin.org/ZDB-GENE-030131-4482")</f>
        <v>https://zfin.org/ZDB-GENE-030131-4482</v>
      </c>
      <c r="E1989" t="s">
        <v>5947</v>
      </c>
    </row>
    <row r="1990" spans="1:5" x14ac:dyDescent="0.2">
      <c r="A1990" t="s">
        <v>5948</v>
      </c>
      <c r="B1990" t="s">
        <v>5949</v>
      </c>
      <c r="C1990" t="s">
        <v>5949</v>
      </c>
      <c r="D1990" t="str">
        <f>HYPERLINK("https://zfin.org/ZDB-GENE-030131-2193")</f>
        <v>https://zfin.org/ZDB-GENE-030131-2193</v>
      </c>
      <c r="E1990" t="s">
        <v>5950</v>
      </c>
    </row>
    <row r="1991" spans="1:5" x14ac:dyDescent="0.2">
      <c r="A1991" t="s">
        <v>5951</v>
      </c>
      <c r="B1991" t="s">
        <v>5952</v>
      </c>
      <c r="C1991" t="s">
        <v>5952</v>
      </c>
      <c r="D1991" t="str">
        <f>HYPERLINK("https://zfin.org/ZDB-GENE-040426-685")</f>
        <v>https://zfin.org/ZDB-GENE-040426-685</v>
      </c>
      <c r="E1991" t="s">
        <v>5953</v>
      </c>
    </row>
    <row r="1992" spans="1:5" x14ac:dyDescent="0.2">
      <c r="A1992" t="s">
        <v>5954</v>
      </c>
      <c r="B1992" t="s">
        <v>5955</v>
      </c>
      <c r="C1992" t="s">
        <v>5955</v>
      </c>
      <c r="D1992" t="str">
        <f>HYPERLINK("https://zfin.org/ZDB-GENE-030131-3777")</f>
        <v>https://zfin.org/ZDB-GENE-030131-3777</v>
      </c>
      <c r="E1992" t="s">
        <v>5956</v>
      </c>
    </row>
    <row r="1993" spans="1:5" x14ac:dyDescent="0.2">
      <c r="A1993" t="s">
        <v>5957</v>
      </c>
      <c r="B1993" t="s">
        <v>5958</v>
      </c>
      <c r="C1993" t="s">
        <v>5958</v>
      </c>
      <c r="D1993" t="str">
        <f>HYPERLINK("https://zfin.org/ZDB-GENE-070912-453")</f>
        <v>https://zfin.org/ZDB-GENE-070912-453</v>
      </c>
      <c r="E1993" t="s">
        <v>5959</v>
      </c>
    </row>
    <row r="1994" spans="1:5" x14ac:dyDescent="0.2">
      <c r="A1994" t="s">
        <v>5960</v>
      </c>
      <c r="B1994" t="s">
        <v>5961</v>
      </c>
      <c r="C1994" t="s">
        <v>5961</v>
      </c>
      <c r="D1994" t="str">
        <f>HYPERLINK("https://zfin.org/ZDB-GENE-050320-60")</f>
        <v>https://zfin.org/ZDB-GENE-050320-60</v>
      </c>
      <c r="E1994" t="s">
        <v>5962</v>
      </c>
    </row>
    <row r="1995" spans="1:5" x14ac:dyDescent="0.2">
      <c r="A1995" t="s">
        <v>5963</v>
      </c>
      <c r="B1995" t="s">
        <v>5964</v>
      </c>
      <c r="C1995" t="s">
        <v>5964</v>
      </c>
      <c r="D1995" t="str">
        <f>HYPERLINK("https://zfin.org/ZDB-GENE-040426-2397")</f>
        <v>https://zfin.org/ZDB-GENE-040426-2397</v>
      </c>
      <c r="E1995" t="s">
        <v>5965</v>
      </c>
    </row>
    <row r="1996" spans="1:5" x14ac:dyDescent="0.2">
      <c r="A1996" t="s">
        <v>5966</v>
      </c>
      <c r="B1996" t="s">
        <v>5967</v>
      </c>
      <c r="C1996" t="s">
        <v>5967</v>
      </c>
      <c r="D1996" t="str">
        <f>HYPERLINK("https://zfin.org/ZDB-GENE-110914-9")</f>
        <v>https://zfin.org/ZDB-GENE-110914-9</v>
      </c>
      <c r="E1996" t="s">
        <v>5968</v>
      </c>
    </row>
    <row r="1997" spans="1:5" x14ac:dyDescent="0.2">
      <c r="A1997" t="s">
        <v>5969</v>
      </c>
      <c r="B1997" t="s">
        <v>5970</v>
      </c>
      <c r="C1997" t="s">
        <v>5970</v>
      </c>
      <c r="D1997" t="str">
        <f>HYPERLINK("https://zfin.org/ZDB-GENE-070209-217")</f>
        <v>https://zfin.org/ZDB-GENE-070209-217</v>
      </c>
      <c r="E1997" t="s">
        <v>5971</v>
      </c>
    </row>
    <row r="1998" spans="1:5" x14ac:dyDescent="0.2">
      <c r="A1998" t="s">
        <v>5972</v>
      </c>
      <c r="B1998" t="s">
        <v>5973</v>
      </c>
      <c r="C1998" t="s">
        <v>5973</v>
      </c>
      <c r="D1998" t="str">
        <f>HYPERLINK("https://zfin.org/ZDB-GENE-080818-1")</f>
        <v>https://zfin.org/ZDB-GENE-080818-1</v>
      </c>
      <c r="E1998" t="s">
        <v>5974</v>
      </c>
    </row>
    <row r="1999" spans="1:5" x14ac:dyDescent="0.2">
      <c r="A1999" t="s">
        <v>5975</v>
      </c>
      <c r="B1999" t="s">
        <v>5976</v>
      </c>
      <c r="C1999" t="s">
        <v>5976</v>
      </c>
      <c r="D1999" t="str">
        <f>HYPERLINK("https://zfin.org/ZDB-GENE-141216-229")</f>
        <v>https://zfin.org/ZDB-GENE-141216-229</v>
      </c>
      <c r="E1999" t="s">
        <v>5977</v>
      </c>
    </row>
    <row r="2000" spans="1:5" x14ac:dyDescent="0.2">
      <c r="A2000" t="s">
        <v>5978</v>
      </c>
      <c r="B2000" t="s">
        <v>5979</v>
      </c>
      <c r="C2000" t="s">
        <v>5979</v>
      </c>
      <c r="D2000" t="str">
        <f>HYPERLINK("https://zfin.org/ZDB-GENE-031010-24")</f>
        <v>https://zfin.org/ZDB-GENE-031010-24</v>
      </c>
      <c r="E2000" t="s">
        <v>5980</v>
      </c>
    </row>
    <row r="2001" spans="1:5" x14ac:dyDescent="0.2">
      <c r="A2001" t="s">
        <v>5981</v>
      </c>
      <c r="B2001" t="s">
        <v>5982</v>
      </c>
      <c r="C2001" t="s">
        <v>5982</v>
      </c>
      <c r="D2001" t="str">
        <f>HYPERLINK("https://zfin.org/ZDB-GENE-040426-2553")</f>
        <v>https://zfin.org/ZDB-GENE-040426-2553</v>
      </c>
      <c r="E2001" t="s">
        <v>5983</v>
      </c>
    </row>
    <row r="2002" spans="1:5" x14ac:dyDescent="0.2">
      <c r="A2002" t="s">
        <v>5984</v>
      </c>
      <c r="B2002" t="s">
        <v>5985</v>
      </c>
      <c r="C2002" t="s">
        <v>5985</v>
      </c>
      <c r="D2002" t="str">
        <f>HYPERLINK("https://zfin.org/ZDB-GENE-041203-2")</f>
        <v>https://zfin.org/ZDB-GENE-041203-2</v>
      </c>
      <c r="E2002" t="s">
        <v>5986</v>
      </c>
    </row>
    <row r="2003" spans="1:5" x14ac:dyDescent="0.2">
      <c r="A2003" t="s">
        <v>5987</v>
      </c>
      <c r="B2003" t="s">
        <v>5988</v>
      </c>
      <c r="C2003" t="s">
        <v>5989</v>
      </c>
      <c r="D2003" t="str">
        <f>HYPERLINK("https://zfin.org/ZDB-GENE-090312-196")</f>
        <v>https://zfin.org/ZDB-GENE-090312-196</v>
      </c>
      <c r="E2003" t="s">
        <v>5990</v>
      </c>
    </row>
    <row r="2004" spans="1:5" x14ac:dyDescent="0.2">
      <c r="A2004" t="s">
        <v>5991</v>
      </c>
      <c r="B2004" t="s">
        <v>5992</v>
      </c>
      <c r="C2004" t="s">
        <v>5992</v>
      </c>
      <c r="D2004" t="str">
        <f>HYPERLINK("https://zfin.org/ZDB-GENE-040801-8")</f>
        <v>https://zfin.org/ZDB-GENE-040801-8</v>
      </c>
      <c r="E2004" t="s">
        <v>5993</v>
      </c>
    </row>
    <row r="2005" spans="1:5" x14ac:dyDescent="0.2">
      <c r="A2005" t="s">
        <v>5994</v>
      </c>
      <c r="B2005" t="s">
        <v>5995</v>
      </c>
      <c r="C2005" t="s">
        <v>5995</v>
      </c>
      <c r="D2005" t="str">
        <f>HYPERLINK("https://zfin.org/ZDB-GENE-040426-1327")</f>
        <v>https://zfin.org/ZDB-GENE-040426-1327</v>
      </c>
      <c r="E2005" t="s">
        <v>5996</v>
      </c>
    </row>
    <row r="2006" spans="1:5" x14ac:dyDescent="0.2">
      <c r="A2006" t="s">
        <v>5997</v>
      </c>
      <c r="B2006" t="s">
        <v>5998</v>
      </c>
      <c r="C2006" t="s">
        <v>5998</v>
      </c>
      <c r="D2006" t="str">
        <f>HYPERLINK("https://zfin.org/ZDB-GENE-000607-83")</f>
        <v>https://zfin.org/ZDB-GENE-000607-83</v>
      </c>
      <c r="E2006" t="s">
        <v>5999</v>
      </c>
    </row>
    <row r="2007" spans="1:5" x14ac:dyDescent="0.2">
      <c r="A2007" t="s">
        <v>6000</v>
      </c>
      <c r="B2007" t="s">
        <v>6001</v>
      </c>
      <c r="C2007" t="s">
        <v>6001</v>
      </c>
      <c r="D2007" t="str">
        <f>HYPERLINK("https://zfin.org/ZDB-GENE-090417-2")</f>
        <v>https://zfin.org/ZDB-GENE-090417-2</v>
      </c>
      <c r="E2007" t="s">
        <v>6002</v>
      </c>
    </row>
    <row r="2008" spans="1:5" x14ac:dyDescent="0.2">
      <c r="A2008" t="s">
        <v>6003</v>
      </c>
      <c r="B2008" t="s">
        <v>6004</v>
      </c>
      <c r="C2008" t="s">
        <v>6004</v>
      </c>
      <c r="D2008" t="str">
        <f>HYPERLINK("https://zfin.org/ZDB-GENE-050417-437")</f>
        <v>https://zfin.org/ZDB-GENE-050417-437</v>
      </c>
      <c r="E2008" t="s">
        <v>6005</v>
      </c>
    </row>
    <row r="2009" spans="1:5" x14ac:dyDescent="0.2">
      <c r="A2009" t="s">
        <v>6006</v>
      </c>
      <c r="B2009" t="s">
        <v>6007</v>
      </c>
      <c r="C2009" t="s">
        <v>6007</v>
      </c>
      <c r="D2009" t="str">
        <f>HYPERLINK("https://zfin.org/ZDB-GENE-030131-5316")</f>
        <v>https://zfin.org/ZDB-GENE-030131-5316</v>
      </c>
      <c r="E2009" t="s">
        <v>6008</v>
      </c>
    </row>
    <row r="2010" spans="1:5" x14ac:dyDescent="0.2">
      <c r="A2010" t="s">
        <v>6009</v>
      </c>
      <c r="B2010" t="s">
        <v>6010</v>
      </c>
      <c r="C2010" t="s">
        <v>6010</v>
      </c>
      <c r="D2010" t="str">
        <f>HYPERLINK("https://zfin.org/ZDB-GENE-110913-113")</f>
        <v>https://zfin.org/ZDB-GENE-110913-113</v>
      </c>
      <c r="E2010" t="s">
        <v>6011</v>
      </c>
    </row>
    <row r="2011" spans="1:5" x14ac:dyDescent="0.2">
      <c r="A2011" t="s">
        <v>6012</v>
      </c>
      <c r="B2011" t="s">
        <v>6013</v>
      </c>
      <c r="C2011" t="s">
        <v>6013</v>
      </c>
      <c r="D2011" t="str">
        <f>HYPERLINK("https://zfin.org/ZDB-GENE-050522-421")</f>
        <v>https://zfin.org/ZDB-GENE-050522-421</v>
      </c>
      <c r="E2011" t="s">
        <v>6014</v>
      </c>
    </row>
    <row r="2012" spans="1:5" x14ac:dyDescent="0.2">
      <c r="A2012" t="s">
        <v>6015</v>
      </c>
      <c r="B2012" t="s">
        <v>6016</v>
      </c>
      <c r="C2012" t="s">
        <v>6016</v>
      </c>
      <c r="D2012" t="str">
        <f>HYPERLINK("https://zfin.org/ZDB-GENE-030131-5064")</f>
        <v>https://zfin.org/ZDB-GENE-030131-5064</v>
      </c>
      <c r="E2012" t="s">
        <v>6017</v>
      </c>
    </row>
    <row r="2013" spans="1:5" x14ac:dyDescent="0.2">
      <c r="A2013" t="s">
        <v>6018</v>
      </c>
      <c r="B2013" t="s">
        <v>6019</v>
      </c>
      <c r="C2013" t="s">
        <v>6019</v>
      </c>
      <c r="D2013" t="str">
        <f>HYPERLINK("https://zfin.org/ZDB-GENE-050522-334")</f>
        <v>https://zfin.org/ZDB-GENE-050522-334</v>
      </c>
      <c r="E2013" t="s">
        <v>6020</v>
      </c>
    </row>
    <row r="2014" spans="1:5" x14ac:dyDescent="0.2">
      <c r="A2014" t="s">
        <v>6021</v>
      </c>
      <c r="B2014" t="s">
        <v>6022</v>
      </c>
      <c r="C2014" t="s">
        <v>6022</v>
      </c>
      <c r="D2014" t="str">
        <f>HYPERLINK("https://zfin.org/ZDB-GENE-050417-412")</f>
        <v>https://zfin.org/ZDB-GENE-050417-412</v>
      </c>
      <c r="E2014" t="s">
        <v>6023</v>
      </c>
    </row>
    <row r="2015" spans="1:5" x14ac:dyDescent="0.2">
      <c r="A2015" t="s">
        <v>6024</v>
      </c>
      <c r="B2015" t="s">
        <v>6025</v>
      </c>
      <c r="C2015" t="s">
        <v>6025</v>
      </c>
      <c r="D2015" t="str">
        <f>HYPERLINK("https://zfin.org/ZDB-GENE-050522-34")</f>
        <v>https://zfin.org/ZDB-GENE-050522-34</v>
      </c>
      <c r="E2015" t="s">
        <v>6026</v>
      </c>
    </row>
    <row r="2016" spans="1:5" x14ac:dyDescent="0.2">
      <c r="A2016" t="s">
        <v>6027</v>
      </c>
      <c r="B2016" t="s">
        <v>6028</v>
      </c>
      <c r="C2016" t="s">
        <v>6028</v>
      </c>
      <c r="D2016" t="str">
        <f>HYPERLINK("https://zfin.org/ZDB-GENE-980526-400")</f>
        <v>https://zfin.org/ZDB-GENE-980526-400</v>
      </c>
      <c r="E2016" t="s">
        <v>6029</v>
      </c>
    </row>
    <row r="2017" spans="1:5" x14ac:dyDescent="0.2">
      <c r="A2017" t="s">
        <v>6030</v>
      </c>
      <c r="B2017" t="s">
        <v>6031</v>
      </c>
      <c r="C2017" t="s">
        <v>6031</v>
      </c>
      <c r="D2017" t="str">
        <f>HYPERLINK("https://zfin.org/ZDB-GENE-030131-3060")</f>
        <v>https://zfin.org/ZDB-GENE-030131-3060</v>
      </c>
      <c r="E2017" t="s">
        <v>6032</v>
      </c>
    </row>
    <row r="2018" spans="1:5" x14ac:dyDescent="0.2">
      <c r="A2018" t="s">
        <v>6033</v>
      </c>
      <c r="B2018" t="s">
        <v>6034</v>
      </c>
      <c r="C2018" t="s">
        <v>6034</v>
      </c>
      <c r="D2018" t="str">
        <f>HYPERLINK("https://zfin.org/ZDB-GENE-070705-192")</f>
        <v>https://zfin.org/ZDB-GENE-070705-192</v>
      </c>
      <c r="E2018" t="s">
        <v>6035</v>
      </c>
    </row>
    <row r="2019" spans="1:5" x14ac:dyDescent="0.2">
      <c r="A2019" t="s">
        <v>6036</v>
      </c>
      <c r="B2019" t="s">
        <v>6037</v>
      </c>
      <c r="C2019" t="s">
        <v>6037</v>
      </c>
      <c r="D2019" t="str">
        <f>HYPERLINK("https://zfin.org/ZDB-GENE-110914-122")</f>
        <v>https://zfin.org/ZDB-GENE-110914-122</v>
      </c>
      <c r="E2019" t="s">
        <v>6038</v>
      </c>
    </row>
    <row r="2020" spans="1:5" x14ac:dyDescent="0.2">
      <c r="A2020" t="s">
        <v>6039</v>
      </c>
      <c r="B2020" t="s">
        <v>6040</v>
      </c>
      <c r="C2020" t="s">
        <v>6040</v>
      </c>
      <c r="D2020" t="str">
        <f>HYPERLINK("https://zfin.org/ZDB-GENE-030131-9020")</f>
        <v>https://zfin.org/ZDB-GENE-030131-9020</v>
      </c>
      <c r="E2020" t="s">
        <v>6041</v>
      </c>
    </row>
    <row r="2021" spans="1:5" x14ac:dyDescent="0.2">
      <c r="A2021" t="s">
        <v>6042</v>
      </c>
      <c r="B2021" t="s">
        <v>6043</v>
      </c>
      <c r="C2021" t="s">
        <v>6043</v>
      </c>
      <c r="D2021" t="str">
        <f>HYPERLINK("https://zfin.org/ZDB-GENE-070705-242")</f>
        <v>https://zfin.org/ZDB-GENE-070705-242</v>
      </c>
      <c r="E2021" t="s">
        <v>6044</v>
      </c>
    </row>
    <row r="2022" spans="1:5" x14ac:dyDescent="0.2">
      <c r="A2022" t="s">
        <v>6045</v>
      </c>
      <c r="B2022" t="s">
        <v>6046</v>
      </c>
      <c r="C2022" t="s">
        <v>6046</v>
      </c>
      <c r="D2022" t="str">
        <f>HYPERLINK("https://zfin.org/ZDB-GENE-040312-2")</f>
        <v>https://zfin.org/ZDB-GENE-040312-2</v>
      </c>
      <c r="E2022" t="s">
        <v>6047</v>
      </c>
    </row>
    <row r="2023" spans="1:5" x14ac:dyDescent="0.2">
      <c r="A2023" t="s">
        <v>6048</v>
      </c>
      <c r="B2023" t="s">
        <v>6049</v>
      </c>
      <c r="C2023" t="s">
        <v>6049</v>
      </c>
      <c r="D2023" t="str">
        <f>HYPERLINK("https://zfin.org/ZDB-GENE-040426-1885")</f>
        <v>https://zfin.org/ZDB-GENE-040426-1885</v>
      </c>
      <c r="E2023" t="s">
        <v>6050</v>
      </c>
    </row>
    <row r="2024" spans="1:5" x14ac:dyDescent="0.2">
      <c r="A2024" t="s">
        <v>6051</v>
      </c>
      <c r="B2024" t="s">
        <v>6052</v>
      </c>
      <c r="C2024" t="s">
        <v>6052</v>
      </c>
      <c r="D2024" t="str">
        <f>HYPERLINK("https://zfin.org/ZDB-GENE-040426-1096")</f>
        <v>https://zfin.org/ZDB-GENE-040426-1096</v>
      </c>
      <c r="E2024" t="s">
        <v>6053</v>
      </c>
    </row>
    <row r="2025" spans="1:5" x14ac:dyDescent="0.2">
      <c r="A2025" t="s">
        <v>6054</v>
      </c>
      <c r="B2025" t="s">
        <v>6055</v>
      </c>
      <c r="C2025" t="s">
        <v>6055</v>
      </c>
      <c r="D2025" t="str">
        <f>HYPERLINK("https://zfin.org/ZDB-GENE-070912-216")</f>
        <v>https://zfin.org/ZDB-GENE-070912-216</v>
      </c>
      <c r="E2025" t="s">
        <v>6056</v>
      </c>
    </row>
    <row r="2026" spans="1:5" x14ac:dyDescent="0.2">
      <c r="A2026" t="s">
        <v>6057</v>
      </c>
      <c r="B2026" t="s">
        <v>6058</v>
      </c>
      <c r="C2026" t="s">
        <v>6058</v>
      </c>
      <c r="D2026" t="str">
        <f>HYPERLINK("https://zfin.org/ZDB-GENE-040426-931")</f>
        <v>https://zfin.org/ZDB-GENE-040426-931</v>
      </c>
      <c r="E2026" t="s">
        <v>6059</v>
      </c>
    </row>
    <row r="2027" spans="1:5" x14ac:dyDescent="0.2">
      <c r="A2027" t="s">
        <v>6060</v>
      </c>
      <c r="B2027" t="s">
        <v>6061</v>
      </c>
      <c r="C2027" t="s">
        <v>6061</v>
      </c>
      <c r="D2027" t="str">
        <f>HYPERLINK("https://zfin.org/ZDB-GENE-060929-604")</f>
        <v>https://zfin.org/ZDB-GENE-060929-604</v>
      </c>
      <c r="E2027" t="s">
        <v>6062</v>
      </c>
    </row>
    <row r="2028" spans="1:5" x14ac:dyDescent="0.2">
      <c r="A2028" t="s">
        <v>6063</v>
      </c>
      <c r="B2028" t="s">
        <v>6064</v>
      </c>
      <c r="C2028" t="s">
        <v>6064</v>
      </c>
      <c r="D2028" t="str">
        <f>HYPERLINK("https://zfin.org/ZDB-GENE-030131-7197")</f>
        <v>https://zfin.org/ZDB-GENE-030131-7197</v>
      </c>
      <c r="E2028" t="s">
        <v>6065</v>
      </c>
    </row>
    <row r="2029" spans="1:5" x14ac:dyDescent="0.2">
      <c r="A2029" t="s">
        <v>6066</v>
      </c>
      <c r="B2029" t="s">
        <v>6067</v>
      </c>
      <c r="C2029" t="s">
        <v>6067</v>
      </c>
      <c r="D2029" t="str">
        <f>HYPERLINK("https://zfin.org/ZDB-GENE-041010-72")</f>
        <v>https://zfin.org/ZDB-GENE-041010-72</v>
      </c>
      <c r="E2029" t="s">
        <v>6068</v>
      </c>
    </row>
    <row r="2030" spans="1:5" x14ac:dyDescent="0.2">
      <c r="A2030" t="s">
        <v>6069</v>
      </c>
      <c r="B2030" t="s">
        <v>6070</v>
      </c>
      <c r="C2030" t="s">
        <v>6070</v>
      </c>
      <c r="D2030" t="str">
        <f>HYPERLINK("https://zfin.org/ZDB-GENE-060519-5")</f>
        <v>https://zfin.org/ZDB-GENE-060519-5</v>
      </c>
      <c r="E2030" t="s">
        <v>6071</v>
      </c>
    </row>
    <row r="2031" spans="1:5" x14ac:dyDescent="0.2">
      <c r="A2031" t="s">
        <v>6072</v>
      </c>
      <c r="B2031" t="s">
        <v>6073</v>
      </c>
      <c r="C2031" t="s">
        <v>6073</v>
      </c>
      <c r="D2031" t="str">
        <f>HYPERLINK("https://zfin.org/ZDB-GENE-980526-530")</f>
        <v>https://zfin.org/ZDB-GENE-980526-530</v>
      </c>
      <c r="E2031" t="s">
        <v>6074</v>
      </c>
    </row>
    <row r="2032" spans="1:5" x14ac:dyDescent="0.2">
      <c r="A2032" t="s">
        <v>6075</v>
      </c>
      <c r="B2032" t="s">
        <v>6076</v>
      </c>
      <c r="C2032" t="s">
        <v>6076</v>
      </c>
      <c r="D2032" t="str">
        <f>HYPERLINK("https://zfin.org/ZDB-GENE-061025-1")</f>
        <v>https://zfin.org/ZDB-GENE-061025-1</v>
      </c>
      <c r="E2032" t="s">
        <v>6077</v>
      </c>
    </row>
    <row r="2033" spans="1:5" x14ac:dyDescent="0.2">
      <c r="A2033" t="s">
        <v>6078</v>
      </c>
      <c r="B2033" t="s">
        <v>6079</v>
      </c>
      <c r="C2033" t="s">
        <v>6079</v>
      </c>
      <c r="D2033" t="str">
        <f>HYPERLINK("https://zfin.org/ZDB-GENE-061215-48")</f>
        <v>https://zfin.org/ZDB-GENE-061215-48</v>
      </c>
      <c r="E2033" t="s">
        <v>6080</v>
      </c>
    </row>
    <row r="2034" spans="1:5" x14ac:dyDescent="0.2">
      <c r="A2034" t="s">
        <v>6081</v>
      </c>
      <c r="B2034" t="s">
        <v>6082</v>
      </c>
      <c r="C2034" t="s">
        <v>6082</v>
      </c>
      <c r="D2034" t="str">
        <f>HYPERLINK("https://zfin.org/ZDB-GENE-990415-62")</f>
        <v>https://zfin.org/ZDB-GENE-990415-62</v>
      </c>
      <c r="E2034" t="s">
        <v>6083</v>
      </c>
    </row>
    <row r="2035" spans="1:5" x14ac:dyDescent="0.2">
      <c r="A2035" t="s">
        <v>6084</v>
      </c>
      <c r="B2035" t="s">
        <v>6085</v>
      </c>
      <c r="C2035" t="s">
        <v>6085</v>
      </c>
      <c r="D2035" t="str">
        <f>HYPERLINK("https://zfin.org/ZDB-GENE-071205-8")</f>
        <v>https://zfin.org/ZDB-GENE-071205-8</v>
      </c>
      <c r="E2035" t="s">
        <v>6086</v>
      </c>
    </row>
    <row r="2036" spans="1:5" x14ac:dyDescent="0.2">
      <c r="A2036" t="s">
        <v>6087</v>
      </c>
      <c r="B2036" t="s">
        <v>6088</v>
      </c>
      <c r="C2036" t="s">
        <v>6088</v>
      </c>
      <c r="D2036" t="str">
        <f>HYPERLINK("https://zfin.org/ZDB-GENE-030131-7892")</f>
        <v>https://zfin.org/ZDB-GENE-030131-7892</v>
      </c>
      <c r="E2036" t="s">
        <v>6089</v>
      </c>
    </row>
    <row r="2037" spans="1:5" x14ac:dyDescent="0.2">
      <c r="A2037" t="s">
        <v>6090</v>
      </c>
      <c r="B2037" t="s">
        <v>6091</v>
      </c>
      <c r="C2037" t="s">
        <v>6091</v>
      </c>
      <c r="D2037" t="str">
        <f>HYPERLINK("https://zfin.org/ZDB-GENE-060929-376")</f>
        <v>https://zfin.org/ZDB-GENE-060929-376</v>
      </c>
      <c r="E2037" t="s">
        <v>6092</v>
      </c>
    </row>
    <row r="2038" spans="1:5" x14ac:dyDescent="0.2">
      <c r="A2038" t="s">
        <v>6093</v>
      </c>
      <c r="B2038" t="s">
        <v>6094</v>
      </c>
      <c r="C2038" t="s">
        <v>6094</v>
      </c>
      <c r="D2038" t="str">
        <f>HYPERLINK("https://zfin.org/ZDB-GENE-060503-779")</f>
        <v>https://zfin.org/ZDB-GENE-060503-779</v>
      </c>
      <c r="E2038" t="s">
        <v>6095</v>
      </c>
    </row>
    <row r="2039" spans="1:5" x14ac:dyDescent="0.2">
      <c r="A2039" t="s">
        <v>6096</v>
      </c>
      <c r="B2039" t="s">
        <v>6097</v>
      </c>
      <c r="C2039" t="s">
        <v>6097</v>
      </c>
      <c r="D2039" t="str">
        <f>HYPERLINK("https://zfin.org/ZDB-GENE-040426-1723")</f>
        <v>https://zfin.org/ZDB-GENE-040426-1723</v>
      </c>
      <c r="E2039" t="s">
        <v>6098</v>
      </c>
    </row>
    <row r="2040" spans="1:5" x14ac:dyDescent="0.2">
      <c r="A2040" t="s">
        <v>6099</v>
      </c>
      <c r="B2040" t="s">
        <v>6100</v>
      </c>
      <c r="C2040" t="s">
        <v>6100</v>
      </c>
      <c r="D2040" t="str">
        <f>HYPERLINK("https://zfin.org/ZDB-GENE-081104-6")</f>
        <v>https://zfin.org/ZDB-GENE-081104-6</v>
      </c>
      <c r="E2040" t="s">
        <v>6101</v>
      </c>
    </row>
    <row r="2041" spans="1:5" x14ac:dyDescent="0.2">
      <c r="A2041" t="s">
        <v>6102</v>
      </c>
      <c r="B2041" t="s">
        <v>6103</v>
      </c>
      <c r="C2041" t="s">
        <v>6103</v>
      </c>
      <c r="D2041" t="str">
        <f>HYPERLINK("https://zfin.org/ZDB-GENE-990714-11")</f>
        <v>https://zfin.org/ZDB-GENE-990714-11</v>
      </c>
      <c r="E2041" t="s">
        <v>6104</v>
      </c>
    </row>
    <row r="2042" spans="1:5" x14ac:dyDescent="0.2">
      <c r="A2042" t="s">
        <v>6105</v>
      </c>
      <c r="B2042" t="s">
        <v>6106</v>
      </c>
      <c r="C2042" t="s">
        <v>6106</v>
      </c>
      <c r="D2042" t="str">
        <f>HYPERLINK("https://zfin.org/ZDB-GENE-090312-183")</f>
        <v>https://zfin.org/ZDB-GENE-090312-183</v>
      </c>
      <c r="E2042" t="s">
        <v>6107</v>
      </c>
    </row>
    <row r="2043" spans="1:5" x14ac:dyDescent="0.2">
      <c r="A2043" t="s">
        <v>6108</v>
      </c>
      <c r="B2043" t="s">
        <v>6109</v>
      </c>
      <c r="C2043" t="s">
        <v>6109</v>
      </c>
      <c r="D2043" t="str">
        <f>HYPERLINK("https://zfin.org/ZDB-GENE-061215-98")</f>
        <v>https://zfin.org/ZDB-GENE-061215-98</v>
      </c>
      <c r="E2043" t="s">
        <v>6110</v>
      </c>
    </row>
    <row r="2044" spans="1:5" x14ac:dyDescent="0.2">
      <c r="A2044" t="s">
        <v>6111</v>
      </c>
      <c r="B2044" t="s">
        <v>6112</v>
      </c>
      <c r="C2044" t="s">
        <v>6112</v>
      </c>
      <c r="D2044" t="str">
        <f>HYPERLINK("https://zfin.org/ZDB-GENE-050522-484")</f>
        <v>https://zfin.org/ZDB-GENE-050522-484</v>
      </c>
      <c r="E2044" t="s">
        <v>6113</v>
      </c>
    </row>
    <row r="2045" spans="1:5" x14ac:dyDescent="0.2">
      <c r="A2045" t="s">
        <v>6114</v>
      </c>
      <c r="B2045" t="s">
        <v>6115</v>
      </c>
      <c r="C2045" t="s">
        <v>6115</v>
      </c>
      <c r="D2045" t="str">
        <f>HYPERLINK("https://zfin.org/ZDB-GENE-030131-6435")</f>
        <v>https://zfin.org/ZDB-GENE-030131-6435</v>
      </c>
      <c r="E2045" t="s">
        <v>6116</v>
      </c>
    </row>
    <row r="2046" spans="1:5" x14ac:dyDescent="0.2">
      <c r="A2046" t="s">
        <v>6117</v>
      </c>
      <c r="B2046" t="s">
        <v>6118</v>
      </c>
      <c r="C2046" t="s">
        <v>6118</v>
      </c>
      <c r="D2046" t="str">
        <f>HYPERLINK("https://zfin.org/ZDB-GENE-000831-4")</f>
        <v>https://zfin.org/ZDB-GENE-000831-4</v>
      </c>
      <c r="E2046" t="s">
        <v>6119</v>
      </c>
    </row>
    <row r="2047" spans="1:5" x14ac:dyDescent="0.2">
      <c r="A2047" t="s">
        <v>6120</v>
      </c>
      <c r="B2047" t="s">
        <v>6121</v>
      </c>
      <c r="C2047" t="s">
        <v>6121</v>
      </c>
      <c r="D2047" t="str">
        <f>HYPERLINK("https://zfin.org/ZDB-GENE-040426-1931")</f>
        <v>https://zfin.org/ZDB-GENE-040426-1931</v>
      </c>
      <c r="E2047" t="s">
        <v>6122</v>
      </c>
    </row>
    <row r="2048" spans="1:5" x14ac:dyDescent="0.2">
      <c r="A2048" t="s">
        <v>6123</v>
      </c>
      <c r="B2048" t="s">
        <v>6124</v>
      </c>
      <c r="C2048" t="s">
        <v>6124</v>
      </c>
      <c r="D2048" t="str">
        <f>HYPERLINK("https://zfin.org/ZDB-GENE-110408-56")</f>
        <v>https://zfin.org/ZDB-GENE-110408-56</v>
      </c>
      <c r="E2048" t="s">
        <v>6125</v>
      </c>
    </row>
    <row r="2049" spans="1:5" x14ac:dyDescent="0.2">
      <c r="A2049" t="s">
        <v>6126</v>
      </c>
      <c r="B2049" t="s">
        <v>6127</v>
      </c>
      <c r="C2049" t="s">
        <v>6127</v>
      </c>
      <c r="D2049" t="str">
        <f>HYPERLINK("https://zfin.org/ZDB-GENE-090313-2")</f>
        <v>https://zfin.org/ZDB-GENE-090313-2</v>
      </c>
      <c r="E2049" t="s">
        <v>6128</v>
      </c>
    </row>
    <row r="2050" spans="1:5" x14ac:dyDescent="0.2">
      <c r="A2050" t="s">
        <v>6129</v>
      </c>
      <c r="B2050" t="s">
        <v>6130</v>
      </c>
      <c r="C2050" t="s">
        <v>6130</v>
      </c>
      <c r="D2050" t="str">
        <f>HYPERLINK("https://zfin.org/ZDB-GENE-110411-219")</f>
        <v>https://zfin.org/ZDB-GENE-110411-219</v>
      </c>
      <c r="E2050" t="s">
        <v>6131</v>
      </c>
    </row>
    <row r="2051" spans="1:5" x14ac:dyDescent="0.2">
      <c r="A2051" t="s">
        <v>6132</v>
      </c>
      <c r="B2051" t="s">
        <v>6133</v>
      </c>
      <c r="C2051" t="s">
        <v>6133</v>
      </c>
      <c r="D2051" t="str">
        <f>HYPERLINK("https://zfin.org/ZDB-GENE-040718-384")</f>
        <v>https://zfin.org/ZDB-GENE-040718-384</v>
      </c>
      <c r="E2051" t="s">
        <v>6134</v>
      </c>
    </row>
    <row r="2052" spans="1:5" x14ac:dyDescent="0.2">
      <c r="A2052" t="s">
        <v>6135</v>
      </c>
      <c r="B2052" t="s">
        <v>6136</v>
      </c>
      <c r="C2052" t="s">
        <v>6136</v>
      </c>
      <c r="D2052" t="str">
        <f>HYPERLINK("https://zfin.org/ZDB-GENE-041010-219")</f>
        <v>https://zfin.org/ZDB-GENE-041010-219</v>
      </c>
      <c r="E2052" t="s">
        <v>6137</v>
      </c>
    </row>
    <row r="2053" spans="1:5" x14ac:dyDescent="0.2">
      <c r="A2053" t="s">
        <v>6138</v>
      </c>
      <c r="B2053" t="s">
        <v>6139</v>
      </c>
      <c r="C2053" t="s">
        <v>6139</v>
      </c>
      <c r="D2053" t="str">
        <f>HYPERLINK("https://zfin.org/ZDB-GENE-990415-216")</f>
        <v>https://zfin.org/ZDB-GENE-990415-216</v>
      </c>
      <c r="E2053" t="s">
        <v>6140</v>
      </c>
    </row>
    <row r="2054" spans="1:5" x14ac:dyDescent="0.2">
      <c r="A2054" t="s">
        <v>6141</v>
      </c>
      <c r="B2054" t="s">
        <v>6142</v>
      </c>
      <c r="C2054" t="s">
        <v>6142</v>
      </c>
      <c r="D2054" t="str">
        <f>HYPERLINK("https://zfin.org/ZDB-GENE-070410-81")</f>
        <v>https://zfin.org/ZDB-GENE-070410-81</v>
      </c>
      <c r="E2054" t="s">
        <v>6143</v>
      </c>
    </row>
    <row r="2055" spans="1:5" x14ac:dyDescent="0.2">
      <c r="A2055" t="s">
        <v>6144</v>
      </c>
      <c r="B2055" t="s">
        <v>6145</v>
      </c>
      <c r="C2055" t="s">
        <v>6145</v>
      </c>
      <c r="D2055" t="str">
        <f>HYPERLINK("https://zfin.org/ZDB-GENE-141212-230")</f>
        <v>https://zfin.org/ZDB-GENE-141212-230</v>
      </c>
      <c r="E2055" t="s">
        <v>6146</v>
      </c>
    </row>
    <row r="2056" spans="1:5" x14ac:dyDescent="0.2">
      <c r="A2056" t="s">
        <v>6147</v>
      </c>
      <c r="B2056" t="s">
        <v>6148</v>
      </c>
      <c r="C2056" t="s">
        <v>6148</v>
      </c>
      <c r="D2056" t="str">
        <f>HYPERLINK("https://zfin.org/ZDB-GENE-040426-1800")</f>
        <v>https://zfin.org/ZDB-GENE-040426-1800</v>
      </c>
      <c r="E2056" t="s">
        <v>6149</v>
      </c>
    </row>
    <row r="2057" spans="1:5" x14ac:dyDescent="0.2">
      <c r="A2057" t="s">
        <v>6150</v>
      </c>
      <c r="B2057" t="s">
        <v>6151</v>
      </c>
      <c r="C2057" t="s">
        <v>6151</v>
      </c>
      <c r="D2057" t="str">
        <f>HYPERLINK("https://zfin.org/ZDB-GENE-030131-6722")</f>
        <v>https://zfin.org/ZDB-GENE-030131-6722</v>
      </c>
      <c r="E2057" t="s">
        <v>6152</v>
      </c>
    </row>
    <row r="2058" spans="1:5" x14ac:dyDescent="0.2">
      <c r="A2058" t="s">
        <v>6153</v>
      </c>
      <c r="B2058" t="s">
        <v>6154</v>
      </c>
      <c r="C2058" t="s">
        <v>6154</v>
      </c>
      <c r="D2058" t="str">
        <f>HYPERLINK("https://zfin.org/ZDB-GENE-090313-6")</f>
        <v>https://zfin.org/ZDB-GENE-090313-6</v>
      </c>
      <c r="E2058" t="s">
        <v>6155</v>
      </c>
    </row>
    <row r="2059" spans="1:5" x14ac:dyDescent="0.2">
      <c r="A2059" t="s">
        <v>6156</v>
      </c>
      <c r="B2059" t="s">
        <v>6157</v>
      </c>
      <c r="C2059" t="s">
        <v>6157</v>
      </c>
      <c r="D2059" t="str">
        <f>HYPERLINK("https://zfin.org/ZDB-GENE-060503-615")</f>
        <v>https://zfin.org/ZDB-GENE-060503-615</v>
      </c>
      <c r="E2059" t="s">
        <v>6158</v>
      </c>
    </row>
    <row r="2060" spans="1:5" x14ac:dyDescent="0.2">
      <c r="A2060" t="s">
        <v>6159</v>
      </c>
      <c r="B2060" t="s">
        <v>6160</v>
      </c>
      <c r="C2060" t="s">
        <v>6160</v>
      </c>
      <c r="D2060" t="str">
        <f>HYPERLINK("https://zfin.org/ZDB-GENE-050417-173")</f>
        <v>https://zfin.org/ZDB-GENE-050417-173</v>
      </c>
      <c r="E2060" t="s">
        <v>6161</v>
      </c>
    </row>
    <row r="2061" spans="1:5" x14ac:dyDescent="0.2">
      <c r="A2061" t="s">
        <v>6162</v>
      </c>
      <c r="B2061" t="s">
        <v>6163</v>
      </c>
      <c r="C2061" t="s">
        <v>6163</v>
      </c>
      <c r="D2061" t="str">
        <f>HYPERLINK("https://zfin.org/ZDB-GENE-040718-381")</f>
        <v>https://zfin.org/ZDB-GENE-040718-381</v>
      </c>
      <c r="E2061" t="s">
        <v>6164</v>
      </c>
    </row>
    <row r="2062" spans="1:5" x14ac:dyDescent="0.2">
      <c r="A2062" t="s">
        <v>6165</v>
      </c>
      <c r="B2062" t="s">
        <v>6166</v>
      </c>
      <c r="C2062" t="s">
        <v>6166</v>
      </c>
      <c r="D2062" t="str">
        <f>HYPERLINK("https://zfin.org/ZDB-GENE-040625-144")</f>
        <v>https://zfin.org/ZDB-GENE-040625-144</v>
      </c>
      <c r="E2062" t="s">
        <v>6167</v>
      </c>
    </row>
    <row r="2063" spans="1:5" x14ac:dyDescent="0.2">
      <c r="A2063" t="s">
        <v>6168</v>
      </c>
      <c r="B2063" t="s">
        <v>6169</v>
      </c>
      <c r="C2063" t="s">
        <v>6169</v>
      </c>
      <c r="D2063" t="str">
        <f>HYPERLINK("https://zfin.org/ZDB-GENE-040718-242")</f>
        <v>https://zfin.org/ZDB-GENE-040718-242</v>
      </c>
      <c r="E2063" t="s">
        <v>6170</v>
      </c>
    </row>
    <row r="2064" spans="1:5" x14ac:dyDescent="0.2">
      <c r="A2064" t="s">
        <v>6171</v>
      </c>
      <c r="B2064" t="s">
        <v>6172</v>
      </c>
      <c r="C2064" t="s">
        <v>6172</v>
      </c>
      <c r="D2064" t="str">
        <f>HYPERLINK("https://zfin.org/ZDB-GENE-020712-1")</f>
        <v>https://zfin.org/ZDB-GENE-020712-1</v>
      </c>
      <c r="E2064" t="s">
        <v>6173</v>
      </c>
    </row>
    <row r="2065" spans="1:5" x14ac:dyDescent="0.2">
      <c r="A2065" t="s">
        <v>6174</v>
      </c>
      <c r="B2065" t="s">
        <v>6175</v>
      </c>
      <c r="C2065" t="s">
        <v>6175</v>
      </c>
      <c r="D2065" t="str">
        <f>HYPERLINK("https://zfin.org/ZDB-GENE-121031-4")</f>
        <v>https://zfin.org/ZDB-GENE-121031-4</v>
      </c>
      <c r="E2065" t="s">
        <v>6176</v>
      </c>
    </row>
    <row r="2066" spans="1:5" x14ac:dyDescent="0.2">
      <c r="A2066" t="s">
        <v>6177</v>
      </c>
      <c r="B2066" t="s">
        <v>6178</v>
      </c>
      <c r="C2066" t="s">
        <v>6178</v>
      </c>
      <c r="D2066" t="str">
        <f>HYPERLINK("https://zfin.org/ZDB-GENE-070928-29")</f>
        <v>https://zfin.org/ZDB-GENE-070928-29</v>
      </c>
      <c r="E2066" t="s">
        <v>6179</v>
      </c>
    </row>
    <row r="2067" spans="1:5" x14ac:dyDescent="0.2">
      <c r="A2067" t="s">
        <v>6180</v>
      </c>
      <c r="B2067" t="s">
        <v>6181</v>
      </c>
      <c r="C2067" t="s">
        <v>6181</v>
      </c>
      <c r="D2067" t="str">
        <f>HYPERLINK("https://zfin.org/ZDB-GENE-040912-164")</f>
        <v>https://zfin.org/ZDB-GENE-040912-164</v>
      </c>
      <c r="E2067" t="s">
        <v>6182</v>
      </c>
    </row>
    <row r="2068" spans="1:5" x14ac:dyDescent="0.2">
      <c r="A2068" t="s">
        <v>6183</v>
      </c>
      <c r="B2068" t="s">
        <v>6184</v>
      </c>
      <c r="C2068" t="s">
        <v>6184</v>
      </c>
      <c r="D2068" t="str">
        <f>HYPERLINK("https://zfin.org/ZDB-GENE-131118-25")</f>
        <v>https://zfin.org/ZDB-GENE-131118-25</v>
      </c>
      <c r="E2068" t="s">
        <v>6185</v>
      </c>
    </row>
    <row r="2069" spans="1:5" x14ac:dyDescent="0.2">
      <c r="A2069" t="s">
        <v>6186</v>
      </c>
      <c r="B2069" t="s">
        <v>6187</v>
      </c>
      <c r="C2069" t="s">
        <v>6187</v>
      </c>
      <c r="D2069" t="str">
        <f>HYPERLINK("https://zfin.org/ZDB-GENE-040426-1507")</f>
        <v>https://zfin.org/ZDB-GENE-040426-1507</v>
      </c>
      <c r="E2069" t="s">
        <v>6188</v>
      </c>
    </row>
    <row r="2070" spans="1:5" x14ac:dyDescent="0.2">
      <c r="A2070" t="s">
        <v>6189</v>
      </c>
      <c r="B2070" t="s">
        <v>6190</v>
      </c>
      <c r="C2070" t="s">
        <v>6190</v>
      </c>
      <c r="D2070" t="str">
        <f>HYPERLINK("https://zfin.org/ZDB-GENE-031002-33")</f>
        <v>https://zfin.org/ZDB-GENE-031002-33</v>
      </c>
      <c r="E2070" t="s">
        <v>6191</v>
      </c>
    </row>
    <row r="2071" spans="1:5" x14ac:dyDescent="0.2">
      <c r="A2071" t="s">
        <v>6192</v>
      </c>
      <c r="B2071" t="s">
        <v>312</v>
      </c>
      <c r="C2071" t="s">
        <v>6193</v>
      </c>
      <c r="D2071" t="str">
        <f>HYPERLINK("https://zfin.org/ZDB-GENE-050227-13")</f>
        <v>https://zfin.org/ZDB-GENE-050227-13</v>
      </c>
      <c r="E2071" t="s">
        <v>6194</v>
      </c>
    </row>
    <row r="2072" spans="1:5" x14ac:dyDescent="0.2">
      <c r="A2072" t="s">
        <v>6195</v>
      </c>
      <c r="B2072" t="s">
        <v>6196</v>
      </c>
      <c r="C2072" t="s">
        <v>6196</v>
      </c>
      <c r="D2072" t="str">
        <f>HYPERLINK("https://zfin.org/ZDB-GENE-040630-11")</f>
        <v>https://zfin.org/ZDB-GENE-040630-11</v>
      </c>
      <c r="E2072" t="s">
        <v>6197</v>
      </c>
    </row>
    <row r="2073" spans="1:5" x14ac:dyDescent="0.2">
      <c r="A2073" t="s">
        <v>6198</v>
      </c>
      <c r="B2073" t="s">
        <v>6199</v>
      </c>
      <c r="C2073" t="s">
        <v>6199</v>
      </c>
      <c r="D2073" t="str">
        <f>HYPERLINK("https://zfin.org/ZDB-GENE-110131-6")</f>
        <v>https://zfin.org/ZDB-GENE-110131-6</v>
      </c>
      <c r="E2073" t="s">
        <v>6200</v>
      </c>
    </row>
    <row r="2074" spans="1:5" x14ac:dyDescent="0.2">
      <c r="A2074" t="s">
        <v>6201</v>
      </c>
      <c r="B2074" t="s">
        <v>6202</v>
      </c>
      <c r="C2074" t="s">
        <v>6202</v>
      </c>
      <c r="D2074" t="str">
        <f>HYPERLINK("https://zfin.org/ZDB-GENE-030131-2576")</f>
        <v>https://zfin.org/ZDB-GENE-030131-2576</v>
      </c>
      <c r="E2074" t="s">
        <v>6203</v>
      </c>
    </row>
    <row r="2075" spans="1:5" x14ac:dyDescent="0.2">
      <c r="A2075" t="s">
        <v>6204</v>
      </c>
      <c r="B2075" t="s">
        <v>6205</v>
      </c>
      <c r="C2075" t="s">
        <v>6205</v>
      </c>
      <c r="D2075" t="str">
        <f>HYPERLINK("https://zfin.org/ZDB-GENE-091117-38")</f>
        <v>https://zfin.org/ZDB-GENE-091117-38</v>
      </c>
      <c r="E2075" t="s">
        <v>6206</v>
      </c>
    </row>
    <row r="2076" spans="1:5" x14ac:dyDescent="0.2">
      <c r="A2076" t="s">
        <v>6207</v>
      </c>
      <c r="B2076" t="s">
        <v>6208</v>
      </c>
      <c r="C2076" t="s">
        <v>6208</v>
      </c>
      <c r="D2076" t="str">
        <f>HYPERLINK("https://zfin.org/ZDB-GENE-091020-4")</f>
        <v>https://zfin.org/ZDB-GENE-091020-4</v>
      </c>
      <c r="E2076" t="s">
        <v>6209</v>
      </c>
    </row>
    <row r="2077" spans="1:5" x14ac:dyDescent="0.2">
      <c r="A2077" t="s">
        <v>6210</v>
      </c>
      <c r="B2077" t="s">
        <v>6211</v>
      </c>
      <c r="C2077" t="s">
        <v>6211</v>
      </c>
      <c r="D2077" t="str">
        <f>HYPERLINK("https://zfin.org/ZDB-GENE-050208-29")</f>
        <v>https://zfin.org/ZDB-GENE-050208-29</v>
      </c>
      <c r="E2077" t="s">
        <v>6212</v>
      </c>
    </row>
    <row r="2078" spans="1:5" x14ac:dyDescent="0.2">
      <c r="A2078" t="s">
        <v>6213</v>
      </c>
      <c r="B2078" t="s">
        <v>6214</v>
      </c>
      <c r="C2078" t="s">
        <v>6214</v>
      </c>
      <c r="D2078" t="str">
        <f>HYPERLINK("https://zfin.org/ZDB-GENE-060421-8213")</f>
        <v>https://zfin.org/ZDB-GENE-060421-8213</v>
      </c>
      <c r="E2078" t="s">
        <v>6215</v>
      </c>
    </row>
    <row r="2079" spans="1:5" x14ac:dyDescent="0.2">
      <c r="A2079" t="s">
        <v>6216</v>
      </c>
      <c r="B2079" t="s">
        <v>6217</v>
      </c>
      <c r="C2079" t="s">
        <v>6217</v>
      </c>
      <c r="D2079" t="str">
        <f>HYPERLINK("https://zfin.org/ZDB-GENE-030131-3036")</f>
        <v>https://zfin.org/ZDB-GENE-030131-3036</v>
      </c>
      <c r="E2079" t="s">
        <v>6218</v>
      </c>
    </row>
    <row r="2080" spans="1:5" x14ac:dyDescent="0.2">
      <c r="A2080" t="s">
        <v>6219</v>
      </c>
      <c r="B2080" t="s">
        <v>6220</v>
      </c>
      <c r="C2080" t="s">
        <v>6220</v>
      </c>
      <c r="D2080" t="str">
        <f>HYPERLINK("https://zfin.org/ZDB-GENE-990415-65")</f>
        <v>https://zfin.org/ZDB-GENE-990415-65</v>
      </c>
      <c r="E2080" t="s">
        <v>6221</v>
      </c>
    </row>
    <row r="2081" spans="1:5" x14ac:dyDescent="0.2">
      <c r="A2081" t="s">
        <v>6222</v>
      </c>
      <c r="B2081" t="s">
        <v>6223</v>
      </c>
      <c r="C2081" t="s">
        <v>6223</v>
      </c>
      <c r="D2081" t="str">
        <f>HYPERLINK("https://zfin.org/ZDB-GENE-030616-356")</f>
        <v>https://zfin.org/ZDB-GENE-030616-356</v>
      </c>
      <c r="E2081" t="s">
        <v>6224</v>
      </c>
    </row>
    <row r="2082" spans="1:5" x14ac:dyDescent="0.2">
      <c r="A2082" t="s">
        <v>6225</v>
      </c>
      <c r="B2082" t="s">
        <v>6226</v>
      </c>
      <c r="C2082" t="s">
        <v>6226</v>
      </c>
      <c r="D2082" t="str">
        <f>HYPERLINK("https://zfin.org/ZDB-GENE-040801-260")</f>
        <v>https://zfin.org/ZDB-GENE-040801-260</v>
      </c>
      <c r="E2082" t="s">
        <v>6227</v>
      </c>
    </row>
    <row r="2083" spans="1:5" x14ac:dyDescent="0.2">
      <c r="A2083" t="s">
        <v>6228</v>
      </c>
      <c r="B2083" t="s">
        <v>6229</v>
      </c>
      <c r="C2083" t="s">
        <v>6229</v>
      </c>
      <c r="D2083" t="str">
        <f>HYPERLINK("https://zfin.org/ZDB-GENE-141216-392")</f>
        <v>https://zfin.org/ZDB-GENE-141216-392</v>
      </c>
      <c r="E2083" t="s">
        <v>6230</v>
      </c>
    </row>
    <row r="2084" spans="1:5" x14ac:dyDescent="0.2">
      <c r="A2084" t="s">
        <v>6231</v>
      </c>
      <c r="B2084" t="s">
        <v>6232</v>
      </c>
      <c r="C2084" t="s">
        <v>6232</v>
      </c>
      <c r="D2084" t="str">
        <f>HYPERLINK("https://zfin.org/ZDB-GENE-990415-277")</f>
        <v>https://zfin.org/ZDB-GENE-990415-277</v>
      </c>
      <c r="E2084" t="s">
        <v>6233</v>
      </c>
    </row>
    <row r="2085" spans="1:5" x14ac:dyDescent="0.2">
      <c r="A2085" t="s">
        <v>6234</v>
      </c>
      <c r="B2085" t="s">
        <v>6235</v>
      </c>
      <c r="C2085" t="s">
        <v>6235</v>
      </c>
      <c r="D2085" t="str">
        <f>HYPERLINK("https://zfin.org/ZDB-GENE-060929-1010")</f>
        <v>https://zfin.org/ZDB-GENE-060929-1010</v>
      </c>
      <c r="E2085" t="s">
        <v>6236</v>
      </c>
    </row>
    <row r="2086" spans="1:5" x14ac:dyDescent="0.2">
      <c r="A2086" t="s">
        <v>6237</v>
      </c>
      <c r="B2086" t="s">
        <v>6238</v>
      </c>
      <c r="C2086" t="s">
        <v>6238</v>
      </c>
      <c r="D2086" t="str">
        <f>HYPERLINK("https://zfin.org/ZDB-GENE-050208-312")</f>
        <v>https://zfin.org/ZDB-GENE-050208-312</v>
      </c>
      <c r="E2086" t="s">
        <v>6239</v>
      </c>
    </row>
    <row r="2087" spans="1:5" x14ac:dyDescent="0.2">
      <c r="A2087" t="s">
        <v>6240</v>
      </c>
      <c r="B2087" t="s">
        <v>6241</v>
      </c>
      <c r="C2087" t="s">
        <v>6241</v>
      </c>
      <c r="D2087" t="str">
        <f>HYPERLINK("https://zfin.org/ZDB-GENE-030131-4813")</f>
        <v>https://zfin.org/ZDB-GENE-030131-4813</v>
      </c>
      <c r="E2087" t="s">
        <v>6242</v>
      </c>
    </row>
    <row r="2088" spans="1:5" x14ac:dyDescent="0.2">
      <c r="A2088" t="s">
        <v>6243</v>
      </c>
      <c r="B2088" t="s">
        <v>6244</v>
      </c>
      <c r="C2088" t="s">
        <v>6244</v>
      </c>
      <c r="D2088" t="str">
        <f>HYPERLINK("https://zfin.org/ZDB-GENE-030131-713")</f>
        <v>https://zfin.org/ZDB-GENE-030131-713</v>
      </c>
      <c r="E2088" t="s">
        <v>6245</v>
      </c>
    </row>
    <row r="2089" spans="1:5" x14ac:dyDescent="0.2">
      <c r="A2089" t="s">
        <v>6246</v>
      </c>
      <c r="B2089" t="s">
        <v>6247</v>
      </c>
      <c r="C2089" t="s">
        <v>6247</v>
      </c>
      <c r="D2089" t="str">
        <f>HYPERLINK("https://zfin.org/ZDB-GENE-030131-2376")</f>
        <v>https://zfin.org/ZDB-GENE-030131-2376</v>
      </c>
      <c r="E2089" t="s">
        <v>6248</v>
      </c>
    </row>
    <row r="2090" spans="1:5" x14ac:dyDescent="0.2">
      <c r="A2090" t="s">
        <v>6249</v>
      </c>
      <c r="B2090" t="s">
        <v>6250</v>
      </c>
      <c r="C2090" t="s">
        <v>6250</v>
      </c>
      <c r="D2090" t="str">
        <f>HYPERLINK("https://zfin.org/ZDB-GENE-040704-45")</f>
        <v>https://zfin.org/ZDB-GENE-040704-45</v>
      </c>
      <c r="E2090" t="s">
        <v>6251</v>
      </c>
    </row>
    <row r="2091" spans="1:5" x14ac:dyDescent="0.2">
      <c r="A2091" t="s">
        <v>6252</v>
      </c>
      <c r="B2091" t="s">
        <v>6253</v>
      </c>
      <c r="C2091" t="s">
        <v>6253</v>
      </c>
      <c r="D2091" t="str">
        <f>HYPERLINK("https://zfin.org/ZDB-GENE-010724-15")</f>
        <v>https://zfin.org/ZDB-GENE-010724-15</v>
      </c>
      <c r="E2091" t="s">
        <v>6254</v>
      </c>
    </row>
    <row r="2092" spans="1:5" x14ac:dyDescent="0.2">
      <c r="A2092" t="s">
        <v>6255</v>
      </c>
      <c r="B2092" t="s">
        <v>6256</v>
      </c>
      <c r="C2092" t="s">
        <v>6256</v>
      </c>
      <c r="D2092" t="str">
        <f>HYPERLINK("https://zfin.org/ZDB-GENE-050411-66")</f>
        <v>https://zfin.org/ZDB-GENE-050411-66</v>
      </c>
      <c r="E2092" t="s">
        <v>6257</v>
      </c>
    </row>
    <row r="2093" spans="1:5" x14ac:dyDescent="0.2">
      <c r="A2093" t="s">
        <v>6258</v>
      </c>
      <c r="B2093" t="s">
        <v>6259</v>
      </c>
      <c r="C2093" t="s">
        <v>6259</v>
      </c>
      <c r="D2093" t="str">
        <f>HYPERLINK("https://zfin.org/ZDB-GENE-030131-526")</f>
        <v>https://zfin.org/ZDB-GENE-030131-526</v>
      </c>
      <c r="E2093" t="s">
        <v>6260</v>
      </c>
    </row>
    <row r="2094" spans="1:5" x14ac:dyDescent="0.2">
      <c r="A2094" t="s">
        <v>6261</v>
      </c>
      <c r="B2094" t="s">
        <v>6262</v>
      </c>
      <c r="C2094" t="s">
        <v>6262</v>
      </c>
      <c r="D2094" t="str">
        <f>HYPERLINK("https://zfin.org/ZDB-GENE-050522-271")</f>
        <v>https://zfin.org/ZDB-GENE-050522-271</v>
      </c>
      <c r="E2094" t="s">
        <v>6263</v>
      </c>
    </row>
    <row r="2095" spans="1:5" x14ac:dyDescent="0.2">
      <c r="A2095" t="s">
        <v>6264</v>
      </c>
      <c r="B2095" t="s">
        <v>6265</v>
      </c>
      <c r="C2095" t="s">
        <v>6265</v>
      </c>
      <c r="D2095" t="str">
        <f>HYPERLINK("https://zfin.org/ZDB-GENE-110411-13")</f>
        <v>https://zfin.org/ZDB-GENE-110411-13</v>
      </c>
      <c r="E2095" t="s">
        <v>6266</v>
      </c>
    </row>
    <row r="2096" spans="1:5" x14ac:dyDescent="0.2">
      <c r="A2096" t="s">
        <v>6267</v>
      </c>
      <c r="B2096" t="s">
        <v>6268</v>
      </c>
      <c r="C2096" t="s">
        <v>6268</v>
      </c>
      <c r="D2096" t="str">
        <f>HYPERLINK("https://zfin.org/ZDB-GENE-071116-2")</f>
        <v>https://zfin.org/ZDB-GENE-071116-2</v>
      </c>
      <c r="E2096" t="s">
        <v>6269</v>
      </c>
    </row>
    <row r="2097" spans="1:5" x14ac:dyDescent="0.2">
      <c r="A2097" t="s">
        <v>6270</v>
      </c>
      <c r="B2097" t="s">
        <v>6271</v>
      </c>
      <c r="C2097" t="s">
        <v>6271</v>
      </c>
      <c r="D2097" t="str">
        <f>HYPERLINK("https://zfin.org/ZDB-GENE-070112-2222")</f>
        <v>https://zfin.org/ZDB-GENE-070112-2222</v>
      </c>
      <c r="E2097" t="s">
        <v>6272</v>
      </c>
    </row>
    <row r="2098" spans="1:5" x14ac:dyDescent="0.2">
      <c r="A2098" t="s">
        <v>6273</v>
      </c>
      <c r="B2098" t="s">
        <v>6274</v>
      </c>
      <c r="C2098" t="s">
        <v>6274</v>
      </c>
      <c r="D2098" t="str">
        <f>HYPERLINK("https://zfin.org/ZDB-GENE-131122-100")</f>
        <v>https://zfin.org/ZDB-GENE-131122-100</v>
      </c>
      <c r="E2098" t="s">
        <v>6275</v>
      </c>
    </row>
    <row r="2099" spans="1:5" x14ac:dyDescent="0.2">
      <c r="A2099" t="s">
        <v>6276</v>
      </c>
      <c r="B2099" t="s">
        <v>6277</v>
      </c>
      <c r="C2099" t="s">
        <v>6277</v>
      </c>
      <c r="D2099" t="str">
        <f>HYPERLINK("https://zfin.org/ZDB-GENE-121105-5")</f>
        <v>https://zfin.org/ZDB-GENE-121105-5</v>
      </c>
      <c r="E2099" t="s">
        <v>6278</v>
      </c>
    </row>
    <row r="2100" spans="1:5" x14ac:dyDescent="0.2">
      <c r="A2100" t="s">
        <v>6279</v>
      </c>
      <c r="B2100" t="s">
        <v>6280</v>
      </c>
      <c r="C2100" t="s">
        <v>6280</v>
      </c>
      <c r="D2100" t="str">
        <f>HYPERLINK("https://zfin.org/ZDB-GENE-110914-73")</f>
        <v>https://zfin.org/ZDB-GENE-110914-73</v>
      </c>
      <c r="E2100" t="s">
        <v>6281</v>
      </c>
    </row>
    <row r="2101" spans="1:5" x14ac:dyDescent="0.2">
      <c r="A2101" t="s">
        <v>6282</v>
      </c>
      <c r="B2101" t="s">
        <v>6283</v>
      </c>
      <c r="C2101" t="s">
        <v>6283</v>
      </c>
      <c r="D2101" t="str">
        <f>HYPERLINK("https://zfin.org/ZDB-GENE-050706-155")</f>
        <v>https://zfin.org/ZDB-GENE-050706-155</v>
      </c>
      <c r="E2101" t="s">
        <v>6284</v>
      </c>
    </row>
    <row r="2102" spans="1:5" x14ac:dyDescent="0.2">
      <c r="A2102" t="s">
        <v>6285</v>
      </c>
      <c r="B2102" t="s">
        <v>6286</v>
      </c>
      <c r="C2102" t="s">
        <v>6286</v>
      </c>
      <c r="D2102" t="str">
        <f>HYPERLINK("https://zfin.org/ZDB-GENE-040801-208")</f>
        <v>https://zfin.org/ZDB-GENE-040801-208</v>
      </c>
      <c r="E2102" t="s">
        <v>6287</v>
      </c>
    </row>
    <row r="2103" spans="1:5" x14ac:dyDescent="0.2">
      <c r="A2103" t="s">
        <v>6288</v>
      </c>
      <c r="B2103" t="s">
        <v>6289</v>
      </c>
      <c r="C2103" t="s">
        <v>6289</v>
      </c>
      <c r="D2103" t="str">
        <f>HYPERLINK("https://zfin.org/ZDB-GENE-060503-799")</f>
        <v>https://zfin.org/ZDB-GENE-060503-799</v>
      </c>
      <c r="E2103" t="s">
        <v>6290</v>
      </c>
    </row>
    <row r="2104" spans="1:5" x14ac:dyDescent="0.2">
      <c r="A2104" t="s">
        <v>6291</v>
      </c>
      <c r="B2104" t="s">
        <v>6292</v>
      </c>
      <c r="C2104" t="s">
        <v>6292</v>
      </c>
      <c r="D2104" t="str">
        <f>HYPERLINK("https://zfin.org/ZDB-GENE-040718-6")</f>
        <v>https://zfin.org/ZDB-GENE-040718-6</v>
      </c>
      <c r="E2104" t="s">
        <v>6293</v>
      </c>
    </row>
    <row r="2105" spans="1:5" x14ac:dyDescent="0.2">
      <c r="A2105" t="s">
        <v>6294</v>
      </c>
      <c r="B2105" t="s">
        <v>6295</v>
      </c>
      <c r="C2105" t="s">
        <v>6295</v>
      </c>
      <c r="D2105" t="str">
        <f>HYPERLINK("https://zfin.org/ZDB-GENE-060526-44")</f>
        <v>https://zfin.org/ZDB-GENE-060526-44</v>
      </c>
      <c r="E2105" t="s">
        <v>6296</v>
      </c>
    </row>
    <row r="2106" spans="1:5" x14ac:dyDescent="0.2">
      <c r="A2106" t="s">
        <v>6297</v>
      </c>
      <c r="B2106" t="s">
        <v>6298</v>
      </c>
      <c r="C2106" t="s">
        <v>6298</v>
      </c>
      <c r="D2106" t="str">
        <f>HYPERLINK("https://zfin.org/ZDB-GENE-031006-5")</f>
        <v>https://zfin.org/ZDB-GENE-031006-5</v>
      </c>
      <c r="E2106" t="s">
        <v>6299</v>
      </c>
    </row>
    <row r="2107" spans="1:5" x14ac:dyDescent="0.2">
      <c r="A2107" t="s">
        <v>6300</v>
      </c>
      <c r="B2107" t="s">
        <v>6301</v>
      </c>
      <c r="C2107" t="s">
        <v>6301</v>
      </c>
      <c r="D2107" t="str">
        <f>HYPERLINK("https://zfin.org/ZDB-GENE-110411-129")</f>
        <v>https://zfin.org/ZDB-GENE-110411-129</v>
      </c>
      <c r="E2107" t="s">
        <v>6302</v>
      </c>
    </row>
    <row r="2108" spans="1:5" x14ac:dyDescent="0.2">
      <c r="A2108" t="s">
        <v>6303</v>
      </c>
      <c r="B2108" t="s">
        <v>6304</v>
      </c>
      <c r="C2108" t="s">
        <v>6304</v>
      </c>
      <c r="D2108" t="str">
        <f>HYPERLINK("https://zfin.org/ZDB-GENE-061103-427")</f>
        <v>https://zfin.org/ZDB-GENE-061103-427</v>
      </c>
      <c r="E2108" t="s">
        <v>6305</v>
      </c>
    </row>
    <row r="2109" spans="1:5" x14ac:dyDescent="0.2">
      <c r="A2109" t="s">
        <v>6306</v>
      </c>
      <c r="B2109" t="s">
        <v>6307</v>
      </c>
      <c r="C2109" t="s">
        <v>6307</v>
      </c>
      <c r="D2109" t="str">
        <f>HYPERLINK("https://zfin.org/ZDB-GENE-060810-49")</f>
        <v>https://zfin.org/ZDB-GENE-060810-49</v>
      </c>
      <c r="E2109" t="s">
        <v>6308</v>
      </c>
    </row>
    <row r="2110" spans="1:5" x14ac:dyDescent="0.2">
      <c r="A2110" t="s">
        <v>6309</v>
      </c>
      <c r="B2110" t="s">
        <v>6310</v>
      </c>
      <c r="C2110" t="s">
        <v>6310</v>
      </c>
      <c r="D2110" t="str">
        <f>HYPERLINK("https://zfin.org/ZDB-GENE-040426-2331")</f>
        <v>https://zfin.org/ZDB-GENE-040426-2331</v>
      </c>
      <c r="E2110" t="s">
        <v>6311</v>
      </c>
    </row>
    <row r="2111" spans="1:5" x14ac:dyDescent="0.2">
      <c r="A2111" t="s">
        <v>6312</v>
      </c>
      <c r="B2111" t="s">
        <v>6313</v>
      </c>
      <c r="C2111" t="s">
        <v>6313</v>
      </c>
      <c r="D2111" t="str">
        <f>HYPERLINK("https://zfin.org/ZDB-GENE-040303-4")</f>
        <v>https://zfin.org/ZDB-GENE-040303-4</v>
      </c>
      <c r="E2111" t="s">
        <v>6314</v>
      </c>
    </row>
    <row r="2112" spans="1:5" x14ac:dyDescent="0.2">
      <c r="A2112" t="s">
        <v>6315</v>
      </c>
      <c r="B2112" t="s">
        <v>6316</v>
      </c>
      <c r="C2112" t="s">
        <v>6316</v>
      </c>
      <c r="D2112" t="str">
        <f>HYPERLINK("https://zfin.org/ZDB-GENE-141222-48")</f>
        <v>https://zfin.org/ZDB-GENE-141222-48</v>
      </c>
      <c r="E2112" t="s">
        <v>6317</v>
      </c>
    </row>
    <row r="2113" spans="1:5" x14ac:dyDescent="0.2">
      <c r="A2113" t="s">
        <v>6318</v>
      </c>
      <c r="B2113" t="s">
        <v>6319</v>
      </c>
      <c r="C2113" t="s">
        <v>6319</v>
      </c>
      <c r="D2113" t="str">
        <f>HYPERLINK("https://zfin.org/ZDB-GENE-050522-335")</f>
        <v>https://zfin.org/ZDB-GENE-050522-335</v>
      </c>
      <c r="E2113" t="s">
        <v>6320</v>
      </c>
    </row>
    <row r="2114" spans="1:5" x14ac:dyDescent="0.2">
      <c r="A2114" t="s">
        <v>6321</v>
      </c>
      <c r="B2114" t="s">
        <v>6322</v>
      </c>
      <c r="C2114" t="s">
        <v>6322</v>
      </c>
      <c r="D2114" t="str">
        <f>HYPERLINK("https://zfin.org/ZDB-GENE-060503-646")</f>
        <v>https://zfin.org/ZDB-GENE-060503-646</v>
      </c>
      <c r="E2114" t="s">
        <v>6323</v>
      </c>
    </row>
    <row r="2115" spans="1:5" x14ac:dyDescent="0.2">
      <c r="A2115" t="s">
        <v>6324</v>
      </c>
      <c r="B2115" t="s">
        <v>6325</v>
      </c>
      <c r="C2115" t="s">
        <v>6325</v>
      </c>
      <c r="D2115" t="str">
        <f>HYPERLINK("https://zfin.org/ZDB-GENE-070410-62")</f>
        <v>https://zfin.org/ZDB-GENE-070410-62</v>
      </c>
      <c r="E2115" t="s">
        <v>6326</v>
      </c>
    </row>
    <row r="2116" spans="1:5" x14ac:dyDescent="0.2">
      <c r="A2116" t="s">
        <v>6327</v>
      </c>
      <c r="B2116" t="s">
        <v>6328</v>
      </c>
      <c r="C2116" t="s">
        <v>6328</v>
      </c>
      <c r="D2116" t="str">
        <f>HYPERLINK("https://zfin.org/ZDB-GENE-040901-7")</f>
        <v>https://zfin.org/ZDB-GENE-040901-7</v>
      </c>
      <c r="E2116" t="s">
        <v>6329</v>
      </c>
    </row>
    <row r="2117" spans="1:5" x14ac:dyDescent="0.2">
      <c r="A2117" t="s">
        <v>6330</v>
      </c>
      <c r="B2117" t="s">
        <v>6331</v>
      </c>
      <c r="C2117" t="s">
        <v>6331</v>
      </c>
      <c r="D2117" t="str">
        <f>HYPERLINK("https://zfin.org/ZDB-GENE-040426-2102")</f>
        <v>https://zfin.org/ZDB-GENE-040426-2102</v>
      </c>
      <c r="E2117" t="s">
        <v>6332</v>
      </c>
    </row>
    <row r="2118" spans="1:5" x14ac:dyDescent="0.2">
      <c r="A2118" t="s">
        <v>6333</v>
      </c>
      <c r="B2118" t="s">
        <v>6334</v>
      </c>
      <c r="C2118" t="s">
        <v>6334</v>
      </c>
      <c r="D2118" t="str">
        <f>HYPERLINK("https://zfin.org/ZDB-GENE-060503-768")</f>
        <v>https://zfin.org/ZDB-GENE-060503-768</v>
      </c>
      <c r="E2118" t="s">
        <v>6335</v>
      </c>
    </row>
    <row r="2119" spans="1:5" x14ac:dyDescent="0.2">
      <c r="A2119" t="s">
        <v>6336</v>
      </c>
      <c r="B2119" t="s">
        <v>6337</v>
      </c>
      <c r="C2119" t="s">
        <v>6337</v>
      </c>
      <c r="D2119" t="str">
        <f>HYPERLINK("https://zfin.org/ZDB-GENE-100922-90")</f>
        <v>https://zfin.org/ZDB-GENE-100922-90</v>
      </c>
      <c r="E2119" t="s">
        <v>6338</v>
      </c>
    </row>
    <row r="2120" spans="1:5" x14ac:dyDescent="0.2">
      <c r="A2120" t="s">
        <v>6339</v>
      </c>
      <c r="B2120" t="s">
        <v>6340</v>
      </c>
      <c r="C2120" t="s">
        <v>6340</v>
      </c>
      <c r="D2120" t="str">
        <f>HYPERLINK("https://zfin.org/ZDB-GENE-131127-454")</f>
        <v>https://zfin.org/ZDB-GENE-131127-454</v>
      </c>
      <c r="E2120" t="s">
        <v>6341</v>
      </c>
    </row>
    <row r="2121" spans="1:5" x14ac:dyDescent="0.2">
      <c r="A2121" t="s">
        <v>6342</v>
      </c>
      <c r="B2121" t="s">
        <v>6343</v>
      </c>
      <c r="C2121" t="s">
        <v>6343</v>
      </c>
      <c r="D2121" t="str">
        <f>HYPERLINK("https://zfin.org/ZDB-GENE-070912-540")</f>
        <v>https://zfin.org/ZDB-GENE-070912-540</v>
      </c>
      <c r="E2121" t="s">
        <v>6344</v>
      </c>
    </row>
    <row r="2122" spans="1:5" x14ac:dyDescent="0.2">
      <c r="A2122" t="s">
        <v>6345</v>
      </c>
      <c r="B2122" t="s">
        <v>6346</v>
      </c>
      <c r="C2122" t="s">
        <v>6346</v>
      </c>
      <c r="D2122" t="str">
        <f>HYPERLINK("https://zfin.org/ZDB-GENE-030131-3552")</f>
        <v>https://zfin.org/ZDB-GENE-030131-3552</v>
      </c>
      <c r="E2122" t="s">
        <v>6347</v>
      </c>
    </row>
    <row r="2123" spans="1:5" x14ac:dyDescent="0.2">
      <c r="A2123" t="s">
        <v>6348</v>
      </c>
      <c r="B2123" t="s">
        <v>6349</v>
      </c>
      <c r="C2123" t="s">
        <v>6349</v>
      </c>
      <c r="D2123" t="str">
        <f>HYPERLINK("https://zfin.org/ZDB-GENE-050302-128")</f>
        <v>https://zfin.org/ZDB-GENE-050302-128</v>
      </c>
      <c r="E2123" t="s">
        <v>6350</v>
      </c>
    </row>
    <row r="2124" spans="1:5" x14ac:dyDescent="0.2">
      <c r="A2124" t="s">
        <v>6351</v>
      </c>
      <c r="B2124" t="s">
        <v>6352</v>
      </c>
      <c r="C2124" t="s">
        <v>6352</v>
      </c>
      <c r="D2124" t="str">
        <f>HYPERLINK("https://zfin.org/ZDB-GENE-050417-119")</f>
        <v>https://zfin.org/ZDB-GENE-050417-119</v>
      </c>
      <c r="E2124" t="s">
        <v>6353</v>
      </c>
    </row>
    <row r="2125" spans="1:5" x14ac:dyDescent="0.2">
      <c r="A2125" t="s">
        <v>6354</v>
      </c>
      <c r="B2125" t="s">
        <v>6355</v>
      </c>
      <c r="C2125" t="s">
        <v>6355</v>
      </c>
      <c r="D2125" t="str">
        <f>HYPERLINK("https://zfin.org/ZDB-GENE-040426-2333")</f>
        <v>https://zfin.org/ZDB-GENE-040426-2333</v>
      </c>
      <c r="E2125" t="s">
        <v>6356</v>
      </c>
    </row>
    <row r="2126" spans="1:5" x14ac:dyDescent="0.2">
      <c r="A2126" t="s">
        <v>6357</v>
      </c>
      <c r="B2126" t="s">
        <v>6358</v>
      </c>
      <c r="C2126" t="s">
        <v>6358</v>
      </c>
      <c r="D2126" t="str">
        <f>HYPERLINK("https://zfin.org/ZDB-GENE-000616-10")</f>
        <v>https://zfin.org/ZDB-GENE-000616-10</v>
      </c>
      <c r="E2126" t="s">
        <v>6359</v>
      </c>
    </row>
    <row r="2127" spans="1:5" x14ac:dyDescent="0.2">
      <c r="A2127" t="s">
        <v>6360</v>
      </c>
      <c r="B2127" t="s">
        <v>6361</v>
      </c>
      <c r="C2127" t="s">
        <v>6361</v>
      </c>
      <c r="D2127" t="str">
        <f>HYPERLINK("https://zfin.org/ZDB-GENE-040625-135")</f>
        <v>https://zfin.org/ZDB-GENE-040625-135</v>
      </c>
      <c r="E2127" t="s">
        <v>6362</v>
      </c>
    </row>
    <row r="2128" spans="1:5" x14ac:dyDescent="0.2">
      <c r="A2128" t="s">
        <v>6363</v>
      </c>
      <c r="B2128" t="s">
        <v>6364</v>
      </c>
      <c r="C2128" t="s">
        <v>6364</v>
      </c>
      <c r="D2128" t="str">
        <f>HYPERLINK("https://zfin.org/ZDB-GENE-050417-170")</f>
        <v>https://zfin.org/ZDB-GENE-050417-170</v>
      </c>
      <c r="E2128" t="s">
        <v>6365</v>
      </c>
    </row>
    <row r="2129" spans="1:5" x14ac:dyDescent="0.2">
      <c r="A2129" t="s">
        <v>6366</v>
      </c>
      <c r="B2129" t="s">
        <v>6367</v>
      </c>
      <c r="C2129" t="s">
        <v>6367</v>
      </c>
      <c r="D2129" t="str">
        <f>HYPERLINK("https://zfin.org/ZDB-GENE-101005-2")</f>
        <v>https://zfin.org/ZDB-GENE-101005-2</v>
      </c>
      <c r="E2129" t="s">
        <v>6368</v>
      </c>
    </row>
    <row r="2130" spans="1:5" x14ac:dyDescent="0.2">
      <c r="A2130" t="s">
        <v>6369</v>
      </c>
      <c r="B2130" t="s">
        <v>6370</v>
      </c>
      <c r="C2130" t="s">
        <v>6370</v>
      </c>
      <c r="D2130" t="str">
        <f>HYPERLINK("https://zfin.org/ZDB-GENE-141212-258")</f>
        <v>https://zfin.org/ZDB-GENE-141212-258</v>
      </c>
      <c r="E2130" t="s">
        <v>6371</v>
      </c>
    </row>
    <row r="2131" spans="1:5" x14ac:dyDescent="0.2">
      <c r="A2131" t="s">
        <v>6372</v>
      </c>
      <c r="B2131" t="s">
        <v>6373</v>
      </c>
      <c r="C2131" t="s">
        <v>6373</v>
      </c>
      <c r="D2131" t="str">
        <f>HYPERLINK("https://zfin.org/ZDB-GENE-061207-26")</f>
        <v>https://zfin.org/ZDB-GENE-061207-26</v>
      </c>
      <c r="E2131" t="s">
        <v>6374</v>
      </c>
    </row>
    <row r="2132" spans="1:5" x14ac:dyDescent="0.2">
      <c r="A2132" t="s">
        <v>6375</v>
      </c>
      <c r="B2132" t="s">
        <v>6376</v>
      </c>
      <c r="C2132" t="s">
        <v>6376</v>
      </c>
      <c r="D2132" t="str">
        <f>HYPERLINK("https://zfin.org/ZDB-GENE-030131-4120")</f>
        <v>https://zfin.org/ZDB-GENE-030131-4120</v>
      </c>
      <c r="E2132" t="s">
        <v>6377</v>
      </c>
    </row>
    <row r="2133" spans="1:5" x14ac:dyDescent="0.2">
      <c r="A2133" t="s">
        <v>6378</v>
      </c>
      <c r="B2133" t="s">
        <v>6379</v>
      </c>
      <c r="C2133" t="s">
        <v>6379</v>
      </c>
      <c r="D2133" t="str">
        <f>HYPERLINK("https://zfin.org/ZDB-GENE-050417-298")</f>
        <v>https://zfin.org/ZDB-GENE-050417-298</v>
      </c>
      <c r="E2133" t="s">
        <v>6380</v>
      </c>
    </row>
    <row r="2134" spans="1:5" x14ac:dyDescent="0.2">
      <c r="A2134" t="s">
        <v>6381</v>
      </c>
      <c r="B2134" t="s">
        <v>6382</v>
      </c>
      <c r="C2134" t="s">
        <v>6382</v>
      </c>
      <c r="D2134" t="str">
        <f>HYPERLINK("https://zfin.org/ZDB-GENE-090313-81")</f>
        <v>https://zfin.org/ZDB-GENE-090313-81</v>
      </c>
      <c r="E2134" t="s">
        <v>6383</v>
      </c>
    </row>
    <row r="2135" spans="1:5" x14ac:dyDescent="0.2">
      <c r="A2135" t="s">
        <v>6384</v>
      </c>
      <c r="B2135" t="s">
        <v>6385</v>
      </c>
      <c r="C2135" t="s">
        <v>6385</v>
      </c>
      <c r="D2135" t="str">
        <f>HYPERLINK("https://zfin.org/ZDB-GENE-030131-7655")</f>
        <v>https://zfin.org/ZDB-GENE-030131-7655</v>
      </c>
      <c r="E2135" t="s">
        <v>6386</v>
      </c>
    </row>
    <row r="2136" spans="1:5" x14ac:dyDescent="0.2">
      <c r="A2136" t="s">
        <v>6387</v>
      </c>
      <c r="B2136" t="s">
        <v>6388</v>
      </c>
      <c r="C2136" t="s">
        <v>6388</v>
      </c>
      <c r="D2136" t="str">
        <f>HYPERLINK("https://zfin.org/ZDB-GENE-051213-1")</f>
        <v>https://zfin.org/ZDB-GENE-051213-1</v>
      </c>
      <c r="E2136" t="s">
        <v>6389</v>
      </c>
    </row>
    <row r="2137" spans="1:5" x14ac:dyDescent="0.2">
      <c r="A2137" t="s">
        <v>6390</v>
      </c>
      <c r="B2137" t="s">
        <v>6391</v>
      </c>
      <c r="C2137" t="s">
        <v>6391</v>
      </c>
      <c r="D2137" t="str">
        <f>HYPERLINK("https://zfin.org/ZDB-GENE-100405-4")</f>
        <v>https://zfin.org/ZDB-GENE-100405-4</v>
      </c>
      <c r="E2137" t="s">
        <v>6392</v>
      </c>
    </row>
    <row r="2138" spans="1:5" x14ac:dyDescent="0.2">
      <c r="A2138" t="s">
        <v>6393</v>
      </c>
      <c r="B2138" t="s">
        <v>6394</v>
      </c>
      <c r="C2138" t="s">
        <v>6394</v>
      </c>
      <c r="D2138" t="str">
        <f>HYPERLINK("https://zfin.org/ZDB-GENE-020910-1")</f>
        <v>https://zfin.org/ZDB-GENE-020910-1</v>
      </c>
      <c r="E2138" t="s">
        <v>6395</v>
      </c>
    </row>
    <row r="2139" spans="1:5" x14ac:dyDescent="0.2">
      <c r="A2139" t="s">
        <v>6396</v>
      </c>
      <c r="B2139" t="s">
        <v>6397</v>
      </c>
      <c r="C2139" t="s">
        <v>6397</v>
      </c>
      <c r="D2139" t="str">
        <f>HYPERLINK("https://zfin.org/ZDB-GENE-040426-2937")</f>
        <v>https://zfin.org/ZDB-GENE-040426-2937</v>
      </c>
      <c r="E2139" t="s">
        <v>6398</v>
      </c>
    </row>
    <row r="2140" spans="1:5" x14ac:dyDescent="0.2">
      <c r="A2140" t="s">
        <v>6399</v>
      </c>
      <c r="B2140" t="s">
        <v>6400</v>
      </c>
      <c r="C2140" t="s">
        <v>6400</v>
      </c>
      <c r="D2140" t="str">
        <f>HYPERLINK("https://zfin.org/ZDB-GENE-070808-1")</f>
        <v>https://zfin.org/ZDB-GENE-070808-1</v>
      </c>
      <c r="E2140" t="s">
        <v>6401</v>
      </c>
    </row>
    <row r="2141" spans="1:5" x14ac:dyDescent="0.2">
      <c r="A2141" t="s">
        <v>6402</v>
      </c>
      <c r="B2141" t="s">
        <v>6403</v>
      </c>
      <c r="C2141" t="s">
        <v>6403</v>
      </c>
      <c r="D2141" t="str">
        <f>HYPERLINK("https://zfin.org/ZDB-GENE-060503-458")</f>
        <v>https://zfin.org/ZDB-GENE-060503-458</v>
      </c>
      <c r="E2141" t="s">
        <v>6404</v>
      </c>
    </row>
    <row r="2142" spans="1:5" x14ac:dyDescent="0.2">
      <c r="A2142" t="s">
        <v>6405</v>
      </c>
      <c r="B2142" t="s">
        <v>6406</v>
      </c>
      <c r="C2142" t="s">
        <v>6406</v>
      </c>
      <c r="D2142" t="str">
        <f>HYPERLINK("https://zfin.org/ZDB-GENE-030131-7523")</f>
        <v>https://zfin.org/ZDB-GENE-030131-7523</v>
      </c>
      <c r="E2142" t="s">
        <v>6407</v>
      </c>
    </row>
    <row r="2143" spans="1:5" x14ac:dyDescent="0.2">
      <c r="A2143" t="s">
        <v>6408</v>
      </c>
      <c r="B2143" t="s">
        <v>6409</v>
      </c>
      <c r="C2143" t="s">
        <v>6409</v>
      </c>
      <c r="D2143" t="str">
        <f>HYPERLINK("https://zfin.org/ZDB-GENE-070622-4")</f>
        <v>https://zfin.org/ZDB-GENE-070622-4</v>
      </c>
      <c r="E2143" t="s">
        <v>6410</v>
      </c>
    </row>
    <row r="2144" spans="1:5" x14ac:dyDescent="0.2">
      <c r="A2144" t="s">
        <v>6411</v>
      </c>
      <c r="B2144" t="s">
        <v>6412</v>
      </c>
      <c r="C2144" t="s">
        <v>6412</v>
      </c>
      <c r="D2144" t="str">
        <f>HYPERLINK("https://zfin.org/ZDB-GENE-121214-289")</f>
        <v>https://zfin.org/ZDB-GENE-121214-289</v>
      </c>
      <c r="E2144" t="s">
        <v>6413</v>
      </c>
    </row>
    <row r="2145" spans="1:5" x14ac:dyDescent="0.2">
      <c r="A2145" t="s">
        <v>6414</v>
      </c>
      <c r="B2145" t="s">
        <v>6415</v>
      </c>
      <c r="C2145" t="s">
        <v>6415</v>
      </c>
      <c r="D2145" t="str">
        <f>HYPERLINK("https://zfin.org/ZDB-GENE-040426-1951")</f>
        <v>https://zfin.org/ZDB-GENE-040426-1951</v>
      </c>
      <c r="E2145" t="s">
        <v>6416</v>
      </c>
    </row>
    <row r="2146" spans="1:5" x14ac:dyDescent="0.2">
      <c r="A2146" t="s">
        <v>6417</v>
      </c>
      <c r="B2146" t="s">
        <v>6418</v>
      </c>
      <c r="C2146" t="s">
        <v>6418</v>
      </c>
      <c r="D2146" t="str">
        <f>HYPERLINK("https://zfin.org/ZDB-GENE-041010-69")</f>
        <v>https://zfin.org/ZDB-GENE-041010-69</v>
      </c>
      <c r="E2146" t="s">
        <v>6419</v>
      </c>
    </row>
    <row r="2147" spans="1:5" x14ac:dyDescent="0.2">
      <c r="A2147" t="s">
        <v>6420</v>
      </c>
      <c r="B2147" t="s">
        <v>6421</v>
      </c>
      <c r="C2147" t="s">
        <v>6421</v>
      </c>
      <c r="D2147" t="str">
        <f>HYPERLINK("https://zfin.org/ZDB-GENE-040310-5")</f>
        <v>https://zfin.org/ZDB-GENE-040310-5</v>
      </c>
      <c r="E2147" t="s">
        <v>6422</v>
      </c>
    </row>
    <row r="2148" spans="1:5" x14ac:dyDescent="0.2">
      <c r="A2148" t="s">
        <v>6423</v>
      </c>
      <c r="B2148" t="s">
        <v>6424</v>
      </c>
      <c r="C2148" t="s">
        <v>6424</v>
      </c>
      <c r="D2148" t="str">
        <f>HYPERLINK("https://zfin.org/ZDB-GENE-060607-12")</f>
        <v>https://zfin.org/ZDB-GENE-060607-12</v>
      </c>
      <c r="E2148" t="s">
        <v>6425</v>
      </c>
    </row>
    <row r="2149" spans="1:5" x14ac:dyDescent="0.2">
      <c r="A2149" t="s">
        <v>6426</v>
      </c>
      <c r="B2149" t="s">
        <v>6427</v>
      </c>
      <c r="C2149" t="s">
        <v>6427</v>
      </c>
      <c r="D2149" t="str">
        <f>HYPERLINK("https://zfin.org/ZDB-GENE-031030-15")</f>
        <v>https://zfin.org/ZDB-GENE-031030-15</v>
      </c>
      <c r="E2149" t="s">
        <v>6428</v>
      </c>
    </row>
    <row r="2150" spans="1:5" x14ac:dyDescent="0.2">
      <c r="A2150" t="s">
        <v>6429</v>
      </c>
      <c r="B2150" t="s">
        <v>6430</v>
      </c>
      <c r="C2150" t="s">
        <v>6430</v>
      </c>
      <c r="D2150" t="str">
        <f>HYPERLINK("https://zfin.org/ZDB-GENE-070912-532")</f>
        <v>https://zfin.org/ZDB-GENE-070912-532</v>
      </c>
      <c r="E2150" t="s">
        <v>6431</v>
      </c>
    </row>
    <row r="2151" spans="1:5" x14ac:dyDescent="0.2">
      <c r="A2151" t="s">
        <v>6432</v>
      </c>
      <c r="B2151" t="s">
        <v>6433</v>
      </c>
      <c r="C2151" t="s">
        <v>6433</v>
      </c>
      <c r="D2151" t="str">
        <f>HYPERLINK("https://zfin.org/ZDB-GENE-071116-3")</f>
        <v>https://zfin.org/ZDB-GENE-071116-3</v>
      </c>
      <c r="E2151" t="s">
        <v>6434</v>
      </c>
    </row>
    <row r="2152" spans="1:5" x14ac:dyDescent="0.2">
      <c r="A2152" t="s">
        <v>6435</v>
      </c>
      <c r="B2152" t="s">
        <v>6436</v>
      </c>
      <c r="C2152" t="s">
        <v>6436</v>
      </c>
      <c r="D2152" t="str">
        <f>HYPERLINK("https://zfin.org/ZDB-GENE-040502-1")</f>
        <v>https://zfin.org/ZDB-GENE-040502-1</v>
      </c>
      <c r="E2152" t="s">
        <v>6437</v>
      </c>
    </row>
    <row r="2153" spans="1:5" x14ac:dyDescent="0.2">
      <c r="A2153" t="s">
        <v>6438</v>
      </c>
      <c r="B2153" t="s">
        <v>6439</v>
      </c>
      <c r="C2153" t="s">
        <v>6439</v>
      </c>
      <c r="D2153" t="str">
        <f>HYPERLINK("https://zfin.org/ZDB-GENE-030131-3936")</f>
        <v>https://zfin.org/ZDB-GENE-030131-3936</v>
      </c>
      <c r="E2153" t="s">
        <v>6440</v>
      </c>
    </row>
    <row r="2154" spans="1:5" x14ac:dyDescent="0.2">
      <c r="A2154" t="s">
        <v>6441</v>
      </c>
      <c r="B2154" t="s">
        <v>6442</v>
      </c>
      <c r="C2154" t="s">
        <v>6442</v>
      </c>
      <c r="D2154" t="str">
        <f>HYPERLINK("https://zfin.org/ZDB-GENE-090624-5")</f>
        <v>https://zfin.org/ZDB-GENE-090624-5</v>
      </c>
      <c r="E2154" t="s">
        <v>6443</v>
      </c>
    </row>
    <row r="2155" spans="1:5" x14ac:dyDescent="0.2">
      <c r="A2155" t="s">
        <v>6444</v>
      </c>
      <c r="B2155" t="s">
        <v>6445</v>
      </c>
      <c r="C2155" t="s">
        <v>6445</v>
      </c>
      <c r="D2155" t="str">
        <f>HYPERLINK("https://zfin.org/ZDB-GENE-040801-147")</f>
        <v>https://zfin.org/ZDB-GENE-040801-147</v>
      </c>
      <c r="E2155" t="s">
        <v>6446</v>
      </c>
    </row>
    <row r="2156" spans="1:5" x14ac:dyDescent="0.2">
      <c r="A2156" t="s">
        <v>6447</v>
      </c>
      <c r="B2156" t="s">
        <v>6448</v>
      </c>
      <c r="C2156" t="s">
        <v>6448</v>
      </c>
      <c r="D2156" t="str">
        <f>HYPERLINK("https://zfin.org/ZDB-GENE-131125-25")</f>
        <v>https://zfin.org/ZDB-GENE-131125-25</v>
      </c>
      <c r="E2156" t="s">
        <v>6449</v>
      </c>
    </row>
    <row r="2157" spans="1:5" x14ac:dyDescent="0.2">
      <c r="A2157" t="s">
        <v>6450</v>
      </c>
      <c r="B2157" t="s">
        <v>6451</v>
      </c>
      <c r="C2157" t="s">
        <v>6451</v>
      </c>
      <c r="D2157" t="str">
        <f>HYPERLINK("https://zfin.org/ZDB-GENE-070912-587")</f>
        <v>https://zfin.org/ZDB-GENE-070912-587</v>
      </c>
      <c r="E2157" t="s">
        <v>6452</v>
      </c>
    </row>
    <row r="2158" spans="1:5" x14ac:dyDescent="0.2">
      <c r="A2158" t="s">
        <v>6453</v>
      </c>
      <c r="B2158" t="s">
        <v>6454</v>
      </c>
      <c r="C2158" t="s">
        <v>6454</v>
      </c>
      <c r="D2158" t="str">
        <f>HYPERLINK("https://zfin.org/ZDB-GENE-030131-1226")</f>
        <v>https://zfin.org/ZDB-GENE-030131-1226</v>
      </c>
      <c r="E2158" t="s">
        <v>6455</v>
      </c>
    </row>
    <row r="2159" spans="1:5" x14ac:dyDescent="0.2">
      <c r="A2159" t="s">
        <v>6456</v>
      </c>
      <c r="B2159" t="s">
        <v>6457</v>
      </c>
      <c r="C2159" t="s">
        <v>6457</v>
      </c>
      <c r="D2159" t="str">
        <f>HYPERLINK("https://zfin.org/ZDB-GENE-060503-120")</f>
        <v>https://zfin.org/ZDB-GENE-060503-120</v>
      </c>
      <c r="E2159" t="s">
        <v>6458</v>
      </c>
    </row>
    <row r="2160" spans="1:5" x14ac:dyDescent="0.2">
      <c r="A2160" t="s">
        <v>6459</v>
      </c>
      <c r="B2160" t="s">
        <v>6460</v>
      </c>
      <c r="C2160" t="s">
        <v>6460</v>
      </c>
      <c r="D2160" t="str">
        <f>HYPERLINK("https://zfin.org/ZDB-GENE-070905-3")</f>
        <v>https://zfin.org/ZDB-GENE-070905-3</v>
      </c>
      <c r="E2160" t="s">
        <v>6461</v>
      </c>
    </row>
    <row r="2161" spans="1:5" x14ac:dyDescent="0.2">
      <c r="A2161" t="s">
        <v>6462</v>
      </c>
      <c r="B2161" t="s">
        <v>6463</v>
      </c>
      <c r="C2161" t="s">
        <v>6463</v>
      </c>
      <c r="D2161" t="str">
        <f>HYPERLINK("https://zfin.org/ZDB-GENE-070615-24")</f>
        <v>https://zfin.org/ZDB-GENE-070615-24</v>
      </c>
      <c r="E2161" t="s">
        <v>6464</v>
      </c>
    </row>
    <row r="2162" spans="1:5" x14ac:dyDescent="0.2">
      <c r="A2162" t="s">
        <v>6465</v>
      </c>
      <c r="B2162" t="s">
        <v>6466</v>
      </c>
      <c r="C2162" t="s">
        <v>6466</v>
      </c>
      <c r="D2162" t="str">
        <f>HYPERLINK("https://zfin.org/ZDB-GENE-030408-1")</f>
        <v>https://zfin.org/ZDB-GENE-030408-1</v>
      </c>
      <c r="E2162" t="s">
        <v>6467</v>
      </c>
    </row>
    <row r="2163" spans="1:5" x14ac:dyDescent="0.2">
      <c r="A2163" t="s">
        <v>6468</v>
      </c>
      <c r="B2163" t="s">
        <v>6469</v>
      </c>
      <c r="C2163" t="s">
        <v>6469</v>
      </c>
      <c r="D2163" t="str">
        <f>HYPERLINK("https://zfin.org/ZDB-GENE-050506-30")</f>
        <v>https://zfin.org/ZDB-GENE-050506-30</v>
      </c>
      <c r="E2163" t="s">
        <v>6470</v>
      </c>
    </row>
    <row r="2164" spans="1:5" x14ac:dyDescent="0.2">
      <c r="A2164" t="s">
        <v>6471</v>
      </c>
      <c r="B2164" t="s">
        <v>6472</v>
      </c>
      <c r="C2164" t="s">
        <v>6472</v>
      </c>
      <c r="D2164" t="str">
        <f>HYPERLINK("https://zfin.org/ZDB-GENE-090312-167")</f>
        <v>https://zfin.org/ZDB-GENE-090312-167</v>
      </c>
      <c r="E2164" t="s">
        <v>6473</v>
      </c>
    </row>
    <row r="2165" spans="1:5" x14ac:dyDescent="0.2">
      <c r="A2165" t="s">
        <v>6474</v>
      </c>
      <c r="B2165" t="s">
        <v>6475</v>
      </c>
      <c r="C2165" t="s">
        <v>6475</v>
      </c>
      <c r="D2165" t="str">
        <f>HYPERLINK("https://zfin.org/ZDB-GENE-060818-36")</f>
        <v>https://zfin.org/ZDB-GENE-060818-36</v>
      </c>
      <c r="E2165" t="s">
        <v>6476</v>
      </c>
    </row>
    <row r="2166" spans="1:5" x14ac:dyDescent="0.2">
      <c r="A2166" t="s">
        <v>6477</v>
      </c>
      <c r="B2166" t="s">
        <v>6478</v>
      </c>
      <c r="C2166" t="s">
        <v>6478</v>
      </c>
      <c r="D2166" t="str">
        <f>HYPERLINK("https://zfin.org/ZDB-GENE-050706-107")</f>
        <v>https://zfin.org/ZDB-GENE-050706-107</v>
      </c>
      <c r="E2166" t="s">
        <v>6479</v>
      </c>
    </row>
    <row r="2167" spans="1:5" x14ac:dyDescent="0.2">
      <c r="A2167" t="s">
        <v>6480</v>
      </c>
      <c r="B2167" t="s">
        <v>6481</v>
      </c>
      <c r="C2167" t="s">
        <v>6481</v>
      </c>
      <c r="D2167" t="str">
        <f>HYPERLINK("https://zfin.org/ZDB-GENE-091204-393")</f>
        <v>https://zfin.org/ZDB-GENE-091204-393</v>
      </c>
      <c r="E2167" t="s">
        <v>6482</v>
      </c>
    </row>
    <row r="2168" spans="1:5" x14ac:dyDescent="0.2">
      <c r="A2168" t="s">
        <v>6483</v>
      </c>
      <c r="B2168" t="s">
        <v>6484</v>
      </c>
      <c r="C2168" t="s">
        <v>6484</v>
      </c>
      <c r="D2168" t="str">
        <f>HYPERLINK("https://zfin.org/ZDB-GENE-040426-1846")</f>
        <v>https://zfin.org/ZDB-GENE-040426-1846</v>
      </c>
      <c r="E2168" t="s">
        <v>6485</v>
      </c>
    </row>
    <row r="2169" spans="1:5" x14ac:dyDescent="0.2">
      <c r="A2169" t="s">
        <v>6486</v>
      </c>
      <c r="B2169" t="s">
        <v>6487</v>
      </c>
      <c r="C2169" t="s">
        <v>6487</v>
      </c>
      <c r="D2169" t="str">
        <f>HYPERLINK("https://zfin.org/ZDB-GENE-070912-338")</f>
        <v>https://zfin.org/ZDB-GENE-070912-338</v>
      </c>
      <c r="E2169" t="s">
        <v>6488</v>
      </c>
    </row>
    <row r="2170" spans="1:5" x14ac:dyDescent="0.2">
      <c r="A2170" t="s">
        <v>6489</v>
      </c>
      <c r="B2170" t="s">
        <v>6490</v>
      </c>
      <c r="C2170" t="s">
        <v>6490</v>
      </c>
      <c r="D2170" t="str">
        <f>HYPERLINK("https://zfin.org/ZDB-GENE-130206-10")</f>
        <v>https://zfin.org/ZDB-GENE-130206-10</v>
      </c>
      <c r="E2170" t="s">
        <v>6491</v>
      </c>
    </row>
    <row r="2171" spans="1:5" x14ac:dyDescent="0.2">
      <c r="A2171" t="s">
        <v>6492</v>
      </c>
      <c r="B2171" t="s">
        <v>6493</v>
      </c>
      <c r="C2171" t="s">
        <v>6493</v>
      </c>
      <c r="D2171" t="str">
        <f>HYPERLINK("https://zfin.org/ZDB-GENE-030131-4714")</f>
        <v>https://zfin.org/ZDB-GENE-030131-4714</v>
      </c>
      <c r="E2171" t="s">
        <v>6494</v>
      </c>
    </row>
    <row r="2172" spans="1:5" x14ac:dyDescent="0.2">
      <c r="A2172" t="s">
        <v>6495</v>
      </c>
      <c r="B2172" t="s">
        <v>6496</v>
      </c>
      <c r="C2172" t="s">
        <v>6496</v>
      </c>
      <c r="D2172" t="str">
        <f>HYPERLINK("https://zfin.org/ZDB-GENE-040426-700")</f>
        <v>https://zfin.org/ZDB-GENE-040426-700</v>
      </c>
      <c r="E2172" t="s">
        <v>6497</v>
      </c>
    </row>
    <row r="2173" spans="1:5" x14ac:dyDescent="0.2">
      <c r="A2173" t="s">
        <v>6498</v>
      </c>
      <c r="B2173" t="s">
        <v>6499</v>
      </c>
      <c r="C2173" t="s">
        <v>6499</v>
      </c>
      <c r="D2173" t="str">
        <f>HYPERLINK("https://zfin.org/ZDB-GENE-060531-78")</f>
        <v>https://zfin.org/ZDB-GENE-060531-78</v>
      </c>
      <c r="E2173" t="s">
        <v>6500</v>
      </c>
    </row>
    <row r="2174" spans="1:5" x14ac:dyDescent="0.2">
      <c r="A2174" t="s">
        <v>6501</v>
      </c>
      <c r="B2174" t="s">
        <v>6502</v>
      </c>
      <c r="C2174" t="s">
        <v>6502</v>
      </c>
      <c r="D2174" t="str">
        <f>HYPERLINK("https://zfin.org/ZDB-GENE-990415-20")</f>
        <v>https://zfin.org/ZDB-GENE-990415-20</v>
      </c>
      <c r="E2174" t="s">
        <v>6503</v>
      </c>
    </row>
    <row r="2175" spans="1:5" x14ac:dyDescent="0.2">
      <c r="A2175" t="s">
        <v>6504</v>
      </c>
      <c r="B2175" t="s">
        <v>6505</v>
      </c>
      <c r="C2175" t="s">
        <v>6505</v>
      </c>
      <c r="D2175" t="str">
        <f>HYPERLINK("https://zfin.org/ZDB-GENE-051129-2")</f>
        <v>https://zfin.org/ZDB-GENE-051129-2</v>
      </c>
      <c r="E2175" t="s">
        <v>6506</v>
      </c>
    </row>
    <row r="2176" spans="1:5" x14ac:dyDescent="0.2">
      <c r="A2176" t="s">
        <v>6507</v>
      </c>
      <c r="B2176" t="s">
        <v>6508</v>
      </c>
      <c r="C2176" t="s">
        <v>6508</v>
      </c>
      <c r="D2176" t="str">
        <f>HYPERLINK("https://zfin.org/ZDB-GENE-120709-10")</f>
        <v>https://zfin.org/ZDB-GENE-120709-10</v>
      </c>
      <c r="E2176" t="s">
        <v>6509</v>
      </c>
    </row>
    <row r="2177" spans="1:5" x14ac:dyDescent="0.2">
      <c r="A2177" t="s">
        <v>6510</v>
      </c>
      <c r="B2177" t="s">
        <v>6511</v>
      </c>
      <c r="C2177" t="s">
        <v>6511</v>
      </c>
      <c r="D2177" t="str">
        <f>HYPERLINK("https://zfin.org/ZDB-GENE-040718-235")</f>
        <v>https://zfin.org/ZDB-GENE-040718-235</v>
      </c>
      <c r="E2177" t="s">
        <v>6512</v>
      </c>
    </row>
    <row r="2178" spans="1:5" x14ac:dyDescent="0.2">
      <c r="A2178" t="s">
        <v>6513</v>
      </c>
      <c r="B2178" t="s">
        <v>6514</v>
      </c>
      <c r="C2178" t="s">
        <v>6514</v>
      </c>
      <c r="D2178" t="str">
        <f>HYPERLINK("https://zfin.org/ZDB-GENE-040426-892")</f>
        <v>https://zfin.org/ZDB-GENE-040426-892</v>
      </c>
      <c r="E2178" t="s">
        <v>6515</v>
      </c>
    </row>
    <row r="2179" spans="1:5" x14ac:dyDescent="0.2">
      <c r="A2179" t="s">
        <v>6516</v>
      </c>
      <c r="B2179" t="s">
        <v>6517</v>
      </c>
      <c r="C2179" t="s">
        <v>6517</v>
      </c>
      <c r="D2179" t="str">
        <f>HYPERLINK("https://zfin.org/ZDB-GENE-060526-108")</f>
        <v>https://zfin.org/ZDB-GENE-060526-108</v>
      </c>
      <c r="E2179" t="s">
        <v>6518</v>
      </c>
    </row>
    <row r="2180" spans="1:5" x14ac:dyDescent="0.2">
      <c r="A2180" t="s">
        <v>6519</v>
      </c>
      <c r="B2180" t="s">
        <v>6520</v>
      </c>
      <c r="C2180" t="s">
        <v>6520</v>
      </c>
      <c r="D2180" t="str">
        <f>HYPERLINK("https://zfin.org/ZDB-GENE-060531-38")</f>
        <v>https://zfin.org/ZDB-GENE-060531-38</v>
      </c>
      <c r="E2180" t="s">
        <v>6521</v>
      </c>
    </row>
    <row r="2181" spans="1:5" x14ac:dyDescent="0.2">
      <c r="A2181" t="s">
        <v>6522</v>
      </c>
      <c r="B2181" t="s">
        <v>6523</v>
      </c>
      <c r="C2181" t="s">
        <v>6523</v>
      </c>
      <c r="D2181" t="str">
        <f>HYPERLINK("https://zfin.org/ZDB-GENE-010328-5")</f>
        <v>https://zfin.org/ZDB-GENE-010328-5</v>
      </c>
      <c r="E2181" t="s">
        <v>6524</v>
      </c>
    </row>
    <row r="2182" spans="1:5" x14ac:dyDescent="0.2">
      <c r="A2182" t="s">
        <v>6525</v>
      </c>
      <c r="B2182" t="s">
        <v>6526</v>
      </c>
      <c r="C2182" t="s">
        <v>6526</v>
      </c>
      <c r="D2182" t="str">
        <f>HYPERLINK("https://zfin.org/ZDB-GENE-030131-6146")</f>
        <v>https://zfin.org/ZDB-GENE-030131-6146</v>
      </c>
      <c r="E2182" t="s">
        <v>6527</v>
      </c>
    </row>
    <row r="2183" spans="1:5" x14ac:dyDescent="0.2">
      <c r="A2183" t="s">
        <v>6528</v>
      </c>
      <c r="B2183" t="s">
        <v>6529</v>
      </c>
      <c r="C2183" t="s">
        <v>6529</v>
      </c>
      <c r="D2183" t="str">
        <f>HYPERLINK("https://zfin.org/ZDB-GENE-131127-468")</f>
        <v>https://zfin.org/ZDB-GENE-131127-468</v>
      </c>
      <c r="E2183" t="s">
        <v>6530</v>
      </c>
    </row>
    <row r="2184" spans="1:5" x14ac:dyDescent="0.2">
      <c r="A2184" t="s">
        <v>6531</v>
      </c>
      <c r="B2184" t="s">
        <v>6532</v>
      </c>
      <c r="C2184" t="s">
        <v>6532</v>
      </c>
      <c r="D2184" t="str">
        <f>HYPERLINK("https://zfin.org/ZDB-GENE-131121-311")</f>
        <v>https://zfin.org/ZDB-GENE-131121-311</v>
      </c>
      <c r="E2184" t="s">
        <v>6533</v>
      </c>
    </row>
    <row r="2185" spans="1:5" x14ac:dyDescent="0.2">
      <c r="A2185" t="s">
        <v>6534</v>
      </c>
      <c r="B2185" t="s">
        <v>6535</v>
      </c>
      <c r="C2185" t="s">
        <v>6535</v>
      </c>
      <c r="D2185" t="str">
        <f>HYPERLINK("https://zfin.org/ZDB-GENE-110715-1")</f>
        <v>https://zfin.org/ZDB-GENE-110715-1</v>
      </c>
      <c r="E2185" t="s">
        <v>6536</v>
      </c>
    </row>
    <row r="2186" spans="1:5" x14ac:dyDescent="0.2">
      <c r="A2186" t="s">
        <v>6537</v>
      </c>
      <c r="B2186" t="s">
        <v>6538</v>
      </c>
      <c r="C2186" t="s">
        <v>6538</v>
      </c>
      <c r="D2186" t="str">
        <f>HYPERLINK("https://zfin.org/ZDB-GENE-131121-532")</f>
        <v>https://zfin.org/ZDB-GENE-131121-532</v>
      </c>
      <c r="E2186" t="s">
        <v>6539</v>
      </c>
    </row>
    <row r="2187" spans="1:5" x14ac:dyDescent="0.2">
      <c r="A2187" t="s">
        <v>6540</v>
      </c>
      <c r="B2187" t="s">
        <v>6541</v>
      </c>
      <c r="C2187" t="s">
        <v>6541</v>
      </c>
      <c r="D2187" t="str">
        <f>HYPERLINK("https://zfin.org/ZDB-GENE-050417-375")</f>
        <v>https://zfin.org/ZDB-GENE-050417-375</v>
      </c>
      <c r="E2187" t="s">
        <v>6542</v>
      </c>
    </row>
    <row r="2188" spans="1:5" x14ac:dyDescent="0.2">
      <c r="A2188" t="s">
        <v>6543</v>
      </c>
      <c r="B2188" t="s">
        <v>6544</v>
      </c>
      <c r="C2188" t="s">
        <v>6544</v>
      </c>
      <c r="D2188" t="str">
        <f>HYPERLINK("https://zfin.org/ZDB-GENE-070705-456")</f>
        <v>https://zfin.org/ZDB-GENE-070705-456</v>
      </c>
      <c r="E2188" t="s">
        <v>6545</v>
      </c>
    </row>
    <row r="2189" spans="1:5" x14ac:dyDescent="0.2">
      <c r="A2189" t="s">
        <v>6546</v>
      </c>
      <c r="B2189" t="s">
        <v>6547</v>
      </c>
      <c r="C2189" t="s">
        <v>6547</v>
      </c>
      <c r="D2189" t="str">
        <f>HYPERLINK("https://zfin.org/ZDB-GENE-050823-3")</f>
        <v>https://zfin.org/ZDB-GENE-050823-3</v>
      </c>
      <c r="E2189" t="s">
        <v>6548</v>
      </c>
    </row>
    <row r="2190" spans="1:5" x14ac:dyDescent="0.2">
      <c r="A2190" t="s">
        <v>6549</v>
      </c>
      <c r="B2190" t="s">
        <v>6550</v>
      </c>
      <c r="C2190" t="s">
        <v>6550</v>
      </c>
      <c r="D2190" t="str">
        <f>HYPERLINK("https://zfin.org/ZDB-GENE-090313-144")</f>
        <v>https://zfin.org/ZDB-GENE-090313-144</v>
      </c>
      <c r="E2190" t="s">
        <v>6551</v>
      </c>
    </row>
    <row r="2191" spans="1:5" x14ac:dyDescent="0.2">
      <c r="A2191" t="s">
        <v>6552</v>
      </c>
      <c r="B2191" t="s">
        <v>6553</v>
      </c>
      <c r="C2191" t="s">
        <v>6553</v>
      </c>
      <c r="D2191" t="str">
        <f>HYPERLINK("https://zfin.org/ZDB-GENE-050327-17")</f>
        <v>https://zfin.org/ZDB-GENE-050327-17</v>
      </c>
      <c r="E2191" t="s">
        <v>6554</v>
      </c>
    </row>
    <row r="2192" spans="1:5" x14ac:dyDescent="0.2">
      <c r="A2192" t="s">
        <v>6555</v>
      </c>
      <c r="B2192" t="s">
        <v>6556</v>
      </c>
      <c r="C2192" t="s">
        <v>6556</v>
      </c>
      <c r="D2192" t="str">
        <f>HYPERLINK("https://zfin.org/ZDB-GENE-040928-2")</f>
        <v>https://zfin.org/ZDB-GENE-040928-2</v>
      </c>
      <c r="E2192" t="s">
        <v>6557</v>
      </c>
    </row>
    <row r="2193" spans="1:5" x14ac:dyDescent="0.2">
      <c r="A2193" t="s">
        <v>6558</v>
      </c>
      <c r="B2193" t="s">
        <v>6559</v>
      </c>
      <c r="C2193" t="s">
        <v>6559</v>
      </c>
      <c r="D2193" t="str">
        <f>HYPERLINK("https://zfin.org/ZDB-GENE-040426-2594")</f>
        <v>https://zfin.org/ZDB-GENE-040426-2594</v>
      </c>
      <c r="E2193" t="s">
        <v>6560</v>
      </c>
    </row>
    <row r="2194" spans="1:5" x14ac:dyDescent="0.2">
      <c r="A2194" t="s">
        <v>6561</v>
      </c>
      <c r="B2194" t="s">
        <v>6562</v>
      </c>
      <c r="C2194" t="s">
        <v>6562</v>
      </c>
      <c r="D2194" t="str">
        <f>HYPERLINK("https://zfin.org/ZDB-GENE-030408-4")</f>
        <v>https://zfin.org/ZDB-GENE-030408-4</v>
      </c>
      <c r="E2194" t="s">
        <v>6563</v>
      </c>
    </row>
    <row r="2195" spans="1:5" x14ac:dyDescent="0.2">
      <c r="A2195" t="s">
        <v>6564</v>
      </c>
      <c r="B2195" t="s">
        <v>6565</v>
      </c>
      <c r="C2195" t="s">
        <v>6565</v>
      </c>
      <c r="D2195" t="str">
        <f>HYPERLINK("https://zfin.org/ZDB-GENE-040426-1362")</f>
        <v>https://zfin.org/ZDB-GENE-040426-1362</v>
      </c>
      <c r="E2195" t="s">
        <v>6566</v>
      </c>
    </row>
    <row r="2196" spans="1:5" x14ac:dyDescent="0.2">
      <c r="A2196" t="s">
        <v>6567</v>
      </c>
      <c r="B2196" t="s">
        <v>6568</v>
      </c>
      <c r="C2196" t="s">
        <v>6568</v>
      </c>
      <c r="D2196" t="str">
        <f>HYPERLINK("https://zfin.org/ZDB-GENE-141222-100")</f>
        <v>https://zfin.org/ZDB-GENE-141222-100</v>
      </c>
      <c r="E2196" t="s">
        <v>6569</v>
      </c>
    </row>
    <row r="2197" spans="1:5" x14ac:dyDescent="0.2">
      <c r="A2197" t="s">
        <v>6570</v>
      </c>
      <c r="B2197" t="s">
        <v>6571</v>
      </c>
      <c r="C2197" t="s">
        <v>6571</v>
      </c>
      <c r="D2197" t="str">
        <f>HYPERLINK("https://zfin.org/ZDB-GENE-110411-137")</f>
        <v>https://zfin.org/ZDB-GENE-110411-137</v>
      </c>
      <c r="E2197" t="s">
        <v>6572</v>
      </c>
    </row>
    <row r="2198" spans="1:5" x14ac:dyDescent="0.2">
      <c r="A2198" t="s">
        <v>6573</v>
      </c>
      <c r="B2198" t="s">
        <v>6574</v>
      </c>
      <c r="C2198" t="s">
        <v>6574</v>
      </c>
      <c r="D2198" t="str">
        <f>HYPERLINK("https://zfin.org/ZDB-GENE-061013-747")</f>
        <v>https://zfin.org/ZDB-GENE-061013-747</v>
      </c>
      <c r="E2198" t="s">
        <v>6575</v>
      </c>
    </row>
    <row r="2199" spans="1:5" x14ac:dyDescent="0.2">
      <c r="A2199" t="s">
        <v>6576</v>
      </c>
      <c r="B2199" t="s">
        <v>6577</v>
      </c>
      <c r="C2199" t="s">
        <v>6577</v>
      </c>
      <c r="D2199" t="str">
        <f>HYPERLINK("https://zfin.org/ZDB-GENE-141222-67")</f>
        <v>https://zfin.org/ZDB-GENE-141222-67</v>
      </c>
      <c r="E2199" t="s">
        <v>6578</v>
      </c>
    </row>
    <row r="2200" spans="1:5" x14ac:dyDescent="0.2">
      <c r="A2200" t="s">
        <v>6579</v>
      </c>
      <c r="B2200" t="s">
        <v>6580</v>
      </c>
      <c r="C2200" t="s">
        <v>6580</v>
      </c>
      <c r="D2200" t="str">
        <f>HYPERLINK("https://zfin.org/ZDB-GENE-080519-3")</f>
        <v>https://zfin.org/ZDB-GENE-080519-3</v>
      </c>
      <c r="E2200" t="s">
        <v>6581</v>
      </c>
    </row>
    <row r="2201" spans="1:5" x14ac:dyDescent="0.2">
      <c r="A2201" t="s">
        <v>6582</v>
      </c>
      <c r="B2201" t="s">
        <v>6583</v>
      </c>
      <c r="C2201" t="s">
        <v>6583</v>
      </c>
      <c r="D2201" t="str">
        <f>HYPERLINK("https://zfin.org/ZDB-GENE-081104-374")</f>
        <v>https://zfin.org/ZDB-GENE-081104-374</v>
      </c>
      <c r="E2201" t="s">
        <v>6584</v>
      </c>
    </row>
    <row r="2202" spans="1:5" x14ac:dyDescent="0.2">
      <c r="A2202" t="s">
        <v>6585</v>
      </c>
      <c r="B2202" t="s">
        <v>6586</v>
      </c>
      <c r="C2202" t="s">
        <v>6586</v>
      </c>
      <c r="D2202" t="str">
        <f>HYPERLINK("https://zfin.org/ZDB-GENE-040426-1928")</f>
        <v>https://zfin.org/ZDB-GENE-040426-1928</v>
      </c>
      <c r="E2202" t="s">
        <v>6587</v>
      </c>
    </row>
    <row r="2203" spans="1:5" x14ac:dyDescent="0.2">
      <c r="A2203" t="s">
        <v>6588</v>
      </c>
      <c r="B2203" t="s">
        <v>6589</v>
      </c>
      <c r="C2203" t="s">
        <v>6589</v>
      </c>
      <c r="D2203" t="str">
        <f>HYPERLINK("https://zfin.org/ZDB-GENE-141216-344")</f>
        <v>https://zfin.org/ZDB-GENE-141216-344</v>
      </c>
      <c r="E2203" t="s">
        <v>6590</v>
      </c>
    </row>
    <row r="2204" spans="1:5" x14ac:dyDescent="0.2">
      <c r="A2204" t="s">
        <v>6591</v>
      </c>
      <c r="B2204" t="s">
        <v>6592</v>
      </c>
      <c r="C2204" t="s">
        <v>6592</v>
      </c>
      <c r="D2204" t="str">
        <f>HYPERLINK("https://zfin.org/ZDB-GENE-030902-2")</f>
        <v>https://zfin.org/ZDB-GENE-030902-2</v>
      </c>
      <c r="E2204" t="s">
        <v>6593</v>
      </c>
    </row>
    <row r="2205" spans="1:5" x14ac:dyDescent="0.2">
      <c r="A2205" t="s">
        <v>6594</v>
      </c>
      <c r="B2205" t="s">
        <v>6595</v>
      </c>
      <c r="C2205" t="s">
        <v>6595</v>
      </c>
      <c r="D2205" t="str">
        <f>HYPERLINK("https://zfin.org/ZDB-GENE-030131-4801")</f>
        <v>https://zfin.org/ZDB-GENE-030131-4801</v>
      </c>
      <c r="E2205" t="s">
        <v>6596</v>
      </c>
    </row>
    <row r="2206" spans="1:5" x14ac:dyDescent="0.2">
      <c r="A2206" t="s">
        <v>6597</v>
      </c>
      <c r="B2206" t="s">
        <v>6598</v>
      </c>
      <c r="C2206" t="s">
        <v>6598</v>
      </c>
      <c r="D2206" t="str">
        <f>HYPERLINK("https://zfin.org/ZDB-GENE-041011-2")</f>
        <v>https://zfin.org/ZDB-GENE-041011-2</v>
      </c>
      <c r="E2206" t="s">
        <v>6599</v>
      </c>
    </row>
    <row r="2207" spans="1:5" x14ac:dyDescent="0.2">
      <c r="A2207" t="s">
        <v>6600</v>
      </c>
      <c r="B2207" t="s">
        <v>6601</v>
      </c>
      <c r="C2207" t="s">
        <v>6601</v>
      </c>
      <c r="D2207" t="str">
        <f>HYPERLINK("https://zfin.org/ZDB-GENE-030616-43")</f>
        <v>https://zfin.org/ZDB-GENE-030616-43</v>
      </c>
      <c r="E2207" t="s">
        <v>6602</v>
      </c>
    </row>
    <row r="2208" spans="1:5" x14ac:dyDescent="0.2">
      <c r="A2208" t="s">
        <v>6603</v>
      </c>
      <c r="B2208" t="s">
        <v>6604</v>
      </c>
      <c r="C2208" t="s">
        <v>6604</v>
      </c>
      <c r="D2208" t="str">
        <f>HYPERLINK("https://zfin.org/ZDB-GENE-060503-130")</f>
        <v>https://zfin.org/ZDB-GENE-060503-130</v>
      </c>
      <c r="E2208" t="s">
        <v>6605</v>
      </c>
    </row>
    <row r="2209" spans="1:5" x14ac:dyDescent="0.2">
      <c r="A2209" t="s">
        <v>6606</v>
      </c>
      <c r="B2209" t="s">
        <v>6607</v>
      </c>
      <c r="C2209" t="s">
        <v>6607</v>
      </c>
      <c r="D2209" t="str">
        <f>HYPERLINK("https://zfin.org/ZDB-GENE-070501-5")</f>
        <v>https://zfin.org/ZDB-GENE-070501-5</v>
      </c>
      <c r="E2209" t="s">
        <v>6608</v>
      </c>
    </row>
    <row r="2210" spans="1:5" x14ac:dyDescent="0.2">
      <c r="A2210" t="s">
        <v>6609</v>
      </c>
      <c r="B2210" t="s">
        <v>6610</v>
      </c>
      <c r="C2210" t="s">
        <v>6610</v>
      </c>
      <c r="D2210" t="str">
        <f>HYPERLINK("https://zfin.org/ZDB-GENE-070702-4")</f>
        <v>https://zfin.org/ZDB-GENE-070702-4</v>
      </c>
      <c r="E2210" t="s">
        <v>6611</v>
      </c>
    </row>
    <row r="2211" spans="1:5" x14ac:dyDescent="0.2">
      <c r="A2211" t="s">
        <v>6612</v>
      </c>
      <c r="B2211" t="s">
        <v>6613</v>
      </c>
      <c r="C2211" t="s">
        <v>6613</v>
      </c>
      <c r="D2211" t="str">
        <f>HYPERLINK("https://zfin.org/ZDB-GENE-031116-15")</f>
        <v>https://zfin.org/ZDB-GENE-031116-15</v>
      </c>
      <c r="E2211" t="s">
        <v>6614</v>
      </c>
    </row>
    <row r="2212" spans="1:5" x14ac:dyDescent="0.2">
      <c r="A2212" t="s">
        <v>6615</v>
      </c>
      <c r="B2212" t="s">
        <v>6616</v>
      </c>
      <c r="C2212" t="s">
        <v>6616</v>
      </c>
      <c r="D2212" t="str">
        <f>HYPERLINK("https://zfin.org/ZDB-GENE-060929-1006")</f>
        <v>https://zfin.org/ZDB-GENE-060929-1006</v>
      </c>
      <c r="E2212" t="s">
        <v>6617</v>
      </c>
    </row>
    <row r="2213" spans="1:5" x14ac:dyDescent="0.2">
      <c r="A2213" t="s">
        <v>6618</v>
      </c>
      <c r="B2213" t="s">
        <v>6619</v>
      </c>
      <c r="C2213" t="s">
        <v>6619</v>
      </c>
      <c r="D2213" t="str">
        <f>HYPERLINK("https://zfin.org/ZDB-GENE-050419-154")</f>
        <v>https://zfin.org/ZDB-GENE-050419-154</v>
      </c>
      <c r="E2213" t="s">
        <v>6620</v>
      </c>
    </row>
    <row r="2214" spans="1:5" x14ac:dyDescent="0.2">
      <c r="A2214" t="s">
        <v>6621</v>
      </c>
      <c r="B2214" t="s">
        <v>6622</v>
      </c>
      <c r="C2214" t="s">
        <v>6622</v>
      </c>
      <c r="D2214" t="str">
        <f>HYPERLINK("https://zfin.org/ZDB-GENE-050314-1")</f>
        <v>https://zfin.org/ZDB-GENE-050314-1</v>
      </c>
      <c r="E2214" t="s">
        <v>6623</v>
      </c>
    </row>
    <row r="2215" spans="1:5" x14ac:dyDescent="0.2">
      <c r="A2215" t="s">
        <v>6624</v>
      </c>
      <c r="B2215" t="s">
        <v>6625</v>
      </c>
      <c r="C2215" t="s">
        <v>6625</v>
      </c>
      <c r="D2215" t="str">
        <f>HYPERLINK("https://zfin.org/ZDB-GENE-050522-249")</f>
        <v>https://zfin.org/ZDB-GENE-050522-249</v>
      </c>
      <c r="E2215" t="s">
        <v>6626</v>
      </c>
    </row>
    <row r="2216" spans="1:5" x14ac:dyDescent="0.2">
      <c r="A2216" t="s">
        <v>6627</v>
      </c>
      <c r="B2216" t="s">
        <v>6628</v>
      </c>
      <c r="C2216" t="s">
        <v>6628</v>
      </c>
      <c r="D2216" t="str">
        <f>HYPERLINK("https://zfin.org/ZDB-GENE-120709-84")</f>
        <v>https://zfin.org/ZDB-GENE-120709-84</v>
      </c>
      <c r="E2216" t="s">
        <v>6629</v>
      </c>
    </row>
    <row r="2217" spans="1:5" x14ac:dyDescent="0.2">
      <c r="A2217" t="s">
        <v>6630</v>
      </c>
      <c r="B2217" t="s">
        <v>6631</v>
      </c>
      <c r="C2217" t="s">
        <v>6631</v>
      </c>
      <c r="D2217" t="str">
        <f>HYPERLINK("https://zfin.org/ZDB-GENE-141222-88")</f>
        <v>https://zfin.org/ZDB-GENE-141222-88</v>
      </c>
      <c r="E2217" t="s">
        <v>6632</v>
      </c>
    </row>
    <row r="2218" spans="1:5" x14ac:dyDescent="0.2">
      <c r="A2218" t="s">
        <v>6633</v>
      </c>
      <c r="B2218" t="s">
        <v>6634</v>
      </c>
      <c r="C2218" t="s">
        <v>6634</v>
      </c>
      <c r="D2218" t="str">
        <f>HYPERLINK("https://zfin.org/ZDB-GENE-120215-185")</f>
        <v>https://zfin.org/ZDB-GENE-120215-185</v>
      </c>
      <c r="E2218" t="s">
        <v>6635</v>
      </c>
    </row>
    <row r="2219" spans="1:5" x14ac:dyDescent="0.2">
      <c r="A2219" t="s">
        <v>6636</v>
      </c>
      <c r="B2219" t="s">
        <v>6637</v>
      </c>
      <c r="C2219" t="s">
        <v>6637</v>
      </c>
      <c r="D2219" t="str">
        <f>HYPERLINK("https://zfin.org/ZDB-GENE-081104-333")</f>
        <v>https://zfin.org/ZDB-GENE-081104-333</v>
      </c>
      <c r="E2219" t="s">
        <v>6638</v>
      </c>
    </row>
    <row r="2220" spans="1:5" x14ac:dyDescent="0.2">
      <c r="A2220" t="s">
        <v>6639</v>
      </c>
      <c r="B2220" t="s">
        <v>6640</v>
      </c>
      <c r="C2220" t="s">
        <v>6640</v>
      </c>
      <c r="D2220" t="str">
        <f>HYPERLINK("https://zfin.org/ZDB-GENE-041210-241")</f>
        <v>https://zfin.org/ZDB-GENE-041210-241</v>
      </c>
      <c r="E2220" t="s">
        <v>6641</v>
      </c>
    </row>
    <row r="2221" spans="1:5" x14ac:dyDescent="0.2">
      <c r="A2221" t="s">
        <v>6642</v>
      </c>
      <c r="B2221" t="s">
        <v>6643</v>
      </c>
      <c r="C2221" t="s">
        <v>6643</v>
      </c>
      <c r="D2221" t="str">
        <f>HYPERLINK("https://zfin.org/ZDB-GENE-030131-4126")</f>
        <v>https://zfin.org/ZDB-GENE-030131-4126</v>
      </c>
      <c r="E2221" t="s">
        <v>6644</v>
      </c>
    </row>
    <row r="2222" spans="1:5" x14ac:dyDescent="0.2">
      <c r="A2222" t="s">
        <v>6645</v>
      </c>
      <c r="B2222" t="s">
        <v>6646</v>
      </c>
      <c r="C2222" t="s">
        <v>6646</v>
      </c>
      <c r="D2222" t="str">
        <f>HYPERLINK("https://zfin.org/ZDB-GENE-030131-5648")</f>
        <v>https://zfin.org/ZDB-GENE-030131-5648</v>
      </c>
      <c r="E2222" t="s">
        <v>6647</v>
      </c>
    </row>
    <row r="2223" spans="1:5" x14ac:dyDescent="0.2">
      <c r="A2223" t="s">
        <v>6648</v>
      </c>
      <c r="B2223" t="s">
        <v>6649</v>
      </c>
      <c r="C2223" t="s">
        <v>6649</v>
      </c>
      <c r="D2223" t="str">
        <f>HYPERLINK("https://zfin.org/ZDB-GENE-030131-4949")</f>
        <v>https://zfin.org/ZDB-GENE-030131-4949</v>
      </c>
      <c r="E2223" t="s">
        <v>6650</v>
      </c>
    </row>
    <row r="2224" spans="1:5" x14ac:dyDescent="0.2">
      <c r="A2224" t="s">
        <v>6651</v>
      </c>
      <c r="B2224" t="s">
        <v>6652</v>
      </c>
      <c r="C2224" t="s">
        <v>6652</v>
      </c>
      <c r="D2224" t="str">
        <f>HYPERLINK("https://zfin.org/ZDB-GENE-120709-49")</f>
        <v>https://zfin.org/ZDB-GENE-120709-49</v>
      </c>
      <c r="E2224" t="s">
        <v>6653</v>
      </c>
    </row>
    <row r="2225" spans="1:5" x14ac:dyDescent="0.2">
      <c r="A2225" t="s">
        <v>6654</v>
      </c>
      <c r="B2225" t="s">
        <v>6655</v>
      </c>
      <c r="C2225" t="s">
        <v>6655</v>
      </c>
      <c r="D2225" t="str">
        <f>HYPERLINK("https://zfin.org/ZDB-GENE-030916-3")</f>
        <v>https://zfin.org/ZDB-GENE-030916-3</v>
      </c>
      <c r="E2225" t="s">
        <v>6656</v>
      </c>
    </row>
    <row r="2226" spans="1:5" x14ac:dyDescent="0.2">
      <c r="A2226" t="s">
        <v>6657</v>
      </c>
      <c r="B2226" t="s">
        <v>6658</v>
      </c>
      <c r="C2226" t="s">
        <v>6658</v>
      </c>
      <c r="D2226" t="str">
        <f>HYPERLINK("https://zfin.org/ZDB-GENE-050522-388")</f>
        <v>https://zfin.org/ZDB-GENE-050522-388</v>
      </c>
      <c r="E2226" t="s">
        <v>6659</v>
      </c>
    </row>
    <row r="2227" spans="1:5" x14ac:dyDescent="0.2">
      <c r="A2227" t="s">
        <v>6660</v>
      </c>
      <c r="B2227" t="s">
        <v>6661</v>
      </c>
      <c r="C2227" t="s">
        <v>6661</v>
      </c>
      <c r="D2227" t="str">
        <f>HYPERLINK("https://zfin.org/ZDB-GENE-041210-240")</f>
        <v>https://zfin.org/ZDB-GENE-041210-240</v>
      </c>
      <c r="E2227" t="s">
        <v>6662</v>
      </c>
    </row>
    <row r="2228" spans="1:5" x14ac:dyDescent="0.2">
      <c r="A2228" t="s">
        <v>6663</v>
      </c>
      <c r="B2228" t="s">
        <v>6664</v>
      </c>
      <c r="C2228" t="s">
        <v>6664</v>
      </c>
      <c r="D2228" t="str">
        <f>HYPERLINK("https://zfin.org/ZDB-GENE-040426-2816")</f>
        <v>https://zfin.org/ZDB-GENE-040426-2816</v>
      </c>
      <c r="E2228" t="s">
        <v>6665</v>
      </c>
    </row>
    <row r="2229" spans="1:5" x14ac:dyDescent="0.2">
      <c r="A2229" t="s">
        <v>6666</v>
      </c>
      <c r="B2229" t="s">
        <v>6667</v>
      </c>
      <c r="C2229" t="s">
        <v>6667</v>
      </c>
      <c r="D2229" t="str">
        <f>HYPERLINK("https://zfin.org/ZDB-GENE-030131-3667")</f>
        <v>https://zfin.org/ZDB-GENE-030131-3667</v>
      </c>
      <c r="E2229" t="s">
        <v>6668</v>
      </c>
    </row>
    <row r="2230" spans="1:5" x14ac:dyDescent="0.2">
      <c r="A2230" t="s">
        <v>6669</v>
      </c>
      <c r="B2230" t="s">
        <v>6670</v>
      </c>
      <c r="C2230" t="s">
        <v>6670</v>
      </c>
      <c r="D2230" t="str">
        <f>HYPERLINK("https://zfin.org/ZDB-GENE-060929-752")</f>
        <v>https://zfin.org/ZDB-GENE-060929-752</v>
      </c>
      <c r="E2230" t="s">
        <v>6671</v>
      </c>
    </row>
    <row r="2231" spans="1:5" x14ac:dyDescent="0.2">
      <c r="A2231" t="s">
        <v>6672</v>
      </c>
      <c r="B2231" t="s">
        <v>6673</v>
      </c>
      <c r="C2231" t="s">
        <v>6673</v>
      </c>
      <c r="D2231" t="str">
        <f>HYPERLINK("https://zfin.org/ZDB-GENE-050320-36")</f>
        <v>https://zfin.org/ZDB-GENE-050320-36</v>
      </c>
      <c r="E2231" t="s">
        <v>6674</v>
      </c>
    </row>
    <row r="2232" spans="1:5" x14ac:dyDescent="0.2">
      <c r="A2232" t="s">
        <v>6675</v>
      </c>
      <c r="B2232" t="s">
        <v>6676</v>
      </c>
      <c r="C2232" t="s">
        <v>6676</v>
      </c>
      <c r="D2232" t="str">
        <f>HYPERLINK("https://zfin.org/ZDB-GENE-050522-411")</f>
        <v>https://zfin.org/ZDB-GENE-050522-411</v>
      </c>
      <c r="E2232" t="s">
        <v>6677</v>
      </c>
    </row>
    <row r="2233" spans="1:5" x14ac:dyDescent="0.2">
      <c r="A2233" t="s">
        <v>6678</v>
      </c>
      <c r="B2233" t="s">
        <v>6679</v>
      </c>
      <c r="C2233" t="s">
        <v>6679</v>
      </c>
      <c r="D2233" t="str">
        <f>HYPERLINK("https://zfin.org/ZDB-GENE-061215-140")</f>
        <v>https://zfin.org/ZDB-GENE-061215-140</v>
      </c>
      <c r="E2233" t="s">
        <v>6680</v>
      </c>
    </row>
    <row r="2234" spans="1:5" x14ac:dyDescent="0.2">
      <c r="A2234" t="s">
        <v>6681</v>
      </c>
      <c r="B2234" t="s">
        <v>6682</v>
      </c>
      <c r="C2234" t="s">
        <v>6682</v>
      </c>
      <c r="D2234" t="str">
        <f>HYPERLINK("https://zfin.org/ZDB-GENE-160113-15")</f>
        <v>https://zfin.org/ZDB-GENE-160113-15</v>
      </c>
      <c r="E2234" t="s">
        <v>6683</v>
      </c>
    </row>
    <row r="2235" spans="1:5" x14ac:dyDescent="0.2">
      <c r="A2235" t="s">
        <v>6684</v>
      </c>
      <c r="B2235" t="s">
        <v>6685</v>
      </c>
      <c r="C2235" t="s">
        <v>6685</v>
      </c>
      <c r="D2235" t="str">
        <f>HYPERLINK("https://zfin.org/ZDB-GENE-040625-114")</f>
        <v>https://zfin.org/ZDB-GENE-040625-114</v>
      </c>
      <c r="E2235" t="s">
        <v>6686</v>
      </c>
    </row>
    <row r="2236" spans="1:5" x14ac:dyDescent="0.2">
      <c r="A2236" t="s">
        <v>6687</v>
      </c>
      <c r="B2236" t="s">
        <v>6688</v>
      </c>
      <c r="C2236" t="s">
        <v>6688</v>
      </c>
      <c r="D2236" t="str">
        <f>HYPERLINK("https://zfin.org/ZDB-GENE-061103-367")</f>
        <v>https://zfin.org/ZDB-GENE-061103-367</v>
      </c>
      <c r="E2236" t="s">
        <v>6689</v>
      </c>
    </row>
    <row r="2237" spans="1:5" x14ac:dyDescent="0.2">
      <c r="A2237" t="s">
        <v>6690</v>
      </c>
      <c r="B2237" t="s">
        <v>6691</v>
      </c>
      <c r="C2237" t="s">
        <v>6691</v>
      </c>
      <c r="D2237" t="str">
        <f>HYPERLINK("https://zfin.org/ZDB-GENE-050522-123")</f>
        <v>https://zfin.org/ZDB-GENE-050522-123</v>
      </c>
      <c r="E2237" t="s">
        <v>6692</v>
      </c>
    </row>
    <row r="2238" spans="1:5" x14ac:dyDescent="0.2">
      <c r="A2238" t="s">
        <v>6693</v>
      </c>
      <c r="B2238" t="s">
        <v>6694</v>
      </c>
      <c r="C2238" t="s">
        <v>6694</v>
      </c>
      <c r="D2238" t="str">
        <f>HYPERLINK("https://zfin.org/ZDB-GENE-131126-34")</f>
        <v>https://zfin.org/ZDB-GENE-131126-34</v>
      </c>
      <c r="E2238" t="s">
        <v>6695</v>
      </c>
    </row>
    <row r="2239" spans="1:5" x14ac:dyDescent="0.2">
      <c r="A2239" t="s">
        <v>6696</v>
      </c>
      <c r="B2239" t="s">
        <v>6697</v>
      </c>
      <c r="C2239" t="s">
        <v>6697</v>
      </c>
      <c r="D2239" t="str">
        <f>HYPERLINK("https://zfin.org/ZDB-GENE-030131-2352")</f>
        <v>https://zfin.org/ZDB-GENE-030131-2352</v>
      </c>
      <c r="E2239" t="s">
        <v>6698</v>
      </c>
    </row>
    <row r="2240" spans="1:5" x14ac:dyDescent="0.2">
      <c r="A2240" t="s">
        <v>6699</v>
      </c>
      <c r="B2240" t="s">
        <v>6700</v>
      </c>
      <c r="C2240" t="s">
        <v>6700</v>
      </c>
      <c r="D2240" t="str">
        <f>HYPERLINK("https://zfin.org/ZDB-GENE-040426-1762")</f>
        <v>https://zfin.org/ZDB-GENE-040426-1762</v>
      </c>
      <c r="E2240" t="s">
        <v>6701</v>
      </c>
    </row>
    <row r="2241" spans="1:5" x14ac:dyDescent="0.2">
      <c r="A2241" t="s">
        <v>6702</v>
      </c>
      <c r="B2241" t="s">
        <v>6703</v>
      </c>
      <c r="C2241" t="s">
        <v>6703</v>
      </c>
      <c r="D2241" t="str">
        <f>HYPERLINK("https://zfin.org/ZDB-GENE-041114-126")</f>
        <v>https://zfin.org/ZDB-GENE-041114-126</v>
      </c>
      <c r="E2241" t="s">
        <v>6704</v>
      </c>
    </row>
    <row r="2242" spans="1:5" x14ac:dyDescent="0.2">
      <c r="A2242" t="s">
        <v>6705</v>
      </c>
      <c r="B2242" t="s">
        <v>6706</v>
      </c>
      <c r="C2242" t="s">
        <v>6706</v>
      </c>
      <c r="D2242" t="str">
        <f>HYPERLINK("https://zfin.org/ZDB-GENE-031030-2")</f>
        <v>https://zfin.org/ZDB-GENE-031030-2</v>
      </c>
      <c r="E2242" t="s">
        <v>6707</v>
      </c>
    </row>
    <row r="2243" spans="1:5" x14ac:dyDescent="0.2">
      <c r="A2243" t="s">
        <v>6708</v>
      </c>
      <c r="B2243" t="s">
        <v>6709</v>
      </c>
      <c r="C2243" t="s">
        <v>6709</v>
      </c>
      <c r="D2243" t="str">
        <f>HYPERLINK("https://zfin.org/ZDB-GENE-110914-34")</f>
        <v>https://zfin.org/ZDB-GENE-110914-34</v>
      </c>
      <c r="E2243" t="s">
        <v>6710</v>
      </c>
    </row>
    <row r="2244" spans="1:5" x14ac:dyDescent="0.2">
      <c r="A2244" t="s">
        <v>6711</v>
      </c>
      <c r="B2244" t="s">
        <v>6712</v>
      </c>
      <c r="C2244" t="s">
        <v>6712</v>
      </c>
      <c r="D2244" t="str">
        <f>HYPERLINK("https://zfin.org/ZDB-GENE-000412-1")</f>
        <v>https://zfin.org/ZDB-GENE-000412-1</v>
      </c>
      <c r="E2244" t="s">
        <v>6713</v>
      </c>
    </row>
    <row r="2245" spans="1:5" x14ac:dyDescent="0.2">
      <c r="A2245" t="s">
        <v>6714</v>
      </c>
      <c r="B2245" t="s">
        <v>6715</v>
      </c>
      <c r="C2245" t="s">
        <v>6715</v>
      </c>
      <c r="D2245" t="str">
        <f>HYPERLINK("https://zfin.org/ZDB-GENE-080215-12")</f>
        <v>https://zfin.org/ZDB-GENE-080215-12</v>
      </c>
      <c r="E2245" t="s">
        <v>6716</v>
      </c>
    </row>
    <row r="2246" spans="1:5" x14ac:dyDescent="0.2">
      <c r="A2246" t="s">
        <v>6717</v>
      </c>
      <c r="B2246" t="s">
        <v>6718</v>
      </c>
      <c r="C2246" t="s">
        <v>6718</v>
      </c>
      <c r="D2246" t="str">
        <f>HYPERLINK("https://zfin.org/ZDB-GENE-030131-3630")</f>
        <v>https://zfin.org/ZDB-GENE-030131-3630</v>
      </c>
      <c r="E2246" t="s">
        <v>6719</v>
      </c>
    </row>
    <row r="2247" spans="1:5" x14ac:dyDescent="0.2">
      <c r="A2247" t="s">
        <v>6720</v>
      </c>
      <c r="B2247" t="s">
        <v>6721</v>
      </c>
      <c r="C2247" t="s">
        <v>6721</v>
      </c>
      <c r="D2247" t="str">
        <f>HYPERLINK("https://zfin.org/ZDB-GENE-081107-67")</f>
        <v>https://zfin.org/ZDB-GENE-081107-67</v>
      </c>
      <c r="E2247" t="s">
        <v>6722</v>
      </c>
    </row>
    <row r="2248" spans="1:5" x14ac:dyDescent="0.2">
      <c r="A2248" t="s">
        <v>6723</v>
      </c>
      <c r="B2248" t="s">
        <v>6724</v>
      </c>
      <c r="C2248" t="s">
        <v>6724</v>
      </c>
      <c r="D2248" t="str">
        <f>HYPERLINK("https://zfin.org/ZDB-GENE-980526-112")</f>
        <v>https://zfin.org/ZDB-GENE-980526-112</v>
      </c>
      <c r="E2248" t="s">
        <v>6725</v>
      </c>
    </row>
    <row r="2249" spans="1:5" x14ac:dyDescent="0.2">
      <c r="A2249" t="s">
        <v>6726</v>
      </c>
      <c r="B2249" t="s">
        <v>6727</v>
      </c>
      <c r="C2249" t="s">
        <v>6727</v>
      </c>
      <c r="D2249" t="str">
        <f>HYPERLINK("https://zfin.org/ZDB-GENE-040801-154")</f>
        <v>https://zfin.org/ZDB-GENE-040801-154</v>
      </c>
      <c r="E2249" t="s">
        <v>6728</v>
      </c>
    </row>
    <row r="2250" spans="1:5" x14ac:dyDescent="0.2">
      <c r="A2250" t="s">
        <v>6729</v>
      </c>
      <c r="B2250" t="s">
        <v>6730</v>
      </c>
      <c r="C2250" t="s">
        <v>6730</v>
      </c>
      <c r="D2250" t="str">
        <f>HYPERLINK("https://zfin.org/ZDB-GENE-110914-198")</f>
        <v>https://zfin.org/ZDB-GENE-110914-198</v>
      </c>
      <c r="E2250" t="s">
        <v>6731</v>
      </c>
    </row>
    <row r="2251" spans="1:5" x14ac:dyDescent="0.2">
      <c r="A2251" t="s">
        <v>6732</v>
      </c>
      <c r="B2251" t="s">
        <v>6733</v>
      </c>
      <c r="C2251" t="s">
        <v>6733</v>
      </c>
      <c r="D2251" t="str">
        <f>HYPERLINK("https://zfin.org/ZDB-GENE-041210-264")</f>
        <v>https://zfin.org/ZDB-GENE-041210-264</v>
      </c>
      <c r="E2251" t="s">
        <v>6734</v>
      </c>
    </row>
    <row r="2252" spans="1:5" x14ac:dyDescent="0.2">
      <c r="A2252" t="s">
        <v>6735</v>
      </c>
      <c r="B2252" t="s">
        <v>6736</v>
      </c>
      <c r="C2252" t="s">
        <v>6736</v>
      </c>
      <c r="D2252" t="str">
        <f>HYPERLINK("https://zfin.org/ZDB-GENE-990415-28")</f>
        <v>https://zfin.org/ZDB-GENE-990415-28</v>
      </c>
      <c r="E2252" t="s">
        <v>6737</v>
      </c>
    </row>
    <row r="2253" spans="1:5" x14ac:dyDescent="0.2">
      <c r="A2253" t="s">
        <v>6738</v>
      </c>
      <c r="B2253" t="s">
        <v>6739</v>
      </c>
      <c r="C2253" t="s">
        <v>6739</v>
      </c>
      <c r="D2253" t="str">
        <f>HYPERLINK("https://zfin.org/ZDB-GENE-020430-3")</f>
        <v>https://zfin.org/ZDB-GENE-020430-3</v>
      </c>
      <c r="E2253" t="s">
        <v>6740</v>
      </c>
    </row>
    <row r="2254" spans="1:5" x14ac:dyDescent="0.2">
      <c r="A2254" t="s">
        <v>6741</v>
      </c>
      <c r="B2254" t="s">
        <v>6742</v>
      </c>
      <c r="C2254" t="s">
        <v>6742</v>
      </c>
      <c r="D2254" t="str">
        <f>HYPERLINK("https://zfin.org/ZDB-GENE-980526-168")</f>
        <v>https://zfin.org/ZDB-GENE-980526-168</v>
      </c>
      <c r="E2254" t="s">
        <v>6743</v>
      </c>
    </row>
    <row r="2255" spans="1:5" x14ac:dyDescent="0.2">
      <c r="A2255" t="s">
        <v>6744</v>
      </c>
      <c r="B2255" t="s">
        <v>6745</v>
      </c>
      <c r="C2255" t="s">
        <v>6745</v>
      </c>
      <c r="D2255" t="str">
        <f>HYPERLINK("https://zfin.org/ZDB-GENE-050327-60")</f>
        <v>https://zfin.org/ZDB-GENE-050327-60</v>
      </c>
      <c r="E2255" t="s">
        <v>6746</v>
      </c>
    </row>
    <row r="2256" spans="1:5" x14ac:dyDescent="0.2">
      <c r="A2256" t="s">
        <v>6747</v>
      </c>
      <c r="B2256" t="s">
        <v>6748</v>
      </c>
      <c r="C2256" t="s">
        <v>6748</v>
      </c>
      <c r="D2256" t="str">
        <f>HYPERLINK("https://zfin.org/ZDB-GENE-030131-7896")</f>
        <v>https://zfin.org/ZDB-GENE-030131-7896</v>
      </c>
      <c r="E2256" t="s">
        <v>6749</v>
      </c>
    </row>
    <row r="2257" spans="1:5" x14ac:dyDescent="0.2">
      <c r="A2257" t="s">
        <v>6750</v>
      </c>
      <c r="B2257" t="s">
        <v>6751</v>
      </c>
      <c r="C2257" t="s">
        <v>6751</v>
      </c>
      <c r="D2257" t="str">
        <f>HYPERLINK("https://zfin.org/ZDB-GENE-031002-11")</f>
        <v>https://zfin.org/ZDB-GENE-031002-11</v>
      </c>
      <c r="E2257" t="s">
        <v>6752</v>
      </c>
    </row>
    <row r="2258" spans="1:5" x14ac:dyDescent="0.2">
      <c r="A2258" t="s">
        <v>6753</v>
      </c>
      <c r="B2258" t="s">
        <v>6754</v>
      </c>
      <c r="C2258" t="s">
        <v>6754</v>
      </c>
      <c r="D2258" t="str">
        <f>HYPERLINK("https://zfin.org/ZDB-GENE-040426-1508")</f>
        <v>https://zfin.org/ZDB-GENE-040426-1508</v>
      </c>
      <c r="E2258" t="s">
        <v>6755</v>
      </c>
    </row>
    <row r="2259" spans="1:5" x14ac:dyDescent="0.2">
      <c r="A2259" t="s">
        <v>6756</v>
      </c>
      <c r="B2259" t="s">
        <v>6757</v>
      </c>
      <c r="C2259" t="s">
        <v>6757</v>
      </c>
      <c r="D2259" t="str">
        <f>HYPERLINK("https://zfin.org/ZDB-GENE-040426-2459")</f>
        <v>https://zfin.org/ZDB-GENE-040426-2459</v>
      </c>
      <c r="E2259" t="s">
        <v>6758</v>
      </c>
    </row>
    <row r="2260" spans="1:5" x14ac:dyDescent="0.2">
      <c r="A2260" t="s">
        <v>6759</v>
      </c>
      <c r="B2260" t="s">
        <v>6760</v>
      </c>
      <c r="C2260" t="s">
        <v>6760</v>
      </c>
      <c r="D2260" t="str">
        <f>HYPERLINK("https://zfin.org/ZDB-GENE-031118-83")</f>
        <v>https://zfin.org/ZDB-GENE-031118-83</v>
      </c>
      <c r="E2260" t="s">
        <v>6761</v>
      </c>
    </row>
    <row r="2261" spans="1:5" x14ac:dyDescent="0.2">
      <c r="A2261" t="s">
        <v>6762</v>
      </c>
      <c r="B2261" t="s">
        <v>6763</v>
      </c>
      <c r="C2261" t="s">
        <v>6763</v>
      </c>
      <c r="D2261" t="str">
        <f>HYPERLINK("https://zfin.org/ZDB-GENE-090313-280")</f>
        <v>https://zfin.org/ZDB-GENE-090313-280</v>
      </c>
      <c r="E2261" t="s">
        <v>6764</v>
      </c>
    </row>
    <row r="2262" spans="1:5" x14ac:dyDescent="0.2">
      <c r="A2262" t="s">
        <v>6765</v>
      </c>
      <c r="B2262" t="s">
        <v>6766</v>
      </c>
      <c r="C2262" t="s">
        <v>6766</v>
      </c>
      <c r="D2262" t="str">
        <f>HYPERLINK("https://zfin.org/ZDB-GENE-030131-3027")</f>
        <v>https://zfin.org/ZDB-GENE-030131-3027</v>
      </c>
      <c r="E2262" t="s">
        <v>6767</v>
      </c>
    </row>
    <row r="2263" spans="1:5" x14ac:dyDescent="0.2">
      <c r="A2263" t="s">
        <v>6768</v>
      </c>
      <c r="B2263" t="s">
        <v>6769</v>
      </c>
      <c r="C2263" t="s">
        <v>6769</v>
      </c>
      <c r="D2263" t="str">
        <f>HYPERLINK("https://zfin.org/ZDB-GENE-041014-170")</f>
        <v>https://zfin.org/ZDB-GENE-041014-170</v>
      </c>
      <c r="E2263" t="s">
        <v>6770</v>
      </c>
    </row>
    <row r="2264" spans="1:5" x14ac:dyDescent="0.2">
      <c r="A2264" t="s">
        <v>6771</v>
      </c>
      <c r="B2264" t="s">
        <v>6772</v>
      </c>
      <c r="C2264" t="s">
        <v>6772</v>
      </c>
      <c r="D2264" t="str">
        <f>HYPERLINK("https://zfin.org/ZDB-GENE-031118-150")</f>
        <v>https://zfin.org/ZDB-GENE-031118-150</v>
      </c>
      <c r="E2264" t="s">
        <v>6773</v>
      </c>
    </row>
    <row r="2265" spans="1:5" x14ac:dyDescent="0.2">
      <c r="A2265" t="s">
        <v>6774</v>
      </c>
      <c r="B2265" t="s">
        <v>6775</v>
      </c>
      <c r="C2265" t="s">
        <v>6775</v>
      </c>
      <c r="D2265" t="str">
        <f>HYPERLINK("https://zfin.org/ZDB-GENE-070705-36")</f>
        <v>https://zfin.org/ZDB-GENE-070705-36</v>
      </c>
      <c r="E2265" t="s">
        <v>6776</v>
      </c>
    </row>
    <row r="2266" spans="1:5" x14ac:dyDescent="0.2">
      <c r="A2266" t="s">
        <v>6777</v>
      </c>
      <c r="B2266" t="s">
        <v>6778</v>
      </c>
      <c r="C2266" t="s">
        <v>6778</v>
      </c>
      <c r="D2266" t="str">
        <f>HYPERLINK("https://zfin.org/ZDB-GENE-990712-18")</f>
        <v>https://zfin.org/ZDB-GENE-990712-18</v>
      </c>
      <c r="E2266" t="s">
        <v>6779</v>
      </c>
    </row>
    <row r="2267" spans="1:5" x14ac:dyDescent="0.2">
      <c r="A2267" t="s">
        <v>6780</v>
      </c>
      <c r="B2267" t="s">
        <v>6781</v>
      </c>
      <c r="C2267" t="s">
        <v>6781</v>
      </c>
      <c r="D2267" t="str">
        <f>HYPERLINK("https://zfin.org/ZDB-GENE-030131-2449")</f>
        <v>https://zfin.org/ZDB-GENE-030131-2449</v>
      </c>
      <c r="E2267" t="s">
        <v>6782</v>
      </c>
    </row>
    <row r="2268" spans="1:5" x14ac:dyDescent="0.2">
      <c r="A2268" t="s">
        <v>6783</v>
      </c>
      <c r="B2268" t="s">
        <v>6784</v>
      </c>
      <c r="C2268" t="s">
        <v>6784</v>
      </c>
      <c r="D2268" t="str">
        <f>HYPERLINK("https://zfin.org/ZDB-GENE-090312-48")</f>
        <v>https://zfin.org/ZDB-GENE-090312-48</v>
      </c>
      <c r="E2268" t="s">
        <v>6785</v>
      </c>
    </row>
    <row r="2269" spans="1:5" x14ac:dyDescent="0.2">
      <c r="A2269" t="s">
        <v>6786</v>
      </c>
      <c r="B2269" t="s">
        <v>6787</v>
      </c>
      <c r="C2269" t="s">
        <v>6787</v>
      </c>
      <c r="D2269" t="str">
        <f>HYPERLINK("https://zfin.org/ZDB-GENE-030131-8032")</f>
        <v>https://zfin.org/ZDB-GENE-030131-8032</v>
      </c>
      <c r="E2269" t="s">
        <v>6788</v>
      </c>
    </row>
    <row r="2270" spans="1:5" x14ac:dyDescent="0.2">
      <c r="A2270" t="s">
        <v>6789</v>
      </c>
      <c r="B2270" t="s">
        <v>6790</v>
      </c>
      <c r="C2270" t="s">
        <v>6790</v>
      </c>
      <c r="D2270" t="str">
        <f>HYPERLINK("https://zfin.org/ZDB-GENE-010328-6")</f>
        <v>https://zfin.org/ZDB-GENE-010328-6</v>
      </c>
      <c r="E2270" t="s">
        <v>6791</v>
      </c>
    </row>
    <row r="2271" spans="1:5" x14ac:dyDescent="0.2">
      <c r="A2271" t="s">
        <v>6792</v>
      </c>
      <c r="B2271" t="s">
        <v>6793</v>
      </c>
      <c r="C2271" t="s">
        <v>6793</v>
      </c>
      <c r="D2271" t="str">
        <f>HYPERLINK("https://zfin.org/ZDB-GENE-120709-8")</f>
        <v>https://zfin.org/ZDB-GENE-120709-8</v>
      </c>
      <c r="E2271" t="s">
        <v>6794</v>
      </c>
    </row>
    <row r="2272" spans="1:5" x14ac:dyDescent="0.2">
      <c r="A2272" t="s">
        <v>6795</v>
      </c>
      <c r="B2272" t="s">
        <v>6796</v>
      </c>
      <c r="C2272" t="s">
        <v>6796</v>
      </c>
      <c r="D2272" t="str">
        <f>HYPERLINK("https://zfin.org/ZDB-GENE-110914-41")</f>
        <v>https://zfin.org/ZDB-GENE-110914-41</v>
      </c>
      <c r="E2272" t="s">
        <v>6797</v>
      </c>
    </row>
    <row r="2273" spans="1:5" x14ac:dyDescent="0.2">
      <c r="A2273" t="s">
        <v>6798</v>
      </c>
      <c r="B2273" t="s">
        <v>6799</v>
      </c>
      <c r="C2273" t="s">
        <v>6799</v>
      </c>
      <c r="D2273" t="str">
        <f>HYPERLINK("https://zfin.org/ZDB-GENE-120709-68")</f>
        <v>https://zfin.org/ZDB-GENE-120709-68</v>
      </c>
      <c r="E2273" t="s">
        <v>6800</v>
      </c>
    </row>
    <row r="2274" spans="1:5" x14ac:dyDescent="0.2">
      <c r="A2274" t="s">
        <v>6801</v>
      </c>
      <c r="B2274" t="s">
        <v>6802</v>
      </c>
      <c r="C2274" t="s">
        <v>6802</v>
      </c>
      <c r="D2274" t="str">
        <f>HYPERLINK("https://zfin.org/ZDB-GENE-090312-148")</f>
        <v>https://zfin.org/ZDB-GENE-090312-148</v>
      </c>
      <c r="E2274" t="s">
        <v>6803</v>
      </c>
    </row>
    <row r="2275" spans="1:5" x14ac:dyDescent="0.2">
      <c r="A2275" t="s">
        <v>6804</v>
      </c>
      <c r="B2275" t="s">
        <v>6805</v>
      </c>
      <c r="C2275" t="s">
        <v>6805</v>
      </c>
      <c r="D2275" t="str">
        <f>HYPERLINK("https://zfin.org/ZDB-GENE-070424-242")</f>
        <v>https://zfin.org/ZDB-GENE-070424-242</v>
      </c>
      <c r="E2275" t="s">
        <v>6806</v>
      </c>
    </row>
    <row r="2276" spans="1:5" x14ac:dyDescent="0.2">
      <c r="A2276" t="s">
        <v>6807</v>
      </c>
      <c r="B2276" t="s">
        <v>6808</v>
      </c>
      <c r="C2276" t="s">
        <v>6808</v>
      </c>
      <c r="D2276" t="str">
        <f>HYPERLINK("https://zfin.org/ZDB-GENE-110606-5")</f>
        <v>https://zfin.org/ZDB-GENE-110606-5</v>
      </c>
      <c r="E2276" t="s">
        <v>6809</v>
      </c>
    </row>
    <row r="2277" spans="1:5" x14ac:dyDescent="0.2">
      <c r="A2277" t="s">
        <v>6810</v>
      </c>
      <c r="B2277" t="s">
        <v>6811</v>
      </c>
      <c r="C2277" t="s">
        <v>6812</v>
      </c>
      <c r="D2277" t="str">
        <f>HYPERLINK("https://zfin.org/ZDB-GENE-040426-1026")</f>
        <v>https://zfin.org/ZDB-GENE-040426-1026</v>
      </c>
      <c r="E2277" t="s">
        <v>6813</v>
      </c>
    </row>
    <row r="2278" spans="1:5" x14ac:dyDescent="0.2">
      <c r="A2278" t="s">
        <v>6814</v>
      </c>
      <c r="B2278" t="s">
        <v>6815</v>
      </c>
      <c r="C2278" t="s">
        <v>6815</v>
      </c>
      <c r="D2278" t="str">
        <f>HYPERLINK("https://zfin.org/ZDB-GENE-070912-348")</f>
        <v>https://zfin.org/ZDB-GENE-070912-348</v>
      </c>
      <c r="E2278" t="s">
        <v>6816</v>
      </c>
    </row>
    <row r="2279" spans="1:5" x14ac:dyDescent="0.2">
      <c r="A2279" t="s">
        <v>6817</v>
      </c>
      <c r="B2279" t="s">
        <v>6818</v>
      </c>
      <c r="C2279" t="s">
        <v>6818</v>
      </c>
      <c r="D2279" t="str">
        <f>HYPERLINK("https://zfin.org/ZDB-GENE-070410-10")</f>
        <v>https://zfin.org/ZDB-GENE-070410-10</v>
      </c>
      <c r="E2279" t="s">
        <v>6819</v>
      </c>
    </row>
    <row r="2280" spans="1:5" x14ac:dyDescent="0.2">
      <c r="A2280" t="s">
        <v>6820</v>
      </c>
      <c r="B2280" t="s">
        <v>6821</v>
      </c>
      <c r="C2280" t="s">
        <v>6821</v>
      </c>
      <c r="D2280" t="str">
        <f>HYPERLINK("https://zfin.org/ZDB-GENE-120709-37")</f>
        <v>https://zfin.org/ZDB-GENE-120709-37</v>
      </c>
      <c r="E2280" t="s">
        <v>6822</v>
      </c>
    </row>
    <row r="2281" spans="1:5" x14ac:dyDescent="0.2">
      <c r="A2281" t="s">
        <v>6823</v>
      </c>
      <c r="B2281" t="s">
        <v>6824</v>
      </c>
      <c r="C2281" t="s">
        <v>6824</v>
      </c>
      <c r="D2281" t="str">
        <f>HYPERLINK("https://zfin.org/ZDB-GENE-040426-1803")</f>
        <v>https://zfin.org/ZDB-GENE-040426-1803</v>
      </c>
      <c r="E2281" t="s">
        <v>6825</v>
      </c>
    </row>
    <row r="2282" spans="1:5" x14ac:dyDescent="0.2">
      <c r="A2282" t="s">
        <v>6826</v>
      </c>
      <c r="B2282" t="s">
        <v>6827</v>
      </c>
      <c r="C2282" t="s">
        <v>6827</v>
      </c>
      <c r="D2282" t="str">
        <f>HYPERLINK("https://zfin.org/ZDB-GENE-060526-299")</f>
        <v>https://zfin.org/ZDB-GENE-060526-299</v>
      </c>
      <c r="E2282" t="s">
        <v>6828</v>
      </c>
    </row>
    <row r="2283" spans="1:5" x14ac:dyDescent="0.2">
      <c r="A2283" t="s">
        <v>6829</v>
      </c>
      <c r="B2283" t="s">
        <v>6830</v>
      </c>
      <c r="C2283" t="s">
        <v>6830</v>
      </c>
      <c r="D2283" t="str">
        <f>HYPERLINK("https://zfin.org/ZDB-GENE-080204-6")</f>
        <v>https://zfin.org/ZDB-GENE-080204-6</v>
      </c>
      <c r="E2283" t="s">
        <v>6831</v>
      </c>
    </row>
    <row r="2284" spans="1:5" x14ac:dyDescent="0.2">
      <c r="A2284" t="s">
        <v>6832</v>
      </c>
      <c r="B2284" t="s">
        <v>6833</v>
      </c>
      <c r="C2284" t="s">
        <v>6833</v>
      </c>
      <c r="D2284" t="str">
        <f>HYPERLINK("https://zfin.org/ZDB-GENE-030131-1566")</f>
        <v>https://zfin.org/ZDB-GENE-030131-1566</v>
      </c>
      <c r="E2284" t="s">
        <v>6834</v>
      </c>
    </row>
    <row r="2285" spans="1:5" x14ac:dyDescent="0.2">
      <c r="A2285" t="s">
        <v>6835</v>
      </c>
      <c r="B2285" t="s">
        <v>6836</v>
      </c>
      <c r="C2285" t="s">
        <v>6836</v>
      </c>
      <c r="D2285" t="str">
        <f>HYPERLINK("https://zfin.org/ZDB-GENE-061013-632")</f>
        <v>https://zfin.org/ZDB-GENE-061013-632</v>
      </c>
      <c r="E2285" t="s">
        <v>6837</v>
      </c>
    </row>
    <row r="2286" spans="1:5" x14ac:dyDescent="0.2">
      <c r="A2286" t="s">
        <v>6838</v>
      </c>
      <c r="B2286" t="s">
        <v>6839</v>
      </c>
      <c r="C2286" t="s">
        <v>6839</v>
      </c>
      <c r="D2286" t="str">
        <f>HYPERLINK("https://zfin.org/ZDB-GENE-040426-2843")</f>
        <v>https://zfin.org/ZDB-GENE-040426-2843</v>
      </c>
      <c r="E2286" t="s">
        <v>6840</v>
      </c>
    </row>
    <row r="2287" spans="1:5" x14ac:dyDescent="0.2">
      <c r="A2287" t="s">
        <v>6841</v>
      </c>
      <c r="B2287" t="s">
        <v>6842</v>
      </c>
      <c r="C2287" t="s">
        <v>6842</v>
      </c>
      <c r="D2287" t="str">
        <f>HYPERLINK("https://zfin.org/ZDB-GENE-141216-104")</f>
        <v>https://zfin.org/ZDB-GENE-141216-104</v>
      </c>
      <c r="E2287" t="s">
        <v>6843</v>
      </c>
    </row>
    <row r="2288" spans="1:5" x14ac:dyDescent="0.2">
      <c r="A2288" t="s">
        <v>6844</v>
      </c>
      <c r="B2288" t="s">
        <v>6845</v>
      </c>
      <c r="C2288" t="s">
        <v>6845</v>
      </c>
      <c r="D2288" t="str">
        <f>HYPERLINK("https://zfin.org/ZDB-GENE-110913-19")</f>
        <v>https://zfin.org/ZDB-GENE-110913-19</v>
      </c>
      <c r="E2288" t="s">
        <v>6846</v>
      </c>
    </row>
    <row r="2289" spans="1:5" x14ac:dyDescent="0.2">
      <c r="A2289" t="s">
        <v>6847</v>
      </c>
      <c r="B2289" t="s">
        <v>6848</v>
      </c>
      <c r="C2289" t="s">
        <v>6848</v>
      </c>
      <c r="D2289" t="str">
        <f>HYPERLINK("https://zfin.org/ZDB-GENE-131120-196")</f>
        <v>https://zfin.org/ZDB-GENE-131120-196</v>
      </c>
      <c r="E2289" t="s">
        <v>6849</v>
      </c>
    </row>
    <row r="2290" spans="1:5" x14ac:dyDescent="0.2">
      <c r="A2290" t="s">
        <v>6850</v>
      </c>
      <c r="B2290" t="s">
        <v>6851</v>
      </c>
      <c r="C2290" t="s">
        <v>6851</v>
      </c>
      <c r="D2290" t="str">
        <f>HYPERLINK("https://zfin.org/ZDB-GENE-030131-7582")</f>
        <v>https://zfin.org/ZDB-GENE-030131-7582</v>
      </c>
      <c r="E2290" t="s">
        <v>6852</v>
      </c>
    </row>
    <row r="2291" spans="1:5" x14ac:dyDescent="0.2">
      <c r="A2291" t="s">
        <v>6853</v>
      </c>
      <c r="B2291" t="s">
        <v>6854</v>
      </c>
      <c r="C2291" t="s">
        <v>6854</v>
      </c>
      <c r="D2291" t="str">
        <f>HYPERLINK("https://zfin.org/ZDB-GENE-060503-673")</f>
        <v>https://zfin.org/ZDB-GENE-060503-673</v>
      </c>
      <c r="E2291" t="s">
        <v>6855</v>
      </c>
    </row>
    <row r="2292" spans="1:5" x14ac:dyDescent="0.2">
      <c r="A2292" t="s">
        <v>6856</v>
      </c>
      <c r="B2292" t="s">
        <v>6857</v>
      </c>
      <c r="C2292" t="s">
        <v>6857</v>
      </c>
      <c r="D2292" t="str">
        <f>HYPERLINK("https://zfin.org/ZDB-GENE-081022-193")</f>
        <v>https://zfin.org/ZDB-GENE-081022-193</v>
      </c>
      <c r="E2292" t="s">
        <v>6858</v>
      </c>
    </row>
    <row r="2293" spans="1:5" x14ac:dyDescent="0.2">
      <c r="A2293" t="s">
        <v>6859</v>
      </c>
      <c r="B2293" t="s">
        <v>6860</v>
      </c>
      <c r="C2293" t="s">
        <v>6860</v>
      </c>
      <c r="D2293" t="str">
        <f>HYPERLINK("https://zfin.org/ZDB-GENE-050417-450")</f>
        <v>https://zfin.org/ZDB-GENE-050417-450</v>
      </c>
      <c r="E2293" t="s">
        <v>6861</v>
      </c>
    </row>
    <row r="2294" spans="1:5" x14ac:dyDescent="0.2">
      <c r="A2294" t="s">
        <v>6862</v>
      </c>
      <c r="B2294" t="s">
        <v>6863</v>
      </c>
      <c r="C2294" t="s">
        <v>6863</v>
      </c>
      <c r="D2294" t="str">
        <f>HYPERLINK("https://zfin.org/ZDB-GENE-030131-1600")</f>
        <v>https://zfin.org/ZDB-GENE-030131-1600</v>
      </c>
      <c r="E2294" t="s">
        <v>6864</v>
      </c>
    </row>
    <row r="2295" spans="1:5" x14ac:dyDescent="0.2">
      <c r="A2295" t="s">
        <v>6865</v>
      </c>
      <c r="B2295" t="s">
        <v>6866</v>
      </c>
      <c r="C2295" t="s">
        <v>6866</v>
      </c>
      <c r="D2295" t="str">
        <f>HYPERLINK("https://zfin.org/ZDB-GENE-040116-5")</f>
        <v>https://zfin.org/ZDB-GENE-040116-5</v>
      </c>
      <c r="E2295" t="s">
        <v>6867</v>
      </c>
    </row>
    <row r="2296" spans="1:5" x14ac:dyDescent="0.2">
      <c r="A2296" t="s">
        <v>6868</v>
      </c>
      <c r="B2296" t="s">
        <v>6869</v>
      </c>
      <c r="C2296" t="s">
        <v>6869</v>
      </c>
      <c r="D2296" t="str">
        <f>HYPERLINK("https://zfin.org/ZDB-GENE-121214-319")</f>
        <v>https://zfin.org/ZDB-GENE-121214-319</v>
      </c>
      <c r="E2296" t="s">
        <v>6870</v>
      </c>
    </row>
    <row r="2297" spans="1:5" x14ac:dyDescent="0.2">
      <c r="A2297" t="s">
        <v>6871</v>
      </c>
      <c r="B2297" t="s">
        <v>6872</v>
      </c>
      <c r="C2297" t="s">
        <v>6872</v>
      </c>
      <c r="D2297" t="str">
        <f>HYPERLINK("https://zfin.org/ZDB-GENE-030131-9829")</f>
        <v>https://zfin.org/ZDB-GENE-030131-9829</v>
      </c>
      <c r="E2297" t="s">
        <v>6873</v>
      </c>
    </row>
    <row r="2298" spans="1:5" x14ac:dyDescent="0.2">
      <c r="A2298" t="s">
        <v>6874</v>
      </c>
      <c r="B2298" t="s">
        <v>6875</v>
      </c>
      <c r="C2298" t="s">
        <v>6875</v>
      </c>
      <c r="D2298" t="str">
        <f>HYPERLINK("https://zfin.org/ZDB-GENE-090313-284")</f>
        <v>https://zfin.org/ZDB-GENE-090313-284</v>
      </c>
      <c r="E2298" t="s">
        <v>6876</v>
      </c>
    </row>
    <row r="2299" spans="1:5" x14ac:dyDescent="0.2">
      <c r="A2299" t="s">
        <v>6877</v>
      </c>
      <c r="B2299" t="s">
        <v>6878</v>
      </c>
      <c r="C2299" t="s">
        <v>6878</v>
      </c>
      <c r="D2299" t="str">
        <f>HYPERLINK("https://zfin.org/ZDB-GENE-050306-44")</f>
        <v>https://zfin.org/ZDB-GENE-050306-44</v>
      </c>
      <c r="E2299" t="s">
        <v>6879</v>
      </c>
    </row>
    <row r="2300" spans="1:5" x14ac:dyDescent="0.2">
      <c r="A2300" t="s">
        <v>6880</v>
      </c>
      <c r="B2300" t="s">
        <v>6881</v>
      </c>
      <c r="C2300" t="s">
        <v>6881</v>
      </c>
      <c r="D2300" t="str">
        <f>HYPERLINK("https://zfin.org/ZDB-GENE-081028-71")</f>
        <v>https://zfin.org/ZDB-GENE-081028-71</v>
      </c>
      <c r="E2300" t="s">
        <v>6882</v>
      </c>
    </row>
    <row r="2301" spans="1:5" x14ac:dyDescent="0.2">
      <c r="A2301" t="s">
        <v>6883</v>
      </c>
      <c r="B2301" t="s">
        <v>6884</v>
      </c>
      <c r="C2301" t="s">
        <v>6884</v>
      </c>
      <c r="D2301" t="str">
        <f>HYPERLINK("https://zfin.org/ZDB-GENE-040801-98")</f>
        <v>https://zfin.org/ZDB-GENE-040801-98</v>
      </c>
      <c r="E2301" t="s">
        <v>6885</v>
      </c>
    </row>
    <row r="2302" spans="1:5" x14ac:dyDescent="0.2">
      <c r="A2302" t="s">
        <v>6886</v>
      </c>
      <c r="B2302" t="s">
        <v>6887</v>
      </c>
      <c r="C2302" t="s">
        <v>6887</v>
      </c>
      <c r="D2302" t="str">
        <f>HYPERLINK("https://zfin.org/ZDB-GENE-110411-22")</f>
        <v>https://zfin.org/ZDB-GENE-110411-22</v>
      </c>
      <c r="E2302" t="s">
        <v>6888</v>
      </c>
    </row>
    <row r="2303" spans="1:5" x14ac:dyDescent="0.2">
      <c r="A2303" t="s">
        <v>6889</v>
      </c>
      <c r="B2303" t="s">
        <v>6890</v>
      </c>
      <c r="C2303" t="s">
        <v>6890</v>
      </c>
      <c r="D2303" t="str">
        <f>HYPERLINK("https://zfin.org/ZDB-GENE-080104-5")</f>
        <v>https://zfin.org/ZDB-GENE-080104-5</v>
      </c>
      <c r="E2303" t="s">
        <v>6891</v>
      </c>
    </row>
    <row r="2304" spans="1:5" x14ac:dyDescent="0.2">
      <c r="A2304" t="s">
        <v>6892</v>
      </c>
      <c r="B2304" t="s">
        <v>6893</v>
      </c>
      <c r="C2304" t="s">
        <v>6893</v>
      </c>
      <c r="D2304" t="str">
        <f>HYPERLINK("https://zfin.org/ZDB-GENE-040426-906")</f>
        <v>https://zfin.org/ZDB-GENE-040426-906</v>
      </c>
      <c r="E2304" t="s">
        <v>6894</v>
      </c>
    </row>
    <row r="2305" spans="1:5" x14ac:dyDescent="0.2">
      <c r="A2305" t="s">
        <v>6895</v>
      </c>
      <c r="B2305" t="s">
        <v>6896</v>
      </c>
      <c r="C2305" t="s">
        <v>6896</v>
      </c>
      <c r="D2305" t="str">
        <f>HYPERLINK("https://zfin.org/ZDB-GENE-030131-3767")</f>
        <v>https://zfin.org/ZDB-GENE-030131-3767</v>
      </c>
      <c r="E2305" t="s">
        <v>6897</v>
      </c>
    </row>
    <row r="2306" spans="1:5" x14ac:dyDescent="0.2">
      <c r="A2306" t="s">
        <v>6898</v>
      </c>
      <c r="B2306" t="s">
        <v>6899</v>
      </c>
      <c r="C2306" t="s">
        <v>6899</v>
      </c>
      <c r="D2306" t="str">
        <f>HYPERLINK("https://zfin.org/ZDB-GENE-060503-706")</f>
        <v>https://zfin.org/ZDB-GENE-060503-706</v>
      </c>
      <c r="E2306" t="s">
        <v>6900</v>
      </c>
    </row>
    <row r="2307" spans="1:5" x14ac:dyDescent="0.2">
      <c r="A2307" t="s">
        <v>6901</v>
      </c>
      <c r="B2307" t="s">
        <v>6902</v>
      </c>
      <c r="C2307" t="s">
        <v>6902</v>
      </c>
      <c r="D2307" t="str">
        <f>HYPERLINK("https://zfin.org/ZDB-GENE-060929-532")</f>
        <v>https://zfin.org/ZDB-GENE-060929-532</v>
      </c>
      <c r="E2307" t="s">
        <v>6903</v>
      </c>
    </row>
    <row r="2308" spans="1:5" x14ac:dyDescent="0.2">
      <c r="A2308" t="s">
        <v>6904</v>
      </c>
      <c r="B2308" t="s">
        <v>6905</v>
      </c>
      <c r="C2308" t="s">
        <v>6905</v>
      </c>
      <c r="D2308" t="str">
        <f>HYPERLINK("https://zfin.org/ZDB-GENE-031219-6")</f>
        <v>https://zfin.org/ZDB-GENE-031219-6</v>
      </c>
      <c r="E2308" t="s">
        <v>6906</v>
      </c>
    </row>
    <row r="2309" spans="1:5" x14ac:dyDescent="0.2">
      <c r="A2309" t="s">
        <v>6907</v>
      </c>
      <c r="B2309" t="s">
        <v>6908</v>
      </c>
      <c r="C2309" t="s">
        <v>6908</v>
      </c>
      <c r="D2309" t="str">
        <f>HYPERLINK("https://zfin.org/ZDB-GENE-110913-8")</f>
        <v>https://zfin.org/ZDB-GENE-110913-8</v>
      </c>
      <c r="E2309" t="s">
        <v>6909</v>
      </c>
    </row>
    <row r="2310" spans="1:5" x14ac:dyDescent="0.2">
      <c r="A2310" t="s">
        <v>6910</v>
      </c>
      <c r="B2310" t="s">
        <v>6911</v>
      </c>
      <c r="C2310" t="s">
        <v>6911</v>
      </c>
      <c r="D2310" t="str">
        <f>HYPERLINK("https://zfin.org/ZDB-GENE-110408-2")</f>
        <v>https://zfin.org/ZDB-GENE-110408-2</v>
      </c>
      <c r="E2310" t="s">
        <v>6912</v>
      </c>
    </row>
    <row r="2311" spans="1:5" x14ac:dyDescent="0.2">
      <c r="A2311" t="s">
        <v>6913</v>
      </c>
      <c r="B2311" t="s">
        <v>6914</v>
      </c>
      <c r="C2311" t="s">
        <v>6914</v>
      </c>
      <c r="D2311" t="str">
        <f>HYPERLINK("https://zfin.org/ZDB-GENE-050419-219")</f>
        <v>https://zfin.org/ZDB-GENE-050419-219</v>
      </c>
      <c r="E2311" t="s">
        <v>6915</v>
      </c>
    </row>
    <row r="2312" spans="1:5" x14ac:dyDescent="0.2">
      <c r="A2312" t="s">
        <v>6916</v>
      </c>
      <c r="B2312" t="s">
        <v>6917</v>
      </c>
      <c r="C2312" t="s">
        <v>6917</v>
      </c>
      <c r="D2312" t="str">
        <f>HYPERLINK("https://zfin.org/ZDB-GENE-100922-266")</f>
        <v>https://zfin.org/ZDB-GENE-100922-266</v>
      </c>
      <c r="E2312" t="s">
        <v>6918</v>
      </c>
    </row>
    <row r="2313" spans="1:5" x14ac:dyDescent="0.2">
      <c r="A2313" t="s">
        <v>6919</v>
      </c>
      <c r="B2313" t="s">
        <v>6920</v>
      </c>
      <c r="C2313" t="s">
        <v>6920</v>
      </c>
      <c r="D2313" t="str">
        <f>HYPERLINK("https://zfin.org/ZDB-GENE-040426-1188")</f>
        <v>https://zfin.org/ZDB-GENE-040426-1188</v>
      </c>
      <c r="E2313" t="s">
        <v>6921</v>
      </c>
    </row>
    <row r="2314" spans="1:5" x14ac:dyDescent="0.2">
      <c r="A2314" t="s">
        <v>6922</v>
      </c>
      <c r="B2314" t="s">
        <v>6923</v>
      </c>
      <c r="C2314" t="s">
        <v>6923</v>
      </c>
      <c r="D2314" t="str">
        <f>HYPERLINK("https://zfin.org/ZDB-GENE-080103-3")</f>
        <v>https://zfin.org/ZDB-GENE-080103-3</v>
      </c>
      <c r="E2314" t="s">
        <v>6924</v>
      </c>
    </row>
    <row r="2315" spans="1:5" x14ac:dyDescent="0.2">
      <c r="A2315" t="s">
        <v>6925</v>
      </c>
      <c r="B2315" t="s">
        <v>6926</v>
      </c>
      <c r="C2315" t="s">
        <v>6926</v>
      </c>
      <c r="D2315" t="str">
        <f>HYPERLINK("https://zfin.org/ZDB-GENE-040718-136")</f>
        <v>https://zfin.org/ZDB-GENE-040718-136</v>
      </c>
      <c r="E2315" t="s">
        <v>6927</v>
      </c>
    </row>
    <row r="2316" spans="1:5" x14ac:dyDescent="0.2">
      <c r="A2316" t="s">
        <v>6928</v>
      </c>
      <c r="B2316" t="s">
        <v>6929</v>
      </c>
      <c r="C2316" t="s">
        <v>6929</v>
      </c>
      <c r="D2316" t="str">
        <f>HYPERLINK("https://zfin.org/ZDB-GENE-131119-25")</f>
        <v>https://zfin.org/ZDB-GENE-131119-25</v>
      </c>
      <c r="E2316" t="s">
        <v>6930</v>
      </c>
    </row>
    <row r="2317" spans="1:5" x14ac:dyDescent="0.2">
      <c r="A2317" t="s">
        <v>6931</v>
      </c>
      <c r="B2317" t="s">
        <v>6932</v>
      </c>
      <c r="C2317" t="s">
        <v>6932</v>
      </c>
      <c r="D2317" t="str">
        <f>HYPERLINK("https://zfin.org/ZDB-GENE-040426-1053")</f>
        <v>https://zfin.org/ZDB-GENE-040426-1053</v>
      </c>
      <c r="E2317" t="s">
        <v>6933</v>
      </c>
    </row>
    <row r="2318" spans="1:5" x14ac:dyDescent="0.2">
      <c r="A2318" t="s">
        <v>6934</v>
      </c>
      <c r="B2318" t="s">
        <v>6935</v>
      </c>
      <c r="C2318" t="s">
        <v>6935</v>
      </c>
      <c r="D2318" t="str">
        <f>HYPERLINK("https://zfin.org/ZDB-GENE-040718-413")</f>
        <v>https://zfin.org/ZDB-GENE-040718-413</v>
      </c>
      <c r="E2318" t="s">
        <v>6936</v>
      </c>
    </row>
    <row r="2319" spans="1:5" x14ac:dyDescent="0.2">
      <c r="A2319" t="s">
        <v>6937</v>
      </c>
      <c r="B2319" t="s">
        <v>6938</v>
      </c>
      <c r="C2319" t="s">
        <v>6938</v>
      </c>
      <c r="D2319" t="str">
        <f>HYPERLINK("https://zfin.org/ZDB-GENE-090312-4")</f>
        <v>https://zfin.org/ZDB-GENE-090312-4</v>
      </c>
      <c r="E2319" t="s">
        <v>6939</v>
      </c>
    </row>
    <row r="2320" spans="1:5" x14ac:dyDescent="0.2">
      <c r="A2320" t="s">
        <v>6940</v>
      </c>
      <c r="B2320" t="s">
        <v>6941</v>
      </c>
      <c r="C2320" t="s">
        <v>6941</v>
      </c>
      <c r="D2320" t="str">
        <f>HYPERLINK("https://zfin.org/ZDB-GENE-131121-445")</f>
        <v>https://zfin.org/ZDB-GENE-131121-445</v>
      </c>
      <c r="E2320" t="s">
        <v>6942</v>
      </c>
    </row>
    <row r="2321" spans="1:5" x14ac:dyDescent="0.2">
      <c r="A2321" t="s">
        <v>6943</v>
      </c>
      <c r="B2321" t="s">
        <v>6944</v>
      </c>
      <c r="C2321" t="s">
        <v>6944</v>
      </c>
      <c r="D2321" t="str">
        <f>HYPERLINK("https://zfin.org/ZDB-GENE-030430-2")</f>
        <v>https://zfin.org/ZDB-GENE-030430-2</v>
      </c>
      <c r="E2321" t="s">
        <v>6945</v>
      </c>
    </row>
    <row r="2322" spans="1:5" x14ac:dyDescent="0.2">
      <c r="A2322" t="s">
        <v>6946</v>
      </c>
      <c r="B2322" t="s">
        <v>6947</v>
      </c>
      <c r="C2322" t="s">
        <v>6947</v>
      </c>
      <c r="D2322" t="str">
        <f>HYPERLINK("https://zfin.org/ZDB-GENE-040426-718")</f>
        <v>https://zfin.org/ZDB-GENE-040426-718</v>
      </c>
      <c r="E2322" t="s">
        <v>6948</v>
      </c>
    </row>
    <row r="2323" spans="1:5" x14ac:dyDescent="0.2">
      <c r="A2323" t="s">
        <v>6949</v>
      </c>
      <c r="B2323" t="s">
        <v>6950</v>
      </c>
      <c r="C2323" t="s">
        <v>6950</v>
      </c>
      <c r="D2323" t="str">
        <f>HYPERLINK("https://zfin.org/ZDB-GENE-040426-1726")</f>
        <v>https://zfin.org/ZDB-GENE-040426-1726</v>
      </c>
      <c r="E2323" t="s">
        <v>6951</v>
      </c>
    </row>
    <row r="2324" spans="1:5" x14ac:dyDescent="0.2">
      <c r="A2324" t="s">
        <v>6952</v>
      </c>
      <c r="B2324" t="s">
        <v>6953</v>
      </c>
      <c r="C2324" t="s">
        <v>6953</v>
      </c>
      <c r="D2324" t="str">
        <f>HYPERLINK("https://zfin.org/ZDB-GENE-090312-64")</f>
        <v>https://zfin.org/ZDB-GENE-090312-64</v>
      </c>
      <c r="E2324" t="s">
        <v>6954</v>
      </c>
    </row>
    <row r="2325" spans="1:5" x14ac:dyDescent="0.2">
      <c r="A2325" t="s">
        <v>6955</v>
      </c>
      <c r="B2325" t="s">
        <v>6956</v>
      </c>
      <c r="C2325" t="s">
        <v>6956</v>
      </c>
      <c r="D2325" t="str">
        <f>HYPERLINK("https://zfin.org/ZDB-GENE-030131-34")</f>
        <v>https://zfin.org/ZDB-GENE-030131-34</v>
      </c>
      <c r="E2325" t="s">
        <v>6957</v>
      </c>
    </row>
    <row r="2326" spans="1:5" x14ac:dyDescent="0.2">
      <c r="A2326" t="s">
        <v>6958</v>
      </c>
      <c r="B2326" t="s">
        <v>6959</v>
      </c>
      <c r="C2326" t="s">
        <v>6959</v>
      </c>
      <c r="D2326" t="str">
        <f>HYPERLINK("https://zfin.org/ZDB-GENE-040704-15")</f>
        <v>https://zfin.org/ZDB-GENE-040704-15</v>
      </c>
      <c r="E2326" t="s">
        <v>6960</v>
      </c>
    </row>
    <row r="2327" spans="1:5" x14ac:dyDescent="0.2">
      <c r="A2327" t="s">
        <v>6961</v>
      </c>
      <c r="B2327" t="s">
        <v>6962</v>
      </c>
      <c r="C2327" t="s">
        <v>6962</v>
      </c>
      <c r="D2327" t="str">
        <f>HYPERLINK("https://zfin.org/ZDB-GENE-030131-5564")</f>
        <v>https://zfin.org/ZDB-GENE-030131-5564</v>
      </c>
      <c r="E2327" t="s">
        <v>6963</v>
      </c>
    </row>
    <row r="2328" spans="1:5" x14ac:dyDescent="0.2">
      <c r="A2328" t="s">
        <v>6964</v>
      </c>
      <c r="B2328" t="s">
        <v>6965</v>
      </c>
      <c r="C2328" t="s">
        <v>6965</v>
      </c>
      <c r="D2328" t="str">
        <f>HYPERLINK("https://zfin.org/ZDB-GENE-110411-53")</f>
        <v>https://zfin.org/ZDB-GENE-110411-53</v>
      </c>
      <c r="E2328" t="s">
        <v>6966</v>
      </c>
    </row>
    <row r="2329" spans="1:5" x14ac:dyDescent="0.2">
      <c r="A2329" t="s">
        <v>6967</v>
      </c>
      <c r="B2329" t="s">
        <v>6968</v>
      </c>
      <c r="C2329" t="s">
        <v>6968</v>
      </c>
      <c r="D2329" t="str">
        <f>HYPERLINK("https://zfin.org/ZDB-GENE-030131-6714")</f>
        <v>https://zfin.org/ZDB-GENE-030131-6714</v>
      </c>
      <c r="E2329" t="s">
        <v>6969</v>
      </c>
    </row>
    <row r="2330" spans="1:5" x14ac:dyDescent="0.2">
      <c r="A2330" t="s">
        <v>6970</v>
      </c>
      <c r="B2330" t="s">
        <v>6971</v>
      </c>
      <c r="C2330" t="s">
        <v>6971</v>
      </c>
      <c r="D2330" t="str">
        <f>HYPERLINK("https://zfin.org/ZDB-GENE-040801-94")</f>
        <v>https://zfin.org/ZDB-GENE-040801-94</v>
      </c>
      <c r="E2330" t="s">
        <v>6972</v>
      </c>
    </row>
    <row r="2331" spans="1:5" x14ac:dyDescent="0.2">
      <c r="A2331" t="s">
        <v>6973</v>
      </c>
      <c r="B2331" t="s">
        <v>6974</v>
      </c>
      <c r="C2331" t="s">
        <v>6974</v>
      </c>
      <c r="D2331" t="str">
        <f>HYPERLINK("https://zfin.org/ZDB-GENE-080917-50")</f>
        <v>https://zfin.org/ZDB-GENE-080917-50</v>
      </c>
      <c r="E2331" t="s">
        <v>6975</v>
      </c>
    </row>
    <row r="2332" spans="1:5" x14ac:dyDescent="0.2">
      <c r="A2332" t="s">
        <v>6976</v>
      </c>
      <c r="B2332" t="s">
        <v>6977</v>
      </c>
      <c r="C2332" t="s">
        <v>6977</v>
      </c>
      <c r="D2332" t="str">
        <f>HYPERLINK("https://zfin.org/ZDB-GENE-050913-65")</f>
        <v>https://zfin.org/ZDB-GENE-050913-65</v>
      </c>
      <c r="E2332" t="s">
        <v>6978</v>
      </c>
    </row>
    <row r="2333" spans="1:5" x14ac:dyDescent="0.2">
      <c r="A2333" t="s">
        <v>6979</v>
      </c>
      <c r="B2333" t="s">
        <v>6980</v>
      </c>
      <c r="C2333" t="s">
        <v>6980</v>
      </c>
      <c r="D2333" t="str">
        <f>HYPERLINK("https://zfin.org/ZDB-GENE-040426-975")</f>
        <v>https://zfin.org/ZDB-GENE-040426-975</v>
      </c>
      <c r="E2333" t="s">
        <v>6981</v>
      </c>
    </row>
    <row r="2334" spans="1:5" x14ac:dyDescent="0.2">
      <c r="A2334" t="s">
        <v>6982</v>
      </c>
      <c r="B2334" t="s">
        <v>6983</v>
      </c>
      <c r="C2334" t="s">
        <v>6983</v>
      </c>
      <c r="D2334" t="str">
        <f>HYPERLINK("https://zfin.org/ZDB-GENE-050417-297")</f>
        <v>https://zfin.org/ZDB-GENE-050417-297</v>
      </c>
      <c r="E2334" t="s">
        <v>6984</v>
      </c>
    </row>
    <row r="2335" spans="1:5" x14ac:dyDescent="0.2">
      <c r="A2335" t="s">
        <v>6985</v>
      </c>
      <c r="B2335" t="s">
        <v>6986</v>
      </c>
      <c r="C2335" t="s">
        <v>6986</v>
      </c>
      <c r="D2335" t="str">
        <f>HYPERLINK("https://zfin.org/ZDB-GENE-060929-432")</f>
        <v>https://zfin.org/ZDB-GENE-060929-432</v>
      </c>
      <c r="E2335" t="s">
        <v>6987</v>
      </c>
    </row>
    <row r="2336" spans="1:5" x14ac:dyDescent="0.2">
      <c r="A2336" t="s">
        <v>6988</v>
      </c>
      <c r="B2336" t="s">
        <v>6989</v>
      </c>
      <c r="C2336" t="s">
        <v>6989</v>
      </c>
      <c r="D2336" t="str">
        <f>HYPERLINK("https://zfin.org/ZDB-GENE-120709-73")</f>
        <v>https://zfin.org/ZDB-GENE-120709-73</v>
      </c>
      <c r="E2336" t="s">
        <v>6990</v>
      </c>
    </row>
    <row r="2337" spans="1:5" x14ac:dyDescent="0.2">
      <c r="A2337" t="s">
        <v>6991</v>
      </c>
      <c r="B2337" t="s">
        <v>6992</v>
      </c>
      <c r="C2337" t="s">
        <v>6992</v>
      </c>
      <c r="D2337" t="str">
        <f>HYPERLINK("https://zfin.org/ZDB-GENE-050522-490")</f>
        <v>https://zfin.org/ZDB-GENE-050522-490</v>
      </c>
      <c r="E2337" t="s">
        <v>6993</v>
      </c>
    </row>
    <row r="2338" spans="1:5" x14ac:dyDescent="0.2">
      <c r="A2338" t="s">
        <v>6994</v>
      </c>
      <c r="B2338" t="s">
        <v>6995</v>
      </c>
      <c r="C2338" t="s">
        <v>6995</v>
      </c>
      <c r="D2338" t="str">
        <f>HYPERLINK("https://zfin.org/ZDB-GENE-040625-27")</f>
        <v>https://zfin.org/ZDB-GENE-040625-27</v>
      </c>
      <c r="E2338" t="s">
        <v>6996</v>
      </c>
    </row>
    <row r="2339" spans="1:5" x14ac:dyDescent="0.2">
      <c r="A2339" t="s">
        <v>6997</v>
      </c>
      <c r="B2339" t="s">
        <v>6998</v>
      </c>
      <c r="C2339" t="s">
        <v>6998</v>
      </c>
      <c r="D2339" t="str">
        <f>HYPERLINK("https://zfin.org/ZDB-GENE-030131-925")</f>
        <v>https://zfin.org/ZDB-GENE-030131-925</v>
      </c>
      <c r="E2339" t="s">
        <v>6999</v>
      </c>
    </row>
    <row r="2340" spans="1:5" x14ac:dyDescent="0.2">
      <c r="A2340" t="s">
        <v>7000</v>
      </c>
      <c r="B2340" t="s">
        <v>7001</v>
      </c>
      <c r="C2340" t="s">
        <v>7001</v>
      </c>
      <c r="D2340" t="str">
        <f>HYPERLINK("https://zfin.org/ZDB-GENE-030131-2172")</f>
        <v>https://zfin.org/ZDB-GENE-030131-2172</v>
      </c>
      <c r="E2340" t="s">
        <v>7002</v>
      </c>
    </row>
    <row r="2341" spans="1:5" x14ac:dyDescent="0.2">
      <c r="A2341" t="s">
        <v>7003</v>
      </c>
      <c r="B2341" t="s">
        <v>7004</v>
      </c>
      <c r="C2341" t="s">
        <v>7004</v>
      </c>
      <c r="D2341" t="str">
        <f>HYPERLINK("https://zfin.org/ZDB-GENE-100922-270")</f>
        <v>https://zfin.org/ZDB-GENE-100922-270</v>
      </c>
      <c r="E2341" t="s">
        <v>7005</v>
      </c>
    </row>
    <row r="2342" spans="1:5" x14ac:dyDescent="0.2">
      <c r="A2342" t="s">
        <v>7006</v>
      </c>
      <c r="B2342" t="s">
        <v>7007</v>
      </c>
      <c r="C2342" t="s">
        <v>7007</v>
      </c>
      <c r="D2342" t="str">
        <f>HYPERLINK("https://zfin.org/ZDB-GENE-060503-612")</f>
        <v>https://zfin.org/ZDB-GENE-060503-612</v>
      </c>
      <c r="E2342" t="s">
        <v>7008</v>
      </c>
    </row>
    <row r="2343" spans="1:5" x14ac:dyDescent="0.2">
      <c r="A2343" t="s">
        <v>7009</v>
      </c>
      <c r="B2343" t="s">
        <v>7010</v>
      </c>
      <c r="C2343" t="s">
        <v>7010</v>
      </c>
      <c r="D2343" t="str">
        <f>HYPERLINK("https://zfin.org/ZDB-GENE-040625-84")</f>
        <v>https://zfin.org/ZDB-GENE-040625-84</v>
      </c>
      <c r="E2343" t="s">
        <v>7011</v>
      </c>
    </row>
    <row r="2344" spans="1:5" x14ac:dyDescent="0.2">
      <c r="A2344" t="s">
        <v>7012</v>
      </c>
      <c r="B2344" t="s">
        <v>7013</v>
      </c>
      <c r="C2344" t="s">
        <v>7013</v>
      </c>
      <c r="D2344" t="str">
        <f>HYPERLINK("https://zfin.org/ZDB-GENE-040426-2058")</f>
        <v>https://zfin.org/ZDB-GENE-040426-2058</v>
      </c>
      <c r="E2344" t="s">
        <v>7014</v>
      </c>
    </row>
    <row r="2345" spans="1:5" x14ac:dyDescent="0.2">
      <c r="A2345" t="s">
        <v>7015</v>
      </c>
      <c r="B2345" t="s">
        <v>7016</v>
      </c>
      <c r="C2345" t="s">
        <v>7016</v>
      </c>
      <c r="D2345" t="str">
        <f>HYPERLINK("https://zfin.org/ZDB-GENE-051030-102")</f>
        <v>https://zfin.org/ZDB-GENE-051030-102</v>
      </c>
      <c r="E2345" t="s">
        <v>7017</v>
      </c>
    </row>
    <row r="2346" spans="1:5" x14ac:dyDescent="0.2">
      <c r="A2346" t="s">
        <v>7018</v>
      </c>
      <c r="B2346" t="s">
        <v>7019</v>
      </c>
      <c r="C2346" t="s">
        <v>7019</v>
      </c>
      <c r="D2346" t="str">
        <f>HYPERLINK("https://zfin.org/ZDB-GENE-040426-1963")</f>
        <v>https://zfin.org/ZDB-GENE-040426-1963</v>
      </c>
      <c r="E2346" t="s">
        <v>7020</v>
      </c>
    </row>
    <row r="2347" spans="1:5" x14ac:dyDescent="0.2">
      <c r="A2347" t="s">
        <v>7021</v>
      </c>
      <c r="B2347" t="s">
        <v>7022</v>
      </c>
      <c r="C2347" t="s">
        <v>7022</v>
      </c>
      <c r="D2347" t="str">
        <f>HYPERLINK("https://zfin.org/ZDB-GENE-131121-493")</f>
        <v>https://zfin.org/ZDB-GENE-131121-493</v>
      </c>
      <c r="E2347" t="s">
        <v>7023</v>
      </c>
    </row>
    <row r="2348" spans="1:5" x14ac:dyDescent="0.2">
      <c r="A2348" t="s">
        <v>7024</v>
      </c>
      <c r="B2348" t="s">
        <v>7025</v>
      </c>
      <c r="C2348" t="s">
        <v>7025</v>
      </c>
      <c r="D2348" t="str">
        <f>HYPERLINK("https://zfin.org/ZDB-GENE-040625-88")</f>
        <v>https://zfin.org/ZDB-GENE-040625-88</v>
      </c>
      <c r="E2348" t="s">
        <v>7026</v>
      </c>
    </row>
    <row r="2349" spans="1:5" x14ac:dyDescent="0.2">
      <c r="A2349" t="s">
        <v>7027</v>
      </c>
      <c r="B2349" t="s">
        <v>7028</v>
      </c>
      <c r="C2349" t="s">
        <v>7028</v>
      </c>
      <c r="D2349" t="str">
        <f>HYPERLINK("https://zfin.org/ZDB-GENE-010328-1")</f>
        <v>https://zfin.org/ZDB-GENE-010328-1</v>
      </c>
      <c r="E2349" t="s">
        <v>7029</v>
      </c>
    </row>
    <row r="2350" spans="1:5" x14ac:dyDescent="0.2">
      <c r="A2350" t="s">
        <v>7030</v>
      </c>
      <c r="B2350" t="s">
        <v>7031</v>
      </c>
      <c r="C2350" t="s">
        <v>7031</v>
      </c>
      <c r="D2350" t="str">
        <f>HYPERLINK("https://zfin.org/ZDB-GENE-071120-6")</f>
        <v>https://zfin.org/ZDB-GENE-071120-6</v>
      </c>
      <c r="E2350" t="s">
        <v>7032</v>
      </c>
    </row>
    <row r="2351" spans="1:5" x14ac:dyDescent="0.2">
      <c r="A2351" t="s">
        <v>7033</v>
      </c>
      <c r="B2351" t="s">
        <v>7034</v>
      </c>
      <c r="C2351" t="s">
        <v>7034</v>
      </c>
      <c r="D2351" t="str">
        <f>HYPERLINK("https://zfin.org/ZDB-GENE-030715-1")</f>
        <v>https://zfin.org/ZDB-GENE-030715-1</v>
      </c>
      <c r="E2351" t="s">
        <v>7035</v>
      </c>
    </row>
    <row r="2352" spans="1:5" x14ac:dyDescent="0.2">
      <c r="A2352" t="s">
        <v>7036</v>
      </c>
      <c r="B2352" t="s">
        <v>7037</v>
      </c>
      <c r="C2352" t="s">
        <v>7037</v>
      </c>
      <c r="D2352" t="str">
        <f>HYPERLINK("https://zfin.org/ZDB-GENE-040426-1696")</f>
        <v>https://zfin.org/ZDB-GENE-040426-1696</v>
      </c>
      <c r="E2352" t="s">
        <v>7038</v>
      </c>
    </row>
    <row r="2353" spans="1:5" x14ac:dyDescent="0.2">
      <c r="A2353" t="s">
        <v>7039</v>
      </c>
      <c r="B2353" t="s">
        <v>7040</v>
      </c>
      <c r="C2353" t="s">
        <v>7040</v>
      </c>
      <c r="D2353" t="str">
        <f>HYPERLINK("https://zfin.org/ZDB-GENE-040426-2814")</f>
        <v>https://zfin.org/ZDB-GENE-040426-2814</v>
      </c>
      <c r="E2353" t="s">
        <v>7041</v>
      </c>
    </row>
    <row r="2354" spans="1:5" x14ac:dyDescent="0.2">
      <c r="A2354" t="s">
        <v>7042</v>
      </c>
      <c r="B2354" t="s">
        <v>7043</v>
      </c>
      <c r="C2354" t="s">
        <v>7043</v>
      </c>
      <c r="D2354" t="str">
        <f>HYPERLINK("https://zfin.org/ZDB-GENE-000329-5")</f>
        <v>https://zfin.org/ZDB-GENE-000329-5</v>
      </c>
      <c r="E2354" t="s">
        <v>7044</v>
      </c>
    </row>
    <row r="2355" spans="1:5" x14ac:dyDescent="0.2">
      <c r="A2355" t="s">
        <v>7045</v>
      </c>
      <c r="B2355" t="s">
        <v>7046</v>
      </c>
      <c r="C2355" t="s">
        <v>7046</v>
      </c>
      <c r="D2355" t="str">
        <f>HYPERLINK("https://zfin.org/ZDB-GENE-100922-125")</f>
        <v>https://zfin.org/ZDB-GENE-100922-125</v>
      </c>
      <c r="E2355" t="s">
        <v>7047</v>
      </c>
    </row>
    <row r="2356" spans="1:5" x14ac:dyDescent="0.2">
      <c r="A2356" t="s">
        <v>7048</v>
      </c>
      <c r="B2356" t="s">
        <v>7049</v>
      </c>
      <c r="C2356" t="s">
        <v>7049</v>
      </c>
      <c r="D2356" t="str">
        <f>HYPERLINK("https://zfin.org/ZDB-GENE-081022-39")</f>
        <v>https://zfin.org/ZDB-GENE-081022-39</v>
      </c>
      <c r="E2356" t="s">
        <v>7050</v>
      </c>
    </row>
    <row r="2357" spans="1:5" x14ac:dyDescent="0.2">
      <c r="A2357" t="s">
        <v>7051</v>
      </c>
      <c r="B2357" t="s">
        <v>7052</v>
      </c>
      <c r="C2357" t="s">
        <v>7052</v>
      </c>
      <c r="D2357" t="str">
        <f>HYPERLINK("https://zfin.org/ZDB-GENE-050208-278")</f>
        <v>https://zfin.org/ZDB-GENE-050208-278</v>
      </c>
      <c r="E2357" t="s">
        <v>7053</v>
      </c>
    </row>
    <row r="2358" spans="1:5" x14ac:dyDescent="0.2">
      <c r="A2358" t="s">
        <v>7054</v>
      </c>
      <c r="B2358" t="s">
        <v>7055</v>
      </c>
      <c r="C2358" t="s">
        <v>7055</v>
      </c>
      <c r="D2358" t="str">
        <f>HYPERLINK("https://zfin.org/ZDB-GENE-060526-231")</f>
        <v>https://zfin.org/ZDB-GENE-060526-231</v>
      </c>
      <c r="E2358" t="s">
        <v>7056</v>
      </c>
    </row>
    <row r="2359" spans="1:5" x14ac:dyDescent="0.2">
      <c r="A2359" t="s">
        <v>7057</v>
      </c>
      <c r="B2359" t="s">
        <v>7058</v>
      </c>
      <c r="C2359" t="s">
        <v>7058</v>
      </c>
      <c r="D2359" t="str">
        <f>HYPERLINK("https://zfin.org/ZDB-GENE-031112-7")</f>
        <v>https://zfin.org/ZDB-GENE-031112-7</v>
      </c>
      <c r="E2359" t="s">
        <v>7059</v>
      </c>
    </row>
    <row r="2360" spans="1:5" x14ac:dyDescent="0.2">
      <c r="A2360" t="s">
        <v>7060</v>
      </c>
      <c r="B2360" t="s">
        <v>7061</v>
      </c>
      <c r="C2360" t="s">
        <v>7061</v>
      </c>
      <c r="D2360" t="str">
        <f>HYPERLINK("https://zfin.org/ZDB-GENE-131121-124")</f>
        <v>https://zfin.org/ZDB-GENE-131121-124</v>
      </c>
      <c r="E2360" t="s">
        <v>7062</v>
      </c>
    </row>
    <row r="2361" spans="1:5" x14ac:dyDescent="0.2">
      <c r="A2361" t="s">
        <v>7063</v>
      </c>
      <c r="B2361" t="s">
        <v>7064</v>
      </c>
      <c r="C2361" t="s">
        <v>7064</v>
      </c>
      <c r="D2361" t="str">
        <f>HYPERLINK("https://zfin.org/ZDB-GENE-030131-4983")</f>
        <v>https://zfin.org/ZDB-GENE-030131-4983</v>
      </c>
      <c r="E2361" t="s">
        <v>7065</v>
      </c>
    </row>
    <row r="2362" spans="1:5" x14ac:dyDescent="0.2">
      <c r="A2362" t="s">
        <v>7066</v>
      </c>
      <c r="B2362" t="s">
        <v>7067</v>
      </c>
      <c r="C2362" t="s">
        <v>7067</v>
      </c>
      <c r="D2362" t="str">
        <f>HYPERLINK("https://zfin.org/ZDB-GENE-110914-54")</f>
        <v>https://zfin.org/ZDB-GENE-110914-54</v>
      </c>
      <c r="E2362" t="s">
        <v>7068</v>
      </c>
    </row>
    <row r="2363" spans="1:5" x14ac:dyDescent="0.2">
      <c r="A2363" t="s">
        <v>7069</v>
      </c>
      <c r="B2363" t="s">
        <v>7070</v>
      </c>
      <c r="C2363" t="s">
        <v>7070</v>
      </c>
      <c r="D2363" t="str">
        <f>HYPERLINK("https://zfin.org/ZDB-GENE-091020-8")</f>
        <v>https://zfin.org/ZDB-GENE-091020-8</v>
      </c>
      <c r="E2363" t="s">
        <v>7071</v>
      </c>
    </row>
    <row r="2364" spans="1:5" x14ac:dyDescent="0.2">
      <c r="A2364" t="s">
        <v>7072</v>
      </c>
      <c r="B2364" t="s">
        <v>7073</v>
      </c>
      <c r="C2364" t="s">
        <v>7074</v>
      </c>
      <c r="D2364" t="str">
        <f>HYPERLINK("https://zfin.org/")</f>
        <v>https://zfin.org/</v>
      </c>
    </row>
    <row r="2365" spans="1:5" x14ac:dyDescent="0.2">
      <c r="A2365" t="s">
        <v>7075</v>
      </c>
      <c r="B2365" t="s">
        <v>7076</v>
      </c>
      <c r="C2365" t="s">
        <v>7076</v>
      </c>
      <c r="D2365" t="str">
        <f>HYPERLINK("https://zfin.org/ZDB-GENE-110913-174")</f>
        <v>https://zfin.org/ZDB-GENE-110913-174</v>
      </c>
      <c r="E2365" t="s">
        <v>7077</v>
      </c>
    </row>
    <row r="2366" spans="1:5" x14ac:dyDescent="0.2">
      <c r="A2366" t="s">
        <v>7078</v>
      </c>
      <c r="B2366" t="s">
        <v>7079</v>
      </c>
      <c r="C2366" t="s">
        <v>7079</v>
      </c>
      <c r="D2366" t="str">
        <f>HYPERLINK("https://zfin.org/ZDB-GENE-030131-8225")</f>
        <v>https://zfin.org/ZDB-GENE-030131-8225</v>
      </c>
      <c r="E2366" t="s">
        <v>7080</v>
      </c>
    </row>
    <row r="2367" spans="1:5" x14ac:dyDescent="0.2">
      <c r="A2367" t="s">
        <v>7081</v>
      </c>
      <c r="B2367" t="s">
        <v>7082</v>
      </c>
      <c r="C2367" t="s">
        <v>7082</v>
      </c>
      <c r="D2367" t="str">
        <f>HYPERLINK("https://zfin.org/ZDB-GENE-041114-28")</f>
        <v>https://zfin.org/ZDB-GENE-041114-28</v>
      </c>
      <c r="E2367" t="s">
        <v>7083</v>
      </c>
    </row>
    <row r="2368" spans="1:5" x14ac:dyDescent="0.2">
      <c r="A2368" t="s">
        <v>7084</v>
      </c>
      <c r="B2368" t="s">
        <v>7085</v>
      </c>
      <c r="C2368" t="s">
        <v>7085</v>
      </c>
      <c r="D2368" t="str">
        <f>HYPERLINK("https://zfin.org/ZDB-GENE-110914-26")</f>
        <v>https://zfin.org/ZDB-GENE-110914-26</v>
      </c>
      <c r="E2368" t="s">
        <v>7086</v>
      </c>
    </row>
    <row r="2369" spans="1:5" x14ac:dyDescent="0.2">
      <c r="A2369" t="s">
        <v>7087</v>
      </c>
      <c r="B2369" t="s">
        <v>7088</v>
      </c>
      <c r="C2369" t="s">
        <v>7088</v>
      </c>
      <c r="D2369" t="str">
        <f>HYPERLINK("https://zfin.org/ZDB-GENE-110914-15")</f>
        <v>https://zfin.org/ZDB-GENE-110914-15</v>
      </c>
      <c r="E2369" t="s">
        <v>7089</v>
      </c>
    </row>
    <row r="2370" spans="1:5" x14ac:dyDescent="0.2">
      <c r="A2370" t="s">
        <v>7090</v>
      </c>
      <c r="B2370" t="s">
        <v>7091</v>
      </c>
      <c r="C2370" t="s">
        <v>7091</v>
      </c>
      <c r="D2370" t="str">
        <f>HYPERLINK("https://zfin.org/ZDB-GENE-031002-13")</f>
        <v>https://zfin.org/ZDB-GENE-031002-13</v>
      </c>
      <c r="E2370" t="s">
        <v>7092</v>
      </c>
    </row>
    <row r="2371" spans="1:5" x14ac:dyDescent="0.2">
      <c r="A2371" t="s">
        <v>7093</v>
      </c>
      <c r="B2371" t="s">
        <v>7094</v>
      </c>
      <c r="C2371" t="s">
        <v>7094</v>
      </c>
      <c r="D2371" t="str">
        <f>HYPERLINK("https://zfin.org/ZDB-GENE-110913-41")</f>
        <v>https://zfin.org/ZDB-GENE-110913-41</v>
      </c>
      <c r="E2371" t="s">
        <v>7095</v>
      </c>
    </row>
    <row r="2372" spans="1:5" x14ac:dyDescent="0.2">
      <c r="A2372" t="s">
        <v>7096</v>
      </c>
      <c r="B2372" t="s">
        <v>7097</v>
      </c>
      <c r="C2372" t="s">
        <v>7098</v>
      </c>
      <c r="D2372" t="str">
        <f>HYPERLINK("https://zfin.org/ZDB-GENE-110913-167")</f>
        <v>https://zfin.org/ZDB-GENE-110913-167</v>
      </c>
      <c r="E2372" t="s">
        <v>7099</v>
      </c>
    </row>
    <row r="2373" spans="1:5" x14ac:dyDescent="0.2">
      <c r="A2373" t="s">
        <v>7100</v>
      </c>
      <c r="B2373" t="s">
        <v>7101</v>
      </c>
      <c r="C2373" t="s">
        <v>7101</v>
      </c>
      <c r="D2373" t="str">
        <f>HYPERLINK("https://zfin.org/ZDB-GENE-080204-25")</f>
        <v>https://zfin.org/ZDB-GENE-080204-25</v>
      </c>
      <c r="E2373" t="s">
        <v>7102</v>
      </c>
    </row>
    <row r="2374" spans="1:5" x14ac:dyDescent="0.2">
      <c r="A2374" t="s">
        <v>7103</v>
      </c>
      <c r="B2374" t="s">
        <v>7104</v>
      </c>
      <c r="C2374" t="s">
        <v>7104</v>
      </c>
      <c r="D2374" t="str">
        <f>HYPERLINK("https://zfin.org/ZDB-GENE-030131-1325")</f>
        <v>https://zfin.org/ZDB-GENE-030131-1325</v>
      </c>
      <c r="E2374" t="s">
        <v>7105</v>
      </c>
    </row>
    <row r="2375" spans="1:5" x14ac:dyDescent="0.2">
      <c r="A2375" t="s">
        <v>7106</v>
      </c>
      <c r="B2375" t="s">
        <v>7107</v>
      </c>
      <c r="C2375" t="s">
        <v>7107</v>
      </c>
      <c r="D2375" t="str">
        <f>HYPERLINK("https://zfin.org/ZDB-GENE-000607-52")</f>
        <v>https://zfin.org/ZDB-GENE-000607-52</v>
      </c>
      <c r="E2375" t="s">
        <v>7108</v>
      </c>
    </row>
    <row r="2376" spans="1:5" x14ac:dyDescent="0.2">
      <c r="A2376" t="s">
        <v>7109</v>
      </c>
      <c r="B2376" t="s">
        <v>3706</v>
      </c>
      <c r="C2376" t="s">
        <v>7110</v>
      </c>
      <c r="D2376" t="str">
        <f>HYPERLINK("https://zfin.org/ZDB-GENE-081103-43")</f>
        <v>https://zfin.org/ZDB-GENE-081103-43</v>
      </c>
      <c r="E2376" t="s">
        <v>3707</v>
      </c>
    </row>
    <row r="2377" spans="1:5" x14ac:dyDescent="0.2">
      <c r="A2377" t="s">
        <v>7111</v>
      </c>
      <c r="B2377" t="s">
        <v>7112</v>
      </c>
      <c r="C2377" t="s">
        <v>7112</v>
      </c>
      <c r="D2377" t="str">
        <f>HYPERLINK("https://zfin.org/ZDB-GENE-131121-233")</f>
        <v>https://zfin.org/ZDB-GENE-131121-233</v>
      </c>
      <c r="E2377" t="s">
        <v>7113</v>
      </c>
    </row>
    <row r="2378" spans="1:5" x14ac:dyDescent="0.2">
      <c r="A2378" t="s">
        <v>7114</v>
      </c>
      <c r="B2378" t="s">
        <v>7115</v>
      </c>
      <c r="C2378" t="s">
        <v>7115</v>
      </c>
      <c r="D2378" t="str">
        <f>HYPERLINK("https://zfin.org/ZDB-GENE-040426-1744")</f>
        <v>https://zfin.org/ZDB-GENE-040426-1744</v>
      </c>
      <c r="E2378" t="s">
        <v>7116</v>
      </c>
    </row>
    <row r="2379" spans="1:5" x14ac:dyDescent="0.2">
      <c r="A2379" t="s">
        <v>7117</v>
      </c>
      <c r="B2379" t="s">
        <v>7118</v>
      </c>
      <c r="C2379" t="s">
        <v>7118</v>
      </c>
      <c r="D2379" t="str">
        <f>HYPERLINK("https://zfin.org/ZDB-GENE-030131-897")</f>
        <v>https://zfin.org/ZDB-GENE-030131-897</v>
      </c>
      <c r="E2379" t="s">
        <v>7119</v>
      </c>
    </row>
    <row r="2380" spans="1:5" x14ac:dyDescent="0.2">
      <c r="A2380" t="s">
        <v>7120</v>
      </c>
      <c r="B2380" t="s">
        <v>7121</v>
      </c>
      <c r="C2380" t="s">
        <v>7121</v>
      </c>
      <c r="D2380" t="str">
        <f>HYPERLINK("https://zfin.org/ZDB-GENE-110913-38")</f>
        <v>https://zfin.org/ZDB-GENE-110913-38</v>
      </c>
      <c r="E2380" t="s">
        <v>7122</v>
      </c>
    </row>
    <row r="2381" spans="1:5" x14ac:dyDescent="0.2">
      <c r="A2381" t="s">
        <v>7123</v>
      </c>
      <c r="B2381" t="s">
        <v>7124</v>
      </c>
      <c r="C2381" t="s">
        <v>7124</v>
      </c>
      <c r="D2381" t="str">
        <f>HYPERLINK("https://zfin.org/ZDB-GENE-000330-9")</f>
        <v>https://zfin.org/ZDB-GENE-000330-9</v>
      </c>
      <c r="E2381" t="s">
        <v>7125</v>
      </c>
    </row>
    <row r="2382" spans="1:5" x14ac:dyDescent="0.2">
      <c r="A2382" t="s">
        <v>7126</v>
      </c>
      <c r="B2382" t="s">
        <v>7127</v>
      </c>
      <c r="C2382" t="s">
        <v>7127</v>
      </c>
      <c r="D2382" t="str">
        <f>HYPERLINK("https://zfin.org/ZDB-GENE-060526-154")</f>
        <v>https://zfin.org/ZDB-GENE-060526-154</v>
      </c>
      <c r="E2382" t="s">
        <v>7128</v>
      </c>
    </row>
    <row r="2383" spans="1:5" x14ac:dyDescent="0.2">
      <c r="A2383" t="s">
        <v>7129</v>
      </c>
      <c r="B2383" t="s">
        <v>7130</v>
      </c>
      <c r="C2383" t="s">
        <v>7130</v>
      </c>
      <c r="D2383" t="str">
        <f>HYPERLINK("https://zfin.org/ZDB-GENE-060503-378")</f>
        <v>https://zfin.org/ZDB-GENE-060503-378</v>
      </c>
      <c r="E2383" t="s">
        <v>7131</v>
      </c>
    </row>
    <row r="2384" spans="1:5" x14ac:dyDescent="0.2">
      <c r="A2384" t="s">
        <v>7132</v>
      </c>
      <c r="B2384" t="s">
        <v>7133</v>
      </c>
      <c r="C2384" t="s">
        <v>7133</v>
      </c>
      <c r="D2384" t="str">
        <f>HYPERLINK("https://zfin.org/ZDB-GENE-050523-3")</f>
        <v>https://zfin.org/ZDB-GENE-050523-3</v>
      </c>
      <c r="E2384" t="s">
        <v>7134</v>
      </c>
    </row>
    <row r="2385" spans="1:5" x14ac:dyDescent="0.2">
      <c r="A2385" t="s">
        <v>7135</v>
      </c>
      <c r="B2385" t="s">
        <v>7136</v>
      </c>
      <c r="C2385" t="s">
        <v>7136</v>
      </c>
      <c r="D2385" t="str">
        <f>HYPERLINK("https://zfin.org/ZDB-GENE-110603-3")</f>
        <v>https://zfin.org/ZDB-GENE-110603-3</v>
      </c>
      <c r="E2385" t="s">
        <v>7137</v>
      </c>
    </row>
    <row r="2386" spans="1:5" x14ac:dyDescent="0.2">
      <c r="A2386" t="s">
        <v>7138</v>
      </c>
      <c r="B2386" t="s">
        <v>7139</v>
      </c>
      <c r="C2386" t="s">
        <v>7139</v>
      </c>
      <c r="D2386" t="str">
        <f>HYPERLINK("https://zfin.org/ZDB-GENE-030109-1")</f>
        <v>https://zfin.org/ZDB-GENE-030109-1</v>
      </c>
      <c r="E2386" t="s">
        <v>7140</v>
      </c>
    </row>
    <row r="2387" spans="1:5" x14ac:dyDescent="0.2">
      <c r="A2387" t="s">
        <v>7141</v>
      </c>
      <c r="B2387" t="s">
        <v>7142</v>
      </c>
      <c r="C2387" t="s">
        <v>7142</v>
      </c>
      <c r="D2387" t="str">
        <f>HYPERLINK("https://zfin.org/ZDB-GENE-060929-1186")</f>
        <v>https://zfin.org/ZDB-GENE-060929-1186</v>
      </c>
      <c r="E2387" t="s">
        <v>7143</v>
      </c>
    </row>
    <row r="2388" spans="1:5" x14ac:dyDescent="0.2">
      <c r="A2388" t="s">
        <v>7144</v>
      </c>
      <c r="B2388" t="s">
        <v>7145</v>
      </c>
      <c r="C2388" t="s">
        <v>7145</v>
      </c>
      <c r="D2388" t="str">
        <f>HYPERLINK("https://zfin.org/ZDB-GENE-110913-91")</f>
        <v>https://zfin.org/ZDB-GENE-110913-91</v>
      </c>
      <c r="E2388" t="s">
        <v>7146</v>
      </c>
    </row>
    <row r="2389" spans="1:5" x14ac:dyDescent="0.2">
      <c r="A2389" t="s">
        <v>7147</v>
      </c>
      <c r="B2389" t="s">
        <v>7148</v>
      </c>
      <c r="C2389" t="s">
        <v>7148</v>
      </c>
      <c r="D2389" t="str">
        <f>HYPERLINK("https://zfin.org/ZDB-GENE-110913-60")</f>
        <v>https://zfin.org/ZDB-GENE-110913-60</v>
      </c>
      <c r="E2389" t="s">
        <v>7149</v>
      </c>
    </row>
    <row r="2390" spans="1:5" x14ac:dyDescent="0.2">
      <c r="A2390" t="s">
        <v>7150</v>
      </c>
      <c r="B2390" t="s">
        <v>7151</v>
      </c>
      <c r="C2390" t="s">
        <v>7151</v>
      </c>
      <c r="D2390" t="str">
        <f>HYPERLINK("https://zfin.org/ZDB-GENE-041210-280")</f>
        <v>https://zfin.org/ZDB-GENE-041210-280</v>
      </c>
      <c r="E2390" t="s">
        <v>7152</v>
      </c>
    </row>
    <row r="2391" spans="1:5" x14ac:dyDescent="0.2">
      <c r="A2391" t="s">
        <v>7153</v>
      </c>
      <c r="B2391" t="s">
        <v>7154</v>
      </c>
      <c r="C2391" t="s">
        <v>7154</v>
      </c>
      <c r="D2391" t="str">
        <f>HYPERLINK("https://zfin.org/ZDB-GENE-090313-63")</f>
        <v>https://zfin.org/ZDB-GENE-090313-63</v>
      </c>
      <c r="E2391" t="s">
        <v>7155</v>
      </c>
    </row>
    <row r="2392" spans="1:5" x14ac:dyDescent="0.2">
      <c r="A2392" t="s">
        <v>7156</v>
      </c>
      <c r="B2392" t="s">
        <v>7157</v>
      </c>
      <c r="C2392" t="s">
        <v>7157</v>
      </c>
      <c r="D2392" t="str">
        <f>HYPERLINK("https://zfin.org/ZDB-GENE-091204-80")</f>
        <v>https://zfin.org/ZDB-GENE-091204-80</v>
      </c>
      <c r="E2392" t="s">
        <v>7158</v>
      </c>
    </row>
    <row r="2393" spans="1:5" x14ac:dyDescent="0.2">
      <c r="A2393" t="s">
        <v>7159</v>
      </c>
      <c r="B2393" t="s">
        <v>7160</v>
      </c>
      <c r="C2393" t="s">
        <v>7160</v>
      </c>
      <c r="D2393" t="str">
        <f>HYPERLINK("https://zfin.org/ZDB-GENE-050417-335")</f>
        <v>https://zfin.org/ZDB-GENE-050417-335</v>
      </c>
      <c r="E2393" t="s">
        <v>7161</v>
      </c>
    </row>
    <row r="2394" spans="1:5" x14ac:dyDescent="0.2">
      <c r="A2394" t="s">
        <v>7162</v>
      </c>
      <c r="B2394" t="s">
        <v>7163</v>
      </c>
      <c r="C2394" t="s">
        <v>7163</v>
      </c>
      <c r="D2394" t="str">
        <f>HYPERLINK("https://zfin.org/ZDB-GENE-030616-624")</f>
        <v>https://zfin.org/ZDB-GENE-030616-624</v>
      </c>
      <c r="E2394" t="s">
        <v>7164</v>
      </c>
    </row>
    <row r="2395" spans="1:5" x14ac:dyDescent="0.2">
      <c r="A2395" t="s">
        <v>7165</v>
      </c>
      <c r="B2395" t="s">
        <v>7166</v>
      </c>
      <c r="C2395" t="s">
        <v>7166</v>
      </c>
      <c r="D2395" t="str">
        <f>HYPERLINK("https://zfin.org/ZDB-GENE-040426-862")</f>
        <v>https://zfin.org/ZDB-GENE-040426-862</v>
      </c>
      <c r="E2395" t="s">
        <v>7167</v>
      </c>
    </row>
    <row r="2396" spans="1:5" x14ac:dyDescent="0.2">
      <c r="A2396" t="s">
        <v>7168</v>
      </c>
      <c r="B2396" t="s">
        <v>3706</v>
      </c>
      <c r="C2396" t="s">
        <v>7169</v>
      </c>
      <c r="D2396" t="str">
        <f>HYPERLINK("https://zfin.org/ZDB-GENE-081103-43")</f>
        <v>https://zfin.org/ZDB-GENE-081103-43</v>
      </c>
      <c r="E2396" t="s">
        <v>3707</v>
      </c>
    </row>
    <row r="2397" spans="1:5" x14ac:dyDescent="0.2">
      <c r="A2397" t="s">
        <v>7170</v>
      </c>
      <c r="B2397" t="s">
        <v>7171</v>
      </c>
      <c r="C2397" t="s">
        <v>7171</v>
      </c>
      <c r="D2397" t="str">
        <f>HYPERLINK("https://zfin.org/ZDB-GENE-030616-73")</f>
        <v>https://zfin.org/ZDB-GENE-030616-73</v>
      </c>
      <c r="E2397" t="s">
        <v>7172</v>
      </c>
    </row>
    <row r="2398" spans="1:5" x14ac:dyDescent="0.2">
      <c r="A2398" t="s">
        <v>7173</v>
      </c>
      <c r="B2398" t="s">
        <v>7174</v>
      </c>
      <c r="C2398" t="s">
        <v>7174</v>
      </c>
      <c r="D2398" t="str">
        <f>HYPERLINK("https://zfin.org/ZDB-GENE-050420-404")</f>
        <v>https://zfin.org/ZDB-GENE-050420-404</v>
      </c>
      <c r="E2398" t="s">
        <v>7175</v>
      </c>
    </row>
    <row r="2399" spans="1:5" x14ac:dyDescent="0.2">
      <c r="A2399" t="s">
        <v>7176</v>
      </c>
      <c r="B2399" t="s">
        <v>7177</v>
      </c>
      <c r="C2399" t="s">
        <v>7177</v>
      </c>
      <c r="D2399" t="str">
        <f>HYPERLINK("https://zfin.org/ZDB-GENE-040912-101")</f>
        <v>https://zfin.org/ZDB-GENE-040912-101</v>
      </c>
      <c r="E2399" t="s">
        <v>7178</v>
      </c>
    </row>
    <row r="2400" spans="1:5" x14ac:dyDescent="0.2">
      <c r="A2400" t="s">
        <v>7179</v>
      </c>
      <c r="B2400" t="s">
        <v>7180</v>
      </c>
      <c r="C2400" t="s">
        <v>7180</v>
      </c>
      <c r="D2400" t="str">
        <f>HYPERLINK("https://zfin.org/ZDB-GENE-030131-8019")</f>
        <v>https://zfin.org/ZDB-GENE-030131-8019</v>
      </c>
      <c r="E2400" t="s">
        <v>7181</v>
      </c>
    </row>
    <row r="2401" spans="1:5" x14ac:dyDescent="0.2">
      <c r="A2401" t="s">
        <v>7182</v>
      </c>
      <c r="B2401" t="s">
        <v>7183</v>
      </c>
      <c r="C2401" t="s">
        <v>7183</v>
      </c>
      <c r="D2401" t="str">
        <f>HYPERLINK("https://zfin.org/ZDB-GENE-030131-8171")</f>
        <v>https://zfin.org/ZDB-GENE-030131-8171</v>
      </c>
      <c r="E2401" t="s">
        <v>7184</v>
      </c>
    </row>
    <row r="2402" spans="1:5" x14ac:dyDescent="0.2">
      <c r="A2402" t="s">
        <v>7185</v>
      </c>
      <c r="B2402" t="s">
        <v>7186</v>
      </c>
      <c r="C2402" t="s">
        <v>7186</v>
      </c>
      <c r="D2402" t="str">
        <f>HYPERLINK("https://zfin.org/ZDB-GENE-000509-2")</f>
        <v>https://zfin.org/ZDB-GENE-000509-2</v>
      </c>
      <c r="E2402" t="s">
        <v>7187</v>
      </c>
    </row>
    <row r="2403" spans="1:5" x14ac:dyDescent="0.2">
      <c r="A2403" t="s">
        <v>7188</v>
      </c>
      <c r="B2403" t="s">
        <v>7189</v>
      </c>
      <c r="C2403" t="s">
        <v>7189</v>
      </c>
      <c r="D2403" t="str">
        <f>HYPERLINK("https://zfin.org/ZDB-GENE-041210-278")</f>
        <v>https://zfin.org/ZDB-GENE-041210-278</v>
      </c>
      <c r="E2403" t="s">
        <v>7190</v>
      </c>
    </row>
    <row r="2404" spans="1:5" x14ac:dyDescent="0.2">
      <c r="A2404" t="s">
        <v>7191</v>
      </c>
      <c r="B2404" t="s">
        <v>7192</v>
      </c>
      <c r="C2404" t="s">
        <v>7192</v>
      </c>
      <c r="D2404" t="str">
        <f>HYPERLINK("https://zfin.org/ZDB-GENE-060503-757")</f>
        <v>https://zfin.org/ZDB-GENE-060503-757</v>
      </c>
      <c r="E2404" t="s">
        <v>7193</v>
      </c>
    </row>
    <row r="2405" spans="1:5" x14ac:dyDescent="0.2">
      <c r="A2405" t="s">
        <v>7194</v>
      </c>
      <c r="B2405" t="s">
        <v>7195</v>
      </c>
      <c r="C2405" t="s">
        <v>7195</v>
      </c>
      <c r="D2405" t="str">
        <f>HYPERLINK("https://zfin.org/ZDB-GENE-120215-10")</f>
        <v>https://zfin.org/ZDB-GENE-120215-10</v>
      </c>
      <c r="E2405" t="s">
        <v>7196</v>
      </c>
    </row>
    <row r="2406" spans="1:5" x14ac:dyDescent="0.2">
      <c r="A2406" t="s">
        <v>7197</v>
      </c>
      <c r="B2406" t="s">
        <v>7198</v>
      </c>
      <c r="C2406" t="s">
        <v>7198</v>
      </c>
      <c r="D2406" t="str">
        <f>HYPERLINK("https://zfin.org/ZDB-GENE-040724-185")</f>
        <v>https://zfin.org/ZDB-GENE-040724-185</v>
      </c>
      <c r="E2406" t="s">
        <v>7199</v>
      </c>
    </row>
    <row r="2407" spans="1:5" x14ac:dyDescent="0.2">
      <c r="A2407" t="s">
        <v>7200</v>
      </c>
      <c r="B2407" t="s">
        <v>7201</v>
      </c>
      <c r="C2407" t="s">
        <v>7201</v>
      </c>
      <c r="D2407" t="str">
        <f>HYPERLINK("https://zfin.org/ZDB-GENE-070705-342")</f>
        <v>https://zfin.org/ZDB-GENE-070705-342</v>
      </c>
      <c r="E2407" t="s">
        <v>7202</v>
      </c>
    </row>
    <row r="2408" spans="1:5" x14ac:dyDescent="0.2">
      <c r="A2408" t="s">
        <v>7203</v>
      </c>
      <c r="B2408" t="s">
        <v>7204</v>
      </c>
      <c r="C2408" t="s">
        <v>7204</v>
      </c>
      <c r="D2408" t="str">
        <f>HYPERLINK("https://zfin.org/ZDB-GENE-100922-122")</f>
        <v>https://zfin.org/ZDB-GENE-100922-122</v>
      </c>
      <c r="E2408" t="s">
        <v>7205</v>
      </c>
    </row>
    <row r="2409" spans="1:5" x14ac:dyDescent="0.2">
      <c r="A2409" t="s">
        <v>7206</v>
      </c>
      <c r="B2409" t="s">
        <v>7207</v>
      </c>
      <c r="C2409" t="s">
        <v>7207</v>
      </c>
      <c r="D2409" t="str">
        <f>HYPERLINK("https://zfin.org/ZDB-GENE-050522-519")</f>
        <v>https://zfin.org/ZDB-GENE-050522-519</v>
      </c>
      <c r="E2409" t="s">
        <v>7208</v>
      </c>
    </row>
    <row r="2410" spans="1:5" x14ac:dyDescent="0.2">
      <c r="A2410" t="s">
        <v>7209</v>
      </c>
      <c r="B2410" t="s">
        <v>7210</v>
      </c>
      <c r="C2410" t="s">
        <v>7210</v>
      </c>
      <c r="D2410" t="str">
        <f>HYPERLINK("https://zfin.org/ZDB-GENE-030616-161")</f>
        <v>https://zfin.org/ZDB-GENE-030616-161</v>
      </c>
      <c r="E2410" t="s">
        <v>7211</v>
      </c>
    </row>
    <row r="2411" spans="1:5" x14ac:dyDescent="0.2">
      <c r="A2411" t="s">
        <v>7212</v>
      </c>
      <c r="B2411" t="s">
        <v>7213</v>
      </c>
      <c r="C2411" t="s">
        <v>7213</v>
      </c>
      <c r="D2411" t="str">
        <f>HYPERLINK("https://zfin.org/ZDB-GENE-070912-588")</f>
        <v>https://zfin.org/ZDB-GENE-070912-588</v>
      </c>
      <c r="E2411" t="s">
        <v>7214</v>
      </c>
    </row>
    <row r="2412" spans="1:5" x14ac:dyDescent="0.2">
      <c r="A2412" t="s">
        <v>7215</v>
      </c>
      <c r="B2412" t="s">
        <v>7216</v>
      </c>
      <c r="C2412" t="s">
        <v>7216</v>
      </c>
      <c r="D2412" t="str">
        <f>HYPERLINK("https://zfin.org/ZDB-GENE-040109-5")</f>
        <v>https://zfin.org/ZDB-GENE-040109-5</v>
      </c>
      <c r="E2412" t="s">
        <v>7217</v>
      </c>
    </row>
    <row r="2413" spans="1:5" x14ac:dyDescent="0.2">
      <c r="A2413" t="s">
        <v>7218</v>
      </c>
      <c r="B2413" t="s">
        <v>7219</v>
      </c>
      <c r="C2413" t="s">
        <v>7219</v>
      </c>
      <c r="D2413" t="str">
        <f>HYPERLINK("https://zfin.org/ZDB-GENE-030131-8820")</f>
        <v>https://zfin.org/ZDB-GENE-030131-8820</v>
      </c>
      <c r="E2413" t="s">
        <v>7220</v>
      </c>
    </row>
    <row r="2414" spans="1:5" x14ac:dyDescent="0.2">
      <c r="A2414" t="s">
        <v>7221</v>
      </c>
      <c r="B2414" t="s">
        <v>7222</v>
      </c>
      <c r="C2414" t="s">
        <v>7222</v>
      </c>
      <c r="D2414" t="str">
        <f>HYPERLINK("https://zfin.org/ZDB-GENE-070706-2")</f>
        <v>https://zfin.org/ZDB-GENE-070706-2</v>
      </c>
      <c r="E2414" t="s">
        <v>7223</v>
      </c>
    </row>
    <row r="2415" spans="1:5" x14ac:dyDescent="0.2">
      <c r="A2415" t="s">
        <v>7224</v>
      </c>
      <c r="B2415" t="s">
        <v>7225</v>
      </c>
      <c r="C2415" t="s">
        <v>7225</v>
      </c>
      <c r="D2415" t="str">
        <f>HYPERLINK("https://zfin.org/ZDB-GENE-071217-2")</f>
        <v>https://zfin.org/ZDB-GENE-071217-2</v>
      </c>
      <c r="E2415" t="s">
        <v>7226</v>
      </c>
    </row>
    <row r="2416" spans="1:5" x14ac:dyDescent="0.2">
      <c r="A2416" t="s">
        <v>7227</v>
      </c>
      <c r="B2416" t="s">
        <v>7228</v>
      </c>
      <c r="C2416" t="s">
        <v>7228</v>
      </c>
      <c r="D2416" t="str">
        <f>HYPERLINK("https://zfin.org/ZDB-GENE-080327-8")</f>
        <v>https://zfin.org/ZDB-GENE-080327-8</v>
      </c>
      <c r="E2416" t="s">
        <v>7229</v>
      </c>
    </row>
    <row r="2417" spans="1:5" x14ac:dyDescent="0.2">
      <c r="A2417" t="s">
        <v>7230</v>
      </c>
      <c r="B2417" t="s">
        <v>7231</v>
      </c>
      <c r="C2417" t="s">
        <v>7231</v>
      </c>
      <c r="D2417" t="str">
        <f>HYPERLINK("https://zfin.org/ZDB-GENE-040801-96")</f>
        <v>https://zfin.org/ZDB-GENE-040801-96</v>
      </c>
      <c r="E2417" t="s">
        <v>7232</v>
      </c>
    </row>
    <row r="2418" spans="1:5" x14ac:dyDescent="0.2">
      <c r="A2418" t="s">
        <v>7233</v>
      </c>
      <c r="B2418" t="s">
        <v>7234</v>
      </c>
      <c r="C2418" t="s">
        <v>7234</v>
      </c>
      <c r="D2418" t="str">
        <f>HYPERLINK("https://zfin.org/ZDB-GENE-040219-7")</f>
        <v>https://zfin.org/ZDB-GENE-040219-7</v>
      </c>
      <c r="E2418" t="s">
        <v>7235</v>
      </c>
    </row>
    <row r="2419" spans="1:5" x14ac:dyDescent="0.2">
      <c r="A2419" t="s">
        <v>7236</v>
      </c>
      <c r="B2419" t="s">
        <v>7237</v>
      </c>
      <c r="C2419" t="s">
        <v>7237</v>
      </c>
      <c r="D2419" t="str">
        <f>HYPERLINK("https://zfin.org/ZDB-GENE-110411-136")</f>
        <v>https://zfin.org/ZDB-GENE-110411-136</v>
      </c>
      <c r="E2419" t="s">
        <v>7238</v>
      </c>
    </row>
    <row r="2420" spans="1:5" x14ac:dyDescent="0.2">
      <c r="A2420" t="s">
        <v>7239</v>
      </c>
      <c r="B2420" t="s">
        <v>7240</v>
      </c>
      <c r="C2420" t="s">
        <v>7240</v>
      </c>
      <c r="D2420" t="str">
        <f>HYPERLINK("https://zfin.org/ZDB-GENE-991207-24")</f>
        <v>https://zfin.org/ZDB-GENE-991207-24</v>
      </c>
      <c r="E2420" t="s">
        <v>7241</v>
      </c>
    </row>
    <row r="2421" spans="1:5" x14ac:dyDescent="0.2">
      <c r="A2421" t="s">
        <v>7242</v>
      </c>
      <c r="B2421" t="s">
        <v>7243</v>
      </c>
      <c r="C2421" t="s">
        <v>7243</v>
      </c>
      <c r="D2421" t="str">
        <f>HYPERLINK("https://zfin.org/ZDB-GENE-090311-45")</f>
        <v>https://zfin.org/ZDB-GENE-090311-45</v>
      </c>
      <c r="E2421" t="s">
        <v>7244</v>
      </c>
    </row>
    <row r="2422" spans="1:5" x14ac:dyDescent="0.2">
      <c r="A2422" t="s">
        <v>7245</v>
      </c>
      <c r="B2422" t="s">
        <v>7246</v>
      </c>
      <c r="C2422" t="s">
        <v>7246</v>
      </c>
      <c r="D2422" t="str">
        <f>HYPERLINK("https://zfin.org/ZDB-GENE-030131-2957")</f>
        <v>https://zfin.org/ZDB-GENE-030131-2957</v>
      </c>
      <c r="E2422" t="s">
        <v>7247</v>
      </c>
    </row>
    <row r="2423" spans="1:5" x14ac:dyDescent="0.2">
      <c r="A2423" t="s">
        <v>7248</v>
      </c>
      <c r="B2423" t="s">
        <v>7249</v>
      </c>
      <c r="C2423" t="s">
        <v>7249</v>
      </c>
      <c r="D2423" t="str">
        <f>HYPERLINK("https://zfin.org/ZDB-GENE-030131-6352")</f>
        <v>https://zfin.org/ZDB-GENE-030131-6352</v>
      </c>
      <c r="E2423" t="s">
        <v>7250</v>
      </c>
    </row>
    <row r="2424" spans="1:5" x14ac:dyDescent="0.2">
      <c r="A2424" t="s">
        <v>7251</v>
      </c>
      <c r="B2424" t="s">
        <v>7252</v>
      </c>
      <c r="C2424" t="s">
        <v>7252</v>
      </c>
      <c r="D2424" t="str">
        <f>HYPERLINK("https://zfin.org/ZDB-GENE-031219-7")</f>
        <v>https://zfin.org/ZDB-GENE-031219-7</v>
      </c>
      <c r="E2424" t="s">
        <v>7253</v>
      </c>
    </row>
    <row r="2425" spans="1:5" x14ac:dyDescent="0.2">
      <c r="A2425" t="s">
        <v>7254</v>
      </c>
      <c r="B2425" t="s">
        <v>7255</v>
      </c>
      <c r="C2425" t="s">
        <v>7255</v>
      </c>
      <c r="D2425" t="str">
        <f>HYPERLINK("https://zfin.org/ZDB-GENE-060825-196")</f>
        <v>https://zfin.org/ZDB-GENE-060825-196</v>
      </c>
      <c r="E2425" t="s">
        <v>7256</v>
      </c>
    </row>
    <row r="2426" spans="1:5" x14ac:dyDescent="0.2">
      <c r="A2426" t="s">
        <v>7257</v>
      </c>
      <c r="B2426" t="s">
        <v>7258</v>
      </c>
      <c r="C2426" t="s">
        <v>7258</v>
      </c>
      <c r="D2426" t="str">
        <f>HYPERLINK("https://zfin.org/ZDB-GENE-141219-39")</f>
        <v>https://zfin.org/ZDB-GENE-141219-39</v>
      </c>
      <c r="E2426" t="s">
        <v>7259</v>
      </c>
    </row>
    <row r="2427" spans="1:5" x14ac:dyDescent="0.2">
      <c r="A2427" t="s">
        <v>7260</v>
      </c>
      <c r="B2427" t="s">
        <v>7261</v>
      </c>
      <c r="C2427" t="s">
        <v>7261</v>
      </c>
      <c r="D2427" t="str">
        <f>HYPERLINK("https://zfin.org/ZDB-GENE-060312-46")</f>
        <v>https://zfin.org/ZDB-GENE-060312-46</v>
      </c>
      <c r="E2427" t="s">
        <v>7262</v>
      </c>
    </row>
    <row r="2428" spans="1:5" x14ac:dyDescent="0.2">
      <c r="A2428" t="s">
        <v>7263</v>
      </c>
      <c r="B2428" t="s">
        <v>7264</v>
      </c>
      <c r="C2428" t="s">
        <v>7264</v>
      </c>
      <c r="D2428" t="str">
        <f>HYPERLINK("https://zfin.org/ZDB-GENE-110919-1")</f>
        <v>https://zfin.org/ZDB-GENE-110919-1</v>
      </c>
      <c r="E2428" t="s">
        <v>7265</v>
      </c>
    </row>
    <row r="2429" spans="1:5" x14ac:dyDescent="0.2">
      <c r="A2429" t="s">
        <v>7266</v>
      </c>
      <c r="B2429" t="s">
        <v>7267</v>
      </c>
      <c r="C2429" t="s">
        <v>7267</v>
      </c>
      <c r="D2429" t="str">
        <f>HYPERLINK("https://zfin.org/ZDB-GENE-030131-1280")</f>
        <v>https://zfin.org/ZDB-GENE-030131-1280</v>
      </c>
      <c r="E2429" t="s">
        <v>7268</v>
      </c>
    </row>
    <row r="2430" spans="1:5" x14ac:dyDescent="0.2">
      <c r="A2430" t="s">
        <v>7269</v>
      </c>
      <c r="B2430" t="s">
        <v>7270</v>
      </c>
      <c r="C2430" t="s">
        <v>7270</v>
      </c>
      <c r="D2430" t="str">
        <f>HYPERLINK("https://zfin.org/ZDB-GENE-040808-6")</f>
        <v>https://zfin.org/ZDB-GENE-040808-6</v>
      </c>
      <c r="E2430" t="s">
        <v>7271</v>
      </c>
    </row>
    <row r="2431" spans="1:5" x14ac:dyDescent="0.2">
      <c r="A2431" t="s">
        <v>7272</v>
      </c>
      <c r="B2431" t="s">
        <v>7273</v>
      </c>
      <c r="C2431" t="s">
        <v>7273</v>
      </c>
      <c r="D2431" t="str">
        <f>HYPERLINK("https://zfin.org/ZDB-GENE-041212-77")</f>
        <v>https://zfin.org/ZDB-GENE-041212-77</v>
      </c>
      <c r="E2431" t="s">
        <v>7274</v>
      </c>
    </row>
    <row r="2432" spans="1:5" x14ac:dyDescent="0.2">
      <c r="A2432" t="s">
        <v>7275</v>
      </c>
      <c r="B2432" t="s">
        <v>7276</v>
      </c>
      <c r="C2432" t="s">
        <v>7276</v>
      </c>
      <c r="D2432" t="str">
        <f>HYPERLINK("https://zfin.org/ZDB-GENE-021115-3")</f>
        <v>https://zfin.org/ZDB-GENE-021115-3</v>
      </c>
      <c r="E2432" t="s">
        <v>7277</v>
      </c>
    </row>
    <row r="2433" spans="1:5" x14ac:dyDescent="0.2">
      <c r="A2433" t="s">
        <v>7278</v>
      </c>
      <c r="B2433" t="s">
        <v>7279</v>
      </c>
      <c r="C2433" t="s">
        <v>7279</v>
      </c>
      <c r="D2433" t="str">
        <f>HYPERLINK("https://zfin.org/ZDB-GENE-990714-19")</f>
        <v>https://zfin.org/ZDB-GENE-990714-19</v>
      </c>
      <c r="E2433" t="s">
        <v>7280</v>
      </c>
    </row>
    <row r="2434" spans="1:5" x14ac:dyDescent="0.2">
      <c r="A2434" t="s">
        <v>7281</v>
      </c>
      <c r="B2434" t="s">
        <v>7282</v>
      </c>
      <c r="C2434" t="s">
        <v>7282</v>
      </c>
      <c r="D2434" t="str">
        <f>HYPERLINK("https://zfin.org/ZDB-GENE-141215-25")</f>
        <v>https://zfin.org/ZDB-GENE-141215-25</v>
      </c>
      <c r="E2434" t="s">
        <v>7283</v>
      </c>
    </row>
    <row r="2435" spans="1:5" x14ac:dyDescent="0.2">
      <c r="A2435" t="s">
        <v>7284</v>
      </c>
      <c r="B2435" t="s">
        <v>7285</v>
      </c>
      <c r="C2435" t="s">
        <v>7285</v>
      </c>
      <c r="D2435" t="str">
        <f>HYPERLINK("https://zfin.org/ZDB-GENE-030131-145")</f>
        <v>https://zfin.org/ZDB-GENE-030131-145</v>
      </c>
      <c r="E2435" t="s">
        <v>7286</v>
      </c>
    </row>
    <row r="2436" spans="1:5" x14ac:dyDescent="0.2">
      <c r="A2436" t="s">
        <v>7287</v>
      </c>
      <c r="B2436" t="s">
        <v>7288</v>
      </c>
      <c r="C2436" t="s">
        <v>7288</v>
      </c>
      <c r="D2436" t="str">
        <f>HYPERLINK("https://zfin.org/ZDB-GENE-030131-1917")</f>
        <v>https://zfin.org/ZDB-GENE-030131-1917</v>
      </c>
      <c r="E2436" t="s">
        <v>7289</v>
      </c>
    </row>
    <row r="2437" spans="1:5" x14ac:dyDescent="0.2">
      <c r="A2437" t="s">
        <v>7290</v>
      </c>
      <c r="B2437" t="s">
        <v>7291</v>
      </c>
      <c r="C2437" t="s">
        <v>7291</v>
      </c>
      <c r="D2437" t="str">
        <f>HYPERLINK("https://zfin.org/ZDB-GENE-040310-2")</f>
        <v>https://zfin.org/ZDB-GENE-040310-2</v>
      </c>
      <c r="E2437" t="s">
        <v>7292</v>
      </c>
    </row>
    <row r="2438" spans="1:5" x14ac:dyDescent="0.2">
      <c r="A2438" t="s">
        <v>7293</v>
      </c>
      <c r="B2438" t="s">
        <v>7294</v>
      </c>
      <c r="C2438" t="s">
        <v>7294</v>
      </c>
      <c r="D2438" t="str">
        <f>HYPERLINK("https://zfin.org/ZDB-GENE-091204-282")</f>
        <v>https://zfin.org/ZDB-GENE-091204-282</v>
      </c>
      <c r="E2438" t="s">
        <v>7295</v>
      </c>
    </row>
    <row r="2439" spans="1:5" x14ac:dyDescent="0.2">
      <c r="A2439" t="s">
        <v>7296</v>
      </c>
      <c r="B2439" t="s">
        <v>7297</v>
      </c>
      <c r="C2439" t="s">
        <v>7297</v>
      </c>
      <c r="D2439" t="str">
        <f>HYPERLINK("https://zfin.org/ZDB-GENE-030616-72")</f>
        <v>https://zfin.org/ZDB-GENE-030616-72</v>
      </c>
      <c r="E2439" t="s">
        <v>7298</v>
      </c>
    </row>
    <row r="2440" spans="1:5" x14ac:dyDescent="0.2">
      <c r="A2440" t="s">
        <v>7299</v>
      </c>
      <c r="B2440" t="s">
        <v>7300</v>
      </c>
      <c r="C2440" t="s">
        <v>7300</v>
      </c>
      <c r="D2440" t="str">
        <f>HYPERLINK("https://zfin.org/ZDB-GENE-040912-53")</f>
        <v>https://zfin.org/ZDB-GENE-040912-53</v>
      </c>
      <c r="E2440" t="s">
        <v>7301</v>
      </c>
    </row>
    <row r="2441" spans="1:5" x14ac:dyDescent="0.2">
      <c r="A2441" t="s">
        <v>7302</v>
      </c>
      <c r="B2441" t="s">
        <v>7303</v>
      </c>
      <c r="C2441" t="s">
        <v>7303</v>
      </c>
      <c r="D2441" t="str">
        <f>HYPERLINK("https://zfin.org/ZDB-GENE-141216-54")</f>
        <v>https://zfin.org/ZDB-GENE-141216-54</v>
      </c>
      <c r="E2441" t="s">
        <v>7304</v>
      </c>
    </row>
    <row r="2442" spans="1:5" x14ac:dyDescent="0.2">
      <c r="A2442" t="s">
        <v>7305</v>
      </c>
      <c r="B2442" t="s">
        <v>7306</v>
      </c>
      <c r="C2442" t="s">
        <v>7306</v>
      </c>
      <c r="D2442" t="str">
        <f>HYPERLINK("https://zfin.org/ZDB-GENE-050327-75")</f>
        <v>https://zfin.org/ZDB-GENE-050327-75</v>
      </c>
      <c r="E2442" t="s">
        <v>7307</v>
      </c>
    </row>
    <row r="2443" spans="1:5" x14ac:dyDescent="0.2">
      <c r="A2443" t="s">
        <v>7308</v>
      </c>
      <c r="B2443" t="s">
        <v>7309</v>
      </c>
      <c r="C2443" t="s">
        <v>7309</v>
      </c>
      <c r="D2443" t="str">
        <f>HYPERLINK("https://zfin.org/ZDB-GENE-040426-1320")</f>
        <v>https://zfin.org/ZDB-GENE-040426-1320</v>
      </c>
      <c r="E2443" t="s">
        <v>7310</v>
      </c>
    </row>
    <row r="2444" spans="1:5" x14ac:dyDescent="0.2">
      <c r="A2444" t="s">
        <v>7311</v>
      </c>
      <c r="B2444" t="s">
        <v>7312</v>
      </c>
      <c r="C2444" t="s">
        <v>7312</v>
      </c>
      <c r="D2444" t="str">
        <f>HYPERLINK("https://zfin.org/ZDB-GENE-030722-10")</f>
        <v>https://zfin.org/ZDB-GENE-030722-10</v>
      </c>
      <c r="E2444" t="s">
        <v>7313</v>
      </c>
    </row>
    <row r="2445" spans="1:5" x14ac:dyDescent="0.2">
      <c r="A2445" t="s">
        <v>7314</v>
      </c>
      <c r="B2445" t="s">
        <v>7315</v>
      </c>
      <c r="C2445" t="s">
        <v>7315</v>
      </c>
      <c r="D2445" t="str">
        <f>HYPERLINK("https://zfin.org/ZDB-GENE-061215-82")</f>
        <v>https://zfin.org/ZDB-GENE-061215-82</v>
      </c>
      <c r="E2445" t="s">
        <v>7316</v>
      </c>
    </row>
    <row r="2446" spans="1:5" x14ac:dyDescent="0.2">
      <c r="A2446" t="s">
        <v>7317</v>
      </c>
      <c r="B2446" t="s">
        <v>7318</v>
      </c>
      <c r="C2446" t="s">
        <v>7318</v>
      </c>
      <c r="D2446" t="str">
        <f>HYPERLINK("https://zfin.org/ZDB-GENE-060503-851")</f>
        <v>https://zfin.org/ZDB-GENE-060503-851</v>
      </c>
      <c r="E2446" t="s">
        <v>7319</v>
      </c>
    </row>
    <row r="2447" spans="1:5" x14ac:dyDescent="0.2">
      <c r="A2447" t="s">
        <v>7320</v>
      </c>
      <c r="B2447" t="s">
        <v>7321</v>
      </c>
      <c r="C2447" t="s">
        <v>7321</v>
      </c>
      <c r="D2447" t="str">
        <f>HYPERLINK("https://zfin.org/ZDB-GENE-060929-268")</f>
        <v>https://zfin.org/ZDB-GENE-060929-268</v>
      </c>
      <c r="E2447" t="s">
        <v>7322</v>
      </c>
    </row>
    <row r="2448" spans="1:5" x14ac:dyDescent="0.2">
      <c r="A2448" t="s">
        <v>7323</v>
      </c>
      <c r="B2448" t="s">
        <v>7324</v>
      </c>
      <c r="C2448" t="s">
        <v>7324</v>
      </c>
      <c r="D2448" t="str">
        <f>HYPERLINK("https://zfin.org/ZDB-GENE-030131-2603")</f>
        <v>https://zfin.org/ZDB-GENE-030131-2603</v>
      </c>
      <c r="E2448" t="s">
        <v>7325</v>
      </c>
    </row>
    <row r="2449" spans="1:5" x14ac:dyDescent="0.2">
      <c r="A2449" t="s">
        <v>7326</v>
      </c>
      <c r="B2449" t="s">
        <v>7327</v>
      </c>
      <c r="C2449" t="s">
        <v>7327</v>
      </c>
      <c r="D2449" t="str">
        <f>HYPERLINK("https://zfin.org/ZDB-GENE-000329-1")</f>
        <v>https://zfin.org/ZDB-GENE-000329-1</v>
      </c>
      <c r="E2449" t="s">
        <v>7328</v>
      </c>
    </row>
    <row r="2450" spans="1:5" x14ac:dyDescent="0.2">
      <c r="A2450" t="s">
        <v>7329</v>
      </c>
      <c r="B2450" t="s">
        <v>7330</v>
      </c>
      <c r="C2450" t="s">
        <v>7330</v>
      </c>
      <c r="D2450" t="str">
        <f>HYPERLINK("https://zfin.org/ZDB-GENE-040912-75")</f>
        <v>https://zfin.org/ZDB-GENE-040912-75</v>
      </c>
      <c r="E2450" t="s">
        <v>7331</v>
      </c>
    </row>
    <row r="2451" spans="1:5" x14ac:dyDescent="0.2">
      <c r="A2451" t="s">
        <v>7332</v>
      </c>
      <c r="B2451" t="s">
        <v>7333</v>
      </c>
      <c r="C2451" t="s">
        <v>7333</v>
      </c>
      <c r="D2451" t="str">
        <f>HYPERLINK("https://zfin.org/ZDB-GENE-040426-1185")</f>
        <v>https://zfin.org/ZDB-GENE-040426-1185</v>
      </c>
      <c r="E2451" t="s">
        <v>7334</v>
      </c>
    </row>
    <row r="2452" spans="1:5" x14ac:dyDescent="0.2">
      <c r="A2452" t="s">
        <v>7335</v>
      </c>
      <c r="B2452" t="s">
        <v>7336</v>
      </c>
      <c r="C2452" t="s">
        <v>7336</v>
      </c>
      <c r="D2452" t="str">
        <f>HYPERLINK("https://zfin.org/ZDB-GENE-040426-1074")</f>
        <v>https://zfin.org/ZDB-GENE-040426-1074</v>
      </c>
      <c r="E2452" t="s">
        <v>7337</v>
      </c>
    </row>
    <row r="2453" spans="1:5" x14ac:dyDescent="0.2">
      <c r="A2453" t="s">
        <v>7338</v>
      </c>
      <c r="B2453" t="s">
        <v>7339</v>
      </c>
      <c r="C2453" t="s">
        <v>7339</v>
      </c>
      <c r="D2453" t="str">
        <f>HYPERLINK("https://zfin.org/ZDB-GENE-030131-5843")</f>
        <v>https://zfin.org/ZDB-GENE-030131-5843</v>
      </c>
      <c r="E2453" t="s">
        <v>7340</v>
      </c>
    </row>
    <row r="2454" spans="1:5" x14ac:dyDescent="0.2">
      <c r="A2454" t="s">
        <v>7341</v>
      </c>
      <c r="B2454" t="s">
        <v>7342</v>
      </c>
      <c r="C2454" t="s">
        <v>7342</v>
      </c>
      <c r="D2454" t="str">
        <f>HYPERLINK("https://zfin.org/ZDB-GENE-030131-488")</f>
        <v>https://zfin.org/ZDB-GENE-030131-488</v>
      </c>
      <c r="E2454" t="s">
        <v>7343</v>
      </c>
    </row>
    <row r="2455" spans="1:5" x14ac:dyDescent="0.2">
      <c r="A2455" t="s">
        <v>7344</v>
      </c>
      <c r="B2455" t="s">
        <v>7345</v>
      </c>
      <c r="C2455" t="s">
        <v>7345</v>
      </c>
      <c r="D2455" t="str">
        <f>HYPERLINK("https://zfin.org/ZDB-GENE-040912-160")</f>
        <v>https://zfin.org/ZDB-GENE-040912-160</v>
      </c>
      <c r="E2455" t="s">
        <v>7346</v>
      </c>
    </row>
    <row r="2456" spans="1:5" x14ac:dyDescent="0.2">
      <c r="A2456" t="s">
        <v>7347</v>
      </c>
      <c r="B2456" t="s">
        <v>7348</v>
      </c>
      <c r="C2456" t="s">
        <v>7348</v>
      </c>
      <c r="D2456" t="str">
        <f>HYPERLINK("https://zfin.org/ZDB-GENE-050309-277")</f>
        <v>https://zfin.org/ZDB-GENE-050309-277</v>
      </c>
      <c r="E2456" t="s">
        <v>7349</v>
      </c>
    </row>
    <row r="2457" spans="1:5" x14ac:dyDescent="0.2">
      <c r="A2457" t="s">
        <v>7350</v>
      </c>
      <c r="B2457" t="s">
        <v>7351</v>
      </c>
      <c r="C2457" t="s">
        <v>7351</v>
      </c>
      <c r="D2457" t="str">
        <f>HYPERLINK("https://zfin.org/ZDB-GENE-040718-202")</f>
        <v>https://zfin.org/ZDB-GENE-040718-202</v>
      </c>
      <c r="E2457" t="s">
        <v>7352</v>
      </c>
    </row>
    <row r="2458" spans="1:5" x14ac:dyDescent="0.2">
      <c r="A2458" t="s">
        <v>7353</v>
      </c>
      <c r="B2458" t="s">
        <v>7354</v>
      </c>
      <c r="C2458" t="s">
        <v>7354</v>
      </c>
      <c r="D2458" t="str">
        <f>HYPERLINK("https://zfin.org/ZDB-GENE-040912-6")</f>
        <v>https://zfin.org/ZDB-GENE-040912-6</v>
      </c>
      <c r="E2458" t="s">
        <v>7355</v>
      </c>
    </row>
    <row r="2459" spans="1:5" x14ac:dyDescent="0.2">
      <c r="A2459" t="s">
        <v>7356</v>
      </c>
      <c r="B2459" t="s">
        <v>7357</v>
      </c>
      <c r="C2459" t="s">
        <v>7357</v>
      </c>
      <c r="D2459" t="str">
        <f>HYPERLINK("https://zfin.org/ZDB-GENE-050809-65")</f>
        <v>https://zfin.org/ZDB-GENE-050809-65</v>
      </c>
      <c r="E2459" t="s">
        <v>7358</v>
      </c>
    </row>
    <row r="2460" spans="1:5" x14ac:dyDescent="0.2">
      <c r="A2460" t="s">
        <v>7359</v>
      </c>
      <c r="B2460" t="s">
        <v>7360</v>
      </c>
      <c r="C2460" t="s">
        <v>7360</v>
      </c>
      <c r="D2460" t="str">
        <f>HYPERLINK("https://zfin.org/ZDB-GENE-050909-1")</f>
        <v>https://zfin.org/ZDB-GENE-050909-1</v>
      </c>
      <c r="E2460" t="s">
        <v>7361</v>
      </c>
    </row>
    <row r="2461" spans="1:5" x14ac:dyDescent="0.2">
      <c r="A2461" t="s">
        <v>7362</v>
      </c>
      <c r="B2461" t="s">
        <v>7363</v>
      </c>
      <c r="C2461" t="s">
        <v>7363</v>
      </c>
      <c r="D2461" t="str">
        <f>HYPERLINK("https://zfin.org/ZDB-GENE-140819-1")</f>
        <v>https://zfin.org/ZDB-GENE-140819-1</v>
      </c>
      <c r="E2461" t="s">
        <v>7364</v>
      </c>
    </row>
    <row r="2462" spans="1:5" x14ac:dyDescent="0.2">
      <c r="A2462" t="s">
        <v>7365</v>
      </c>
      <c r="B2462" t="s">
        <v>7366</v>
      </c>
      <c r="C2462" t="s">
        <v>7366</v>
      </c>
      <c r="D2462" t="str">
        <f>HYPERLINK("https://zfin.org/ZDB-GENE-040801-161")</f>
        <v>https://zfin.org/ZDB-GENE-040801-161</v>
      </c>
      <c r="E2462" t="s">
        <v>7367</v>
      </c>
    </row>
    <row r="2463" spans="1:5" x14ac:dyDescent="0.2">
      <c r="A2463" t="s">
        <v>7368</v>
      </c>
      <c r="B2463" t="s">
        <v>7369</v>
      </c>
      <c r="C2463" t="s">
        <v>7369</v>
      </c>
      <c r="D2463" t="str">
        <f>HYPERLINK("https://zfin.org/ZDB-GENE-070912-489")</f>
        <v>https://zfin.org/ZDB-GENE-070912-489</v>
      </c>
      <c r="E2463" t="s">
        <v>7370</v>
      </c>
    </row>
    <row r="2464" spans="1:5" x14ac:dyDescent="0.2">
      <c r="A2464" t="s">
        <v>7371</v>
      </c>
      <c r="B2464" t="s">
        <v>7372</v>
      </c>
      <c r="C2464" t="s">
        <v>7372</v>
      </c>
      <c r="D2464" t="str">
        <f>HYPERLINK("https://zfin.org/ZDB-GENE-070912-189")</f>
        <v>https://zfin.org/ZDB-GENE-070912-189</v>
      </c>
      <c r="E2464" t="s">
        <v>7373</v>
      </c>
    </row>
    <row r="2465" spans="1:5" x14ac:dyDescent="0.2">
      <c r="A2465" t="s">
        <v>7374</v>
      </c>
      <c r="B2465" t="s">
        <v>7375</v>
      </c>
      <c r="C2465" t="s">
        <v>7375</v>
      </c>
      <c r="D2465" t="str">
        <f>HYPERLINK("https://zfin.org/ZDB-GENE-091204-74")</f>
        <v>https://zfin.org/ZDB-GENE-091204-74</v>
      </c>
      <c r="E2465" t="s">
        <v>7376</v>
      </c>
    </row>
    <row r="2466" spans="1:5" x14ac:dyDescent="0.2">
      <c r="A2466" t="s">
        <v>7377</v>
      </c>
      <c r="B2466" t="s">
        <v>7378</v>
      </c>
      <c r="C2466" t="s">
        <v>7378</v>
      </c>
      <c r="D2466" t="str">
        <f>HYPERLINK("https://zfin.org/ZDB-GENE-040718-421")</f>
        <v>https://zfin.org/ZDB-GENE-040718-421</v>
      </c>
      <c r="E2466" t="s">
        <v>7379</v>
      </c>
    </row>
    <row r="2467" spans="1:5" x14ac:dyDescent="0.2">
      <c r="A2467" t="s">
        <v>7380</v>
      </c>
      <c r="B2467" t="s">
        <v>7381</v>
      </c>
      <c r="C2467" t="s">
        <v>7381</v>
      </c>
      <c r="D2467" t="str">
        <f>HYPERLINK("https://zfin.org/ZDB-GENE-030131-7116")</f>
        <v>https://zfin.org/ZDB-GENE-030131-7116</v>
      </c>
      <c r="E2467" t="s">
        <v>7382</v>
      </c>
    </row>
    <row r="2468" spans="1:5" x14ac:dyDescent="0.2">
      <c r="A2468" t="s">
        <v>7383</v>
      </c>
      <c r="B2468" t="s">
        <v>7384</v>
      </c>
      <c r="C2468" t="s">
        <v>7384</v>
      </c>
      <c r="D2468" t="str">
        <f>HYPERLINK("https://zfin.org/ZDB-GENE-060929-300")</f>
        <v>https://zfin.org/ZDB-GENE-060929-300</v>
      </c>
      <c r="E2468" t="s">
        <v>7385</v>
      </c>
    </row>
    <row r="2469" spans="1:5" x14ac:dyDescent="0.2">
      <c r="A2469" t="s">
        <v>7386</v>
      </c>
      <c r="B2469" t="s">
        <v>7387</v>
      </c>
      <c r="C2469" t="s">
        <v>7387</v>
      </c>
      <c r="D2469" t="str">
        <f>HYPERLINK("https://zfin.org/ZDB-GENE-030131-6432")</f>
        <v>https://zfin.org/ZDB-GENE-030131-6432</v>
      </c>
      <c r="E2469" t="s">
        <v>7388</v>
      </c>
    </row>
    <row r="2470" spans="1:5" x14ac:dyDescent="0.2">
      <c r="A2470" t="s">
        <v>7389</v>
      </c>
      <c r="B2470" t="s">
        <v>7390</v>
      </c>
      <c r="C2470" t="s">
        <v>7390</v>
      </c>
      <c r="D2470" t="str">
        <f>HYPERLINK("https://zfin.org/ZDB-GENE-050522-481")</f>
        <v>https://zfin.org/ZDB-GENE-050522-481</v>
      </c>
      <c r="E2470" t="s">
        <v>7391</v>
      </c>
    </row>
    <row r="2471" spans="1:5" x14ac:dyDescent="0.2">
      <c r="A2471" t="s">
        <v>7392</v>
      </c>
      <c r="B2471" t="s">
        <v>7393</v>
      </c>
      <c r="C2471" t="s">
        <v>7393</v>
      </c>
      <c r="D2471" t="str">
        <f>HYPERLINK("https://zfin.org/ZDB-GENE-090313-135")</f>
        <v>https://zfin.org/ZDB-GENE-090313-135</v>
      </c>
      <c r="E2471" t="s">
        <v>7394</v>
      </c>
    </row>
    <row r="2472" spans="1:5" x14ac:dyDescent="0.2">
      <c r="A2472" t="s">
        <v>7395</v>
      </c>
      <c r="B2472" t="s">
        <v>7396</v>
      </c>
      <c r="C2472" t="s">
        <v>7396</v>
      </c>
      <c r="D2472" t="str">
        <f>HYPERLINK("https://zfin.org/ZDB-GENE-041008-126")</f>
        <v>https://zfin.org/ZDB-GENE-041008-126</v>
      </c>
      <c r="E2472" t="s">
        <v>7397</v>
      </c>
    </row>
    <row r="2473" spans="1:5" x14ac:dyDescent="0.2">
      <c r="A2473" t="s">
        <v>7398</v>
      </c>
      <c r="B2473" t="s">
        <v>7399</v>
      </c>
      <c r="C2473" t="s">
        <v>7399</v>
      </c>
      <c r="D2473" t="str">
        <f>HYPERLINK("https://zfin.org/ZDB-GENE-040426-1381")</f>
        <v>https://zfin.org/ZDB-GENE-040426-1381</v>
      </c>
      <c r="E2473" t="s">
        <v>7400</v>
      </c>
    </row>
    <row r="2474" spans="1:5" x14ac:dyDescent="0.2">
      <c r="A2474" t="s">
        <v>7401</v>
      </c>
      <c r="B2474" t="s">
        <v>7402</v>
      </c>
      <c r="C2474" t="s">
        <v>7402</v>
      </c>
      <c r="D2474" t="str">
        <f>HYPERLINK("https://zfin.org/ZDB-GENE-071004-70")</f>
        <v>https://zfin.org/ZDB-GENE-071004-70</v>
      </c>
      <c r="E2474" t="s">
        <v>7403</v>
      </c>
    </row>
    <row r="2475" spans="1:5" x14ac:dyDescent="0.2">
      <c r="A2475" t="s">
        <v>7404</v>
      </c>
      <c r="B2475" t="s">
        <v>7405</v>
      </c>
      <c r="C2475" t="s">
        <v>7405</v>
      </c>
      <c r="D2475" t="str">
        <f>HYPERLINK("https://zfin.org/ZDB-GENE-030131-638")</f>
        <v>https://zfin.org/ZDB-GENE-030131-638</v>
      </c>
      <c r="E2475" t="s">
        <v>7406</v>
      </c>
    </row>
    <row r="2476" spans="1:5" x14ac:dyDescent="0.2">
      <c r="A2476" t="s">
        <v>7407</v>
      </c>
      <c r="B2476" t="s">
        <v>7408</v>
      </c>
      <c r="C2476" t="s">
        <v>7408</v>
      </c>
      <c r="D2476" t="str">
        <f>HYPERLINK("https://zfin.org/ZDB-GENE-051120-114")</f>
        <v>https://zfin.org/ZDB-GENE-051120-114</v>
      </c>
      <c r="E2476" t="s">
        <v>7409</v>
      </c>
    </row>
    <row r="2477" spans="1:5" x14ac:dyDescent="0.2">
      <c r="A2477" t="s">
        <v>7410</v>
      </c>
      <c r="B2477" t="s">
        <v>7411</v>
      </c>
      <c r="C2477" t="s">
        <v>7411</v>
      </c>
      <c r="D2477" t="str">
        <f>HYPERLINK("https://zfin.org/ZDB-GENE-060929-1170")</f>
        <v>https://zfin.org/ZDB-GENE-060929-1170</v>
      </c>
      <c r="E2477" t="s">
        <v>7412</v>
      </c>
    </row>
    <row r="2478" spans="1:5" x14ac:dyDescent="0.2">
      <c r="A2478" t="s">
        <v>7413</v>
      </c>
      <c r="B2478" t="s">
        <v>7414</v>
      </c>
      <c r="C2478" t="s">
        <v>7414</v>
      </c>
      <c r="D2478" t="str">
        <f>HYPERLINK("https://zfin.org/ZDB-GENE-160114-62")</f>
        <v>https://zfin.org/ZDB-GENE-160114-62</v>
      </c>
      <c r="E2478" t="s">
        <v>7415</v>
      </c>
    </row>
    <row r="2479" spans="1:5" x14ac:dyDescent="0.2">
      <c r="A2479" t="s">
        <v>7416</v>
      </c>
      <c r="B2479" t="s">
        <v>7417</v>
      </c>
      <c r="C2479" t="s">
        <v>7417</v>
      </c>
      <c r="D2479" t="str">
        <f>HYPERLINK("https://zfin.org/ZDB-GENE-040426-877")</f>
        <v>https://zfin.org/ZDB-GENE-040426-877</v>
      </c>
      <c r="E2479" t="s">
        <v>7418</v>
      </c>
    </row>
    <row r="2480" spans="1:5" x14ac:dyDescent="0.2">
      <c r="A2480" t="s">
        <v>7419</v>
      </c>
      <c r="B2480" t="s">
        <v>7420</v>
      </c>
      <c r="C2480" t="s">
        <v>7420</v>
      </c>
      <c r="D2480" t="str">
        <f>HYPERLINK("https://zfin.org/ZDB-GENE-030131-966")</f>
        <v>https://zfin.org/ZDB-GENE-030131-966</v>
      </c>
      <c r="E2480" t="s">
        <v>7421</v>
      </c>
    </row>
    <row r="2481" spans="1:5" x14ac:dyDescent="0.2">
      <c r="A2481" t="s">
        <v>7422</v>
      </c>
      <c r="B2481" t="s">
        <v>7423</v>
      </c>
      <c r="C2481" t="s">
        <v>7423</v>
      </c>
      <c r="D2481" t="str">
        <f>HYPERLINK("https://zfin.org/ZDB-GENE-040426-2518")</f>
        <v>https://zfin.org/ZDB-GENE-040426-2518</v>
      </c>
      <c r="E2481" t="s">
        <v>7424</v>
      </c>
    </row>
    <row r="2482" spans="1:5" x14ac:dyDescent="0.2">
      <c r="A2482" t="s">
        <v>7425</v>
      </c>
      <c r="B2482" t="s">
        <v>7426</v>
      </c>
      <c r="C2482" t="s">
        <v>7426</v>
      </c>
      <c r="D2482" t="str">
        <f>HYPERLINK("https://zfin.org/ZDB-GENE-081022-178")</f>
        <v>https://zfin.org/ZDB-GENE-081022-178</v>
      </c>
      <c r="E2482" t="s">
        <v>7427</v>
      </c>
    </row>
    <row r="2483" spans="1:5" x14ac:dyDescent="0.2">
      <c r="A2483" t="s">
        <v>7428</v>
      </c>
      <c r="B2483" t="s">
        <v>7429</v>
      </c>
      <c r="C2483" t="s">
        <v>7429</v>
      </c>
      <c r="D2483" t="str">
        <f>HYPERLINK("https://zfin.org/ZDB-GENE-030328-39")</f>
        <v>https://zfin.org/ZDB-GENE-030328-39</v>
      </c>
      <c r="E2483" t="s">
        <v>7430</v>
      </c>
    </row>
    <row r="2484" spans="1:5" x14ac:dyDescent="0.2">
      <c r="A2484" t="s">
        <v>7431</v>
      </c>
      <c r="B2484" t="s">
        <v>7402</v>
      </c>
      <c r="C2484" t="s">
        <v>7432</v>
      </c>
      <c r="D2484" t="str">
        <f>HYPERLINK("https://zfin.org/ZDB-GENE-071004-70")</f>
        <v>https://zfin.org/ZDB-GENE-071004-70</v>
      </c>
      <c r="E2484" t="s">
        <v>7403</v>
      </c>
    </row>
    <row r="2485" spans="1:5" x14ac:dyDescent="0.2">
      <c r="A2485" t="s">
        <v>7433</v>
      </c>
      <c r="B2485" t="s">
        <v>7434</v>
      </c>
      <c r="C2485" t="s">
        <v>7434</v>
      </c>
      <c r="D2485" t="str">
        <f>HYPERLINK("https://zfin.org/ZDB-GENE-141216-317")</f>
        <v>https://zfin.org/ZDB-GENE-141216-317</v>
      </c>
      <c r="E2485" t="s">
        <v>7435</v>
      </c>
    </row>
    <row r="2486" spans="1:5" x14ac:dyDescent="0.2">
      <c r="A2486" t="s">
        <v>7436</v>
      </c>
      <c r="B2486" t="s">
        <v>7437</v>
      </c>
      <c r="C2486" t="s">
        <v>7437</v>
      </c>
      <c r="D2486" t="str">
        <f>HYPERLINK("https://zfin.org/ZDB-GENE-040426-1503")</f>
        <v>https://zfin.org/ZDB-GENE-040426-1503</v>
      </c>
      <c r="E2486" t="s">
        <v>7438</v>
      </c>
    </row>
    <row r="2487" spans="1:5" x14ac:dyDescent="0.2">
      <c r="A2487" t="s">
        <v>7439</v>
      </c>
      <c r="B2487" t="s">
        <v>7440</v>
      </c>
      <c r="C2487" t="s">
        <v>7440</v>
      </c>
      <c r="D2487" t="str">
        <f>HYPERLINK("https://zfin.org/ZDB-GENE-041008-237")</f>
        <v>https://zfin.org/ZDB-GENE-041008-237</v>
      </c>
      <c r="E2487" t="s">
        <v>7441</v>
      </c>
    </row>
    <row r="2488" spans="1:5" x14ac:dyDescent="0.2">
      <c r="A2488" t="s">
        <v>7442</v>
      </c>
      <c r="B2488" t="s">
        <v>7443</v>
      </c>
      <c r="C2488" t="s">
        <v>7443</v>
      </c>
      <c r="D2488" t="str">
        <f>HYPERLINK("https://zfin.org/ZDB-GENE-120709-50")</f>
        <v>https://zfin.org/ZDB-GENE-120709-50</v>
      </c>
      <c r="E2488" t="s">
        <v>7444</v>
      </c>
    </row>
    <row r="2489" spans="1:5" x14ac:dyDescent="0.2">
      <c r="A2489" t="s">
        <v>7445</v>
      </c>
      <c r="B2489" t="s">
        <v>7446</v>
      </c>
      <c r="C2489" t="s">
        <v>7446</v>
      </c>
      <c r="D2489" t="str">
        <f>HYPERLINK("https://zfin.org/ZDB-GENE-100319-2")</f>
        <v>https://zfin.org/ZDB-GENE-100319-2</v>
      </c>
      <c r="E2489" t="s">
        <v>7447</v>
      </c>
    </row>
    <row r="2490" spans="1:5" x14ac:dyDescent="0.2">
      <c r="A2490" t="s">
        <v>7448</v>
      </c>
      <c r="B2490" t="s">
        <v>7449</v>
      </c>
      <c r="C2490" t="s">
        <v>7449</v>
      </c>
      <c r="D2490" t="str">
        <f>HYPERLINK("https://zfin.org/ZDB-GENE-041114-38")</f>
        <v>https://zfin.org/ZDB-GENE-041114-38</v>
      </c>
      <c r="E2490" t="s">
        <v>7450</v>
      </c>
    </row>
    <row r="2491" spans="1:5" x14ac:dyDescent="0.2">
      <c r="A2491" t="s">
        <v>7451</v>
      </c>
      <c r="B2491" t="s">
        <v>7452</v>
      </c>
      <c r="C2491" t="s">
        <v>7452</v>
      </c>
      <c r="D2491" t="str">
        <f>HYPERLINK("https://zfin.org/ZDB-GENE-030131-3893")</f>
        <v>https://zfin.org/ZDB-GENE-030131-3893</v>
      </c>
      <c r="E2491" t="s">
        <v>7453</v>
      </c>
    </row>
    <row r="2492" spans="1:5" x14ac:dyDescent="0.2">
      <c r="A2492" t="s">
        <v>7454</v>
      </c>
      <c r="B2492" t="s">
        <v>7455</v>
      </c>
      <c r="C2492" t="s">
        <v>7455</v>
      </c>
      <c r="D2492" t="str">
        <f>HYPERLINK("https://zfin.org/ZDB-GENE-120814-1")</f>
        <v>https://zfin.org/ZDB-GENE-120814-1</v>
      </c>
      <c r="E2492" t="s">
        <v>7456</v>
      </c>
    </row>
    <row r="2493" spans="1:5" x14ac:dyDescent="0.2">
      <c r="A2493" t="s">
        <v>7457</v>
      </c>
      <c r="B2493" t="s">
        <v>7458</v>
      </c>
      <c r="C2493" t="s">
        <v>7458</v>
      </c>
      <c r="D2493" t="str">
        <f>HYPERLINK("https://zfin.org/ZDB-GENE-030131-108")</f>
        <v>https://zfin.org/ZDB-GENE-030131-108</v>
      </c>
      <c r="E2493" t="s">
        <v>7459</v>
      </c>
    </row>
    <row r="2494" spans="1:5" x14ac:dyDescent="0.2">
      <c r="A2494" t="s">
        <v>7460</v>
      </c>
      <c r="B2494" t="s">
        <v>7461</v>
      </c>
      <c r="C2494" t="s">
        <v>7461</v>
      </c>
      <c r="D2494" t="str">
        <f>HYPERLINK("https://zfin.org/ZDB-GENE-060929-780")</f>
        <v>https://zfin.org/ZDB-GENE-060929-780</v>
      </c>
      <c r="E2494" t="s">
        <v>7462</v>
      </c>
    </row>
    <row r="2495" spans="1:5" x14ac:dyDescent="0.2">
      <c r="A2495" t="s">
        <v>7463</v>
      </c>
      <c r="B2495" t="s">
        <v>7464</v>
      </c>
      <c r="C2495" t="s">
        <v>7464</v>
      </c>
      <c r="D2495" t="str">
        <f>HYPERLINK("https://zfin.org/ZDB-GENE-030131-7015")</f>
        <v>https://zfin.org/ZDB-GENE-030131-7015</v>
      </c>
      <c r="E2495" t="s">
        <v>7465</v>
      </c>
    </row>
    <row r="2496" spans="1:5" x14ac:dyDescent="0.2">
      <c r="A2496" t="s">
        <v>7466</v>
      </c>
      <c r="B2496" t="s">
        <v>7467</v>
      </c>
      <c r="C2496" t="s">
        <v>7467</v>
      </c>
      <c r="D2496" t="str">
        <f>HYPERLINK("https://zfin.org/ZDB-GENE-131127-559")</f>
        <v>https://zfin.org/ZDB-GENE-131127-559</v>
      </c>
      <c r="E2496" t="s">
        <v>7468</v>
      </c>
    </row>
    <row r="2497" spans="1:5" x14ac:dyDescent="0.2">
      <c r="A2497" t="s">
        <v>7469</v>
      </c>
      <c r="B2497" t="s">
        <v>7470</v>
      </c>
      <c r="C2497" t="s">
        <v>7470</v>
      </c>
      <c r="D2497" t="str">
        <f>HYPERLINK("https://zfin.org/ZDB-GENE-030131-7427")</f>
        <v>https://zfin.org/ZDB-GENE-030131-7427</v>
      </c>
      <c r="E2497" t="s">
        <v>7471</v>
      </c>
    </row>
    <row r="2498" spans="1:5" x14ac:dyDescent="0.2">
      <c r="A2498" t="s">
        <v>7472</v>
      </c>
      <c r="B2498" t="s">
        <v>7473</v>
      </c>
      <c r="C2498" t="s">
        <v>7473</v>
      </c>
      <c r="D2498" t="str">
        <f>HYPERLINK("https://zfin.org/ZDB-GENE-040718-445")</f>
        <v>https://zfin.org/ZDB-GENE-040718-445</v>
      </c>
      <c r="E2498" t="s">
        <v>7474</v>
      </c>
    </row>
    <row r="2499" spans="1:5" x14ac:dyDescent="0.2">
      <c r="A2499" t="s">
        <v>7475</v>
      </c>
      <c r="B2499" t="s">
        <v>7476</v>
      </c>
      <c r="C2499" t="s">
        <v>7476</v>
      </c>
      <c r="D2499" t="str">
        <f>HYPERLINK("https://zfin.org/ZDB-GENE-041210-281")</f>
        <v>https://zfin.org/ZDB-GENE-041210-281</v>
      </c>
      <c r="E2499" t="s">
        <v>7477</v>
      </c>
    </row>
    <row r="2500" spans="1:5" x14ac:dyDescent="0.2">
      <c r="A2500" t="s">
        <v>7478</v>
      </c>
      <c r="B2500" t="s">
        <v>7479</v>
      </c>
      <c r="C2500" t="s">
        <v>7479</v>
      </c>
      <c r="D2500" t="str">
        <f>HYPERLINK("https://zfin.org/ZDB-GENE-070410-73")</f>
        <v>https://zfin.org/ZDB-GENE-070410-73</v>
      </c>
      <c r="E2500" t="s">
        <v>7480</v>
      </c>
    </row>
    <row r="2501" spans="1:5" x14ac:dyDescent="0.2">
      <c r="A2501" t="s">
        <v>7481</v>
      </c>
      <c r="B2501" t="s">
        <v>7482</v>
      </c>
      <c r="C2501" t="s">
        <v>7482</v>
      </c>
      <c r="D2501" t="str">
        <f>HYPERLINK("https://zfin.org/ZDB-GENE-050522-8")</f>
        <v>https://zfin.org/ZDB-GENE-050522-8</v>
      </c>
      <c r="E2501" t="s">
        <v>7483</v>
      </c>
    </row>
    <row r="2502" spans="1:5" x14ac:dyDescent="0.2">
      <c r="A2502" t="s">
        <v>7484</v>
      </c>
      <c r="B2502" t="s">
        <v>7485</v>
      </c>
      <c r="C2502" t="s">
        <v>7485</v>
      </c>
      <c r="D2502" t="str">
        <f>HYPERLINK("https://zfin.org/ZDB-GENE-030131-3092")</f>
        <v>https://zfin.org/ZDB-GENE-030131-3092</v>
      </c>
      <c r="E2502" t="s">
        <v>7486</v>
      </c>
    </row>
    <row r="2503" spans="1:5" x14ac:dyDescent="0.2">
      <c r="A2503" t="s">
        <v>7487</v>
      </c>
      <c r="B2503" t="s">
        <v>7488</v>
      </c>
      <c r="C2503" t="s">
        <v>7488</v>
      </c>
      <c r="D2503" t="str">
        <f>HYPERLINK("https://zfin.org/ZDB-GENE-040718-360")</f>
        <v>https://zfin.org/ZDB-GENE-040718-360</v>
      </c>
      <c r="E2503" t="s">
        <v>7489</v>
      </c>
    </row>
    <row r="2504" spans="1:5" x14ac:dyDescent="0.2">
      <c r="A2504" t="s">
        <v>7490</v>
      </c>
      <c r="B2504" t="s">
        <v>7491</v>
      </c>
      <c r="C2504" t="s">
        <v>7491</v>
      </c>
      <c r="D2504" t="str">
        <f>HYPERLINK("https://zfin.org/ZDB-GENE-071214-1")</f>
        <v>https://zfin.org/ZDB-GENE-071214-1</v>
      </c>
      <c r="E2504" t="s">
        <v>7492</v>
      </c>
    </row>
    <row r="2505" spans="1:5" x14ac:dyDescent="0.2">
      <c r="A2505" t="s">
        <v>7493</v>
      </c>
      <c r="B2505" t="s">
        <v>7494</v>
      </c>
      <c r="C2505" t="s">
        <v>7494</v>
      </c>
      <c r="D2505" t="str">
        <f>HYPERLINK("https://zfin.org/ZDB-GENE-010129-1")</f>
        <v>https://zfin.org/ZDB-GENE-010129-1</v>
      </c>
      <c r="E2505" t="s">
        <v>7495</v>
      </c>
    </row>
    <row r="2506" spans="1:5" x14ac:dyDescent="0.2">
      <c r="A2506" t="s">
        <v>7496</v>
      </c>
      <c r="B2506" t="s">
        <v>7497</v>
      </c>
      <c r="C2506" t="s">
        <v>7497</v>
      </c>
      <c r="D2506" t="str">
        <f>HYPERLINK("https://zfin.org/ZDB-GENE-000210-17")</f>
        <v>https://zfin.org/ZDB-GENE-000210-17</v>
      </c>
      <c r="E2506" t="s">
        <v>7498</v>
      </c>
    </row>
    <row r="2507" spans="1:5" x14ac:dyDescent="0.2">
      <c r="A2507" t="s">
        <v>7499</v>
      </c>
      <c r="B2507" t="s">
        <v>7500</v>
      </c>
      <c r="C2507" t="s">
        <v>7500</v>
      </c>
      <c r="D2507" t="str">
        <f>HYPERLINK("https://zfin.org/ZDB-GENE-091204-19")</f>
        <v>https://zfin.org/ZDB-GENE-091204-19</v>
      </c>
      <c r="E2507" t="s">
        <v>7501</v>
      </c>
    </row>
    <row r="2508" spans="1:5" x14ac:dyDescent="0.2">
      <c r="A2508" t="s">
        <v>7502</v>
      </c>
      <c r="B2508" t="s">
        <v>7503</v>
      </c>
      <c r="C2508" t="s">
        <v>7503</v>
      </c>
      <c r="D2508" t="str">
        <f>HYPERLINK("https://zfin.org/ZDB-GENE-091027-2")</f>
        <v>https://zfin.org/ZDB-GENE-091027-2</v>
      </c>
      <c r="E2508" t="s">
        <v>7504</v>
      </c>
    </row>
    <row r="2509" spans="1:5" x14ac:dyDescent="0.2">
      <c r="A2509" t="s">
        <v>7505</v>
      </c>
      <c r="B2509" t="s">
        <v>7506</v>
      </c>
      <c r="C2509" t="s">
        <v>7506</v>
      </c>
      <c r="D2509" t="str">
        <f>HYPERLINK("https://zfin.org/ZDB-GENE-070717-4")</f>
        <v>https://zfin.org/ZDB-GENE-070717-4</v>
      </c>
      <c r="E2509" t="s">
        <v>7507</v>
      </c>
    </row>
    <row r="2510" spans="1:5" x14ac:dyDescent="0.2">
      <c r="A2510" t="s">
        <v>7508</v>
      </c>
      <c r="B2510" t="s">
        <v>7509</v>
      </c>
      <c r="C2510" t="s">
        <v>7509</v>
      </c>
      <c r="D2510" t="str">
        <f>HYPERLINK("https://zfin.org/ZDB-GENE-990415-158")</f>
        <v>https://zfin.org/ZDB-GENE-990415-158</v>
      </c>
      <c r="E2510" t="s">
        <v>7510</v>
      </c>
    </row>
    <row r="2511" spans="1:5" x14ac:dyDescent="0.2">
      <c r="A2511" t="s">
        <v>7511</v>
      </c>
      <c r="B2511" t="s">
        <v>7512</v>
      </c>
      <c r="C2511" t="s">
        <v>7512</v>
      </c>
      <c r="D2511" t="str">
        <f>HYPERLINK("https://zfin.org/ZDB-GENE-040426-2607")</f>
        <v>https://zfin.org/ZDB-GENE-040426-2607</v>
      </c>
      <c r="E2511" t="s">
        <v>7513</v>
      </c>
    </row>
    <row r="2512" spans="1:5" x14ac:dyDescent="0.2">
      <c r="A2512" t="s">
        <v>7514</v>
      </c>
      <c r="B2512" t="s">
        <v>7515</v>
      </c>
      <c r="C2512" t="s">
        <v>7515</v>
      </c>
      <c r="D2512" t="str">
        <f>HYPERLINK("https://zfin.org/ZDB-GENE-050913-96")</f>
        <v>https://zfin.org/ZDB-GENE-050913-96</v>
      </c>
      <c r="E2512" t="s">
        <v>7516</v>
      </c>
    </row>
    <row r="2513" spans="1:5" x14ac:dyDescent="0.2">
      <c r="A2513" t="s">
        <v>7517</v>
      </c>
      <c r="B2513" t="s">
        <v>7518</v>
      </c>
      <c r="C2513" t="s">
        <v>7518</v>
      </c>
      <c r="D2513" t="str">
        <f>HYPERLINK("https://zfin.org/ZDB-GENE-030219-137")</f>
        <v>https://zfin.org/ZDB-GENE-030219-137</v>
      </c>
      <c r="E2513" t="s">
        <v>7519</v>
      </c>
    </row>
    <row r="2514" spans="1:5" x14ac:dyDescent="0.2">
      <c r="A2514" t="s">
        <v>7520</v>
      </c>
      <c r="B2514" t="s">
        <v>7521</v>
      </c>
      <c r="C2514" t="s">
        <v>7521</v>
      </c>
      <c r="D2514" t="str">
        <f>HYPERLINK("https://zfin.org/ZDB-GENE-131121-389")</f>
        <v>https://zfin.org/ZDB-GENE-131121-389</v>
      </c>
      <c r="E2514" t="s">
        <v>7522</v>
      </c>
    </row>
    <row r="2515" spans="1:5" x14ac:dyDescent="0.2">
      <c r="A2515" t="s">
        <v>7523</v>
      </c>
      <c r="B2515" t="s">
        <v>7524</v>
      </c>
      <c r="C2515" t="s">
        <v>7524</v>
      </c>
      <c r="D2515" t="str">
        <f>HYPERLINK("https://zfin.org/ZDB-GENE-090312-49")</f>
        <v>https://zfin.org/ZDB-GENE-090312-49</v>
      </c>
      <c r="E2515" t="s">
        <v>7525</v>
      </c>
    </row>
    <row r="2516" spans="1:5" x14ac:dyDescent="0.2">
      <c r="A2516" t="s">
        <v>7526</v>
      </c>
      <c r="B2516" t="s">
        <v>7527</v>
      </c>
      <c r="C2516" t="s">
        <v>7527</v>
      </c>
      <c r="D2516" t="str">
        <f>HYPERLINK("https://zfin.org/ZDB-GENE-090218-29")</f>
        <v>https://zfin.org/ZDB-GENE-090218-29</v>
      </c>
      <c r="E2516" t="s">
        <v>7528</v>
      </c>
    </row>
    <row r="2517" spans="1:5" x14ac:dyDescent="0.2">
      <c r="A2517" t="s">
        <v>7529</v>
      </c>
      <c r="B2517" t="s">
        <v>7530</v>
      </c>
      <c r="C2517" t="s">
        <v>7530</v>
      </c>
      <c r="D2517" t="str">
        <f>HYPERLINK("https://zfin.org/ZDB-GENE-041010-125")</f>
        <v>https://zfin.org/ZDB-GENE-041010-125</v>
      </c>
      <c r="E2517" t="s">
        <v>7531</v>
      </c>
    </row>
    <row r="2518" spans="1:5" x14ac:dyDescent="0.2">
      <c r="A2518" t="s">
        <v>7532</v>
      </c>
      <c r="B2518" t="s">
        <v>7533</v>
      </c>
      <c r="C2518" t="s">
        <v>7533</v>
      </c>
      <c r="D2518" t="str">
        <f>HYPERLINK("https://zfin.org/ZDB-GENE-131127-546")</f>
        <v>https://zfin.org/ZDB-GENE-131127-546</v>
      </c>
      <c r="E2518" t="s">
        <v>7534</v>
      </c>
    </row>
    <row r="2519" spans="1:5" x14ac:dyDescent="0.2">
      <c r="A2519" t="s">
        <v>7535</v>
      </c>
      <c r="B2519" t="s">
        <v>7536</v>
      </c>
      <c r="C2519" t="s">
        <v>7536</v>
      </c>
      <c r="D2519" t="str">
        <f>HYPERLINK("https://zfin.org/ZDB-GENE-060915-2")</f>
        <v>https://zfin.org/ZDB-GENE-060915-2</v>
      </c>
      <c r="E2519" t="s">
        <v>7537</v>
      </c>
    </row>
    <row r="2520" spans="1:5" x14ac:dyDescent="0.2">
      <c r="A2520" t="s">
        <v>7538</v>
      </c>
      <c r="B2520" t="s">
        <v>7539</v>
      </c>
      <c r="C2520" t="s">
        <v>7539</v>
      </c>
      <c r="D2520" t="str">
        <f>HYPERLINK("https://zfin.org/ZDB-GENE-040624-11")</f>
        <v>https://zfin.org/ZDB-GENE-040624-11</v>
      </c>
      <c r="E2520" t="s">
        <v>7540</v>
      </c>
    </row>
    <row r="2521" spans="1:5" x14ac:dyDescent="0.2">
      <c r="A2521" t="s">
        <v>7541</v>
      </c>
      <c r="B2521" t="s">
        <v>7542</v>
      </c>
      <c r="C2521" t="s">
        <v>7542</v>
      </c>
      <c r="D2521" t="str">
        <f>HYPERLINK("https://zfin.org/ZDB-GENE-030131-3435")</f>
        <v>https://zfin.org/ZDB-GENE-030131-3435</v>
      </c>
      <c r="E2521" t="s">
        <v>7543</v>
      </c>
    </row>
    <row r="2522" spans="1:5" x14ac:dyDescent="0.2">
      <c r="A2522" t="s">
        <v>7544</v>
      </c>
      <c r="B2522" t="s">
        <v>7545</v>
      </c>
      <c r="C2522" t="s">
        <v>7545</v>
      </c>
      <c r="D2522" t="str">
        <f>HYPERLINK("https://zfin.org/ZDB-GENE-070424-162")</f>
        <v>https://zfin.org/ZDB-GENE-070424-162</v>
      </c>
      <c r="E2522" t="s">
        <v>7546</v>
      </c>
    </row>
    <row r="2523" spans="1:5" x14ac:dyDescent="0.2">
      <c r="A2523" t="s">
        <v>7547</v>
      </c>
      <c r="B2523" t="s">
        <v>7548</v>
      </c>
      <c r="C2523" t="s">
        <v>7548</v>
      </c>
      <c r="D2523" t="str">
        <f>HYPERLINK("https://zfin.org/ZDB-GENE-091204-154")</f>
        <v>https://zfin.org/ZDB-GENE-091204-154</v>
      </c>
      <c r="E2523" t="s">
        <v>7549</v>
      </c>
    </row>
    <row r="2524" spans="1:5" x14ac:dyDescent="0.2">
      <c r="A2524" t="s">
        <v>7550</v>
      </c>
      <c r="B2524" t="s">
        <v>7551</v>
      </c>
      <c r="C2524" t="s">
        <v>7551</v>
      </c>
      <c r="D2524" t="str">
        <f>HYPERLINK("https://zfin.org/ZDB-GENE-060503-829")</f>
        <v>https://zfin.org/ZDB-GENE-060503-829</v>
      </c>
      <c r="E2524" t="s">
        <v>7552</v>
      </c>
    </row>
    <row r="2525" spans="1:5" x14ac:dyDescent="0.2">
      <c r="A2525" t="s">
        <v>7553</v>
      </c>
      <c r="B2525" t="s">
        <v>7554</v>
      </c>
      <c r="C2525" t="s">
        <v>7554</v>
      </c>
      <c r="D2525" t="str">
        <f>HYPERLINK("https://zfin.org/ZDB-GENE-071004-58")</f>
        <v>https://zfin.org/ZDB-GENE-071004-58</v>
      </c>
      <c r="E2525" t="s">
        <v>7555</v>
      </c>
    </row>
    <row r="2526" spans="1:5" x14ac:dyDescent="0.2">
      <c r="A2526" t="s">
        <v>7556</v>
      </c>
      <c r="B2526" t="s">
        <v>7557</v>
      </c>
      <c r="C2526" t="s">
        <v>7557</v>
      </c>
      <c r="D2526" t="str">
        <f>HYPERLINK("https://zfin.org/ZDB-GENE-120709-67")</f>
        <v>https://zfin.org/ZDB-GENE-120709-67</v>
      </c>
      <c r="E2526" t="s">
        <v>7558</v>
      </c>
    </row>
    <row r="2527" spans="1:5" x14ac:dyDescent="0.2">
      <c r="A2527" t="s">
        <v>7559</v>
      </c>
      <c r="B2527" t="s">
        <v>7560</v>
      </c>
      <c r="C2527" t="s">
        <v>7560</v>
      </c>
      <c r="D2527" t="str">
        <f>HYPERLINK("https://zfin.org/ZDB-GENE-141222-37")</f>
        <v>https://zfin.org/ZDB-GENE-141222-37</v>
      </c>
      <c r="E2527" t="s">
        <v>7561</v>
      </c>
    </row>
    <row r="2528" spans="1:5" x14ac:dyDescent="0.2">
      <c r="A2528" t="s">
        <v>7562</v>
      </c>
      <c r="B2528" t="s">
        <v>7563</v>
      </c>
      <c r="C2528" t="s">
        <v>7563</v>
      </c>
      <c r="D2528" t="str">
        <f>HYPERLINK("https://zfin.org/ZDB-GENE-040426-1851")</f>
        <v>https://zfin.org/ZDB-GENE-040426-1851</v>
      </c>
      <c r="E2528" t="s">
        <v>7564</v>
      </c>
    </row>
    <row r="2529" spans="1:5" x14ac:dyDescent="0.2">
      <c r="A2529" t="s">
        <v>7565</v>
      </c>
      <c r="B2529" t="s">
        <v>7566</v>
      </c>
      <c r="C2529" t="s">
        <v>7566</v>
      </c>
      <c r="D2529" t="str">
        <f>HYPERLINK("https://zfin.org/ZDB-GENE-061013-59")</f>
        <v>https://zfin.org/ZDB-GENE-061013-59</v>
      </c>
      <c r="E2529" t="s">
        <v>7567</v>
      </c>
    </row>
    <row r="2530" spans="1:5" x14ac:dyDescent="0.2">
      <c r="A2530" t="s">
        <v>7568</v>
      </c>
      <c r="B2530" t="s">
        <v>7569</v>
      </c>
      <c r="C2530" t="s">
        <v>7569</v>
      </c>
      <c r="D2530" t="str">
        <f>HYPERLINK("https://zfin.org/ZDB-GENE-080213-6")</f>
        <v>https://zfin.org/ZDB-GENE-080213-6</v>
      </c>
      <c r="E2530" t="s">
        <v>7570</v>
      </c>
    </row>
    <row r="2531" spans="1:5" x14ac:dyDescent="0.2">
      <c r="A2531" t="s">
        <v>7571</v>
      </c>
      <c r="B2531" t="s">
        <v>7572</v>
      </c>
      <c r="C2531" t="s">
        <v>7572</v>
      </c>
      <c r="D2531" t="str">
        <f>HYPERLINK("https://zfin.org/ZDB-GENE-030131-8049")</f>
        <v>https://zfin.org/ZDB-GENE-030131-8049</v>
      </c>
      <c r="E2531" t="s">
        <v>7573</v>
      </c>
    </row>
    <row r="2532" spans="1:5" x14ac:dyDescent="0.2">
      <c r="A2532" t="s">
        <v>7574</v>
      </c>
      <c r="B2532" t="s">
        <v>7575</v>
      </c>
      <c r="C2532" t="s">
        <v>7575</v>
      </c>
      <c r="D2532" t="str">
        <f>HYPERLINK("https://zfin.org/ZDB-GENE-091014-1")</f>
        <v>https://zfin.org/ZDB-GENE-091014-1</v>
      </c>
      <c r="E2532" t="s">
        <v>7576</v>
      </c>
    </row>
    <row r="2533" spans="1:5" x14ac:dyDescent="0.2">
      <c r="A2533" t="s">
        <v>7577</v>
      </c>
      <c r="B2533" t="s">
        <v>7578</v>
      </c>
      <c r="C2533" t="s">
        <v>7578</v>
      </c>
      <c r="D2533" t="str">
        <f>HYPERLINK("https://zfin.org/ZDB-GENE-081104-93")</f>
        <v>https://zfin.org/ZDB-GENE-081104-93</v>
      </c>
      <c r="E2533" t="s">
        <v>7579</v>
      </c>
    </row>
    <row r="2534" spans="1:5" x14ac:dyDescent="0.2">
      <c r="A2534" t="s">
        <v>7580</v>
      </c>
      <c r="B2534" t="s">
        <v>7581</v>
      </c>
      <c r="C2534" t="s">
        <v>7581</v>
      </c>
      <c r="D2534" t="str">
        <f>HYPERLINK("https://zfin.org/ZDB-GENE-030502-6")</f>
        <v>https://zfin.org/ZDB-GENE-030502-6</v>
      </c>
      <c r="E2534" t="s">
        <v>7582</v>
      </c>
    </row>
    <row r="2535" spans="1:5" x14ac:dyDescent="0.2">
      <c r="A2535" t="s">
        <v>7583</v>
      </c>
      <c r="B2535" t="s">
        <v>7584</v>
      </c>
      <c r="C2535" t="s">
        <v>7584</v>
      </c>
      <c r="D2535" t="str">
        <f>HYPERLINK("https://zfin.org/ZDB-GENE-030131-4127")</f>
        <v>https://zfin.org/ZDB-GENE-030131-4127</v>
      </c>
      <c r="E2535" t="s">
        <v>7585</v>
      </c>
    </row>
    <row r="2536" spans="1:5" x14ac:dyDescent="0.2">
      <c r="A2536" t="s">
        <v>7586</v>
      </c>
      <c r="B2536" t="s">
        <v>7587</v>
      </c>
      <c r="C2536" t="s">
        <v>7587</v>
      </c>
      <c r="D2536" t="str">
        <f>HYPERLINK("https://zfin.org/ZDB-GENE-040822-27")</f>
        <v>https://zfin.org/ZDB-GENE-040822-27</v>
      </c>
      <c r="E2536" t="s">
        <v>7588</v>
      </c>
    </row>
    <row r="2537" spans="1:5" x14ac:dyDescent="0.2">
      <c r="A2537" t="s">
        <v>7589</v>
      </c>
      <c r="B2537" t="s">
        <v>7590</v>
      </c>
      <c r="C2537" t="s">
        <v>7590</v>
      </c>
      <c r="D2537" t="str">
        <f>HYPERLINK("https://zfin.org/ZDB-GENE-040426-919")</f>
        <v>https://zfin.org/ZDB-GENE-040426-919</v>
      </c>
      <c r="E2537" t="s">
        <v>7591</v>
      </c>
    </row>
    <row r="2538" spans="1:5" x14ac:dyDescent="0.2">
      <c r="A2538" t="s">
        <v>7592</v>
      </c>
      <c r="B2538" t="s">
        <v>7593</v>
      </c>
      <c r="C2538" t="s">
        <v>7593</v>
      </c>
      <c r="D2538" t="str">
        <f>HYPERLINK("https://zfin.org/ZDB-GENE-120709-9")</f>
        <v>https://zfin.org/ZDB-GENE-120709-9</v>
      </c>
      <c r="E2538" t="s">
        <v>7594</v>
      </c>
    </row>
    <row r="2539" spans="1:5" x14ac:dyDescent="0.2">
      <c r="A2539" t="s">
        <v>7595</v>
      </c>
      <c r="B2539" t="s">
        <v>7596</v>
      </c>
      <c r="C2539" t="s">
        <v>7596</v>
      </c>
      <c r="D2539" t="str">
        <f>HYPERLINK("https://zfin.org/ZDB-GENE-030829-36")</f>
        <v>https://zfin.org/ZDB-GENE-030829-36</v>
      </c>
      <c r="E2539" t="s">
        <v>7597</v>
      </c>
    </row>
    <row r="2540" spans="1:5" x14ac:dyDescent="0.2">
      <c r="A2540" t="s">
        <v>7598</v>
      </c>
      <c r="B2540" t="s">
        <v>7599</v>
      </c>
      <c r="C2540" t="s">
        <v>7599</v>
      </c>
      <c r="D2540" t="str">
        <f>HYPERLINK("https://zfin.org/ZDB-GENE-050417-199")</f>
        <v>https://zfin.org/ZDB-GENE-050417-199</v>
      </c>
      <c r="E2540" t="s">
        <v>7600</v>
      </c>
    </row>
    <row r="2541" spans="1:5" x14ac:dyDescent="0.2">
      <c r="A2541" t="s">
        <v>7601</v>
      </c>
      <c r="B2541" t="s">
        <v>7602</v>
      </c>
      <c r="C2541" t="s">
        <v>7602</v>
      </c>
      <c r="D2541" t="str">
        <f>HYPERLINK("https://zfin.org/ZDB-GENE-040426-1916")</f>
        <v>https://zfin.org/ZDB-GENE-040426-1916</v>
      </c>
      <c r="E2541" t="s">
        <v>7603</v>
      </c>
    </row>
    <row r="2542" spans="1:5" x14ac:dyDescent="0.2">
      <c r="A2542" t="s">
        <v>7604</v>
      </c>
      <c r="B2542" t="s">
        <v>7605</v>
      </c>
      <c r="C2542" t="s">
        <v>7605</v>
      </c>
      <c r="D2542" t="str">
        <f>HYPERLINK("https://zfin.org/ZDB-GENE-040426-1137")</f>
        <v>https://zfin.org/ZDB-GENE-040426-1137</v>
      </c>
      <c r="E2542" t="s">
        <v>7606</v>
      </c>
    </row>
    <row r="2543" spans="1:5" x14ac:dyDescent="0.2">
      <c r="A2543" t="s">
        <v>7607</v>
      </c>
      <c r="B2543" t="s">
        <v>7608</v>
      </c>
      <c r="C2543" t="s">
        <v>7608</v>
      </c>
      <c r="D2543" t="str">
        <f>HYPERLINK("https://zfin.org/ZDB-GENE-091204-332")</f>
        <v>https://zfin.org/ZDB-GENE-091204-332</v>
      </c>
      <c r="E2543" t="s">
        <v>7609</v>
      </c>
    </row>
    <row r="2544" spans="1:5" x14ac:dyDescent="0.2">
      <c r="A2544" t="s">
        <v>7610</v>
      </c>
      <c r="B2544" t="s">
        <v>7611</v>
      </c>
      <c r="C2544" t="s">
        <v>7611</v>
      </c>
      <c r="D2544" t="str">
        <f>HYPERLINK("https://zfin.org/ZDB-GENE-040426-992")</f>
        <v>https://zfin.org/ZDB-GENE-040426-992</v>
      </c>
      <c r="E2544" t="s">
        <v>7612</v>
      </c>
    </row>
    <row r="2545" spans="1:5" x14ac:dyDescent="0.2">
      <c r="A2545" t="s">
        <v>7613</v>
      </c>
      <c r="B2545" t="s">
        <v>7614</v>
      </c>
      <c r="C2545" t="s">
        <v>7614</v>
      </c>
      <c r="D2545" t="str">
        <f>HYPERLINK("https://zfin.org/ZDB-GENE-040625-171")</f>
        <v>https://zfin.org/ZDB-GENE-040625-171</v>
      </c>
      <c r="E2545" t="s">
        <v>7615</v>
      </c>
    </row>
    <row r="2546" spans="1:5" x14ac:dyDescent="0.2">
      <c r="A2546" t="s">
        <v>7616</v>
      </c>
      <c r="B2546" t="s">
        <v>7617</v>
      </c>
      <c r="C2546" t="s">
        <v>7617</v>
      </c>
      <c r="D2546" t="str">
        <f>HYPERLINK("https://zfin.org/ZDB-GENE-030131-4198")</f>
        <v>https://zfin.org/ZDB-GENE-030131-4198</v>
      </c>
      <c r="E2546" t="s">
        <v>7618</v>
      </c>
    </row>
    <row r="2547" spans="1:5" x14ac:dyDescent="0.2">
      <c r="A2547" t="s">
        <v>7619</v>
      </c>
      <c r="B2547" t="s">
        <v>7620</v>
      </c>
      <c r="C2547" t="s">
        <v>7620</v>
      </c>
      <c r="D2547" t="str">
        <f>HYPERLINK("https://zfin.org/ZDB-GENE-030131-2801")</f>
        <v>https://zfin.org/ZDB-GENE-030131-2801</v>
      </c>
      <c r="E2547" t="s">
        <v>7621</v>
      </c>
    </row>
    <row r="2548" spans="1:5" x14ac:dyDescent="0.2">
      <c r="A2548" t="s">
        <v>7622</v>
      </c>
      <c r="B2548" t="s">
        <v>7623</v>
      </c>
      <c r="C2548" t="s">
        <v>7623</v>
      </c>
      <c r="D2548" t="str">
        <f>HYPERLINK("https://zfin.org/ZDB-GENE-060315-4")</f>
        <v>https://zfin.org/ZDB-GENE-060315-4</v>
      </c>
      <c r="E2548" t="s">
        <v>7624</v>
      </c>
    </row>
    <row r="2549" spans="1:5" x14ac:dyDescent="0.2">
      <c r="A2549" t="s">
        <v>7625</v>
      </c>
      <c r="B2549" t="s">
        <v>7626</v>
      </c>
      <c r="C2549" t="s">
        <v>7626</v>
      </c>
      <c r="D2549" t="str">
        <f>HYPERLINK("https://zfin.org/ZDB-GENE-080818-5")</f>
        <v>https://zfin.org/ZDB-GENE-080818-5</v>
      </c>
      <c r="E2549" t="s">
        <v>7627</v>
      </c>
    </row>
    <row r="2550" spans="1:5" x14ac:dyDescent="0.2">
      <c r="A2550" t="s">
        <v>7628</v>
      </c>
      <c r="B2550" t="s">
        <v>7629</v>
      </c>
      <c r="C2550" t="s">
        <v>7629</v>
      </c>
      <c r="D2550" t="str">
        <f>HYPERLINK("https://zfin.org/ZDB-GENE-070912-249")</f>
        <v>https://zfin.org/ZDB-GENE-070912-249</v>
      </c>
      <c r="E2550" t="s">
        <v>7630</v>
      </c>
    </row>
    <row r="2551" spans="1:5" x14ac:dyDescent="0.2">
      <c r="A2551" t="s">
        <v>7631</v>
      </c>
      <c r="B2551" t="s">
        <v>7632</v>
      </c>
      <c r="C2551" t="s">
        <v>7632</v>
      </c>
      <c r="D2551" t="str">
        <f>HYPERLINK("https://zfin.org/ZDB-GENE-030131-792")</f>
        <v>https://zfin.org/ZDB-GENE-030131-792</v>
      </c>
      <c r="E2551" t="s">
        <v>7633</v>
      </c>
    </row>
    <row r="2552" spans="1:5" x14ac:dyDescent="0.2">
      <c r="A2552" t="s">
        <v>7634</v>
      </c>
      <c r="B2552" t="s">
        <v>7635</v>
      </c>
      <c r="C2552" t="s">
        <v>7635</v>
      </c>
      <c r="D2552" t="str">
        <f>HYPERLINK("https://zfin.org/ZDB-GENE-030131-2145")</f>
        <v>https://zfin.org/ZDB-GENE-030131-2145</v>
      </c>
      <c r="E2552" t="s">
        <v>7636</v>
      </c>
    </row>
    <row r="2553" spans="1:5" x14ac:dyDescent="0.2">
      <c r="A2553" t="s">
        <v>7637</v>
      </c>
      <c r="B2553" t="s">
        <v>7638</v>
      </c>
      <c r="C2553" t="s">
        <v>7638</v>
      </c>
      <c r="D2553" t="str">
        <f>HYPERLINK("https://zfin.org/ZDB-GENE-091204-186")</f>
        <v>https://zfin.org/ZDB-GENE-091204-186</v>
      </c>
      <c r="E2553" t="s">
        <v>7639</v>
      </c>
    </row>
    <row r="2554" spans="1:5" x14ac:dyDescent="0.2">
      <c r="A2554" t="s">
        <v>7640</v>
      </c>
      <c r="B2554" t="s">
        <v>7641</v>
      </c>
      <c r="C2554" t="s">
        <v>7641</v>
      </c>
      <c r="D2554" t="str">
        <f>HYPERLINK("https://zfin.org/ZDB-GENE-030616-54")</f>
        <v>https://zfin.org/ZDB-GENE-030616-54</v>
      </c>
      <c r="E2554" t="s">
        <v>7642</v>
      </c>
    </row>
    <row r="2555" spans="1:5" x14ac:dyDescent="0.2">
      <c r="A2555" t="s">
        <v>7643</v>
      </c>
      <c r="B2555" t="s">
        <v>7644</v>
      </c>
      <c r="C2555" t="s">
        <v>7644</v>
      </c>
      <c r="D2555" t="str">
        <f>HYPERLINK("https://zfin.org/ZDB-GENE-040426-1746")</f>
        <v>https://zfin.org/ZDB-GENE-040426-1746</v>
      </c>
      <c r="E2555" t="s">
        <v>7645</v>
      </c>
    </row>
    <row r="2556" spans="1:5" x14ac:dyDescent="0.2">
      <c r="A2556" t="s">
        <v>7646</v>
      </c>
      <c r="B2556" t="s">
        <v>7647</v>
      </c>
      <c r="C2556" t="s">
        <v>7647</v>
      </c>
      <c r="D2556" t="str">
        <f>HYPERLINK("https://zfin.org/ZDB-GENE-060503-416")</f>
        <v>https://zfin.org/ZDB-GENE-060503-416</v>
      </c>
      <c r="E2556" t="s">
        <v>7648</v>
      </c>
    </row>
    <row r="2557" spans="1:5" x14ac:dyDescent="0.2">
      <c r="A2557" t="s">
        <v>7649</v>
      </c>
      <c r="B2557" t="s">
        <v>7650</v>
      </c>
      <c r="C2557" t="s">
        <v>7650</v>
      </c>
      <c r="D2557" t="str">
        <f>HYPERLINK("https://zfin.org/ZDB-GENE-061207-34")</f>
        <v>https://zfin.org/ZDB-GENE-061207-34</v>
      </c>
      <c r="E2557" t="s">
        <v>7651</v>
      </c>
    </row>
    <row r="2558" spans="1:5" x14ac:dyDescent="0.2">
      <c r="A2558" t="s">
        <v>7652</v>
      </c>
      <c r="B2558" t="s">
        <v>7653</v>
      </c>
      <c r="C2558" t="s">
        <v>7653</v>
      </c>
      <c r="D2558" t="str">
        <f>HYPERLINK("https://zfin.org/ZDB-GENE-040718-361")</f>
        <v>https://zfin.org/ZDB-GENE-040718-361</v>
      </c>
      <c r="E2558" t="s">
        <v>7654</v>
      </c>
    </row>
    <row r="2559" spans="1:5" x14ac:dyDescent="0.2">
      <c r="A2559" t="s">
        <v>7655</v>
      </c>
      <c r="B2559" t="s">
        <v>7656</v>
      </c>
      <c r="C2559" t="s">
        <v>7656</v>
      </c>
      <c r="D2559" t="str">
        <f>HYPERLINK("https://zfin.org/ZDB-GENE-030131-1213")</f>
        <v>https://zfin.org/ZDB-GENE-030131-1213</v>
      </c>
      <c r="E2559" t="s">
        <v>7657</v>
      </c>
    </row>
    <row r="2560" spans="1:5" x14ac:dyDescent="0.2">
      <c r="A2560" t="s">
        <v>7658</v>
      </c>
      <c r="B2560" t="s">
        <v>7659</v>
      </c>
      <c r="C2560" t="s">
        <v>7659</v>
      </c>
      <c r="D2560" t="str">
        <f>HYPERLINK("https://zfin.org/ZDB-GENE-040625-159")</f>
        <v>https://zfin.org/ZDB-GENE-040625-159</v>
      </c>
      <c r="E2560" t="s">
        <v>7660</v>
      </c>
    </row>
    <row r="2561" spans="1:5" x14ac:dyDescent="0.2">
      <c r="A2561" t="s">
        <v>7661</v>
      </c>
      <c r="B2561" t="s">
        <v>7662</v>
      </c>
      <c r="C2561" t="s">
        <v>7662</v>
      </c>
      <c r="D2561" t="str">
        <f>HYPERLINK("https://zfin.org/ZDB-GENE-060421-6224")</f>
        <v>https://zfin.org/ZDB-GENE-060421-6224</v>
      </c>
      <c r="E2561" t="s">
        <v>7663</v>
      </c>
    </row>
    <row r="2562" spans="1:5" x14ac:dyDescent="0.2">
      <c r="A2562" t="s">
        <v>7664</v>
      </c>
      <c r="B2562" t="s">
        <v>7665</v>
      </c>
      <c r="C2562" t="s">
        <v>7665</v>
      </c>
      <c r="D2562" t="str">
        <f>HYPERLINK("https://zfin.org/ZDB-GENE-040927-5")</f>
        <v>https://zfin.org/ZDB-GENE-040927-5</v>
      </c>
      <c r="E2562" t="s">
        <v>7666</v>
      </c>
    </row>
    <row r="2563" spans="1:5" x14ac:dyDescent="0.2">
      <c r="A2563" t="s">
        <v>7667</v>
      </c>
      <c r="B2563" t="s">
        <v>7668</v>
      </c>
      <c r="C2563" t="s">
        <v>7668</v>
      </c>
      <c r="D2563" t="str">
        <f>HYPERLINK("https://zfin.org/ZDB-GENE-040625-45")</f>
        <v>https://zfin.org/ZDB-GENE-040625-45</v>
      </c>
      <c r="E2563" t="s">
        <v>7669</v>
      </c>
    </row>
    <row r="2564" spans="1:5" x14ac:dyDescent="0.2">
      <c r="A2564" t="s">
        <v>7670</v>
      </c>
      <c r="B2564" t="s">
        <v>6370</v>
      </c>
      <c r="C2564" t="s">
        <v>7671</v>
      </c>
      <c r="D2564" t="str">
        <f>HYPERLINK("https://zfin.org/ZDB-GENE-030131-6253")</f>
        <v>https://zfin.org/ZDB-GENE-030131-6253</v>
      </c>
      <c r="E2564" t="s">
        <v>7672</v>
      </c>
    </row>
    <row r="2565" spans="1:5" x14ac:dyDescent="0.2">
      <c r="A2565" t="s">
        <v>7673</v>
      </c>
      <c r="B2565" t="s">
        <v>7674</v>
      </c>
      <c r="C2565" t="s">
        <v>7674</v>
      </c>
      <c r="D2565" t="str">
        <f>HYPERLINK("https://zfin.org/ZDB-GENE-080204-105")</f>
        <v>https://zfin.org/ZDB-GENE-080204-105</v>
      </c>
      <c r="E2565" t="s">
        <v>7675</v>
      </c>
    </row>
    <row r="2566" spans="1:5" x14ac:dyDescent="0.2">
      <c r="A2566" t="s">
        <v>7676</v>
      </c>
      <c r="B2566" t="s">
        <v>7677</v>
      </c>
      <c r="C2566" t="s">
        <v>7677</v>
      </c>
      <c r="D2566" t="str">
        <f>HYPERLINK("https://zfin.org/ZDB-GENE-030131-6247")</f>
        <v>https://zfin.org/ZDB-GENE-030131-6247</v>
      </c>
      <c r="E2566" t="s">
        <v>7678</v>
      </c>
    </row>
    <row r="2567" spans="1:5" x14ac:dyDescent="0.2">
      <c r="A2567" t="s">
        <v>7679</v>
      </c>
      <c r="B2567" t="s">
        <v>7680</v>
      </c>
      <c r="C2567" t="s">
        <v>7680</v>
      </c>
      <c r="D2567" t="str">
        <f>HYPERLINK("https://zfin.org/ZDB-GENE-040801-212")</f>
        <v>https://zfin.org/ZDB-GENE-040801-212</v>
      </c>
      <c r="E2567" t="s">
        <v>7681</v>
      </c>
    </row>
    <row r="2568" spans="1:5" x14ac:dyDescent="0.2">
      <c r="A2568" t="s">
        <v>7682</v>
      </c>
      <c r="B2568" t="s">
        <v>7683</v>
      </c>
      <c r="C2568" t="s">
        <v>7683</v>
      </c>
      <c r="D2568" t="str">
        <f>HYPERLINK("https://zfin.org/ZDB-GENE-050522-9")</f>
        <v>https://zfin.org/ZDB-GENE-050522-9</v>
      </c>
      <c r="E2568" t="s">
        <v>7684</v>
      </c>
    </row>
    <row r="2569" spans="1:5" x14ac:dyDescent="0.2">
      <c r="A2569" t="s">
        <v>7685</v>
      </c>
      <c r="B2569" t="s">
        <v>7686</v>
      </c>
      <c r="C2569" t="s">
        <v>7686</v>
      </c>
      <c r="D2569" t="str">
        <f>HYPERLINK("https://zfin.org/ZDB-GENE-141216-437")</f>
        <v>https://zfin.org/ZDB-GENE-141216-437</v>
      </c>
      <c r="E2569" t="s">
        <v>7687</v>
      </c>
    </row>
    <row r="2570" spans="1:5" x14ac:dyDescent="0.2">
      <c r="A2570" t="s">
        <v>7688</v>
      </c>
      <c r="B2570" t="s">
        <v>7689</v>
      </c>
      <c r="C2570" t="s">
        <v>7689</v>
      </c>
      <c r="D2570" t="str">
        <f>HYPERLINK("https://zfin.org/ZDB-GENE-040426-1233")</f>
        <v>https://zfin.org/ZDB-GENE-040426-1233</v>
      </c>
      <c r="E2570" t="s">
        <v>7690</v>
      </c>
    </row>
    <row r="2571" spans="1:5" x14ac:dyDescent="0.2">
      <c r="A2571" t="s">
        <v>7691</v>
      </c>
      <c r="B2571" t="s">
        <v>7692</v>
      </c>
      <c r="C2571" t="s">
        <v>7692</v>
      </c>
      <c r="D2571" t="str">
        <f>HYPERLINK("https://zfin.org/ZDB-GENE-081104-272")</f>
        <v>https://zfin.org/ZDB-GENE-081104-272</v>
      </c>
      <c r="E2571" t="s">
        <v>7693</v>
      </c>
    </row>
    <row r="2572" spans="1:5" x14ac:dyDescent="0.2">
      <c r="A2572" t="s">
        <v>7694</v>
      </c>
      <c r="B2572" t="s">
        <v>7695</v>
      </c>
      <c r="C2572" t="s">
        <v>7695</v>
      </c>
      <c r="D2572" t="str">
        <f>HYPERLINK("https://zfin.org/ZDB-GENE-060825-216")</f>
        <v>https://zfin.org/ZDB-GENE-060825-216</v>
      </c>
      <c r="E2572" t="s">
        <v>7696</v>
      </c>
    </row>
    <row r="2573" spans="1:5" x14ac:dyDescent="0.2">
      <c r="A2573" t="s">
        <v>7697</v>
      </c>
      <c r="B2573" t="s">
        <v>7698</v>
      </c>
      <c r="C2573" t="s">
        <v>7698</v>
      </c>
      <c r="D2573" t="str">
        <f>HYPERLINK("https://zfin.org/ZDB-GENE-040426-2405")</f>
        <v>https://zfin.org/ZDB-GENE-040426-2405</v>
      </c>
      <c r="E2573" t="s">
        <v>7699</v>
      </c>
    </row>
    <row r="2574" spans="1:5" x14ac:dyDescent="0.2">
      <c r="A2574" t="s">
        <v>7700</v>
      </c>
      <c r="B2574" t="s">
        <v>7701</v>
      </c>
      <c r="C2574" t="s">
        <v>7701</v>
      </c>
      <c r="D2574" t="str">
        <f>HYPERLINK("https://zfin.org/ZDB-GENE-040426-2592")</f>
        <v>https://zfin.org/ZDB-GENE-040426-2592</v>
      </c>
      <c r="E2574" t="s">
        <v>7702</v>
      </c>
    </row>
    <row r="2575" spans="1:5" x14ac:dyDescent="0.2">
      <c r="A2575" t="s">
        <v>7703</v>
      </c>
      <c r="B2575" t="s">
        <v>7704</v>
      </c>
      <c r="C2575" t="s">
        <v>7704</v>
      </c>
      <c r="D2575" t="str">
        <f>HYPERLINK("https://zfin.org/ZDB-GENE-070928-1")</f>
        <v>https://zfin.org/ZDB-GENE-070928-1</v>
      </c>
      <c r="E2575" t="s">
        <v>7705</v>
      </c>
    </row>
    <row r="2576" spans="1:5" x14ac:dyDescent="0.2">
      <c r="A2576" t="s">
        <v>7706</v>
      </c>
      <c r="B2576" t="s">
        <v>7707</v>
      </c>
      <c r="C2576" t="s">
        <v>7707</v>
      </c>
      <c r="D2576" t="str">
        <f>HYPERLINK("https://zfin.org/ZDB-GENE-070501-6")</f>
        <v>https://zfin.org/ZDB-GENE-070501-6</v>
      </c>
      <c r="E2576" t="s">
        <v>7708</v>
      </c>
    </row>
    <row r="2577" spans="1:5" x14ac:dyDescent="0.2">
      <c r="A2577" t="s">
        <v>7709</v>
      </c>
      <c r="B2577" t="s">
        <v>7710</v>
      </c>
      <c r="C2577" t="s">
        <v>7710</v>
      </c>
      <c r="D2577" t="str">
        <f>HYPERLINK("https://zfin.org/ZDB-GENE-030131-695")</f>
        <v>https://zfin.org/ZDB-GENE-030131-695</v>
      </c>
      <c r="E2577" t="s">
        <v>7711</v>
      </c>
    </row>
    <row r="2578" spans="1:5" x14ac:dyDescent="0.2">
      <c r="A2578" t="s">
        <v>7712</v>
      </c>
      <c r="B2578" t="s">
        <v>7713</v>
      </c>
      <c r="C2578" t="s">
        <v>7713</v>
      </c>
      <c r="D2578" t="str">
        <f>HYPERLINK("https://zfin.org/ZDB-GENE-030326-6")</f>
        <v>https://zfin.org/ZDB-GENE-030326-6</v>
      </c>
      <c r="E2578" t="s">
        <v>7714</v>
      </c>
    </row>
    <row r="2579" spans="1:5" x14ac:dyDescent="0.2">
      <c r="A2579" t="s">
        <v>7715</v>
      </c>
      <c r="B2579" t="s">
        <v>7716</v>
      </c>
      <c r="C2579" t="s">
        <v>7716</v>
      </c>
      <c r="D2579" t="str">
        <f>HYPERLINK("https://zfin.org/ZDB-GENE-040819-2")</f>
        <v>https://zfin.org/ZDB-GENE-040819-2</v>
      </c>
      <c r="E2579" t="s">
        <v>7717</v>
      </c>
    </row>
    <row r="2580" spans="1:5" x14ac:dyDescent="0.2">
      <c r="A2580" t="s">
        <v>7718</v>
      </c>
      <c r="B2580" t="s">
        <v>7719</v>
      </c>
      <c r="C2580" t="s">
        <v>7719</v>
      </c>
      <c r="D2580" t="str">
        <f>HYPERLINK("https://zfin.org/ZDB-GENE-040426-2914")</f>
        <v>https://zfin.org/ZDB-GENE-040426-2914</v>
      </c>
      <c r="E2580" t="s">
        <v>7720</v>
      </c>
    </row>
    <row r="2581" spans="1:5" x14ac:dyDescent="0.2">
      <c r="A2581" t="s">
        <v>7721</v>
      </c>
      <c r="B2581" t="s">
        <v>7722</v>
      </c>
      <c r="C2581" t="s">
        <v>7722</v>
      </c>
      <c r="D2581" t="str">
        <f>HYPERLINK("https://zfin.org/ZDB-GENE-030131-395")</f>
        <v>https://zfin.org/ZDB-GENE-030131-395</v>
      </c>
      <c r="E2581" t="s">
        <v>7723</v>
      </c>
    </row>
    <row r="2582" spans="1:5" x14ac:dyDescent="0.2">
      <c r="A2582" t="s">
        <v>7724</v>
      </c>
      <c r="B2582" t="s">
        <v>7725</v>
      </c>
      <c r="C2582" t="s">
        <v>7725</v>
      </c>
      <c r="D2582" t="str">
        <f>HYPERLINK("https://zfin.org/ZDB-GENE-030131-6654")</f>
        <v>https://zfin.org/ZDB-GENE-030131-6654</v>
      </c>
      <c r="E2582" t="s">
        <v>7726</v>
      </c>
    </row>
    <row r="2583" spans="1:5" x14ac:dyDescent="0.2">
      <c r="A2583" t="s">
        <v>7727</v>
      </c>
      <c r="B2583" t="s">
        <v>7728</v>
      </c>
      <c r="C2583" t="s">
        <v>7728</v>
      </c>
      <c r="D2583" t="str">
        <f>HYPERLINK("https://zfin.org/ZDB-GENE-080204-87")</f>
        <v>https://zfin.org/ZDB-GENE-080204-87</v>
      </c>
      <c r="E2583" t="s">
        <v>7729</v>
      </c>
    </row>
    <row r="2584" spans="1:5" x14ac:dyDescent="0.2">
      <c r="A2584" t="s">
        <v>7730</v>
      </c>
      <c r="B2584" t="s">
        <v>7731</v>
      </c>
      <c r="C2584" t="s">
        <v>7731</v>
      </c>
      <c r="D2584" t="str">
        <f>HYPERLINK("https://zfin.org/ZDB-GENE-040718-247")</f>
        <v>https://zfin.org/ZDB-GENE-040718-247</v>
      </c>
      <c r="E2584" t="s">
        <v>7732</v>
      </c>
    </row>
    <row r="2585" spans="1:5" x14ac:dyDescent="0.2">
      <c r="A2585" t="s">
        <v>7733</v>
      </c>
      <c r="B2585" t="s">
        <v>7734</v>
      </c>
      <c r="C2585" t="s">
        <v>7734</v>
      </c>
      <c r="D2585" t="str">
        <f>HYPERLINK("https://zfin.org/ZDB-GENE-090929-2")</f>
        <v>https://zfin.org/ZDB-GENE-090929-2</v>
      </c>
      <c r="E2585" t="s">
        <v>7735</v>
      </c>
    </row>
    <row r="2586" spans="1:5" x14ac:dyDescent="0.2">
      <c r="A2586" t="s">
        <v>7736</v>
      </c>
      <c r="B2586" t="s">
        <v>7737</v>
      </c>
      <c r="C2586" t="s">
        <v>7737</v>
      </c>
      <c r="D2586" t="str">
        <f>HYPERLINK("https://zfin.org/ZDB-GENE-030131-3197")</f>
        <v>https://zfin.org/ZDB-GENE-030131-3197</v>
      </c>
      <c r="E2586" t="s">
        <v>7738</v>
      </c>
    </row>
    <row r="2587" spans="1:5" x14ac:dyDescent="0.2">
      <c r="A2587" t="s">
        <v>7739</v>
      </c>
      <c r="B2587" t="s">
        <v>7740</v>
      </c>
      <c r="C2587" t="s">
        <v>7740</v>
      </c>
      <c r="D2587" t="str">
        <f>HYPERLINK("https://zfin.org/ZDB-GENE-040426-2733")</f>
        <v>https://zfin.org/ZDB-GENE-040426-2733</v>
      </c>
      <c r="E2587" t="s">
        <v>7741</v>
      </c>
    </row>
    <row r="2588" spans="1:5" x14ac:dyDescent="0.2">
      <c r="A2588" t="s">
        <v>7742</v>
      </c>
      <c r="B2588" t="s">
        <v>7743</v>
      </c>
      <c r="C2588" t="s">
        <v>7743</v>
      </c>
      <c r="D2588" t="str">
        <f>HYPERLINK("https://zfin.org/ZDB-GENE-131122-30")</f>
        <v>https://zfin.org/ZDB-GENE-131122-30</v>
      </c>
      <c r="E2588" t="s">
        <v>7744</v>
      </c>
    </row>
    <row r="2589" spans="1:5" x14ac:dyDescent="0.2">
      <c r="A2589" t="s">
        <v>7745</v>
      </c>
      <c r="B2589" t="s">
        <v>7746</v>
      </c>
      <c r="C2589" t="s">
        <v>7746</v>
      </c>
      <c r="D2589" t="str">
        <f>HYPERLINK("https://zfin.org/ZDB-GENE-040426-918")</f>
        <v>https://zfin.org/ZDB-GENE-040426-918</v>
      </c>
      <c r="E2589" t="s">
        <v>7747</v>
      </c>
    </row>
    <row r="2590" spans="1:5" x14ac:dyDescent="0.2">
      <c r="A2590" t="s">
        <v>7748</v>
      </c>
      <c r="B2590" t="s">
        <v>7749</v>
      </c>
      <c r="C2590" t="s">
        <v>7749</v>
      </c>
      <c r="D2590" t="str">
        <f>HYPERLINK("https://zfin.org/ZDB-GENE-110208-7")</f>
        <v>https://zfin.org/ZDB-GENE-110208-7</v>
      </c>
      <c r="E2590" t="s">
        <v>7750</v>
      </c>
    </row>
    <row r="2591" spans="1:5" x14ac:dyDescent="0.2">
      <c r="A2591" t="s">
        <v>7751</v>
      </c>
      <c r="B2591" t="s">
        <v>7752</v>
      </c>
      <c r="C2591" t="s">
        <v>7752</v>
      </c>
      <c r="D2591" t="str">
        <f>HYPERLINK("https://zfin.org/ZDB-GENE-070410-38")</f>
        <v>https://zfin.org/ZDB-GENE-070410-38</v>
      </c>
      <c r="E2591" t="s">
        <v>7753</v>
      </c>
    </row>
    <row r="2592" spans="1:5" x14ac:dyDescent="0.2">
      <c r="A2592" t="s">
        <v>7754</v>
      </c>
      <c r="B2592" t="s">
        <v>7755</v>
      </c>
      <c r="C2592" t="s">
        <v>7755</v>
      </c>
      <c r="D2592" t="str">
        <f>HYPERLINK("https://zfin.org/ZDB-GENE-081104-21")</f>
        <v>https://zfin.org/ZDB-GENE-081104-21</v>
      </c>
      <c r="E2592" t="s">
        <v>7756</v>
      </c>
    </row>
    <row r="2593" spans="1:5" x14ac:dyDescent="0.2">
      <c r="A2593" t="s">
        <v>7757</v>
      </c>
      <c r="B2593" t="s">
        <v>7758</v>
      </c>
      <c r="C2593" t="s">
        <v>7758</v>
      </c>
      <c r="D2593" t="str">
        <f>HYPERLINK("https://zfin.org/ZDB-GENE-050706-80")</f>
        <v>https://zfin.org/ZDB-GENE-050706-80</v>
      </c>
      <c r="E2593" t="s">
        <v>7759</v>
      </c>
    </row>
    <row r="2594" spans="1:5" x14ac:dyDescent="0.2">
      <c r="A2594" t="s">
        <v>7760</v>
      </c>
      <c r="B2594" t="s">
        <v>7761</v>
      </c>
      <c r="C2594" t="s">
        <v>7761</v>
      </c>
      <c r="D2594" t="str">
        <f>HYPERLINK("https://zfin.org/ZDB-GENE-050105-3")</f>
        <v>https://zfin.org/ZDB-GENE-050105-3</v>
      </c>
      <c r="E2594" t="s">
        <v>7762</v>
      </c>
    </row>
    <row r="2595" spans="1:5" x14ac:dyDescent="0.2">
      <c r="A2595" t="s">
        <v>7763</v>
      </c>
      <c r="B2595" t="s">
        <v>7764</v>
      </c>
      <c r="C2595" t="s">
        <v>7765</v>
      </c>
      <c r="D2595" t="str">
        <f>HYPERLINK("https://zfin.org/ZDB-GENE-100922-11")</f>
        <v>https://zfin.org/ZDB-GENE-100922-11</v>
      </c>
      <c r="E2595" t="s">
        <v>7766</v>
      </c>
    </row>
    <row r="2596" spans="1:5" x14ac:dyDescent="0.2">
      <c r="A2596" t="s">
        <v>7767</v>
      </c>
      <c r="B2596" t="s">
        <v>7768</v>
      </c>
      <c r="C2596" t="s">
        <v>7768</v>
      </c>
      <c r="D2596" t="str">
        <f>HYPERLINK("https://zfin.org/ZDB-GENE-030131-1998")</f>
        <v>https://zfin.org/ZDB-GENE-030131-1998</v>
      </c>
      <c r="E2596" t="s">
        <v>7769</v>
      </c>
    </row>
    <row r="2597" spans="1:5" x14ac:dyDescent="0.2">
      <c r="A2597" t="s">
        <v>7770</v>
      </c>
      <c r="B2597" t="s">
        <v>7771</v>
      </c>
      <c r="C2597" t="s">
        <v>7771</v>
      </c>
      <c r="D2597" t="str">
        <f>HYPERLINK("https://zfin.org/ZDB-GENE-021206-9")</f>
        <v>https://zfin.org/ZDB-GENE-021206-9</v>
      </c>
      <c r="E2597" t="s">
        <v>7772</v>
      </c>
    </row>
    <row r="2598" spans="1:5" x14ac:dyDescent="0.2">
      <c r="A2598" t="s">
        <v>7773</v>
      </c>
      <c r="B2598" t="s">
        <v>7774</v>
      </c>
      <c r="C2598" t="s">
        <v>7774</v>
      </c>
      <c r="D2598" t="str">
        <f>HYPERLINK("https://zfin.org/ZDB-GENE-141216-219")</f>
        <v>https://zfin.org/ZDB-GENE-141216-219</v>
      </c>
      <c r="E2598" t="s">
        <v>7775</v>
      </c>
    </row>
    <row r="2599" spans="1:5" x14ac:dyDescent="0.2">
      <c r="A2599" t="s">
        <v>7776</v>
      </c>
      <c r="B2599" t="s">
        <v>2718</v>
      </c>
      <c r="C2599" t="s">
        <v>7777</v>
      </c>
      <c r="D2599" t="str">
        <f>HYPERLINK("https://zfin.org/ZDB-GENE-110913-138")</f>
        <v>https://zfin.org/ZDB-GENE-110913-138</v>
      </c>
      <c r="E2599" t="s">
        <v>2719</v>
      </c>
    </row>
    <row r="2600" spans="1:5" x14ac:dyDescent="0.2">
      <c r="A2600" t="s">
        <v>7778</v>
      </c>
      <c r="B2600" t="s">
        <v>7779</v>
      </c>
      <c r="C2600" t="s">
        <v>7779</v>
      </c>
      <c r="D2600" t="str">
        <f>HYPERLINK("https://zfin.org/ZDB-GENE-160113-120")</f>
        <v>https://zfin.org/ZDB-GENE-160113-120</v>
      </c>
      <c r="E2600" t="s">
        <v>7780</v>
      </c>
    </row>
    <row r="2601" spans="1:5" x14ac:dyDescent="0.2">
      <c r="A2601" t="s">
        <v>7781</v>
      </c>
      <c r="B2601" t="s">
        <v>7782</v>
      </c>
      <c r="C2601" t="s">
        <v>7782</v>
      </c>
      <c r="D2601" t="str">
        <f>HYPERLINK("https://zfin.org/ZDB-GENE-040808-41")</f>
        <v>https://zfin.org/ZDB-GENE-040808-41</v>
      </c>
      <c r="E2601" t="s">
        <v>7783</v>
      </c>
    </row>
    <row r="2602" spans="1:5" x14ac:dyDescent="0.2">
      <c r="A2602" t="s">
        <v>7784</v>
      </c>
      <c r="B2602" t="s">
        <v>7785</v>
      </c>
      <c r="C2602" t="s">
        <v>7785</v>
      </c>
      <c r="D2602" t="str">
        <f>HYPERLINK("https://zfin.org/ZDB-GENE-060503-274")</f>
        <v>https://zfin.org/ZDB-GENE-060503-274</v>
      </c>
      <c r="E2602" t="s">
        <v>7786</v>
      </c>
    </row>
    <row r="2603" spans="1:5" x14ac:dyDescent="0.2">
      <c r="A2603" t="s">
        <v>7787</v>
      </c>
      <c r="B2603" t="s">
        <v>7788</v>
      </c>
      <c r="C2603" t="s">
        <v>7788</v>
      </c>
      <c r="D2603" t="str">
        <f>HYPERLINK("https://zfin.org/ZDB-GENE-050522-306")</f>
        <v>https://zfin.org/ZDB-GENE-050522-306</v>
      </c>
      <c r="E2603" t="s">
        <v>7789</v>
      </c>
    </row>
    <row r="2604" spans="1:5" x14ac:dyDescent="0.2">
      <c r="A2604" t="s">
        <v>7790</v>
      </c>
      <c r="B2604" t="s">
        <v>7791</v>
      </c>
      <c r="C2604" t="s">
        <v>7791</v>
      </c>
      <c r="D2604" t="str">
        <f>HYPERLINK("https://zfin.org/ZDB-GENE-060503-802")</f>
        <v>https://zfin.org/ZDB-GENE-060503-802</v>
      </c>
      <c r="E2604" t="s">
        <v>7792</v>
      </c>
    </row>
    <row r="2605" spans="1:5" x14ac:dyDescent="0.2">
      <c r="A2605" t="s">
        <v>7793</v>
      </c>
      <c r="B2605" t="s">
        <v>7794</v>
      </c>
      <c r="C2605" t="s">
        <v>7794</v>
      </c>
      <c r="D2605" t="str">
        <f>HYPERLINK("https://zfin.org/ZDB-GENE-040426-1169")</f>
        <v>https://zfin.org/ZDB-GENE-040426-1169</v>
      </c>
      <c r="E2605" t="s">
        <v>7795</v>
      </c>
    </row>
    <row r="2606" spans="1:5" x14ac:dyDescent="0.2">
      <c r="A2606" t="s">
        <v>7796</v>
      </c>
      <c r="B2606" t="s">
        <v>7797</v>
      </c>
      <c r="C2606" t="s">
        <v>7797</v>
      </c>
      <c r="D2606" t="str">
        <f>HYPERLINK("https://zfin.org/ZDB-GENE-131127-642")</f>
        <v>https://zfin.org/ZDB-GENE-131127-642</v>
      </c>
      <c r="E2606" t="s">
        <v>7798</v>
      </c>
    </row>
    <row r="2607" spans="1:5" x14ac:dyDescent="0.2">
      <c r="A2607" t="s">
        <v>7799</v>
      </c>
      <c r="B2607" t="s">
        <v>7800</v>
      </c>
      <c r="C2607" t="s">
        <v>7800</v>
      </c>
      <c r="D2607" t="str">
        <f>HYPERLINK("https://zfin.org/ZDB-GENE-051023-10")</f>
        <v>https://zfin.org/ZDB-GENE-051023-10</v>
      </c>
      <c r="E2607" t="s">
        <v>7801</v>
      </c>
    </row>
    <row r="2608" spans="1:5" x14ac:dyDescent="0.2">
      <c r="A2608" t="s">
        <v>7802</v>
      </c>
      <c r="B2608" t="s">
        <v>7803</v>
      </c>
      <c r="C2608" t="s">
        <v>7803</v>
      </c>
      <c r="D2608" t="str">
        <f>HYPERLINK("https://zfin.org/ZDB-GENE-120709-41")</f>
        <v>https://zfin.org/ZDB-GENE-120709-41</v>
      </c>
      <c r="E2608" t="s">
        <v>7804</v>
      </c>
    </row>
    <row r="2609" spans="1:5" x14ac:dyDescent="0.2">
      <c r="A2609" t="s">
        <v>7805</v>
      </c>
      <c r="B2609" t="s">
        <v>7806</v>
      </c>
      <c r="C2609" t="s">
        <v>7806</v>
      </c>
      <c r="D2609" t="str">
        <f>HYPERLINK("https://zfin.org/ZDB-GENE-141216-341")</f>
        <v>https://zfin.org/ZDB-GENE-141216-341</v>
      </c>
      <c r="E2609" t="s">
        <v>7807</v>
      </c>
    </row>
    <row r="2610" spans="1:5" x14ac:dyDescent="0.2">
      <c r="A2610" t="s">
        <v>7808</v>
      </c>
      <c r="B2610" t="s">
        <v>7809</v>
      </c>
      <c r="C2610" t="s">
        <v>7809</v>
      </c>
      <c r="D2610" t="str">
        <f>HYPERLINK("https://zfin.org/ZDB-GENE-010724-6")</f>
        <v>https://zfin.org/ZDB-GENE-010724-6</v>
      </c>
      <c r="E2610" t="s">
        <v>7810</v>
      </c>
    </row>
    <row r="2611" spans="1:5" x14ac:dyDescent="0.2">
      <c r="A2611" t="s">
        <v>7811</v>
      </c>
      <c r="B2611" t="s">
        <v>7812</v>
      </c>
      <c r="C2611" t="s">
        <v>7812</v>
      </c>
      <c r="D2611" t="str">
        <f>HYPERLINK("https://zfin.org/ZDB-GENE-030425-3")</f>
        <v>https://zfin.org/ZDB-GENE-030425-3</v>
      </c>
      <c r="E2611" t="s">
        <v>7813</v>
      </c>
    </row>
    <row r="2612" spans="1:5" x14ac:dyDescent="0.2">
      <c r="A2612" t="s">
        <v>7814</v>
      </c>
      <c r="B2612" t="s">
        <v>7815</v>
      </c>
      <c r="C2612" t="s">
        <v>7815</v>
      </c>
      <c r="D2612" t="str">
        <f>HYPERLINK("https://zfin.org/ZDB-GENE-050320-120")</f>
        <v>https://zfin.org/ZDB-GENE-050320-120</v>
      </c>
      <c r="E2612" t="s">
        <v>7816</v>
      </c>
    </row>
    <row r="2613" spans="1:5" x14ac:dyDescent="0.2">
      <c r="A2613" t="s">
        <v>7817</v>
      </c>
      <c r="B2613" t="s">
        <v>7818</v>
      </c>
      <c r="C2613" t="s">
        <v>7818</v>
      </c>
      <c r="D2613" t="str">
        <f>HYPERLINK("https://zfin.org/ZDB-GENE-030131-6692")</f>
        <v>https://zfin.org/ZDB-GENE-030131-6692</v>
      </c>
      <c r="E2613" t="s">
        <v>7819</v>
      </c>
    </row>
    <row r="2614" spans="1:5" x14ac:dyDescent="0.2">
      <c r="A2614" t="s">
        <v>7820</v>
      </c>
      <c r="B2614" t="s">
        <v>7821</v>
      </c>
      <c r="C2614" t="s">
        <v>7821</v>
      </c>
      <c r="D2614" t="str">
        <f>HYPERLINK("https://zfin.org/ZDB-GENE-050327-18")</f>
        <v>https://zfin.org/ZDB-GENE-050327-18</v>
      </c>
      <c r="E2614" t="s">
        <v>7822</v>
      </c>
    </row>
    <row r="2615" spans="1:5" x14ac:dyDescent="0.2">
      <c r="A2615" t="s">
        <v>7823</v>
      </c>
      <c r="B2615" t="s">
        <v>7824</v>
      </c>
      <c r="C2615" t="s">
        <v>7824</v>
      </c>
      <c r="D2615" t="str">
        <f>HYPERLINK("https://zfin.org/ZDB-GENE-090313-227")</f>
        <v>https://zfin.org/ZDB-GENE-090313-227</v>
      </c>
      <c r="E2615" t="s">
        <v>7825</v>
      </c>
    </row>
    <row r="2616" spans="1:5" x14ac:dyDescent="0.2">
      <c r="A2616" t="s">
        <v>7826</v>
      </c>
      <c r="B2616" t="s">
        <v>7827</v>
      </c>
      <c r="C2616" t="s">
        <v>7827</v>
      </c>
      <c r="D2616" t="str">
        <f>HYPERLINK("https://zfin.org/ZDB-GENE-100219-1")</f>
        <v>https://zfin.org/ZDB-GENE-100219-1</v>
      </c>
      <c r="E2616" t="s">
        <v>7828</v>
      </c>
    </row>
    <row r="2617" spans="1:5" x14ac:dyDescent="0.2">
      <c r="A2617" t="s">
        <v>7829</v>
      </c>
      <c r="B2617" t="s">
        <v>7830</v>
      </c>
      <c r="C2617" t="s">
        <v>7830</v>
      </c>
      <c r="D2617" t="str">
        <f>HYPERLINK("https://zfin.org/ZDB-GENE-041010-184")</f>
        <v>https://zfin.org/ZDB-GENE-041010-184</v>
      </c>
      <c r="E2617" t="s">
        <v>7831</v>
      </c>
    </row>
    <row r="2618" spans="1:5" x14ac:dyDescent="0.2">
      <c r="A2618" t="s">
        <v>7832</v>
      </c>
      <c r="B2618" t="s">
        <v>7833</v>
      </c>
      <c r="C2618" t="s">
        <v>7833</v>
      </c>
      <c r="D2618" t="str">
        <f>HYPERLINK("https://zfin.org/ZDB-GENE-121214-290")</f>
        <v>https://zfin.org/ZDB-GENE-121214-290</v>
      </c>
      <c r="E2618" t="s">
        <v>7834</v>
      </c>
    </row>
    <row r="2619" spans="1:5" x14ac:dyDescent="0.2">
      <c r="A2619" t="s">
        <v>7835</v>
      </c>
      <c r="B2619" t="s">
        <v>7836</v>
      </c>
      <c r="C2619" t="s">
        <v>7836</v>
      </c>
      <c r="D2619" t="str">
        <f>HYPERLINK("https://zfin.org/ZDB-GENE-060526-155")</f>
        <v>https://zfin.org/ZDB-GENE-060526-155</v>
      </c>
      <c r="E2619" t="s">
        <v>7837</v>
      </c>
    </row>
    <row r="2620" spans="1:5" x14ac:dyDescent="0.2">
      <c r="A2620" t="s">
        <v>7838</v>
      </c>
      <c r="B2620" t="s">
        <v>7839</v>
      </c>
      <c r="C2620" t="s">
        <v>7839</v>
      </c>
      <c r="D2620" t="str">
        <f>HYPERLINK("https://zfin.org/ZDB-GENE-030131-5024")</f>
        <v>https://zfin.org/ZDB-GENE-030131-5024</v>
      </c>
      <c r="E2620" t="s">
        <v>7840</v>
      </c>
    </row>
    <row r="2621" spans="1:5" x14ac:dyDescent="0.2">
      <c r="A2621" t="s">
        <v>7841</v>
      </c>
      <c r="B2621" t="s">
        <v>7842</v>
      </c>
      <c r="C2621" t="s">
        <v>7842</v>
      </c>
      <c r="D2621" t="str">
        <f>HYPERLINK("https://zfin.org/ZDB-GENE-050506-146")</f>
        <v>https://zfin.org/ZDB-GENE-050506-146</v>
      </c>
      <c r="E2621" t="s">
        <v>7843</v>
      </c>
    </row>
    <row r="2622" spans="1:5" x14ac:dyDescent="0.2">
      <c r="A2622" t="s">
        <v>7844</v>
      </c>
      <c r="B2622" t="s">
        <v>7845</v>
      </c>
      <c r="C2622" t="s">
        <v>7845</v>
      </c>
      <c r="D2622" t="str">
        <f>HYPERLINK("https://zfin.org/ZDB-GENE-110914-56")</f>
        <v>https://zfin.org/ZDB-GENE-110914-56</v>
      </c>
      <c r="E2622" t="s">
        <v>7846</v>
      </c>
    </row>
    <row r="2623" spans="1:5" x14ac:dyDescent="0.2">
      <c r="A2623" t="s">
        <v>7847</v>
      </c>
      <c r="B2623" t="s">
        <v>7848</v>
      </c>
      <c r="C2623" t="s">
        <v>7848</v>
      </c>
      <c r="D2623" t="str">
        <f>HYPERLINK("https://zfin.org/ZDB-GENE-040426-909")</f>
        <v>https://zfin.org/ZDB-GENE-040426-909</v>
      </c>
      <c r="E2623" t="s">
        <v>7849</v>
      </c>
    </row>
    <row r="2624" spans="1:5" x14ac:dyDescent="0.2">
      <c r="A2624" t="s">
        <v>7850</v>
      </c>
      <c r="B2624" t="s">
        <v>7851</v>
      </c>
      <c r="C2624" t="s">
        <v>7851</v>
      </c>
      <c r="D2624" t="str">
        <f>HYPERLINK("https://zfin.org/ZDB-GENE-100609-2")</f>
        <v>https://zfin.org/ZDB-GENE-100609-2</v>
      </c>
      <c r="E2624" t="s">
        <v>7852</v>
      </c>
    </row>
    <row r="2625" spans="1:5" x14ac:dyDescent="0.2">
      <c r="A2625" t="s">
        <v>7853</v>
      </c>
      <c r="B2625" t="s">
        <v>7854</v>
      </c>
      <c r="C2625" t="s">
        <v>7854</v>
      </c>
      <c r="D2625" t="str">
        <f>HYPERLINK("https://zfin.org/ZDB-GENE-100922-71")</f>
        <v>https://zfin.org/ZDB-GENE-100922-71</v>
      </c>
      <c r="E2625" t="s">
        <v>7855</v>
      </c>
    </row>
    <row r="2626" spans="1:5" x14ac:dyDescent="0.2">
      <c r="A2626" t="s">
        <v>7856</v>
      </c>
      <c r="B2626" t="s">
        <v>7857</v>
      </c>
      <c r="C2626" t="s">
        <v>7857</v>
      </c>
      <c r="D2626" t="str">
        <f>HYPERLINK("https://zfin.org/ZDB-GENE-060503-777")</f>
        <v>https://zfin.org/ZDB-GENE-060503-777</v>
      </c>
      <c r="E2626" t="s">
        <v>7858</v>
      </c>
    </row>
    <row r="2627" spans="1:5" x14ac:dyDescent="0.2">
      <c r="A2627" t="s">
        <v>7859</v>
      </c>
      <c r="B2627" t="s">
        <v>7860</v>
      </c>
      <c r="C2627" t="s">
        <v>7860</v>
      </c>
      <c r="D2627" t="str">
        <f>HYPERLINK("https://zfin.org/ZDB-GENE-060906-2")</f>
        <v>https://zfin.org/ZDB-GENE-060906-2</v>
      </c>
      <c r="E2627" t="s">
        <v>7861</v>
      </c>
    </row>
    <row r="2628" spans="1:5" x14ac:dyDescent="0.2">
      <c r="A2628" t="s">
        <v>7862</v>
      </c>
      <c r="B2628" t="s">
        <v>7863</v>
      </c>
      <c r="C2628" t="s">
        <v>7863</v>
      </c>
      <c r="D2628" t="str">
        <f>HYPERLINK("https://zfin.org/ZDB-GENE-110914-29")</f>
        <v>https://zfin.org/ZDB-GENE-110914-29</v>
      </c>
      <c r="E2628" t="s">
        <v>7864</v>
      </c>
    </row>
    <row r="2629" spans="1:5" x14ac:dyDescent="0.2">
      <c r="A2629" t="s">
        <v>7865</v>
      </c>
      <c r="B2629" t="s">
        <v>7866</v>
      </c>
      <c r="C2629" t="s">
        <v>7866</v>
      </c>
      <c r="D2629" t="str">
        <f>HYPERLINK("https://zfin.org/ZDB-GENE-050522-150")</f>
        <v>https://zfin.org/ZDB-GENE-050522-150</v>
      </c>
      <c r="E2629" t="s">
        <v>7867</v>
      </c>
    </row>
    <row r="2630" spans="1:5" x14ac:dyDescent="0.2">
      <c r="A2630" t="s">
        <v>7868</v>
      </c>
      <c r="B2630" t="s">
        <v>7869</v>
      </c>
      <c r="C2630" t="s">
        <v>7869</v>
      </c>
      <c r="D2630" t="str">
        <f>HYPERLINK("https://zfin.org/ZDB-GENE-030131-9685")</f>
        <v>https://zfin.org/ZDB-GENE-030131-9685</v>
      </c>
      <c r="E2630" t="s">
        <v>7870</v>
      </c>
    </row>
    <row r="2631" spans="1:5" x14ac:dyDescent="0.2">
      <c r="A2631" t="s">
        <v>7871</v>
      </c>
      <c r="B2631" t="s">
        <v>7872</v>
      </c>
      <c r="C2631" t="s">
        <v>7872</v>
      </c>
      <c r="D2631" t="str">
        <f>HYPERLINK("https://zfin.org/ZDB-GENE-011128-4")</f>
        <v>https://zfin.org/ZDB-GENE-011128-4</v>
      </c>
      <c r="E2631" t="s">
        <v>7873</v>
      </c>
    </row>
    <row r="2632" spans="1:5" x14ac:dyDescent="0.2">
      <c r="A2632" t="s">
        <v>7874</v>
      </c>
      <c r="B2632" t="s">
        <v>7875</v>
      </c>
      <c r="C2632" t="s">
        <v>7875</v>
      </c>
      <c r="D2632" t="str">
        <f>HYPERLINK("https://zfin.org/ZDB-GENE-030131-1473")</f>
        <v>https://zfin.org/ZDB-GENE-030131-1473</v>
      </c>
      <c r="E2632" t="s">
        <v>7876</v>
      </c>
    </row>
    <row r="2633" spans="1:5" x14ac:dyDescent="0.2">
      <c r="A2633" t="s">
        <v>7877</v>
      </c>
      <c r="B2633" t="s">
        <v>7878</v>
      </c>
      <c r="C2633" t="s">
        <v>7878</v>
      </c>
      <c r="D2633" t="str">
        <f>HYPERLINK("https://zfin.org/ZDB-GENE-030903-3")</f>
        <v>https://zfin.org/ZDB-GENE-030903-3</v>
      </c>
      <c r="E2633" t="s">
        <v>7879</v>
      </c>
    </row>
    <row r="2634" spans="1:5" x14ac:dyDescent="0.2">
      <c r="A2634" t="s">
        <v>7880</v>
      </c>
      <c r="B2634" t="s">
        <v>7881</v>
      </c>
      <c r="C2634" t="s">
        <v>7881</v>
      </c>
      <c r="D2634" t="str">
        <f>HYPERLINK("https://zfin.org/ZDB-GENE-040212-1")</f>
        <v>https://zfin.org/ZDB-GENE-040212-1</v>
      </c>
      <c r="E2634" t="s">
        <v>7882</v>
      </c>
    </row>
    <row r="2635" spans="1:5" x14ac:dyDescent="0.2">
      <c r="A2635" t="s">
        <v>7883</v>
      </c>
      <c r="B2635" t="s">
        <v>7884</v>
      </c>
      <c r="C2635" t="s">
        <v>7884</v>
      </c>
      <c r="D2635" t="str">
        <f>HYPERLINK("https://zfin.org/ZDB-GENE-070112-1762")</f>
        <v>https://zfin.org/ZDB-GENE-070112-1762</v>
      </c>
      <c r="E2635" t="s">
        <v>7885</v>
      </c>
    </row>
    <row r="2636" spans="1:5" x14ac:dyDescent="0.2">
      <c r="A2636" t="s">
        <v>7886</v>
      </c>
      <c r="B2636" t="s">
        <v>7887</v>
      </c>
      <c r="C2636" t="s">
        <v>7887</v>
      </c>
      <c r="D2636" t="str">
        <f>HYPERLINK("https://zfin.org/ZDB-GENE-060810-142")</f>
        <v>https://zfin.org/ZDB-GENE-060810-142</v>
      </c>
      <c r="E2636" t="s">
        <v>7888</v>
      </c>
    </row>
    <row r="2637" spans="1:5" x14ac:dyDescent="0.2">
      <c r="A2637" t="s">
        <v>7889</v>
      </c>
      <c r="B2637" t="s">
        <v>7890</v>
      </c>
      <c r="C2637" t="s">
        <v>7890</v>
      </c>
      <c r="D2637" t="str">
        <f>HYPERLINK("https://zfin.org/ZDB-GENE-040426-1908")</f>
        <v>https://zfin.org/ZDB-GENE-040426-1908</v>
      </c>
      <c r="E2637" t="s">
        <v>7891</v>
      </c>
    </row>
    <row r="2638" spans="1:5" x14ac:dyDescent="0.2">
      <c r="A2638" t="s">
        <v>7892</v>
      </c>
      <c r="B2638" t="s">
        <v>7893</v>
      </c>
      <c r="C2638" t="s">
        <v>7893</v>
      </c>
      <c r="D2638" t="str">
        <f>HYPERLINK("https://zfin.org/ZDB-GENE-041014-145")</f>
        <v>https://zfin.org/ZDB-GENE-041014-145</v>
      </c>
      <c r="E2638" t="s">
        <v>7894</v>
      </c>
    </row>
    <row r="2639" spans="1:5" x14ac:dyDescent="0.2">
      <c r="A2639" t="s">
        <v>7895</v>
      </c>
      <c r="B2639" t="s">
        <v>7896</v>
      </c>
      <c r="C2639" t="s">
        <v>7896</v>
      </c>
      <c r="D2639" t="str">
        <f>HYPERLINK("https://zfin.org/ZDB-GENE-040724-243")</f>
        <v>https://zfin.org/ZDB-GENE-040724-243</v>
      </c>
      <c r="E2639" t="s">
        <v>7897</v>
      </c>
    </row>
    <row r="2640" spans="1:5" x14ac:dyDescent="0.2">
      <c r="A2640" t="s">
        <v>7898</v>
      </c>
      <c r="B2640" t="s">
        <v>7899</v>
      </c>
      <c r="C2640" t="s">
        <v>7899</v>
      </c>
      <c r="D2640" t="str">
        <f>HYPERLINK("https://zfin.org/ZDB-GENE-040426-2826")</f>
        <v>https://zfin.org/ZDB-GENE-040426-2826</v>
      </c>
      <c r="E2640" t="s">
        <v>7900</v>
      </c>
    </row>
    <row r="2641" spans="1:5" x14ac:dyDescent="0.2">
      <c r="A2641" t="s">
        <v>7901</v>
      </c>
      <c r="B2641" t="s">
        <v>7902</v>
      </c>
      <c r="C2641" t="s">
        <v>7902</v>
      </c>
      <c r="D2641" t="str">
        <f>HYPERLINK("https://zfin.org/ZDB-GENE-070209-295")</f>
        <v>https://zfin.org/ZDB-GENE-070209-295</v>
      </c>
      <c r="E2641" t="s">
        <v>7903</v>
      </c>
    </row>
    <row r="2642" spans="1:5" x14ac:dyDescent="0.2">
      <c r="A2642" t="s">
        <v>7904</v>
      </c>
      <c r="B2642" t="s">
        <v>7905</v>
      </c>
      <c r="C2642" t="s">
        <v>7905</v>
      </c>
      <c r="D2642" t="str">
        <f>HYPERLINK("https://zfin.org/ZDB-GENE-131121-449")</f>
        <v>https://zfin.org/ZDB-GENE-131121-449</v>
      </c>
      <c r="E2642" t="s">
        <v>7906</v>
      </c>
    </row>
    <row r="2643" spans="1:5" x14ac:dyDescent="0.2">
      <c r="A2643" t="s">
        <v>7907</v>
      </c>
      <c r="B2643" t="s">
        <v>7908</v>
      </c>
      <c r="C2643" t="s">
        <v>7908</v>
      </c>
      <c r="D2643" t="str">
        <f>HYPERLINK("https://zfin.org/ZDB-GENE-120709-59")</f>
        <v>https://zfin.org/ZDB-GENE-120709-59</v>
      </c>
      <c r="E2643" t="s">
        <v>7909</v>
      </c>
    </row>
    <row r="2644" spans="1:5" x14ac:dyDescent="0.2">
      <c r="A2644" t="s">
        <v>7910</v>
      </c>
      <c r="B2644" t="s">
        <v>7911</v>
      </c>
      <c r="C2644" t="s">
        <v>7911</v>
      </c>
      <c r="D2644" t="str">
        <f>HYPERLINK("https://zfin.org/ZDB-GENE-040718-377")</f>
        <v>https://zfin.org/ZDB-GENE-040718-377</v>
      </c>
      <c r="E2644" t="s">
        <v>7912</v>
      </c>
    </row>
    <row r="2645" spans="1:5" x14ac:dyDescent="0.2">
      <c r="A2645" t="s">
        <v>7913</v>
      </c>
      <c r="B2645" t="s">
        <v>7914</v>
      </c>
      <c r="C2645" t="s">
        <v>7914</v>
      </c>
      <c r="D2645" t="str">
        <f>HYPERLINK("https://zfin.org/ZDB-GENE-041111-264")</f>
        <v>https://zfin.org/ZDB-GENE-041111-264</v>
      </c>
      <c r="E2645" t="s">
        <v>7915</v>
      </c>
    </row>
    <row r="2646" spans="1:5" x14ac:dyDescent="0.2">
      <c r="A2646" t="s">
        <v>7916</v>
      </c>
      <c r="B2646" t="s">
        <v>7917</v>
      </c>
      <c r="C2646" t="s">
        <v>7917</v>
      </c>
      <c r="D2646" t="str">
        <f>HYPERLINK("https://zfin.org/ZDB-GENE-041114-186")</f>
        <v>https://zfin.org/ZDB-GENE-041114-186</v>
      </c>
      <c r="E2646" t="s">
        <v>7918</v>
      </c>
    </row>
    <row r="2647" spans="1:5" x14ac:dyDescent="0.2">
      <c r="A2647" t="s">
        <v>7919</v>
      </c>
      <c r="B2647" t="s">
        <v>7920</v>
      </c>
      <c r="C2647" t="s">
        <v>7920</v>
      </c>
      <c r="D2647" t="str">
        <f>HYPERLINK("https://zfin.org/ZDB-GENE-041114-79")</f>
        <v>https://zfin.org/ZDB-GENE-041114-79</v>
      </c>
      <c r="E2647" t="s">
        <v>7921</v>
      </c>
    </row>
    <row r="2648" spans="1:5" x14ac:dyDescent="0.2">
      <c r="A2648" t="s">
        <v>7922</v>
      </c>
      <c r="B2648" t="s">
        <v>7923</v>
      </c>
      <c r="C2648" t="s">
        <v>7923</v>
      </c>
      <c r="D2648" t="str">
        <f>HYPERLINK("https://zfin.org/ZDB-GENE-040426-2743")</f>
        <v>https://zfin.org/ZDB-GENE-040426-2743</v>
      </c>
      <c r="E2648" t="s">
        <v>7924</v>
      </c>
    </row>
    <row r="2649" spans="1:5" x14ac:dyDescent="0.2">
      <c r="A2649" t="s">
        <v>7925</v>
      </c>
      <c r="B2649" t="s">
        <v>7926</v>
      </c>
      <c r="C2649" t="s">
        <v>7926</v>
      </c>
      <c r="D2649" t="str">
        <f>HYPERLINK("https://zfin.org/ZDB-GENE-041010-209")</f>
        <v>https://zfin.org/ZDB-GENE-041010-209</v>
      </c>
      <c r="E2649" t="s">
        <v>7927</v>
      </c>
    </row>
    <row r="2650" spans="1:5" x14ac:dyDescent="0.2">
      <c r="A2650" t="s">
        <v>7928</v>
      </c>
      <c r="B2650" t="s">
        <v>7929</v>
      </c>
      <c r="C2650" t="s">
        <v>7929</v>
      </c>
      <c r="D2650" t="str">
        <f>HYPERLINK("https://zfin.org/ZDB-GENE-130530-640")</f>
        <v>https://zfin.org/ZDB-GENE-130530-640</v>
      </c>
      <c r="E2650" t="s">
        <v>7930</v>
      </c>
    </row>
    <row r="2651" spans="1:5" x14ac:dyDescent="0.2">
      <c r="A2651" t="s">
        <v>7931</v>
      </c>
      <c r="B2651" t="s">
        <v>7932</v>
      </c>
      <c r="C2651" t="s">
        <v>7932</v>
      </c>
      <c r="D2651" t="str">
        <f>HYPERLINK("https://zfin.org/ZDB-GENE-131127-17")</f>
        <v>https://zfin.org/ZDB-GENE-131127-17</v>
      </c>
      <c r="E2651" t="s">
        <v>7933</v>
      </c>
    </row>
    <row r="2652" spans="1:5" x14ac:dyDescent="0.2">
      <c r="A2652" t="s">
        <v>7934</v>
      </c>
      <c r="B2652" t="s">
        <v>7935</v>
      </c>
      <c r="C2652" t="s">
        <v>7935</v>
      </c>
      <c r="D2652" t="str">
        <f>HYPERLINK("https://zfin.org/ZDB-GENE-091113-51")</f>
        <v>https://zfin.org/ZDB-GENE-091113-51</v>
      </c>
      <c r="E2652" t="s">
        <v>7936</v>
      </c>
    </row>
    <row r="2653" spans="1:5" x14ac:dyDescent="0.2">
      <c r="A2653" t="s">
        <v>7937</v>
      </c>
      <c r="B2653" t="s">
        <v>7938</v>
      </c>
      <c r="C2653" t="s">
        <v>7938</v>
      </c>
      <c r="D2653" t="str">
        <f>HYPERLINK("https://zfin.org/ZDB-GENE-980526-68")</f>
        <v>https://zfin.org/ZDB-GENE-980526-68</v>
      </c>
      <c r="E2653" t="s">
        <v>7939</v>
      </c>
    </row>
    <row r="2654" spans="1:5" x14ac:dyDescent="0.2">
      <c r="A2654" t="s">
        <v>7940</v>
      </c>
      <c r="B2654" t="s">
        <v>7941</v>
      </c>
      <c r="C2654" t="s">
        <v>7941</v>
      </c>
      <c r="D2654" t="str">
        <f>HYPERLINK("https://zfin.org/ZDB-GENE-030131-956")</f>
        <v>https://zfin.org/ZDB-GENE-030131-956</v>
      </c>
      <c r="E2654" t="s">
        <v>7942</v>
      </c>
    </row>
    <row r="2655" spans="1:5" x14ac:dyDescent="0.2">
      <c r="A2655" t="s">
        <v>7943</v>
      </c>
      <c r="B2655" t="s">
        <v>7944</v>
      </c>
      <c r="C2655" t="s">
        <v>7944</v>
      </c>
      <c r="D2655" t="str">
        <f>HYPERLINK("https://zfin.org/ZDB-GENE-090313-352")</f>
        <v>https://zfin.org/ZDB-GENE-090313-352</v>
      </c>
      <c r="E2655" t="s">
        <v>7945</v>
      </c>
    </row>
    <row r="2656" spans="1:5" x14ac:dyDescent="0.2">
      <c r="A2656" t="s">
        <v>7946</v>
      </c>
      <c r="B2656" t="s">
        <v>7947</v>
      </c>
      <c r="C2656" t="s">
        <v>7947</v>
      </c>
      <c r="D2656" t="str">
        <f>HYPERLINK("https://zfin.org/ZDB-GENE-090421-1")</f>
        <v>https://zfin.org/ZDB-GENE-090421-1</v>
      </c>
      <c r="E2656" t="s">
        <v>7948</v>
      </c>
    </row>
    <row r="2657" spans="1:5" x14ac:dyDescent="0.2">
      <c r="A2657" t="s">
        <v>7949</v>
      </c>
      <c r="B2657" t="s">
        <v>7950</v>
      </c>
      <c r="C2657" t="s">
        <v>7950</v>
      </c>
      <c r="D2657" t="str">
        <f>HYPERLINK("https://zfin.org/ZDB-GENE-030616-19")</f>
        <v>https://zfin.org/ZDB-GENE-030616-19</v>
      </c>
      <c r="E2657" t="s">
        <v>7951</v>
      </c>
    </row>
    <row r="2658" spans="1:5" x14ac:dyDescent="0.2">
      <c r="A2658" t="s">
        <v>7952</v>
      </c>
      <c r="B2658" t="s">
        <v>7953</v>
      </c>
      <c r="C2658" t="s">
        <v>7953</v>
      </c>
      <c r="D2658" t="str">
        <f>HYPERLINK("https://zfin.org/ZDB-GENE-990415-67")</f>
        <v>https://zfin.org/ZDB-GENE-990415-67</v>
      </c>
      <c r="E2658" t="s">
        <v>7954</v>
      </c>
    </row>
    <row r="2659" spans="1:5" x14ac:dyDescent="0.2">
      <c r="A2659" t="s">
        <v>7955</v>
      </c>
      <c r="B2659" t="s">
        <v>7956</v>
      </c>
      <c r="C2659" t="s">
        <v>7956</v>
      </c>
      <c r="D2659" t="str">
        <f>HYPERLINK("https://zfin.org/ZDB-GENE-041010-154")</f>
        <v>https://zfin.org/ZDB-GENE-041010-154</v>
      </c>
      <c r="E2659" t="s">
        <v>7957</v>
      </c>
    </row>
    <row r="2660" spans="1:5" x14ac:dyDescent="0.2">
      <c r="A2660" t="s">
        <v>7958</v>
      </c>
      <c r="B2660" t="s">
        <v>7959</v>
      </c>
      <c r="C2660" t="s">
        <v>7959</v>
      </c>
      <c r="D2660" t="str">
        <f>HYPERLINK("https://zfin.org/ZDB-GENE-141216-442")</f>
        <v>https://zfin.org/ZDB-GENE-141216-442</v>
      </c>
      <c r="E2660" t="s">
        <v>7960</v>
      </c>
    </row>
    <row r="2661" spans="1:5" x14ac:dyDescent="0.2">
      <c r="A2661" t="s">
        <v>7961</v>
      </c>
      <c r="B2661" t="s">
        <v>7962</v>
      </c>
      <c r="C2661" t="s">
        <v>7962</v>
      </c>
      <c r="D2661" t="str">
        <f>HYPERLINK("https://zfin.org/ZDB-GENE-030131-5470")</f>
        <v>https://zfin.org/ZDB-GENE-030131-5470</v>
      </c>
      <c r="E2661" t="s">
        <v>7963</v>
      </c>
    </row>
    <row r="2662" spans="1:5" x14ac:dyDescent="0.2">
      <c r="A2662" t="s">
        <v>7964</v>
      </c>
      <c r="B2662" t="s">
        <v>7965</v>
      </c>
      <c r="C2662" t="s">
        <v>7965</v>
      </c>
      <c r="D2662" t="str">
        <f>HYPERLINK("https://zfin.org/ZDB-GENE-080829-14")</f>
        <v>https://zfin.org/ZDB-GENE-080829-14</v>
      </c>
      <c r="E2662" t="s">
        <v>7966</v>
      </c>
    </row>
    <row r="2663" spans="1:5" x14ac:dyDescent="0.2">
      <c r="A2663" t="s">
        <v>7967</v>
      </c>
      <c r="B2663" t="s">
        <v>7968</v>
      </c>
      <c r="C2663" t="s">
        <v>7968</v>
      </c>
      <c r="D2663" t="str">
        <f>HYPERLINK("https://zfin.org/ZDB-GENE-040718-420")</f>
        <v>https://zfin.org/ZDB-GENE-040718-420</v>
      </c>
      <c r="E2663" t="s">
        <v>7969</v>
      </c>
    </row>
    <row r="2664" spans="1:5" x14ac:dyDescent="0.2">
      <c r="A2664" t="s">
        <v>7970</v>
      </c>
      <c r="B2664" t="s">
        <v>7971</v>
      </c>
      <c r="C2664" t="s">
        <v>7971</v>
      </c>
      <c r="D2664" t="str">
        <f>HYPERLINK("https://zfin.org/ZDB-GENE-081107-19")</f>
        <v>https://zfin.org/ZDB-GENE-081107-19</v>
      </c>
      <c r="E2664" t="s">
        <v>7972</v>
      </c>
    </row>
    <row r="2665" spans="1:5" x14ac:dyDescent="0.2">
      <c r="A2665" t="s">
        <v>7973</v>
      </c>
      <c r="B2665" t="s">
        <v>7974</v>
      </c>
      <c r="C2665" t="s">
        <v>7974</v>
      </c>
      <c r="D2665" t="str">
        <f>HYPERLINK("https://zfin.org/ZDB-GENE-030131-1117")</f>
        <v>https://zfin.org/ZDB-GENE-030131-1117</v>
      </c>
      <c r="E2665" t="s">
        <v>7975</v>
      </c>
    </row>
    <row r="2666" spans="1:5" x14ac:dyDescent="0.2">
      <c r="A2666" t="s">
        <v>7976</v>
      </c>
      <c r="B2666" t="s">
        <v>7977</v>
      </c>
      <c r="C2666" t="s">
        <v>7977</v>
      </c>
      <c r="D2666" t="str">
        <f>HYPERLINK("https://zfin.org/ZDB-GENE-000710-2")</f>
        <v>https://zfin.org/ZDB-GENE-000710-2</v>
      </c>
      <c r="E2666" t="s">
        <v>7978</v>
      </c>
    </row>
    <row r="2667" spans="1:5" x14ac:dyDescent="0.2">
      <c r="A2667" t="s">
        <v>7979</v>
      </c>
      <c r="B2667" t="s">
        <v>7980</v>
      </c>
      <c r="C2667" t="s">
        <v>7980</v>
      </c>
      <c r="D2667" t="str">
        <f>HYPERLINK("https://zfin.org/ZDB-GENE-040912-67")</f>
        <v>https://zfin.org/ZDB-GENE-040912-67</v>
      </c>
      <c r="E2667" t="s">
        <v>7981</v>
      </c>
    </row>
    <row r="2668" spans="1:5" x14ac:dyDescent="0.2">
      <c r="A2668" t="s">
        <v>7982</v>
      </c>
      <c r="B2668" t="s">
        <v>7983</v>
      </c>
      <c r="C2668" t="s">
        <v>7983</v>
      </c>
      <c r="D2668" t="str">
        <f>HYPERLINK("https://zfin.org/ZDB-GENE-041210-256")</f>
        <v>https://zfin.org/ZDB-GENE-041210-256</v>
      </c>
      <c r="E2668" t="s">
        <v>7984</v>
      </c>
    </row>
    <row r="2669" spans="1:5" x14ac:dyDescent="0.2">
      <c r="A2669" t="s">
        <v>7985</v>
      </c>
      <c r="B2669" t="s">
        <v>7986</v>
      </c>
      <c r="C2669" t="s">
        <v>7986</v>
      </c>
      <c r="D2669" t="str">
        <f>HYPERLINK("https://zfin.org/ZDB-GENE-030131-6520")</f>
        <v>https://zfin.org/ZDB-GENE-030131-6520</v>
      </c>
      <c r="E2669" t="s">
        <v>7987</v>
      </c>
    </row>
    <row r="2670" spans="1:5" x14ac:dyDescent="0.2">
      <c r="A2670" t="s">
        <v>7988</v>
      </c>
      <c r="B2670" t="s">
        <v>7989</v>
      </c>
      <c r="C2670" t="s">
        <v>7989</v>
      </c>
      <c r="D2670" t="str">
        <f>HYPERLINK("https://zfin.org/ZDB-GENE-110914-134")</f>
        <v>https://zfin.org/ZDB-GENE-110914-134</v>
      </c>
      <c r="E2670" t="s">
        <v>7990</v>
      </c>
    </row>
    <row r="2671" spans="1:5" x14ac:dyDescent="0.2">
      <c r="A2671" t="s">
        <v>7991</v>
      </c>
      <c r="B2671" t="s">
        <v>7992</v>
      </c>
      <c r="C2671" t="s">
        <v>7992</v>
      </c>
      <c r="D2671" t="str">
        <f>HYPERLINK("https://zfin.org/ZDB-GENE-050522-56")</f>
        <v>https://zfin.org/ZDB-GENE-050522-56</v>
      </c>
      <c r="E2671" t="s">
        <v>7993</v>
      </c>
    </row>
    <row r="2672" spans="1:5" x14ac:dyDescent="0.2">
      <c r="A2672" t="s">
        <v>7994</v>
      </c>
      <c r="B2672" t="s">
        <v>7995</v>
      </c>
      <c r="C2672" t="s">
        <v>7995</v>
      </c>
      <c r="D2672" t="str">
        <f>HYPERLINK("https://zfin.org/ZDB-GENE-040927-13")</f>
        <v>https://zfin.org/ZDB-GENE-040927-13</v>
      </c>
      <c r="E2672" t="s">
        <v>7996</v>
      </c>
    </row>
    <row r="2673" spans="1:5" x14ac:dyDescent="0.2">
      <c r="A2673" t="s">
        <v>7997</v>
      </c>
      <c r="B2673" t="s">
        <v>7998</v>
      </c>
      <c r="C2673" t="s">
        <v>7998</v>
      </c>
      <c r="D2673" t="str">
        <f>HYPERLINK("https://zfin.org/ZDB-GENE-141222-41")</f>
        <v>https://zfin.org/ZDB-GENE-141222-41</v>
      </c>
      <c r="E2673" t="s">
        <v>7999</v>
      </c>
    </row>
    <row r="2674" spans="1:5" x14ac:dyDescent="0.2">
      <c r="A2674" t="s">
        <v>8000</v>
      </c>
      <c r="B2674" t="s">
        <v>8001</v>
      </c>
      <c r="C2674" t="s">
        <v>8001</v>
      </c>
      <c r="D2674" t="str">
        <f>HYPERLINK("https://zfin.org/ZDB-GENE-071004-41")</f>
        <v>https://zfin.org/ZDB-GENE-071004-41</v>
      </c>
      <c r="E2674" t="s">
        <v>8002</v>
      </c>
    </row>
    <row r="2675" spans="1:5" x14ac:dyDescent="0.2">
      <c r="A2675" t="s">
        <v>8003</v>
      </c>
      <c r="B2675" t="s">
        <v>8004</v>
      </c>
      <c r="C2675" t="s">
        <v>8004</v>
      </c>
      <c r="D2675" t="str">
        <f>HYPERLINK("https://zfin.org/ZDB-GENE-100922-34")</f>
        <v>https://zfin.org/ZDB-GENE-100922-34</v>
      </c>
      <c r="E2675" t="s">
        <v>8005</v>
      </c>
    </row>
    <row r="2676" spans="1:5" x14ac:dyDescent="0.2">
      <c r="A2676" t="s">
        <v>8006</v>
      </c>
      <c r="B2676" t="s">
        <v>8007</v>
      </c>
      <c r="C2676" t="s">
        <v>8007</v>
      </c>
      <c r="D2676" t="str">
        <f>HYPERLINK("https://zfin.org/ZDB-GENE-060421-7754")</f>
        <v>https://zfin.org/ZDB-GENE-060421-7754</v>
      </c>
      <c r="E2676" t="s">
        <v>8008</v>
      </c>
    </row>
    <row r="2677" spans="1:5" x14ac:dyDescent="0.2">
      <c r="A2677" t="s">
        <v>8009</v>
      </c>
      <c r="B2677" t="s">
        <v>8010</v>
      </c>
      <c r="C2677" t="s">
        <v>8010</v>
      </c>
      <c r="D2677" t="str">
        <f>HYPERLINK("https://zfin.org/ZDB-GENE-120703-45")</f>
        <v>https://zfin.org/ZDB-GENE-120703-45</v>
      </c>
      <c r="E2677" t="s">
        <v>8011</v>
      </c>
    </row>
    <row r="2678" spans="1:5" x14ac:dyDescent="0.2">
      <c r="A2678" t="s">
        <v>8012</v>
      </c>
      <c r="B2678" t="s">
        <v>8013</v>
      </c>
      <c r="C2678" t="s">
        <v>8013</v>
      </c>
      <c r="D2678" t="str">
        <f>HYPERLINK("https://zfin.org/ZDB-GENE-131121-321")</f>
        <v>https://zfin.org/ZDB-GENE-131121-321</v>
      </c>
      <c r="E2678" t="s">
        <v>8014</v>
      </c>
    </row>
    <row r="2679" spans="1:5" x14ac:dyDescent="0.2">
      <c r="A2679" t="s">
        <v>8015</v>
      </c>
      <c r="B2679" t="s">
        <v>8016</v>
      </c>
      <c r="C2679" t="s">
        <v>8016</v>
      </c>
      <c r="D2679" t="str">
        <f>HYPERLINK("https://zfin.org/ZDB-GENE-040426-1486")</f>
        <v>https://zfin.org/ZDB-GENE-040426-1486</v>
      </c>
      <c r="E2679" t="s">
        <v>8017</v>
      </c>
    </row>
    <row r="2680" spans="1:5" x14ac:dyDescent="0.2">
      <c r="A2680" t="s">
        <v>8018</v>
      </c>
      <c r="B2680" t="s">
        <v>8019</v>
      </c>
      <c r="C2680" t="s">
        <v>8019</v>
      </c>
      <c r="D2680" t="str">
        <f>HYPERLINK("https://zfin.org/ZDB-GENE-050327-77")</f>
        <v>https://zfin.org/ZDB-GENE-050327-77</v>
      </c>
      <c r="E2680" t="s">
        <v>8020</v>
      </c>
    </row>
    <row r="2681" spans="1:5" x14ac:dyDescent="0.2">
      <c r="A2681" t="s">
        <v>8021</v>
      </c>
      <c r="B2681" t="s">
        <v>8022</v>
      </c>
      <c r="C2681" t="s">
        <v>8022</v>
      </c>
      <c r="D2681" t="str">
        <f>HYPERLINK("https://zfin.org/ZDB-GENE-100319-1")</f>
        <v>https://zfin.org/ZDB-GENE-100319-1</v>
      </c>
      <c r="E2681" t="s">
        <v>8023</v>
      </c>
    </row>
    <row r="2682" spans="1:5" x14ac:dyDescent="0.2">
      <c r="A2682" t="s">
        <v>8024</v>
      </c>
      <c r="B2682" t="s">
        <v>8025</v>
      </c>
      <c r="C2682" t="s">
        <v>8025</v>
      </c>
      <c r="D2682" t="str">
        <f>HYPERLINK("https://zfin.org/ZDB-GENE-050320-11")</f>
        <v>https://zfin.org/ZDB-GENE-050320-11</v>
      </c>
      <c r="E2682" t="s">
        <v>8026</v>
      </c>
    </row>
    <row r="2683" spans="1:5" x14ac:dyDescent="0.2">
      <c r="A2683" t="s">
        <v>8027</v>
      </c>
      <c r="B2683" t="s">
        <v>8028</v>
      </c>
      <c r="C2683" t="s">
        <v>8028</v>
      </c>
      <c r="D2683" t="str">
        <f>HYPERLINK("https://zfin.org/ZDB-GENE-090429-4")</f>
        <v>https://zfin.org/ZDB-GENE-090429-4</v>
      </c>
      <c r="E2683" t="s">
        <v>8029</v>
      </c>
    </row>
    <row r="2684" spans="1:5" x14ac:dyDescent="0.2">
      <c r="A2684" t="s">
        <v>8030</v>
      </c>
      <c r="B2684" t="s">
        <v>8031</v>
      </c>
      <c r="C2684" t="s">
        <v>8031</v>
      </c>
      <c r="D2684" t="str">
        <f>HYPERLINK("https://zfin.org/ZDB-GENE-040426-1043")</f>
        <v>https://zfin.org/ZDB-GENE-040426-1043</v>
      </c>
      <c r="E2684" t="s">
        <v>8032</v>
      </c>
    </row>
    <row r="2685" spans="1:5" x14ac:dyDescent="0.2">
      <c r="A2685" t="s">
        <v>8033</v>
      </c>
      <c r="B2685" t="s">
        <v>8034</v>
      </c>
      <c r="C2685" t="s">
        <v>8034</v>
      </c>
      <c r="D2685" t="str">
        <f>HYPERLINK("https://zfin.org/ZDB-GENE-030131-4958")</f>
        <v>https://zfin.org/ZDB-GENE-030131-4958</v>
      </c>
      <c r="E2685" t="s">
        <v>8035</v>
      </c>
    </row>
    <row r="2686" spans="1:5" x14ac:dyDescent="0.2">
      <c r="A2686" t="s">
        <v>8036</v>
      </c>
      <c r="B2686" t="s">
        <v>8037</v>
      </c>
      <c r="C2686" t="s">
        <v>8037</v>
      </c>
      <c r="D2686" t="str">
        <f>HYPERLINK("https://zfin.org/ZDB-GENE-021011-1")</f>
        <v>https://zfin.org/ZDB-GENE-021011-1</v>
      </c>
      <c r="E2686" t="s">
        <v>8038</v>
      </c>
    </row>
    <row r="2687" spans="1:5" x14ac:dyDescent="0.2">
      <c r="A2687" t="s">
        <v>8039</v>
      </c>
      <c r="B2687" t="s">
        <v>8040</v>
      </c>
      <c r="C2687" t="s">
        <v>8040</v>
      </c>
      <c r="D2687" t="str">
        <f>HYPERLINK("https://zfin.org/ZDB-GENE-121105-7")</f>
        <v>https://zfin.org/ZDB-GENE-121105-7</v>
      </c>
      <c r="E2687" t="s">
        <v>8041</v>
      </c>
    </row>
    <row r="2688" spans="1:5" x14ac:dyDescent="0.2">
      <c r="A2688" t="s">
        <v>8042</v>
      </c>
      <c r="B2688" t="s">
        <v>8043</v>
      </c>
      <c r="C2688" t="s">
        <v>8044</v>
      </c>
      <c r="D2688" t="str">
        <f>HYPERLINK("https://zfin.org/ZDB-GENE-141216-471")</f>
        <v>https://zfin.org/ZDB-GENE-141216-471</v>
      </c>
      <c r="E2688" t="s">
        <v>8045</v>
      </c>
    </row>
    <row r="2689" spans="1:5" x14ac:dyDescent="0.2">
      <c r="A2689" t="s">
        <v>8046</v>
      </c>
      <c r="B2689" t="s">
        <v>8047</v>
      </c>
      <c r="C2689" t="s">
        <v>8047</v>
      </c>
      <c r="D2689" t="str">
        <f>HYPERLINK("https://zfin.org/ZDB-GENE-031002-35")</f>
        <v>https://zfin.org/ZDB-GENE-031002-35</v>
      </c>
      <c r="E2689" t="s">
        <v>8048</v>
      </c>
    </row>
    <row r="2690" spans="1:5" x14ac:dyDescent="0.2">
      <c r="A2690" t="s">
        <v>8049</v>
      </c>
      <c r="B2690" t="s">
        <v>8050</v>
      </c>
      <c r="C2690" t="s">
        <v>8050</v>
      </c>
      <c r="D2690" t="str">
        <f>HYPERLINK("https://zfin.org/ZDB-GENE-050307-5")</f>
        <v>https://zfin.org/ZDB-GENE-050307-5</v>
      </c>
      <c r="E2690" t="s">
        <v>8051</v>
      </c>
    </row>
    <row r="2691" spans="1:5" x14ac:dyDescent="0.2">
      <c r="A2691" t="s">
        <v>8052</v>
      </c>
      <c r="B2691" t="s">
        <v>8053</v>
      </c>
      <c r="C2691" t="s">
        <v>8053</v>
      </c>
      <c r="D2691" t="str">
        <f>HYPERLINK("https://zfin.org/ZDB-GENE-030131-5349")</f>
        <v>https://zfin.org/ZDB-GENE-030131-5349</v>
      </c>
      <c r="E2691" t="s">
        <v>8054</v>
      </c>
    </row>
    <row r="2692" spans="1:5" x14ac:dyDescent="0.2">
      <c r="A2692" t="s">
        <v>8055</v>
      </c>
      <c r="B2692" t="s">
        <v>8056</v>
      </c>
      <c r="C2692" t="s">
        <v>8056</v>
      </c>
      <c r="D2692" t="str">
        <f>HYPERLINK("https://zfin.org/ZDB-GENE-041114-44")</f>
        <v>https://zfin.org/ZDB-GENE-041114-44</v>
      </c>
      <c r="E2692" t="s">
        <v>8057</v>
      </c>
    </row>
    <row r="2693" spans="1:5" x14ac:dyDescent="0.2">
      <c r="A2693" t="s">
        <v>8058</v>
      </c>
      <c r="B2693" t="s">
        <v>8059</v>
      </c>
      <c r="C2693" t="s">
        <v>8059</v>
      </c>
      <c r="D2693" t="str">
        <f>HYPERLINK("https://zfin.org/ZDB-GENE-060503-332")</f>
        <v>https://zfin.org/ZDB-GENE-060503-332</v>
      </c>
      <c r="E2693" t="s">
        <v>8060</v>
      </c>
    </row>
    <row r="2694" spans="1:5" x14ac:dyDescent="0.2">
      <c r="A2694" t="s">
        <v>8061</v>
      </c>
      <c r="B2694" t="s">
        <v>8062</v>
      </c>
      <c r="C2694" t="s">
        <v>8062</v>
      </c>
      <c r="D2694" t="str">
        <f>HYPERLINK("https://zfin.org/ZDB-GENE-030131-3085")</f>
        <v>https://zfin.org/ZDB-GENE-030131-3085</v>
      </c>
      <c r="E2694" t="s">
        <v>8063</v>
      </c>
    </row>
    <row r="2695" spans="1:5" x14ac:dyDescent="0.2">
      <c r="A2695" t="s">
        <v>8064</v>
      </c>
      <c r="B2695" t="s">
        <v>8065</v>
      </c>
      <c r="C2695" t="s">
        <v>8065</v>
      </c>
      <c r="D2695" t="str">
        <f>HYPERLINK("https://zfin.org/ZDB-GENE-050327-79")</f>
        <v>https://zfin.org/ZDB-GENE-050327-79</v>
      </c>
      <c r="E2695" t="s">
        <v>8066</v>
      </c>
    </row>
    <row r="2696" spans="1:5" x14ac:dyDescent="0.2">
      <c r="A2696" t="s">
        <v>8067</v>
      </c>
      <c r="B2696" t="s">
        <v>8068</v>
      </c>
      <c r="C2696" t="s">
        <v>8068</v>
      </c>
      <c r="D2696" t="str">
        <f>HYPERLINK("https://zfin.org/ZDB-GENE-061027-372")</f>
        <v>https://zfin.org/ZDB-GENE-061027-372</v>
      </c>
      <c r="E2696" t="s">
        <v>8069</v>
      </c>
    </row>
    <row r="2697" spans="1:5" x14ac:dyDescent="0.2">
      <c r="A2697" t="s">
        <v>8070</v>
      </c>
      <c r="B2697" t="s">
        <v>8071</v>
      </c>
      <c r="C2697" t="s">
        <v>8071</v>
      </c>
      <c r="D2697" t="str">
        <f>HYPERLINK("https://zfin.org/ZDB-GENE-030131-9646")</f>
        <v>https://zfin.org/ZDB-GENE-030131-9646</v>
      </c>
      <c r="E2697" t="s">
        <v>8072</v>
      </c>
    </row>
    <row r="2698" spans="1:5" x14ac:dyDescent="0.2">
      <c r="A2698" t="s">
        <v>8073</v>
      </c>
      <c r="B2698" t="s">
        <v>8074</v>
      </c>
      <c r="C2698" t="s">
        <v>8074</v>
      </c>
      <c r="D2698" t="str">
        <f>HYPERLINK("https://zfin.org/ZDB-GENE-090824-1")</f>
        <v>https://zfin.org/ZDB-GENE-090824-1</v>
      </c>
      <c r="E2698" t="s">
        <v>8075</v>
      </c>
    </row>
    <row r="2699" spans="1:5" x14ac:dyDescent="0.2">
      <c r="A2699" t="s">
        <v>8076</v>
      </c>
      <c r="B2699" t="s">
        <v>8077</v>
      </c>
      <c r="C2699" t="s">
        <v>8077</v>
      </c>
      <c r="D2699" t="str">
        <f>HYPERLINK("https://zfin.org/ZDB-GENE-060526-232")</f>
        <v>https://zfin.org/ZDB-GENE-060526-232</v>
      </c>
      <c r="E2699" t="s">
        <v>8078</v>
      </c>
    </row>
    <row r="2700" spans="1:5" x14ac:dyDescent="0.2">
      <c r="A2700" t="s">
        <v>8079</v>
      </c>
      <c r="B2700" t="s">
        <v>8080</v>
      </c>
      <c r="C2700" t="s">
        <v>8080</v>
      </c>
      <c r="D2700" t="str">
        <f>HYPERLINK("https://zfin.org/ZDB-GENE-041114-12")</f>
        <v>https://zfin.org/ZDB-GENE-041114-12</v>
      </c>
      <c r="E2700" t="s">
        <v>8081</v>
      </c>
    </row>
    <row r="2701" spans="1:5" x14ac:dyDescent="0.2">
      <c r="A2701" t="s">
        <v>8082</v>
      </c>
      <c r="B2701" t="s">
        <v>8083</v>
      </c>
      <c r="C2701" t="s">
        <v>8083</v>
      </c>
      <c r="D2701" t="str">
        <f>HYPERLINK("https://zfin.org/ZDB-GENE-120703-39")</f>
        <v>https://zfin.org/ZDB-GENE-120703-39</v>
      </c>
      <c r="E2701" t="s">
        <v>8084</v>
      </c>
    </row>
    <row r="2702" spans="1:5" x14ac:dyDescent="0.2">
      <c r="A2702" t="s">
        <v>8085</v>
      </c>
      <c r="B2702" t="s">
        <v>8086</v>
      </c>
      <c r="C2702" t="s">
        <v>8086</v>
      </c>
      <c r="D2702" t="str">
        <f>HYPERLINK("https://zfin.org/ZDB-GENE-040426-851")</f>
        <v>https://zfin.org/ZDB-GENE-040426-851</v>
      </c>
      <c r="E2702" t="s">
        <v>8087</v>
      </c>
    </row>
    <row r="2703" spans="1:5" x14ac:dyDescent="0.2">
      <c r="A2703" t="s">
        <v>8088</v>
      </c>
      <c r="B2703" t="s">
        <v>8089</v>
      </c>
      <c r="C2703" t="s">
        <v>8089</v>
      </c>
      <c r="D2703" t="str">
        <f>HYPERLINK("https://zfin.org/ZDB-GENE-141216-136")</f>
        <v>https://zfin.org/ZDB-GENE-141216-136</v>
      </c>
      <c r="E2703" t="s">
        <v>8090</v>
      </c>
    </row>
    <row r="2704" spans="1:5" x14ac:dyDescent="0.2">
      <c r="A2704" t="s">
        <v>8091</v>
      </c>
      <c r="B2704" t="s">
        <v>8092</v>
      </c>
      <c r="C2704" t="s">
        <v>8092</v>
      </c>
      <c r="D2704" t="str">
        <f>HYPERLINK("https://zfin.org/ZDB-GENE-030131-5512")</f>
        <v>https://zfin.org/ZDB-GENE-030131-5512</v>
      </c>
      <c r="E2704" t="s">
        <v>8093</v>
      </c>
    </row>
    <row r="2705" spans="1:5" x14ac:dyDescent="0.2">
      <c r="A2705" t="s">
        <v>8094</v>
      </c>
      <c r="B2705" t="s">
        <v>8095</v>
      </c>
      <c r="C2705" t="s">
        <v>8095</v>
      </c>
      <c r="D2705" t="str">
        <f>HYPERLINK("https://zfin.org/ZDB-GENE-990714-4")</f>
        <v>https://zfin.org/ZDB-GENE-990714-4</v>
      </c>
      <c r="E2705" t="s">
        <v>8096</v>
      </c>
    </row>
    <row r="2706" spans="1:5" x14ac:dyDescent="0.2">
      <c r="A2706" t="s">
        <v>8097</v>
      </c>
      <c r="B2706" t="s">
        <v>8098</v>
      </c>
      <c r="C2706" t="s">
        <v>8098</v>
      </c>
      <c r="D2706" t="str">
        <f>HYPERLINK("https://zfin.org/ZDB-GENE-060503-508")</f>
        <v>https://zfin.org/ZDB-GENE-060503-508</v>
      </c>
      <c r="E2706" t="s">
        <v>8099</v>
      </c>
    </row>
    <row r="2707" spans="1:5" x14ac:dyDescent="0.2">
      <c r="A2707" t="s">
        <v>8100</v>
      </c>
      <c r="B2707" t="s">
        <v>8101</v>
      </c>
      <c r="C2707" t="s">
        <v>8101</v>
      </c>
      <c r="D2707" t="str">
        <f>HYPERLINK("https://zfin.org/ZDB-GENE-070820-10")</f>
        <v>https://zfin.org/ZDB-GENE-070820-10</v>
      </c>
      <c r="E2707" t="s">
        <v>8102</v>
      </c>
    </row>
    <row r="2708" spans="1:5" x14ac:dyDescent="0.2">
      <c r="A2708" t="s">
        <v>8103</v>
      </c>
      <c r="B2708" t="s">
        <v>8104</v>
      </c>
      <c r="C2708" t="s">
        <v>8104</v>
      </c>
      <c r="D2708" t="str">
        <f>HYPERLINK("https://zfin.org/ZDB-GENE-110930-9")</f>
        <v>https://zfin.org/ZDB-GENE-110930-9</v>
      </c>
      <c r="E2708" t="s">
        <v>8105</v>
      </c>
    </row>
    <row r="2709" spans="1:5" x14ac:dyDescent="0.2">
      <c r="A2709" t="s">
        <v>8106</v>
      </c>
      <c r="B2709" t="s">
        <v>8107</v>
      </c>
      <c r="C2709" t="s">
        <v>8107</v>
      </c>
      <c r="D2709" t="str">
        <f>HYPERLINK("https://zfin.org/ZDB-GENE-010724-1")</f>
        <v>https://zfin.org/ZDB-GENE-010724-1</v>
      </c>
      <c r="E2709" t="s">
        <v>8108</v>
      </c>
    </row>
    <row r="2710" spans="1:5" x14ac:dyDescent="0.2">
      <c r="A2710" t="s">
        <v>8109</v>
      </c>
      <c r="B2710" t="s">
        <v>8110</v>
      </c>
      <c r="C2710" t="s">
        <v>8110</v>
      </c>
      <c r="D2710" t="str">
        <f>HYPERLINK("https://zfin.org/ZDB-GENE-041121-4")</f>
        <v>https://zfin.org/ZDB-GENE-041121-4</v>
      </c>
      <c r="E2710" t="s">
        <v>8111</v>
      </c>
    </row>
    <row r="2711" spans="1:5" x14ac:dyDescent="0.2">
      <c r="A2711" t="s">
        <v>8112</v>
      </c>
      <c r="B2711" t="s">
        <v>8113</v>
      </c>
      <c r="C2711" t="s">
        <v>8113</v>
      </c>
      <c r="D2711" t="str">
        <f>HYPERLINK("https://zfin.org/ZDB-GENE-040108-7")</f>
        <v>https://zfin.org/ZDB-GENE-040108-7</v>
      </c>
      <c r="E2711" t="s">
        <v>8114</v>
      </c>
    </row>
    <row r="2712" spans="1:5" x14ac:dyDescent="0.2">
      <c r="A2712" t="s">
        <v>8115</v>
      </c>
      <c r="B2712" t="s">
        <v>8116</v>
      </c>
      <c r="C2712" t="s">
        <v>8116</v>
      </c>
      <c r="D2712" t="str">
        <f>HYPERLINK("https://zfin.org/ZDB-GENE-070912-336")</f>
        <v>https://zfin.org/ZDB-GENE-070912-336</v>
      </c>
      <c r="E2712" t="s">
        <v>8117</v>
      </c>
    </row>
    <row r="2713" spans="1:5" x14ac:dyDescent="0.2">
      <c r="A2713" t="s">
        <v>8118</v>
      </c>
      <c r="B2713" t="s">
        <v>8119</v>
      </c>
      <c r="C2713" t="s">
        <v>8119</v>
      </c>
      <c r="D2713" t="str">
        <f>HYPERLINK("https://zfin.org/ZDB-GENE-090908-2")</f>
        <v>https://zfin.org/ZDB-GENE-090908-2</v>
      </c>
      <c r="E2713" t="s">
        <v>8120</v>
      </c>
    </row>
    <row r="2714" spans="1:5" x14ac:dyDescent="0.2">
      <c r="A2714" t="s">
        <v>8121</v>
      </c>
      <c r="B2714" t="s">
        <v>8122</v>
      </c>
      <c r="C2714" t="s">
        <v>8122</v>
      </c>
      <c r="D2714" t="str">
        <f>HYPERLINK("https://zfin.org/ZDB-GENE-040801-220")</f>
        <v>https://zfin.org/ZDB-GENE-040801-220</v>
      </c>
      <c r="E2714" t="s">
        <v>8123</v>
      </c>
    </row>
    <row r="2715" spans="1:5" x14ac:dyDescent="0.2">
      <c r="A2715" t="s">
        <v>8124</v>
      </c>
      <c r="B2715" t="s">
        <v>8125</v>
      </c>
      <c r="C2715" t="s">
        <v>8125</v>
      </c>
      <c r="D2715" t="str">
        <f>HYPERLINK("https://zfin.org/ZDB-GENE-060526-254")</f>
        <v>https://zfin.org/ZDB-GENE-060526-254</v>
      </c>
      <c r="E2715" t="s">
        <v>8126</v>
      </c>
    </row>
    <row r="2716" spans="1:5" x14ac:dyDescent="0.2">
      <c r="A2716" t="s">
        <v>8127</v>
      </c>
      <c r="B2716" t="s">
        <v>8128</v>
      </c>
      <c r="C2716" t="s">
        <v>8128</v>
      </c>
      <c r="D2716" t="str">
        <f>HYPERLINK("https://zfin.org/ZDB-GENE-040121-6")</f>
        <v>https://zfin.org/ZDB-GENE-040121-6</v>
      </c>
      <c r="E2716" t="s">
        <v>8129</v>
      </c>
    </row>
    <row r="2717" spans="1:5" x14ac:dyDescent="0.2">
      <c r="A2717" t="s">
        <v>8130</v>
      </c>
      <c r="B2717" t="s">
        <v>8131</v>
      </c>
      <c r="C2717" t="s">
        <v>8131</v>
      </c>
      <c r="D2717" t="str">
        <f>HYPERLINK("https://zfin.org/ZDB-GENE-091204-235")</f>
        <v>https://zfin.org/ZDB-GENE-091204-235</v>
      </c>
      <c r="E2717" t="s">
        <v>8132</v>
      </c>
    </row>
    <row r="2718" spans="1:5" x14ac:dyDescent="0.2">
      <c r="A2718" t="s">
        <v>8133</v>
      </c>
      <c r="B2718" t="s">
        <v>8134</v>
      </c>
      <c r="C2718" t="s">
        <v>8134</v>
      </c>
      <c r="D2718" t="str">
        <f>HYPERLINK("https://zfin.org/ZDB-GENE-060503-680")</f>
        <v>https://zfin.org/ZDB-GENE-060503-680</v>
      </c>
      <c r="E2718" t="s">
        <v>8135</v>
      </c>
    </row>
    <row r="2719" spans="1:5" x14ac:dyDescent="0.2">
      <c r="A2719" t="s">
        <v>8136</v>
      </c>
      <c r="B2719" t="s">
        <v>8137</v>
      </c>
      <c r="C2719" t="s">
        <v>8137</v>
      </c>
      <c r="D2719" t="str">
        <f>HYPERLINK("https://zfin.org/ZDB-GENE-030131-1058")</f>
        <v>https://zfin.org/ZDB-GENE-030131-1058</v>
      </c>
      <c r="E2719" t="s">
        <v>8138</v>
      </c>
    </row>
    <row r="2720" spans="1:5" x14ac:dyDescent="0.2">
      <c r="A2720" t="s">
        <v>8139</v>
      </c>
      <c r="B2720" t="s">
        <v>8140</v>
      </c>
      <c r="C2720" t="s">
        <v>8140</v>
      </c>
      <c r="D2720" t="str">
        <f>HYPERLINK("https://zfin.org/ZDB-GENE-030131-5060")</f>
        <v>https://zfin.org/ZDB-GENE-030131-5060</v>
      </c>
      <c r="E2720" t="s">
        <v>8141</v>
      </c>
    </row>
    <row r="2721" spans="1:5" x14ac:dyDescent="0.2">
      <c r="A2721" t="s">
        <v>8142</v>
      </c>
      <c r="B2721" t="s">
        <v>8143</v>
      </c>
      <c r="C2721" t="s">
        <v>8143</v>
      </c>
      <c r="D2721" t="str">
        <f>HYPERLINK("https://zfin.org/ZDB-GENE-070928-38")</f>
        <v>https://zfin.org/ZDB-GENE-070928-38</v>
      </c>
      <c r="E2721" t="s">
        <v>8144</v>
      </c>
    </row>
    <row r="2722" spans="1:5" x14ac:dyDescent="0.2">
      <c r="A2722" t="s">
        <v>8145</v>
      </c>
      <c r="B2722" t="s">
        <v>8146</v>
      </c>
      <c r="C2722" t="s">
        <v>8146</v>
      </c>
      <c r="D2722" t="str">
        <f>HYPERLINK("https://zfin.org/ZDB-GENE-081104-132")</f>
        <v>https://zfin.org/ZDB-GENE-081104-132</v>
      </c>
      <c r="E2722" t="s">
        <v>8147</v>
      </c>
    </row>
    <row r="2723" spans="1:5" x14ac:dyDescent="0.2">
      <c r="A2723" t="s">
        <v>8148</v>
      </c>
      <c r="B2723" t="s">
        <v>8149</v>
      </c>
      <c r="C2723" t="s">
        <v>8149</v>
      </c>
      <c r="D2723" t="str">
        <f>HYPERLINK("https://zfin.org/ZDB-GENE-091116-25")</f>
        <v>https://zfin.org/ZDB-GENE-091116-25</v>
      </c>
      <c r="E2723" t="s">
        <v>8150</v>
      </c>
    </row>
    <row r="2724" spans="1:5" x14ac:dyDescent="0.2">
      <c r="A2724" t="s">
        <v>8151</v>
      </c>
      <c r="B2724" t="s">
        <v>8152</v>
      </c>
      <c r="C2724" t="s">
        <v>8152</v>
      </c>
      <c r="D2724" t="str">
        <f>HYPERLINK("https://zfin.org/ZDB-GENE-980526-89")</f>
        <v>https://zfin.org/ZDB-GENE-980526-89</v>
      </c>
      <c r="E2724" t="s">
        <v>8153</v>
      </c>
    </row>
    <row r="2725" spans="1:5" x14ac:dyDescent="0.2">
      <c r="A2725" t="s">
        <v>8154</v>
      </c>
      <c r="B2725" t="s">
        <v>8155</v>
      </c>
      <c r="C2725" t="s">
        <v>8155</v>
      </c>
      <c r="D2725" t="str">
        <f>HYPERLINK("https://zfin.org/ZDB-GENE-120516-2")</f>
        <v>https://zfin.org/ZDB-GENE-120516-2</v>
      </c>
      <c r="E2725" t="s">
        <v>8156</v>
      </c>
    </row>
    <row r="2726" spans="1:5" x14ac:dyDescent="0.2">
      <c r="A2726" t="s">
        <v>8157</v>
      </c>
      <c r="B2726" t="s">
        <v>8158</v>
      </c>
      <c r="C2726" t="s">
        <v>8158</v>
      </c>
      <c r="D2726" t="str">
        <f>HYPERLINK("https://zfin.org/ZDB-GENE-030707-3")</f>
        <v>https://zfin.org/ZDB-GENE-030707-3</v>
      </c>
      <c r="E2726" t="s">
        <v>8159</v>
      </c>
    </row>
    <row r="2727" spans="1:5" x14ac:dyDescent="0.2">
      <c r="A2727" t="s">
        <v>8160</v>
      </c>
      <c r="B2727" t="s">
        <v>8161</v>
      </c>
      <c r="C2727" t="s">
        <v>8161</v>
      </c>
      <c r="D2727" t="str">
        <f>HYPERLINK("https://zfin.org/ZDB-GENE-130603-41")</f>
        <v>https://zfin.org/ZDB-GENE-130603-41</v>
      </c>
      <c r="E2727" t="s">
        <v>8162</v>
      </c>
    </row>
    <row r="2728" spans="1:5" x14ac:dyDescent="0.2">
      <c r="A2728" t="s">
        <v>8163</v>
      </c>
      <c r="B2728" t="s">
        <v>8164</v>
      </c>
      <c r="C2728" t="s">
        <v>8164</v>
      </c>
      <c r="D2728" t="str">
        <f>HYPERLINK("https://zfin.org/ZDB-GENE-000713-1")</f>
        <v>https://zfin.org/ZDB-GENE-000713-1</v>
      </c>
      <c r="E2728" t="s">
        <v>8165</v>
      </c>
    </row>
    <row r="2729" spans="1:5" x14ac:dyDescent="0.2">
      <c r="A2729" t="s">
        <v>8166</v>
      </c>
      <c r="B2729" t="s">
        <v>8167</v>
      </c>
      <c r="C2729" t="s">
        <v>8167</v>
      </c>
      <c r="D2729" t="str">
        <f>HYPERLINK("https://zfin.org/ZDB-GENE-141219-3")</f>
        <v>https://zfin.org/ZDB-GENE-141219-3</v>
      </c>
      <c r="E2729" t="s">
        <v>8168</v>
      </c>
    </row>
    <row r="2730" spans="1:5" x14ac:dyDescent="0.2">
      <c r="A2730" t="s">
        <v>8169</v>
      </c>
      <c r="B2730" t="s">
        <v>8170</v>
      </c>
      <c r="C2730" t="s">
        <v>8170</v>
      </c>
      <c r="D2730" t="str">
        <f>HYPERLINK("https://zfin.org/ZDB-GENE-130531-22")</f>
        <v>https://zfin.org/ZDB-GENE-130531-22</v>
      </c>
      <c r="E2730" t="s">
        <v>8171</v>
      </c>
    </row>
    <row r="2731" spans="1:5" x14ac:dyDescent="0.2">
      <c r="A2731" t="s">
        <v>8172</v>
      </c>
      <c r="B2731" t="s">
        <v>8173</v>
      </c>
      <c r="C2731" t="s">
        <v>8173</v>
      </c>
      <c r="D2731" t="str">
        <f>HYPERLINK("https://zfin.org/ZDB-GENE-060503-154")</f>
        <v>https://zfin.org/ZDB-GENE-060503-154</v>
      </c>
      <c r="E2731" t="s">
        <v>8174</v>
      </c>
    </row>
    <row r="2732" spans="1:5" x14ac:dyDescent="0.2">
      <c r="A2732" t="s">
        <v>8175</v>
      </c>
      <c r="B2732" t="s">
        <v>8176</v>
      </c>
      <c r="C2732" t="s">
        <v>8176</v>
      </c>
      <c r="D2732" t="str">
        <f>HYPERLINK("https://zfin.org/ZDB-GENE-080219-13")</f>
        <v>https://zfin.org/ZDB-GENE-080219-13</v>
      </c>
      <c r="E2732" t="s">
        <v>8177</v>
      </c>
    </row>
    <row r="2733" spans="1:5" x14ac:dyDescent="0.2">
      <c r="A2733" t="s">
        <v>8178</v>
      </c>
      <c r="B2733" t="s">
        <v>8179</v>
      </c>
      <c r="C2733" t="s">
        <v>8179</v>
      </c>
      <c r="D2733" t="str">
        <f>HYPERLINK("https://zfin.org/ZDB-GENE-030829-40")</f>
        <v>https://zfin.org/ZDB-GENE-030829-40</v>
      </c>
      <c r="E2733" t="s">
        <v>8180</v>
      </c>
    </row>
    <row r="2734" spans="1:5" x14ac:dyDescent="0.2">
      <c r="A2734" t="s">
        <v>8181</v>
      </c>
      <c r="B2734" t="s">
        <v>8182</v>
      </c>
      <c r="C2734" t="s">
        <v>8182</v>
      </c>
      <c r="D2734" t="str">
        <f>HYPERLINK("https://zfin.org/ZDB-GENE-091204-4")</f>
        <v>https://zfin.org/ZDB-GENE-091204-4</v>
      </c>
      <c r="E2734" t="s">
        <v>8183</v>
      </c>
    </row>
    <row r="2735" spans="1:5" x14ac:dyDescent="0.2">
      <c r="A2735" t="s">
        <v>8184</v>
      </c>
      <c r="B2735" t="s">
        <v>8185</v>
      </c>
      <c r="C2735" t="s">
        <v>8185</v>
      </c>
      <c r="D2735" t="str">
        <f>HYPERLINK("https://zfin.org/ZDB-GENE-141222-30")</f>
        <v>https://zfin.org/ZDB-GENE-141222-30</v>
      </c>
      <c r="E2735" t="s">
        <v>8186</v>
      </c>
    </row>
    <row r="2736" spans="1:5" x14ac:dyDescent="0.2">
      <c r="A2736" t="s">
        <v>8187</v>
      </c>
      <c r="B2736" t="s">
        <v>8188</v>
      </c>
      <c r="C2736" t="s">
        <v>8188</v>
      </c>
      <c r="D2736" t="str">
        <f>HYPERLINK("https://zfin.org/ZDB-GENE-051030-63")</f>
        <v>https://zfin.org/ZDB-GENE-051030-63</v>
      </c>
      <c r="E2736" t="s">
        <v>8189</v>
      </c>
    </row>
    <row r="2737" spans="1:5" x14ac:dyDescent="0.2">
      <c r="A2737" t="s">
        <v>8190</v>
      </c>
      <c r="B2737" t="s">
        <v>8191</v>
      </c>
      <c r="C2737" t="s">
        <v>8191</v>
      </c>
      <c r="D2737" t="str">
        <f>HYPERLINK("https://zfin.org/ZDB-GENE-040625-131")</f>
        <v>https://zfin.org/ZDB-GENE-040625-131</v>
      </c>
      <c r="E2737" t="s">
        <v>8192</v>
      </c>
    </row>
    <row r="2738" spans="1:5" x14ac:dyDescent="0.2">
      <c r="A2738" t="s">
        <v>8193</v>
      </c>
      <c r="B2738" t="s">
        <v>8194</v>
      </c>
      <c r="C2738" t="s">
        <v>8194</v>
      </c>
      <c r="D2738" t="str">
        <f>HYPERLINK("https://zfin.org/")</f>
        <v>https://zfin.org/</v>
      </c>
      <c r="E2738" t="s">
        <v>8195</v>
      </c>
    </row>
    <row r="2739" spans="1:5" x14ac:dyDescent="0.2">
      <c r="A2739" t="s">
        <v>8196</v>
      </c>
      <c r="B2739" t="s">
        <v>8197</v>
      </c>
      <c r="C2739" t="s">
        <v>8197</v>
      </c>
      <c r="D2739" t="str">
        <f>HYPERLINK("https://zfin.org/ZDB-GENE-040426-1669")</f>
        <v>https://zfin.org/ZDB-GENE-040426-1669</v>
      </c>
      <c r="E2739" t="s">
        <v>8198</v>
      </c>
    </row>
    <row r="2740" spans="1:5" x14ac:dyDescent="0.2">
      <c r="A2740" t="s">
        <v>8199</v>
      </c>
      <c r="B2740" t="s">
        <v>8200</v>
      </c>
      <c r="C2740" t="s">
        <v>8200</v>
      </c>
      <c r="D2740" t="str">
        <f>HYPERLINK("https://zfin.org/ZDB-GENE-040718-176")</f>
        <v>https://zfin.org/ZDB-GENE-040718-176</v>
      </c>
      <c r="E2740" t="s">
        <v>8201</v>
      </c>
    </row>
    <row r="2741" spans="1:5" x14ac:dyDescent="0.2">
      <c r="A2741" t="s">
        <v>8202</v>
      </c>
      <c r="B2741" t="s">
        <v>8203</v>
      </c>
      <c r="C2741" t="s">
        <v>8203</v>
      </c>
      <c r="D2741" t="str">
        <f>HYPERLINK("https://zfin.org/ZDB-GENE-000823-4")</f>
        <v>https://zfin.org/ZDB-GENE-000823-4</v>
      </c>
      <c r="E2741" t="s">
        <v>8204</v>
      </c>
    </row>
    <row r="2742" spans="1:5" x14ac:dyDescent="0.2">
      <c r="A2742" t="s">
        <v>8205</v>
      </c>
      <c r="B2742" t="s">
        <v>8206</v>
      </c>
      <c r="C2742" t="s">
        <v>8206</v>
      </c>
      <c r="D2742" t="str">
        <f>HYPERLINK("https://zfin.org/ZDB-GENE-040624-6")</f>
        <v>https://zfin.org/ZDB-GENE-040624-6</v>
      </c>
      <c r="E2742" t="s">
        <v>8207</v>
      </c>
    </row>
    <row r="2743" spans="1:5" x14ac:dyDescent="0.2">
      <c r="A2743" t="s">
        <v>8208</v>
      </c>
      <c r="B2743" t="s">
        <v>8209</v>
      </c>
      <c r="C2743" t="s">
        <v>8209</v>
      </c>
      <c r="D2743" t="str">
        <f>HYPERLINK("https://zfin.org/ZDB-GENE-050809-90")</f>
        <v>https://zfin.org/ZDB-GENE-050809-90</v>
      </c>
      <c r="E2743" t="s">
        <v>8210</v>
      </c>
    </row>
    <row r="2744" spans="1:5" x14ac:dyDescent="0.2">
      <c r="A2744" t="s">
        <v>8211</v>
      </c>
      <c r="B2744" t="s">
        <v>8212</v>
      </c>
      <c r="C2744" t="s">
        <v>8212</v>
      </c>
      <c r="D2744" t="str">
        <f>HYPERLINK("https://zfin.org/")</f>
        <v>https://zfin.org/</v>
      </c>
    </row>
    <row r="2745" spans="1:5" x14ac:dyDescent="0.2">
      <c r="A2745" t="s">
        <v>8213</v>
      </c>
      <c r="B2745" t="s">
        <v>8214</v>
      </c>
      <c r="C2745" t="s">
        <v>8214</v>
      </c>
      <c r="D2745" t="str">
        <f>HYPERLINK("https://zfin.org/ZDB-GENE-030131-1830")</f>
        <v>https://zfin.org/ZDB-GENE-030131-1830</v>
      </c>
      <c r="E2745" t="s">
        <v>8215</v>
      </c>
    </row>
    <row r="2746" spans="1:5" x14ac:dyDescent="0.2">
      <c r="A2746" t="s">
        <v>8216</v>
      </c>
      <c r="B2746" t="s">
        <v>8217</v>
      </c>
      <c r="C2746" t="s">
        <v>8217</v>
      </c>
      <c r="D2746" t="str">
        <f>HYPERLINK("https://zfin.org/ZDB-GENE-040718-372")</f>
        <v>https://zfin.org/ZDB-GENE-040718-372</v>
      </c>
      <c r="E2746" t="s">
        <v>8218</v>
      </c>
    </row>
    <row r="2747" spans="1:5" x14ac:dyDescent="0.2">
      <c r="A2747" t="s">
        <v>8219</v>
      </c>
      <c r="B2747" t="s">
        <v>8220</v>
      </c>
      <c r="C2747" t="s">
        <v>8220</v>
      </c>
      <c r="D2747" t="str">
        <f>HYPERLINK("https://zfin.org/ZDB-GENE-081022-95")</f>
        <v>https://zfin.org/ZDB-GENE-081022-95</v>
      </c>
      <c r="E2747" t="s">
        <v>8221</v>
      </c>
    </row>
    <row r="2748" spans="1:5" x14ac:dyDescent="0.2">
      <c r="A2748" t="s">
        <v>8222</v>
      </c>
      <c r="B2748" t="s">
        <v>8223</v>
      </c>
      <c r="C2748" t="s">
        <v>8223</v>
      </c>
      <c r="D2748" t="str">
        <f>HYPERLINK("https://zfin.org/ZDB-GENE-030131-9134")</f>
        <v>https://zfin.org/ZDB-GENE-030131-9134</v>
      </c>
      <c r="E2748" t="s">
        <v>8224</v>
      </c>
    </row>
    <row r="2749" spans="1:5" x14ac:dyDescent="0.2">
      <c r="A2749" t="s">
        <v>8225</v>
      </c>
      <c r="B2749" t="s">
        <v>8226</v>
      </c>
      <c r="C2749" t="s">
        <v>8226</v>
      </c>
      <c r="D2749" t="str">
        <f>HYPERLINK("https://zfin.org/ZDB-GENE-121214-320")</f>
        <v>https://zfin.org/ZDB-GENE-121214-320</v>
      </c>
      <c r="E2749" t="s">
        <v>8227</v>
      </c>
    </row>
    <row r="2750" spans="1:5" x14ac:dyDescent="0.2">
      <c r="A2750" t="s">
        <v>8228</v>
      </c>
      <c r="B2750" t="s">
        <v>8229</v>
      </c>
      <c r="C2750" t="s">
        <v>8229</v>
      </c>
      <c r="D2750" t="str">
        <f>HYPERLINK("https://zfin.org/ZDB-GENE-091207-2")</f>
        <v>https://zfin.org/ZDB-GENE-091207-2</v>
      </c>
      <c r="E2750" t="s">
        <v>8230</v>
      </c>
    </row>
    <row r="2751" spans="1:5" x14ac:dyDescent="0.2">
      <c r="A2751" t="s">
        <v>8231</v>
      </c>
      <c r="B2751" t="s">
        <v>8232</v>
      </c>
      <c r="C2751" t="s">
        <v>8232</v>
      </c>
      <c r="D2751" t="str">
        <f>HYPERLINK("https://zfin.org/ZDB-GENE-130531-24")</f>
        <v>https://zfin.org/ZDB-GENE-130531-24</v>
      </c>
      <c r="E2751" t="s">
        <v>8233</v>
      </c>
    </row>
    <row r="2752" spans="1:5" x14ac:dyDescent="0.2">
      <c r="A2752" t="s">
        <v>8234</v>
      </c>
      <c r="B2752" t="s">
        <v>8235</v>
      </c>
      <c r="C2752" t="s">
        <v>8235</v>
      </c>
      <c r="D2752" t="str">
        <f>HYPERLINK("https://zfin.org/ZDB-GENE-060519-1")</f>
        <v>https://zfin.org/ZDB-GENE-060519-1</v>
      </c>
      <c r="E2752" t="s">
        <v>8236</v>
      </c>
    </row>
    <row r="2753" spans="1:5" x14ac:dyDescent="0.2">
      <c r="A2753" t="s">
        <v>8237</v>
      </c>
      <c r="B2753" t="s">
        <v>8238</v>
      </c>
      <c r="C2753" t="s">
        <v>8238</v>
      </c>
      <c r="D2753" t="str">
        <f>HYPERLINK("https://zfin.org/ZDB-GENE-141216-2")</f>
        <v>https://zfin.org/ZDB-GENE-141216-2</v>
      </c>
      <c r="E2753" t="s">
        <v>8239</v>
      </c>
    </row>
    <row r="2754" spans="1:5" x14ac:dyDescent="0.2">
      <c r="A2754" t="s">
        <v>8240</v>
      </c>
      <c r="B2754" t="s">
        <v>8241</v>
      </c>
      <c r="C2754" t="s">
        <v>8241</v>
      </c>
      <c r="D2754" t="str">
        <f>HYPERLINK("https://zfin.org/ZDB-GENE-030131-29")</f>
        <v>https://zfin.org/ZDB-GENE-030131-29</v>
      </c>
      <c r="E2754" t="s">
        <v>8242</v>
      </c>
    </row>
    <row r="2755" spans="1:5" x14ac:dyDescent="0.2">
      <c r="A2755" t="s">
        <v>8243</v>
      </c>
      <c r="B2755" t="s">
        <v>8244</v>
      </c>
      <c r="C2755" t="s">
        <v>8244</v>
      </c>
      <c r="D2755" t="str">
        <f>HYPERLINK("https://zfin.org/ZDB-GENE-030131-9181")</f>
        <v>https://zfin.org/ZDB-GENE-030131-9181</v>
      </c>
      <c r="E2755" t="s">
        <v>8245</v>
      </c>
    </row>
    <row r="2756" spans="1:5" x14ac:dyDescent="0.2">
      <c r="A2756" t="s">
        <v>8246</v>
      </c>
      <c r="B2756" t="s">
        <v>8247</v>
      </c>
      <c r="C2756" t="s">
        <v>8247</v>
      </c>
      <c r="D2756" t="str">
        <f>HYPERLINK("https://zfin.org/ZDB-GENE-131127-319")</f>
        <v>https://zfin.org/ZDB-GENE-131127-319</v>
      </c>
      <c r="E2756" t="s">
        <v>8248</v>
      </c>
    </row>
    <row r="2757" spans="1:5" x14ac:dyDescent="0.2">
      <c r="A2757" t="s">
        <v>8249</v>
      </c>
      <c r="B2757" t="s">
        <v>8250</v>
      </c>
      <c r="C2757" t="s">
        <v>8250</v>
      </c>
      <c r="D2757" t="str">
        <f>HYPERLINK("https://zfin.org/ZDB-GENE-050419-97")</f>
        <v>https://zfin.org/ZDB-GENE-050419-97</v>
      </c>
      <c r="E2757" t="s">
        <v>8251</v>
      </c>
    </row>
    <row r="2758" spans="1:5" x14ac:dyDescent="0.2">
      <c r="A2758" t="s">
        <v>8252</v>
      </c>
      <c r="B2758" t="s">
        <v>8253</v>
      </c>
      <c r="C2758" t="s">
        <v>8253</v>
      </c>
      <c r="D2758" t="str">
        <f>HYPERLINK("https://zfin.org/ZDB-GENE-030131-3431")</f>
        <v>https://zfin.org/ZDB-GENE-030131-3431</v>
      </c>
      <c r="E2758" t="s">
        <v>8254</v>
      </c>
    </row>
    <row r="2759" spans="1:5" x14ac:dyDescent="0.2">
      <c r="A2759" t="s">
        <v>8255</v>
      </c>
      <c r="B2759" t="s">
        <v>8256</v>
      </c>
      <c r="C2759" t="s">
        <v>8256</v>
      </c>
      <c r="D2759" t="str">
        <f>HYPERLINK("https://zfin.org/ZDB-GENE-050417-343")</f>
        <v>https://zfin.org/ZDB-GENE-050417-343</v>
      </c>
      <c r="E2759" t="s">
        <v>8257</v>
      </c>
    </row>
    <row r="2760" spans="1:5" x14ac:dyDescent="0.2">
      <c r="A2760" t="s">
        <v>8258</v>
      </c>
      <c r="B2760" t="s">
        <v>8259</v>
      </c>
      <c r="C2760" t="s">
        <v>8259</v>
      </c>
      <c r="D2760" t="str">
        <f>HYPERLINK("https://zfin.org/ZDB-GENE-060929-860")</f>
        <v>https://zfin.org/ZDB-GENE-060929-860</v>
      </c>
      <c r="E2760" t="s">
        <v>8260</v>
      </c>
    </row>
    <row r="2761" spans="1:5" x14ac:dyDescent="0.2">
      <c r="A2761" t="s">
        <v>8261</v>
      </c>
      <c r="B2761" t="s">
        <v>8262</v>
      </c>
      <c r="C2761" t="s">
        <v>8262</v>
      </c>
      <c r="D2761" t="str">
        <f>HYPERLINK("https://zfin.org/ZDB-GENE-120423-1")</f>
        <v>https://zfin.org/ZDB-GENE-120423-1</v>
      </c>
      <c r="E2761" t="s">
        <v>8263</v>
      </c>
    </row>
    <row r="2762" spans="1:5" x14ac:dyDescent="0.2">
      <c r="A2762" t="s">
        <v>8264</v>
      </c>
      <c r="B2762" t="s">
        <v>8265</v>
      </c>
      <c r="C2762" t="s">
        <v>8265</v>
      </c>
      <c r="D2762" t="str">
        <f>HYPERLINK("https://zfin.org/ZDB-GENE-061215-112")</f>
        <v>https://zfin.org/ZDB-GENE-061215-112</v>
      </c>
      <c r="E2762" t="s">
        <v>8266</v>
      </c>
    </row>
    <row r="2763" spans="1:5" x14ac:dyDescent="0.2">
      <c r="A2763" t="s">
        <v>8267</v>
      </c>
      <c r="B2763" t="s">
        <v>8268</v>
      </c>
      <c r="C2763" t="s">
        <v>8268</v>
      </c>
      <c r="D2763" t="str">
        <f>HYPERLINK("https://zfin.org/ZDB-GENE-040308-1")</f>
        <v>https://zfin.org/ZDB-GENE-040308-1</v>
      </c>
      <c r="E2763" t="s">
        <v>8269</v>
      </c>
    </row>
    <row r="2764" spans="1:5" x14ac:dyDescent="0.2">
      <c r="A2764" t="s">
        <v>8270</v>
      </c>
      <c r="B2764" t="s">
        <v>8271</v>
      </c>
      <c r="C2764" t="s">
        <v>8271</v>
      </c>
      <c r="D2764" t="str">
        <f>HYPERLINK("https://zfin.org/ZDB-GENE-030131-9837")</f>
        <v>https://zfin.org/ZDB-GENE-030131-9837</v>
      </c>
      <c r="E2764" t="s">
        <v>8272</v>
      </c>
    </row>
    <row r="2765" spans="1:5" x14ac:dyDescent="0.2">
      <c r="A2765" t="s">
        <v>8273</v>
      </c>
      <c r="B2765" t="s">
        <v>8274</v>
      </c>
      <c r="C2765" t="s">
        <v>8274</v>
      </c>
      <c r="D2765" t="str">
        <f>HYPERLINK("https://zfin.org/ZDB-GENE-030131-6689")</f>
        <v>https://zfin.org/ZDB-GENE-030131-6689</v>
      </c>
      <c r="E2765" t="s">
        <v>8275</v>
      </c>
    </row>
    <row r="2766" spans="1:5" x14ac:dyDescent="0.2">
      <c r="A2766" t="s">
        <v>8276</v>
      </c>
      <c r="B2766" t="s">
        <v>8277</v>
      </c>
      <c r="C2766" t="s">
        <v>8277</v>
      </c>
      <c r="D2766" t="str">
        <f>HYPERLINK("https://zfin.org/ZDB-GENE-020419-17")</f>
        <v>https://zfin.org/ZDB-GENE-020419-17</v>
      </c>
      <c r="E2766" t="s">
        <v>8278</v>
      </c>
    </row>
    <row r="2767" spans="1:5" x14ac:dyDescent="0.2">
      <c r="A2767" t="s">
        <v>8279</v>
      </c>
      <c r="B2767" t="s">
        <v>8280</v>
      </c>
      <c r="C2767" t="s">
        <v>8280</v>
      </c>
      <c r="D2767" t="str">
        <f>HYPERLINK("https://zfin.org/ZDB-GENE-030131-863")</f>
        <v>https://zfin.org/ZDB-GENE-030131-863</v>
      </c>
      <c r="E2767" t="s">
        <v>8281</v>
      </c>
    </row>
    <row r="2768" spans="1:5" x14ac:dyDescent="0.2">
      <c r="A2768" t="s">
        <v>8282</v>
      </c>
      <c r="B2768" t="s">
        <v>8265</v>
      </c>
      <c r="C2768" t="s">
        <v>8283</v>
      </c>
      <c r="D2768" t="str">
        <f>HYPERLINK("https://zfin.org/")</f>
        <v>https://zfin.org/</v>
      </c>
    </row>
    <row r="2769" spans="1:5" x14ac:dyDescent="0.2">
      <c r="A2769" t="s">
        <v>8284</v>
      </c>
      <c r="B2769" t="s">
        <v>8285</v>
      </c>
      <c r="C2769" t="s">
        <v>8285</v>
      </c>
      <c r="D2769" t="str">
        <f>HYPERLINK("https://zfin.org/ZDB-GENE-070912-570")</f>
        <v>https://zfin.org/ZDB-GENE-070912-570</v>
      </c>
      <c r="E2769" t="s">
        <v>8286</v>
      </c>
    </row>
    <row r="2770" spans="1:5" x14ac:dyDescent="0.2">
      <c r="A2770" t="s">
        <v>8287</v>
      </c>
      <c r="B2770" t="s">
        <v>8288</v>
      </c>
      <c r="C2770" t="s">
        <v>8288</v>
      </c>
      <c r="D2770" t="str">
        <f>HYPERLINK("https://zfin.org/ZDB-GENE-040426-1501")</f>
        <v>https://zfin.org/ZDB-GENE-040426-1501</v>
      </c>
      <c r="E2770" t="s">
        <v>8289</v>
      </c>
    </row>
    <row r="2771" spans="1:5" x14ac:dyDescent="0.2">
      <c r="A2771" t="s">
        <v>8290</v>
      </c>
      <c r="B2771" t="s">
        <v>8291</v>
      </c>
      <c r="C2771" t="s">
        <v>8291</v>
      </c>
      <c r="D2771" t="str">
        <f>HYPERLINK("https://zfin.org/ZDB-GENE-050417-322")</f>
        <v>https://zfin.org/ZDB-GENE-050417-322</v>
      </c>
      <c r="E2771" t="s">
        <v>8292</v>
      </c>
    </row>
    <row r="2772" spans="1:5" x14ac:dyDescent="0.2">
      <c r="A2772" t="s">
        <v>8293</v>
      </c>
      <c r="B2772" t="s">
        <v>8294</v>
      </c>
      <c r="C2772" t="s">
        <v>8294</v>
      </c>
      <c r="D2772" t="str">
        <f>HYPERLINK("https://zfin.org/ZDB-GENE-041010-102")</f>
        <v>https://zfin.org/ZDB-GENE-041010-102</v>
      </c>
      <c r="E2772" t="s">
        <v>8295</v>
      </c>
    </row>
    <row r="2773" spans="1:5" x14ac:dyDescent="0.2">
      <c r="A2773" t="s">
        <v>8296</v>
      </c>
      <c r="B2773" t="s">
        <v>8297</v>
      </c>
      <c r="C2773" t="s">
        <v>8297</v>
      </c>
      <c r="D2773" t="str">
        <f>HYPERLINK("https://zfin.org/ZDB-GENE-050309-178")</f>
        <v>https://zfin.org/ZDB-GENE-050309-178</v>
      </c>
      <c r="E2773" t="s">
        <v>8298</v>
      </c>
    </row>
    <row r="2774" spans="1:5" x14ac:dyDescent="0.2">
      <c r="A2774" t="s">
        <v>8299</v>
      </c>
      <c r="B2774" t="s">
        <v>8300</v>
      </c>
      <c r="C2774" t="s">
        <v>8300</v>
      </c>
      <c r="D2774" t="str">
        <f>HYPERLINK("https://zfin.org/ZDB-GENE-990415-225")</f>
        <v>https://zfin.org/ZDB-GENE-990415-225</v>
      </c>
      <c r="E2774" t="s">
        <v>8301</v>
      </c>
    </row>
    <row r="2775" spans="1:5" x14ac:dyDescent="0.2">
      <c r="A2775" t="s">
        <v>8302</v>
      </c>
      <c r="B2775" t="s">
        <v>8303</v>
      </c>
      <c r="C2775" t="s">
        <v>8303</v>
      </c>
      <c r="D2775" t="str">
        <f>HYPERLINK("https://zfin.org/ZDB-GENE-040718-473")</f>
        <v>https://zfin.org/ZDB-GENE-040718-473</v>
      </c>
      <c r="E2775" t="s">
        <v>8304</v>
      </c>
    </row>
    <row r="2776" spans="1:5" x14ac:dyDescent="0.2">
      <c r="A2776" t="s">
        <v>8305</v>
      </c>
      <c r="B2776" t="s">
        <v>8306</v>
      </c>
      <c r="C2776" t="s">
        <v>8306</v>
      </c>
      <c r="D2776" t="str">
        <f>HYPERLINK("https://zfin.org/ZDB-GENE-060503-896")</f>
        <v>https://zfin.org/ZDB-GENE-060503-896</v>
      </c>
      <c r="E2776" t="s">
        <v>8307</v>
      </c>
    </row>
    <row r="2777" spans="1:5" x14ac:dyDescent="0.2">
      <c r="A2777" t="s">
        <v>8308</v>
      </c>
      <c r="B2777" t="s">
        <v>8309</v>
      </c>
      <c r="C2777" t="s">
        <v>8309</v>
      </c>
      <c r="D2777" t="str">
        <f>HYPERLINK("https://zfin.org/ZDB-GENE-010406-3")</f>
        <v>https://zfin.org/ZDB-GENE-010406-3</v>
      </c>
      <c r="E2777" t="s">
        <v>8310</v>
      </c>
    </row>
    <row r="2778" spans="1:5" x14ac:dyDescent="0.2">
      <c r="A2778" t="s">
        <v>8311</v>
      </c>
      <c r="B2778" t="s">
        <v>8312</v>
      </c>
      <c r="C2778" t="s">
        <v>8312</v>
      </c>
      <c r="D2778" t="str">
        <f>HYPERLINK("https://zfin.org/ZDB-GENE-070410-128")</f>
        <v>https://zfin.org/ZDB-GENE-070410-128</v>
      </c>
      <c r="E2778" t="s">
        <v>8313</v>
      </c>
    </row>
    <row r="2779" spans="1:5" x14ac:dyDescent="0.2">
      <c r="A2779" t="s">
        <v>8314</v>
      </c>
      <c r="B2779" t="s">
        <v>8315</v>
      </c>
      <c r="C2779" t="s">
        <v>8315</v>
      </c>
      <c r="D2779" t="str">
        <f>HYPERLINK("https://zfin.org/ZDB-GENE-030131-5912")</f>
        <v>https://zfin.org/ZDB-GENE-030131-5912</v>
      </c>
      <c r="E2779" t="s">
        <v>8316</v>
      </c>
    </row>
    <row r="2780" spans="1:5" x14ac:dyDescent="0.2">
      <c r="A2780" t="s">
        <v>8317</v>
      </c>
      <c r="B2780" t="s">
        <v>8318</v>
      </c>
      <c r="C2780" t="s">
        <v>8318</v>
      </c>
      <c r="D2780" t="str">
        <f>HYPERLINK("https://zfin.org/ZDB-GENE-000804-1")</f>
        <v>https://zfin.org/ZDB-GENE-000804-1</v>
      </c>
      <c r="E2780" t="s">
        <v>8319</v>
      </c>
    </row>
    <row r="2781" spans="1:5" x14ac:dyDescent="0.2">
      <c r="A2781" t="s">
        <v>8320</v>
      </c>
      <c r="B2781" t="s">
        <v>8321</v>
      </c>
      <c r="C2781" t="s">
        <v>8321</v>
      </c>
      <c r="D2781" t="str">
        <f>HYPERLINK("https://zfin.org/ZDB-GENE-041015-747")</f>
        <v>https://zfin.org/ZDB-GENE-041015-747</v>
      </c>
      <c r="E2781" t="s">
        <v>8322</v>
      </c>
    </row>
    <row r="2782" spans="1:5" x14ac:dyDescent="0.2">
      <c r="A2782" t="s">
        <v>8323</v>
      </c>
      <c r="B2782" t="s">
        <v>8324</v>
      </c>
      <c r="C2782" t="s">
        <v>8324</v>
      </c>
      <c r="D2782" t="str">
        <f>HYPERLINK("https://zfin.org/ZDB-GENE-040426-2882")</f>
        <v>https://zfin.org/ZDB-GENE-040426-2882</v>
      </c>
      <c r="E2782" t="s">
        <v>8325</v>
      </c>
    </row>
    <row r="2783" spans="1:5" x14ac:dyDescent="0.2">
      <c r="A2783" t="s">
        <v>8326</v>
      </c>
      <c r="B2783" t="s">
        <v>8327</v>
      </c>
      <c r="C2783" t="s">
        <v>8327</v>
      </c>
      <c r="D2783" t="str">
        <f>HYPERLINK("https://zfin.org/ZDB-GENE-040905-1")</f>
        <v>https://zfin.org/ZDB-GENE-040905-1</v>
      </c>
      <c r="E2783" t="s">
        <v>8328</v>
      </c>
    </row>
    <row r="2784" spans="1:5" x14ac:dyDescent="0.2">
      <c r="A2784" t="s">
        <v>8329</v>
      </c>
      <c r="B2784" t="s">
        <v>8330</v>
      </c>
      <c r="C2784" t="s">
        <v>8330</v>
      </c>
      <c r="D2784" t="str">
        <f>HYPERLINK("https://zfin.org/ZDB-GENE-071030-1")</f>
        <v>https://zfin.org/ZDB-GENE-071030-1</v>
      </c>
      <c r="E2784" t="s">
        <v>8331</v>
      </c>
    </row>
    <row r="2785" spans="1:5" x14ac:dyDescent="0.2">
      <c r="A2785" t="s">
        <v>8332</v>
      </c>
      <c r="B2785" t="s">
        <v>8333</v>
      </c>
      <c r="C2785" t="s">
        <v>8333</v>
      </c>
      <c r="D2785" t="str">
        <f>HYPERLINK("https://zfin.org/ZDB-GENE-050302-15")</f>
        <v>https://zfin.org/ZDB-GENE-050302-15</v>
      </c>
      <c r="E2785" t="s">
        <v>8334</v>
      </c>
    </row>
    <row r="2786" spans="1:5" x14ac:dyDescent="0.2">
      <c r="A2786" t="s">
        <v>8335</v>
      </c>
      <c r="B2786" t="s">
        <v>8336</v>
      </c>
      <c r="C2786" t="s">
        <v>8336</v>
      </c>
      <c r="D2786" t="str">
        <f>HYPERLINK("https://zfin.org/ZDB-GENE-040801-132")</f>
        <v>https://zfin.org/ZDB-GENE-040801-132</v>
      </c>
      <c r="E2786" t="s">
        <v>8337</v>
      </c>
    </row>
    <row r="2787" spans="1:5" x14ac:dyDescent="0.2">
      <c r="A2787" t="s">
        <v>8338</v>
      </c>
      <c r="B2787" t="s">
        <v>8339</v>
      </c>
      <c r="C2787" t="s">
        <v>8339</v>
      </c>
      <c r="D2787" t="str">
        <f>HYPERLINK("https://zfin.org/ZDB-GENE-090313-38")</f>
        <v>https://zfin.org/ZDB-GENE-090313-38</v>
      </c>
      <c r="E2787" t="s">
        <v>8340</v>
      </c>
    </row>
    <row r="2788" spans="1:5" x14ac:dyDescent="0.2">
      <c r="A2788" t="s">
        <v>8341</v>
      </c>
      <c r="B2788" t="s">
        <v>8342</v>
      </c>
      <c r="C2788" t="s">
        <v>8342</v>
      </c>
      <c r="D2788" t="str">
        <f>HYPERLINK("https://zfin.org/ZDB-GENE-030131-3967")</f>
        <v>https://zfin.org/ZDB-GENE-030131-3967</v>
      </c>
      <c r="E2788" t="s">
        <v>8343</v>
      </c>
    </row>
    <row r="2789" spans="1:5" x14ac:dyDescent="0.2">
      <c r="A2789" t="s">
        <v>8344</v>
      </c>
      <c r="B2789" t="s">
        <v>8345</v>
      </c>
      <c r="C2789" t="s">
        <v>8345</v>
      </c>
      <c r="D2789" t="str">
        <f>HYPERLINK("https://zfin.org/ZDB-GENE-060315-11")</f>
        <v>https://zfin.org/ZDB-GENE-060315-11</v>
      </c>
      <c r="E2789" t="s">
        <v>8346</v>
      </c>
    </row>
    <row r="2790" spans="1:5" x14ac:dyDescent="0.2">
      <c r="A2790" t="s">
        <v>8347</v>
      </c>
      <c r="B2790" t="s">
        <v>8348</v>
      </c>
      <c r="C2790" t="s">
        <v>8348</v>
      </c>
      <c r="D2790" t="str">
        <f>HYPERLINK("https://zfin.org/ZDB-GENE-050327-28")</f>
        <v>https://zfin.org/ZDB-GENE-050327-28</v>
      </c>
      <c r="E2790" t="s">
        <v>8349</v>
      </c>
    </row>
    <row r="2791" spans="1:5" x14ac:dyDescent="0.2">
      <c r="A2791" t="s">
        <v>8350</v>
      </c>
      <c r="B2791" t="s">
        <v>8351</v>
      </c>
      <c r="C2791" t="s">
        <v>8351</v>
      </c>
      <c r="D2791" t="str">
        <f>HYPERLINK("https://zfin.org/ZDB-GENE-090313-183")</f>
        <v>https://zfin.org/ZDB-GENE-090313-183</v>
      </c>
      <c r="E2791" t="s">
        <v>8352</v>
      </c>
    </row>
    <row r="2792" spans="1:5" x14ac:dyDescent="0.2">
      <c r="A2792" t="s">
        <v>8353</v>
      </c>
      <c r="B2792" t="s">
        <v>8354</v>
      </c>
      <c r="C2792" t="s">
        <v>8354</v>
      </c>
      <c r="D2792" t="str">
        <f>HYPERLINK("https://zfin.org/ZDB-GENE-021015-2")</f>
        <v>https://zfin.org/ZDB-GENE-021015-2</v>
      </c>
      <c r="E2792" t="s">
        <v>8355</v>
      </c>
    </row>
    <row r="2793" spans="1:5" x14ac:dyDescent="0.2">
      <c r="A2793" t="s">
        <v>8356</v>
      </c>
      <c r="B2793" t="s">
        <v>8357</v>
      </c>
      <c r="C2793" t="s">
        <v>8357</v>
      </c>
      <c r="D2793" t="str">
        <f>HYPERLINK("https://zfin.org/ZDB-GENE-030131-8442")</f>
        <v>https://zfin.org/ZDB-GENE-030131-8442</v>
      </c>
      <c r="E2793" t="s">
        <v>8358</v>
      </c>
    </row>
    <row r="2794" spans="1:5" x14ac:dyDescent="0.2">
      <c r="A2794" t="s">
        <v>8359</v>
      </c>
      <c r="B2794" t="s">
        <v>8360</v>
      </c>
      <c r="C2794" t="s">
        <v>8360</v>
      </c>
      <c r="D2794" t="str">
        <f>HYPERLINK("https://zfin.org/ZDB-GENE-060824-4")</f>
        <v>https://zfin.org/ZDB-GENE-060824-4</v>
      </c>
      <c r="E2794" t="s">
        <v>8361</v>
      </c>
    </row>
    <row r="2795" spans="1:5" x14ac:dyDescent="0.2">
      <c r="A2795" t="s">
        <v>8362</v>
      </c>
      <c r="B2795" t="s">
        <v>8363</v>
      </c>
      <c r="C2795" t="s">
        <v>8363</v>
      </c>
      <c r="D2795" t="str">
        <f>HYPERLINK("https://zfin.org/ZDB-GENE-091204-331")</f>
        <v>https://zfin.org/ZDB-GENE-091204-331</v>
      </c>
      <c r="E2795" t="s">
        <v>8364</v>
      </c>
    </row>
    <row r="2796" spans="1:5" x14ac:dyDescent="0.2">
      <c r="A2796" t="s">
        <v>8365</v>
      </c>
      <c r="B2796" t="s">
        <v>8366</v>
      </c>
      <c r="C2796" t="s">
        <v>8366</v>
      </c>
      <c r="D2796" t="str">
        <f>HYPERLINK("https://zfin.org/ZDB-GENE-040426-698")</f>
        <v>https://zfin.org/ZDB-GENE-040426-698</v>
      </c>
      <c r="E2796" t="s">
        <v>8367</v>
      </c>
    </row>
    <row r="2797" spans="1:5" x14ac:dyDescent="0.2">
      <c r="A2797" t="s">
        <v>8368</v>
      </c>
      <c r="B2797" t="s">
        <v>8369</v>
      </c>
      <c r="C2797" t="s">
        <v>8369</v>
      </c>
      <c r="D2797" t="str">
        <f>HYPERLINK("https://zfin.org/ZDB-GENE-050221-1")</f>
        <v>https://zfin.org/ZDB-GENE-050221-1</v>
      </c>
      <c r="E2797" t="s">
        <v>8370</v>
      </c>
    </row>
    <row r="2798" spans="1:5" x14ac:dyDescent="0.2">
      <c r="A2798" t="s">
        <v>8371</v>
      </c>
      <c r="B2798" t="s">
        <v>8372</v>
      </c>
      <c r="C2798" t="s">
        <v>8372</v>
      </c>
      <c r="D2798" t="str">
        <f>HYPERLINK("https://zfin.org/ZDB-GENE-010412-1")</f>
        <v>https://zfin.org/ZDB-GENE-010412-1</v>
      </c>
      <c r="E2798" t="s">
        <v>8373</v>
      </c>
    </row>
    <row r="2799" spans="1:5" x14ac:dyDescent="0.2">
      <c r="A2799" t="s">
        <v>8374</v>
      </c>
      <c r="B2799" t="s">
        <v>8375</v>
      </c>
      <c r="C2799" t="s">
        <v>8375</v>
      </c>
      <c r="D2799" t="str">
        <f>HYPERLINK("https://zfin.org/ZDB-GENE-091204-246")</f>
        <v>https://zfin.org/ZDB-GENE-091204-246</v>
      </c>
      <c r="E2799" t="s">
        <v>8376</v>
      </c>
    </row>
    <row r="2800" spans="1:5" x14ac:dyDescent="0.2">
      <c r="A2800" t="s">
        <v>8377</v>
      </c>
      <c r="B2800" t="s">
        <v>8378</v>
      </c>
      <c r="C2800" t="s">
        <v>8378</v>
      </c>
      <c r="D2800" t="str">
        <f>HYPERLINK("https://zfin.org/ZDB-GENE-040426-1357")</f>
        <v>https://zfin.org/ZDB-GENE-040426-1357</v>
      </c>
      <c r="E2800" t="s">
        <v>8379</v>
      </c>
    </row>
    <row r="2801" spans="1:5" x14ac:dyDescent="0.2">
      <c r="A2801" t="s">
        <v>8380</v>
      </c>
      <c r="B2801" t="s">
        <v>8381</v>
      </c>
      <c r="C2801" t="s">
        <v>8381</v>
      </c>
      <c r="D2801" t="str">
        <f>HYPERLINK("https://zfin.org/ZDB-GENE-070912-422")</f>
        <v>https://zfin.org/ZDB-GENE-070912-422</v>
      </c>
      <c r="E2801" t="s">
        <v>8382</v>
      </c>
    </row>
    <row r="2802" spans="1:5" x14ac:dyDescent="0.2">
      <c r="A2802" t="s">
        <v>8383</v>
      </c>
      <c r="B2802" t="s">
        <v>8384</v>
      </c>
      <c r="C2802" t="s">
        <v>8384</v>
      </c>
      <c r="D2802" t="str">
        <f>HYPERLINK("https://zfin.org/ZDB-GENE-060503-871")</f>
        <v>https://zfin.org/ZDB-GENE-060503-871</v>
      </c>
      <c r="E2802" t="s">
        <v>8385</v>
      </c>
    </row>
    <row r="2803" spans="1:5" x14ac:dyDescent="0.2">
      <c r="A2803" t="s">
        <v>8386</v>
      </c>
      <c r="B2803" t="s">
        <v>8387</v>
      </c>
      <c r="C2803" t="s">
        <v>8387</v>
      </c>
      <c r="D2803" t="str">
        <f>HYPERLINK("https://zfin.org/ZDB-GENE-030131-7120")</f>
        <v>https://zfin.org/ZDB-GENE-030131-7120</v>
      </c>
      <c r="E2803" t="s">
        <v>8388</v>
      </c>
    </row>
    <row r="2804" spans="1:5" x14ac:dyDescent="0.2">
      <c r="A2804" t="s">
        <v>8389</v>
      </c>
      <c r="B2804" t="s">
        <v>8390</v>
      </c>
      <c r="C2804" t="s">
        <v>8390</v>
      </c>
      <c r="D2804" t="str">
        <f>HYPERLINK("https://zfin.org/ZDB-GENE-060929-1150")</f>
        <v>https://zfin.org/ZDB-GENE-060929-1150</v>
      </c>
      <c r="E2804" t="s">
        <v>8391</v>
      </c>
    </row>
    <row r="2805" spans="1:5" x14ac:dyDescent="0.2">
      <c r="A2805" t="s">
        <v>8392</v>
      </c>
      <c r="B2805" t="s">
        <v>8393</v>
      </c>
      <c r="C2805" t="s">
        <v>8393</v>
      </c>
      <c r="D2805" t="str">
        <f>HYPERLINK("https://zfin.org/ZDB-GENE-131119-69")</f>
        <v>https://zfin.org/ZDB-GENE-131119-69</v>
      </c>
      <c r="E2805" t="s">
        <v>8394</v>
      </c>
    </row>
    <row r="2806" spans="1:5" x14ac:dyDescent="0.2">
      <c r="A2806" t="s">
        <v>8395</v>
      </c>
      <c r="B2806" t="s">
        <v>8396</v>
      </c>
      <c r="C2806" t="s">
        <v>8396</v>
      </c>
      <c r="D2806" t="str">
        <f>HYPERLINK("https://zfin.org/ZDB-GENE-050517-12")</f>
        <v>https://zfin.org/ZDB-GENE-050517-12</v>
      </c>
      <c r="E2806" t="s">
        <v>8397</v>
      </c>
    </row>
    <row r="2807" spans="1:5" x14ac:dyDescent="0.2">
      <c r="A2807" t="s">
        <v>8398</v>
      </c>
      <c r="B2807" t="s">
        <v>8399</v>
      </c>
      <c r="C2807" t="s">
        <v>8399</v>
      </c>
      <c r="D2807" t="str">
        <f>HYPERLINK("https://zfin.org/ZDB-GENE-080723-73")</f>
        <v>https://zfin.org/ZDB-GENE-080723-73</v>
      </c>
      <c r="E2807" t="s">
        <v>8400</v>
      </c>
    </row>
    <row r="2808" spans="1:5" x14ac:dyDescent="0.2">
      <c r="A2808" t="s">
        <v>8401</v>
      </c>
      <c r="B2808" t="s">
        <v>8402</v>
      </c>
      <c r="C2808" t="s">
        <v>8402</v>
      </c>
      <c r="D2808" t="str">
        <f>HYPERLINK("https://zfin.org/ZDB-GENE-070705-279")</f>
        <v>https://zfin.org/ZDB-GENE-070705-279</v>
      </c>
      <c r="E2808" t="s">
        <v>8403</v>
      </c>
    </row>
    <row r="2809" spans="1:5" x14ac:dyDescent="0.2">
      <c r="A2809" t="s">
        <v>8404</v>
      </c>
      <c r="B2809" t="s">
        <v>8405</v>
      </c>
      <c r="C2809" t="s">
        <v>8405</v>
      </c>
      <c r="D2809" t="str">
        <f>HYPERLINK("https://zfin.org/ZDB-GENE-030131-5265")</f>
        <v>https://zfin.org/ZDB-GENE-030131-5265</v>
      </c>
      <c r="E2809" t="s">
        <v>8406</v>
      </c>
    </row>
    <row r="2810" spans="1:5" x14ac:dyDescent="0.2">
      <c r="A2810" t="s">
        <v>8407</v>
      </c>
      <c r="B2810" t="s">
        <v>8408</v>
      </c>
      <c r="C2810" t="s">
        <v>8408</v>
      </c>
      <c r="D2810" t="str">
        <f>HYPERLINK("https://zfin.org/ZDB-GENE-061013-657")</f>
        <v>https://zfin.org/ZDB-GENE-061013-657</v>
      </c>
      <c r="E2810" t="s">
        <v>8409</v>
      </c>
    </row>
    <row r="2811" spans="1:5" x14ac:dyDescent="0.2">
      <c r="A2811" t="s">
        <v>8410</v>
      </c>
      <c r="B2811" t="s">
        <v>8411</v>
      </c>
      <c r="C2811" t="s">
        <v>8411</v>
      </c>
      <c r="D2811" t="str">
        <f>HYPERLINK("https://zfin.org/ZDB-GENE-131118-30")</f>
        <v>https://zfin.org/ZDB-GENE-131118-30</v>
      </c>
      <c r="E2811" t="s">
        <v>8412</v>
      </c>
    </row>
    <row r="2812" spans="1:5" x14ac:dyDescent="0.2">
      <c r="A2812" t="s">
        <v>8413</v>
      </c>
      <c r="B2812" t="s">
        <v>8414</v>
      </c>
      <c r="C2812" t="s">
        <v>8414</v>
      </c>
      <c r="D2812" t="str">
        <f>HYPERLINK("https://zfin.org/ZDB-GENE-050417-45")</f>
        <v>https://zfin.org/ZDB-GENE-050417-45</v>
      </c>
      <c r="E2812" t="s">
        <v>8415</v>
      </c>
    </row>
    <row r="2813" spans="1:5" x14ac:dyDescent="0.2">
      <c r="A2813" t="s">
        <v>8416</v>
      </c>
      <c r="B2813" t="s">
        <v>8417</v>
      </c>
      <c r="C2813" t="s">
        <v>8417</v>
      </c>
      <c r="D2813" t="str">
        <f>HYPERLINK("https://zfin.org/ZDB-GENE-050419-75")</f>
        <v>https://zfin.org/ZDB-GENE-050419-75</v>
      </c>
      <c r="E2813" t="s">
        <v>8418</v>
      </c>
    </row>
    <row r="2814" spans="1:5" x14ac:dyDescent="0.2">
      <c r="A2814" t="s">
        <v>8419</v>
      </c>
      <c r="B2814" t="s">
        <v>8420</v>
      </c>
      <c r="C2814" t="s">
        <v>8420</v>
      </c>
      <c r="D2814" t="str">
        <f>HYPERLINK("https://zfin.org/ZDB-GENE-070717-5")</f>
        <v>https://zfin.org/ZDB-GENE-070717-5</v>
      </c>
      <c r="E2814" t="s">
        <v>8421</v>
      </c>
    </row>
    <row r="2815" spans="1:5" x14ac:dyDescent="0.2">
      <c r="A2815" t="s">
        <v>8422</v>
      </c>
      <c r="B2815" t="s">
        <v>8423</v>
      </c>
      <c r="C2815" t="s">
        <v>8423</v>
      </c>
      <c r="D2815" t="str">
        <f>HYPERLINK("https://zfin.org/ZDB-GENE-080130-1")</f>
        <v>https://zfin.org/ZDB-GENE-080130-1</v>
      </c>
      <c r="E2815" t="s">
        <v>8424</v>
      </c>
    </row>
    <row r="2816" spans="1:5" x14ac:dyDescent="0.2">
      <c r="A2816" t="s">
        <v>8425</v>
      </c>
      <c r="B2816" t="s">
        <v>8426</v>
      </c>
      <c r="C2816" t="s">
        <v>8426</v>
      </c>
      <c r="D2816" t="str">
        <f>HYPERLINK("https://zfin.org/ZDB-GENE-041014-147")</f>
        <v>https://zfin.org/ZDB-GENE-041014-147</v>
      </c>
      <c r="E2816" t="s">
        <v>8427</v>
      </c>
    </row>
    <row r="2817" spans="1:5" x14ac:dyDescent="0.2">
      <c r="A2817" t="s">
        <v>8428</v>
      </c>
      <c r="B2817" t="s">
        <v>8429</v>
      </c>
      <c r="C2817" t="s">
        <v>8429</v>
      </c>
      <c r="D2817" t="str">
        <f>HYPERLINK("https://zfin.org/ZDB-GENE-030131-3121")</f>
        <v>https://zfin.org/ZDB-GENE-030131-3121</v>
      </c>
      <c r="E2817" t="s">
        <v>8430</v>
      </c>
    </row>
    <row r="2818" spans="1:5" x14ac:dyDescent="0.2">
      <c r="A2818" t="s">
        <v>8431</v>
      </c>
      <c r="B2818" t="s">
        <v>8432</v>
      </c>
      <c r="C2818" t="s">
        <v>8432</v>
      </c>
      <c r="D2818" t="str">
        <f>HYPERLINK("https://zfin.org/ZDB-GENE-081104-212")</f>
        <v>https://zfin.org/ZDB-GENE-081104-212</v>
      </c>
      <c r="E2818" t="s">
        <v>8433</v>
      </c>
    </row>
    <row r="2819" spans="1:5" x14ac:dyDescent="0.2">
      <c r="A2819" t="s">
        <v>8434</v>
      </c>
      <c r="B2819" t="s">
        <v>8435</v>
      </c>
      <c r="C2819" t="s">
        <v>8435</v>
      </c>
      <c r="D2819" t="str">
        <f>HYPERLINK("https://zfin.org/ZDB-GENE-031002-47")</f>
        <v>https://zfin.org/ZDB-GENE-031002-47</v>
      </c>
      <c r="E2819" t="s">
        <v>8436</v>
      </c>
    </row>
    <row r="2820" spans="1:5" x14ac:dyDescent="0.2">
      <c r="A2820" t="s">
        <v>8437</v>
      </c>
      <c r="B2820" t="s">
        <v>8438</v>
      </c>
      <c r="C2820" t="s">
        <v>8438</v>
      </c>
      <c r="D2820" t="str">
        <f>HYPERLINK("https://zfin.org/ZDB-GENE-110914-81")</f>
        <v>https://zfin.org/ZDB-GENE-110914-81</v>
      </c>
      <c r="E2820" t="s">
        <v>8439</v>
      </c>
    </row>
    <row r="2821" spans="1:5" x14ac:dyDescent="0.2">
      <c r="A2821" t="s">
        <v>8440</v>
      </c>
      <c r="B2821" t="s">
        <v>8441</v>
      </c>
      <c r="C2821" t="s">
        <v>8441</v>
      </c>
      <c r="D2821" t="str">
        <f>HYPERLINK("https://zfin.org/ZDB-GENE-050517-42")</f>
        <v>https://zfin.org/ZDB-GENE-050517-42</v>
      </c>
      <c r="E2821" t="s">
        <v>8442</v>
      </c>
    </row>
    <row r="2822" spans="1:5" x14ac:dyDescent="0.2">
      <c r="A2822" t="s">
        <v>8443</v>
      </c>
      <c r="B2822" t="s">
        <v>8444</v>
      </c>
      <c r="C2822" t="s">
        <v>8444</v>
      </c>
      <c r="D2822" t="str">
        <f>HYPERLINK("https://zfin.org/ZDB-GENE-040718-379")</f>
        <v>https://zfin.org/ZDB-GENE-040718-379</v>
      </c>
      <c r="E2822" t="s">
        <v>8445</v>
      </c>
    </row>
    <row r="2823" spans="1:5" x14ac:dyDescent="0.2">
      <c r="A2823" t="s">
        <v>8446</v>
      </c>
      <c r="B2823" t="s">
        <v>8447</v>
      </c>
      <c r="C2823" t="s">
        <v>8447</v>
      </c>
      <c r="D2823" t="str">
        <f>HYPERLINK("https://zfin.org/ZDB-GENE-030619-16")</f>
        <v>https://zfin.org/ZDB-GENE-030619-16</v>
      </c>
      <c r="E2823" t="s">
        <v>8448</v>
      </c>
    </row>
    <row r="2824" spans="1:5" x14ac:dyDescent="0.2">
      <c r="A2824" t="s">
        <v>8449</v>
      </c>
      <c r="B2824" t="s">
        <v>8450</v>
      </c>
      <c r="C2824" t="s">
        <v>8450</v>
      </c>
      <c r="D2824" t="str">
        <f>HYPERLINK("https://zfin.org/ZDB-GENE-030131-417")</f>
        <v>https://zfin.org/ZDB-GENE-030131-417</v>
      </c>
      <c r="E2824" t="s">
        <v>8451</v>
      </c>
    </row>
    <row r="2825" spans="1:5" x14ac:dyDescent="0.2">
      <c r="A2825" t="s">
        <v>8452</v>
      </c>
      <c r="B2825" t="s">
        <v>8453</v>
      </c>
      <c r="C2825" t="s">
        <v>8453</v>
      </c>
      <c r="D2825" t="str">
        <f>HYPERLINK("https://zfin.org/ZDB-GENE-060503-775")</f>
        <v>https://zfin.org/ZDB-GENE-060503-775</v>
      </c>
      <c r="E2825" t="s">
        <v>8454</v>
      </c>
    </row>
    <row r="2826" spans="1:5" x14ac:dyDescent="0.2">
      <c r="A2826" t="s">
        <v>8455</v>
      </c>
      <c r="B2826" t="s">
        <v>8456</v>
      </c>
      <c r="C2826" t="s">
        <v>8456</v>
      </c>
      <c r="D2826" t="str">
        <f>HYPERLINK("https://zfin.org/ZDB-GENE-030131-726")</f>
        <v>https://zfin.org/ZDB-GENE-030131-726</v>
      </c>
      <c r="E2826" t="s">
        <v>8457</v>
      </c>
    </row>
    <row r="2827" spans="1:5" x14ac:dyDescent="0.2">
      <c r="A2827" t="s">
        <v>8458</v>
      </c>
      <c r="B2827" t="s">
        <v>8459</v>
      </c>
      <c r="C2827" t="s">
        <v>8459</v>
      </c>
      <c r="D2827" t="str">
        <f>HYPERLINK("https://zfin.org/ZDB-GENE-020808-1")</f>
        <v>https://zfin.org/ZDB-GENE-020808-1</v>
      </c>
      <c r="E2827" t="s">
        <v>8460</v>
      </c>
    </row>
    <row r="2828" spans="1:5" x14ac:dyDescent="0.2">
      <c r="A2828" t="s">
        <v>8461</v>
      </c>
      <c r="B2828" t="s">
        <v>8462</v>
      </c>
      <c r="C2828" t="s">
        <v>8462</v>
      </c>
      <c r="D2828" t="str">
        <f>HYPERLINK("https://zfin.org/ZDB-GENE-110913-157")</f>
        <v>https://zfin.org/ZDB-GENE-110913-157</v>
      </c>
      <c r="E2828" t="s">
        <v>8463</v>
      </c>
    </row>
    <row r="2829" spans="1:5" x14ac:dyDescent="0.2">
      <c r="A2829" t="s">
        <v>8464</v>
      </c>
      <c r="B2829" t="s">
        <v>8465</v>
      </c>
      <c r="C2829" t="s">
        <v>8465</v>
      </c>
      <c r="D2829" t="str">
        <f>HYPERLINK("https://zfin.org/ZDB-GENE-040704-25")</f>
        <v>https://zfin.org/ZDB-GENE-040704-25</v>
      </c>
      <c r="E2829" t="s">
        <v>8466</v>
      </c>
    </row>
    <row r="2830" spans="1:5" x14ac:dyDescent="0.2">
      <c r="A2830" t="s">
        <v>8467</v>
      </c>
      <c r="B2830" t="s">
        <v>8468</v>
      </c>
      <c r="C2830" t="s">
        <v>8468</v>
      </c>
      <c r="D2830" t="str">
        <f>HYPERLINK("https://zfin.org/ZDB-GENE-120215-66")</f>
        <v>https://zfin.org/ZDB-GENE-120215-66</v>
      </c>
      <c r="E2830" t="s">
        <v>8469</v>
      </c>
    </row>
    <row r="2831" spans="1:5" x14ac:dyDescent="0.2">
      <c r="A2831" t="s">
        <v>8470</v>
      </c>
      <c r="B2831" t="s">
        <v>8471</v>
      </c>
      <c r="C2831" t="s">
        <v>8471</v>
      </c>
      <c r="D2831" t="str">
        <f>HYPERLINK("https://zfin.org/ZDB-GENE-030131-4851")</f>
        <v>https://zfin.org/ZDB-GENE-030131-4851</v>
      </c>
      <c r="E2831" t="s">
        <v>8472</v>
      </c>
    </row>
    <row r="2832" spans="1:5" x14ac:dyDescent="0.2">
      <c r="A2832" t="s">
        <v>8473</v>
      </c>
      <c r="B2832" t="s">
        <v>8474</v>
      </c>
      <c r="C2832" t="s">
        <v>8474</v>
      </c>
      <c r="D2832" t="str">
        <f>HYPERLINK("https://zfin.org/ZDB-GENE-041114-37")</f>
        <v>https://zfin.org/ZDB-GENE-041114-37</v>
      </c>
      <c r="E2832" t="s">
        <v>8475</v>
      </c>
    </row>
    <row r="2833" spans="1:5" x14ac:dyDescent="0.2">
      <c r="A2833" t="s">
        <v>8476</v>
      </c>
      <c r="B2833" t="s">
        <v>8477</v>
      </c>
      <c r="C2833" t="s">
        <v>8477</v>
      </c>
      <c r="D2833" t="str">
        <f>HYPERLINK("https://zfin.org/ZDB-GENE-060201-2")</f>
        <v>https://zfin.org/ZDB-GENE-060201-2</v>
      </c>
      <c r="E2833" t="s">
        <v>8478</v>
      </c>
    </row>
    <row r="2834" spans="1:5" x14ac:dyDescent="0.2">
      <c r="A2834" t="s">
        <v>8479</v>
      </c>
      <c r="B2834" t="s">
        <v>8480</v>
      </c>
      <c r="C2834" t="s">
        <v>8480</v>
      </c>
      <c r="D2834" t="str">
        <f>HYPERLINK("https://zfin.org/ZDB-GENE-031116-71")</f>
        <v>https://zfin.org/ZDB-GENE-031116-71</v>
      </c>
      <c r="E2834" t="s">
        <v>8481</v>
      </c>
    </row>
    <row r="2835" spans="1:5" x14ac:dyDescent="0.2">
      <c r="A2835" t="s">
        <v>8482</v>
      </c>
      <c r="B2835" t="s">
        <v>8483</v>
      </c>
      <c r="C2835" t="s">
        <v>8483</v>
      </c>
      <c r="D2835" t="str">
        <f>HYPERLINK("https://zfin.org/ZDB-GENE-050417-65")</f>
        <v>https://zfin.org/ZDB-GENE-050417-65</v>
      </c>
      <c r="E2835" t="s">
        <v>8484</v>
      </c>
    </row>
    <row r="2836" spans="1:5" x14ac:dyDescent="0.2">
      <c r="A2836" t="s">
        <v>8485</v>
      </c>
      <c r="B2836" t="s">
        <v>8486</v>
      </c>
      <c r="C2836" t="s">
        <v>8486</v>
      </c>
      <c r="D2836" t="str">
        <f>HYPERLINK("https://zfin.org/ZDB-GENE-020419-9")</f>
        <v>https://zfin.org/ZDB-GENE-020419-9</v>
      </c>
      <c r="E2836" t="s">
        <v>8487</v>
      </c>
    </row>
    <row r="2837" spans="1:5" x14ac:dyDescent="0.2">
      <c r="A2837" t="s">
        <v>8488</v>
      </c>
      <c r="B2837" t="s">
        <v>8489</v>
      </c>
      <c r="C2837" t="s">
        <v>8489</v>
      </c>
      <c r="D2837" t="str">
        <f>HYPERLINK("https://zfin.org/ZDB-GENE-070912-589")</f>
        <v>https://zfin.org/ZDB-GENE-070912-589</v>
      </c>
      <c r="E2837" t="s">
        <v>8490</v>
      </c>
    </row>
    <row r="2838" spans="1:5" x14ac:dyDescent="0.2">
      <c r="A2838" t="s">
        <v>8491</v>
      </c>
      <c r="B2838" t="s">
        <v>8492</v>
      </c>
      <c r="C2838" t="s">
        <v>8492</v>
      </c>
      <c r="D2838" t="str">
        <f>HYPERLINK("https://zfin.org/ZDB-GENE-030131-7773")</f>
        <v>https://zfin.org/ZDB-GENE-030131-7773</v>
      </c>
      <c r="E2838" t="s">
        <v>8493</v>
      </c>
    </row>
    <row r="2839" spans="1:5" x14ac:dyDescent="0.2">
      <c r="A2839" t="s">
        <v>8494</v>
      </c>
      <c r="B2839" t="s">
        <v>8495</v>
      </c>
      <c r="C2839" t="s">
        <v>8495</v>
      </c>
      <c r="D2839" t="str">
        <f>HYPERLINK("https://zfin.org/ZDB-GENE-061110-141")</f>
        <v>https://zfin.org/ZDB-GENE-061110-141</v>
      </c>
      <c r="E2839" t="s">
        <v>8496</v>
      </c>
    </row>
    <row r="2840" spans="1:5" x14ac:dyDescent="0.2">
      <c r="A2840" t="s">
        <v>8497</v>
      </c>
      <c r="B2840" t="s">
        <v>8498</v>
      </c>
      <c r="C2840" t="s">
        <v>8498</v>
      </c>
      <c r="D2840" t="str">
        <f>HYPERLINK("https://zfin.org/ZDB-GENE-041121-5")</f>
        <v>https://zfin.org/ZDB-GENE-041121-5</v>
      </c>
      <c r="E2840" t="s">
        <v>8499</v>
      </c>
    </row>
    <row r="2841" spans="1:5" x14ac:dyDescent="0.2">
      <c r="A2841" t="s">
        <v>8500</v>
      </c>
      <c r="B2841" t="s">
        <v>8501</v>
      </c>
      <c r="C2841" t="s">
        <v>8501</v>
      </c>
      <c r="D2841" t="str">
        <f>HYPERLINK("https://zfin.org/ZDB-GENE-030131-6695")</f>
        <v>https://zfin.org/ZDB-GENE-030131-6695</v>
      </c>
      <c r="E2841" t="s">
        <v>8502</v>
      </c>
    </row>
    <row r="2842" spans="1:5" x14ac:dyDescent="0.2">
      <c r="A2842" t="s">
        <v>8503</v>
      </c>
      <c r="B2842" t="s">
        <v>8504</v>
      </c>
      <c r="C2842" t="s">
        <v>8504</v>
      </c>
      <c r="D2842" t="str">
        <f>HYPERLINK("https://zfin.org/ZDB-GENE-131121-613")</f>
        <v>https://zfin.org/ZDB-GENE-131121-613</v>
      </c>
      <c r="E2842" t="s">
        <v>8505</v>
      </c>
    </row>
    <row r="2843" spans="1:5" x14ac:dyDescent="0.2">
      <c r="A2843" t="s">
        <v>8506</v>
      </c>
      <c r="B2843" t="s">
        <v>8507</v>
      </c>
      <c r="C2843" t="s">
        <v>8507</v>
      </c>
      <c r="D2843" t="str">
        <f>HYPERLINK("https://zfin.org/ZDB-GENE-050809-19")</f>
        <v>https://zfin.org/ZDB-GENE-050809-19</v>
      </c>
      <c r="E2843" t="s">
        <v>8508</v>
      </c>
    </row>
    <row r="2844" spans="1:5" x14ac:dyDescent="0.2">
      <c r="A2844" t="s">
        <v>8509</v>
      </c>
      <c r="B2844" t="s">
        <v>8510</v>
      </c>
      <c r="C2844" t="s">
        <v>8510</v>
      </c>
      <c r="D2844" t="str">
        <f>HYPERLINK("https://zfin.org/ZDB-GENE-030131-7172")</f>
        <v>https://zfin.org/ZDB-GENE-030131-7172</v>
      </c>
      <c r="E2844" t="s">
        <v>8511</v>
      </c>
    </row>
    <row r="2845" spans="1:5" x14ac:dyDescent="0.2">
      <c r="A2845" t="s">
        <v>8512</v>
      </c>
      <c r="B2845" t="s">
        <v>8483</v>
      </c>
      <c r="C2845" t="s">
        <v>8513</v>
      </c>
      <c r="D2845" t="str">
        <f>HYPERLINK("https://zfin.org/ZDB-GENE-050417-65")</f>
        <v>https://zfin.org/ZDB-GENE-050417-65</v>
      </c>
      <c r="E2845" t="s">
        <v>8484</v>
      </c>
    </row>
    <row r="2846" spans="1:5" x14ac:dyDescent="0.2">
      <c r="A2846" t="s">
        <v>8514</v>
      </c>
      <c r="B2846" t="s">
        <v>8515</v>
      </c>
      <c r="C2846" t="s">
        <v>8515</v>
      </c>
      <c r="D2846" t="str">
        <f>HYPERLINK("https://zfin.org/ZDB-GENE-101207-1")</f>
        <v>https://zfin.org/ZDB-GENE-101207-1</v>
      </c>
      <c r="E2846" t="s">
        <v>8516</v>
      </c>
    </row>
    <row r="2847" spans="1:5" x14ac:dyDescent="0.2">
      <c r="A2847" t="s">
        <v>8517</v>
      </c>
      <c r="B2847" t="s">
        <v>8518</v>
      </c>
      <c r="C2847" t="s">
        <v>8518</v>
      </c>
      <c r="D2847" t="str">
        <f>HYPERLINK("https://zfin.org/ZDB-GENE-040426-2768")</f>
        <v>https://zfin.org/ZDB-GENE-040426-2768</v>
      </c>
      <c r="E2847" t="s">
        <v>8519</v>
      </c>
    </row>
    <row r="2848" spans="1:5" x14ac:dyDescent="0.2">
      <c r="A2848" t="s">
        <v>8520</v>
      </c>
      <c r="B2848" t="s">
        <v>8521</v>
      </c>
      <c r="C2848" t="s">
        <v>8521</v>
      </c>
      <c r="D2848" t="str">
        <f>HYPERLINK("https://zfin.org/ZDB-GENE-040822-12")</f>
        <v>https://zfin.org/ZDB-GENE-040822-12</v>
      </c>
      <c r="E2848" t="s">
        <v>8522</v>
      </c>
    </row>
    <row r="2849" spans="1:5" x14ac:dyDescent="0.2">
      <c r="A2849" t="s">
        <v>8523</v>
      </c>
      <c r="B2849" t="s">
        <v>8524</v>
      </c>
      <c r="C2849" t="s">
        <v>8524</v>
      </c>
      <c r="D2849" t="str">
        <f>HYPERLINK("https://zfin.org/ZDB-GENE-050315-1")</f>
        <v>https://zfin.org/ZDB-GENE-050315-1</v>
      </c>
      <c r="E2849" t="s">
        <v>8525</v>
      </c>
    </row>
    <row r="2850" spans="1:5" x14ac:dyDescent="0.2">
      <c r="A2850" t="s">
        <v>8526</v>
      </c>
      <c r="B2850" t="s">
        <v>8527</v>
      </c>
      <c r="C2850" t="s">
        <v>8527</v>
      </c>
      <c r="D2850" t="str">
        <f>HYPERLINK("https://zfin.org/ZDB-GENE-000607-65")</f>
        <v>https://zfin.org/ZDB-GENE-000607-65</v>
      </c>
      <c r="E2850" t="s">
        <v>8528</v>
      </c>
    </row>
    <row r="2851" spans="1:5" x14ac:dyDescent="0.2">
      <c r="A2851" t="s">
        <v>8529</v>
      </c>
      <c r="B2851" t="s">
        <v>8530</v>
      </c>
      <c r="C2851" t="s">
        <v>8530</v>
      </c>
      <c r="D2851" t="str">
        <f>HYPERLINK("https://zfin.org/ZDB-GENE-061026-2")</f>
        <v>https://zfin.org/ZDB-GENE-061026-2</v>
      </c>
      <c r="E2851" t="s">
        <v>8531</v>
      </c>
    </row>
    <row r="2852" spans="1:5" x14ac:dyDescent="0.2">
      <c r="A2852" t="s">
        <v>8532</v>
      </c>
      <c r="B2852" t="s">
        <v>8533</v>
      </c>
      <c r="C2852" t="s">
        <v>8533</v>
      </c>
      <c r="D2852" t="str">
        <f>HYPERLINK("https://zfin.org/ZDB-GENE-050522-263")</f>
        <v>https://zfin.org/ZDB-GENE-050522-263</v>
      </c>
      <c r="E2852" t="s">
        <v>8534</v>
      </c>
    </row>
    <row r="2853" spans="1:5" x14ac:dyDescent="0.2">
      <c r="A2853" t="s">
        <v>8535</v>
      </c>
      <c r="B2853" t="s">
        <v>8536</v>
      </c>
      <c r="C2853" t="s">
        <v>8536</v>
      </c>
      <c r="D2853" t="str">
        <f>HYPERLINK("https://zfin.org/ZDB-GENE-060421-8315")</f>
        <v>https://zfin.org/ZDB-GENE-060421-8315</v>
      </c>
      <c r="E2853" t="s">
        <v>8537</v>
      </c>
    </row>
    <row r="2854" spans="1:5" x14ac:dyDescent="0.2">
      <c r="A2854" t="s">
        <v>8538</v>
      </c>
      <c r="B2854" t="s">
        <v>8539</v>
      </c>
      <c r="C2854" t="s">
        <v>8539</v>
      </c>
      <c r="D2854" t="str">
        <f>HYPERLINK("https://zfin.org/ZDB-GENE-041024-11")</f>
        <v>https://zfin.org/ZDB-GENE-041024-11</v>
      </c>
      <c r="E2854" t="s">
        <v>8540</v>
      </c>
    </row>
    <row r="2855" spans="1:5" x14ac:dyDescent="0.2">
      <c r="A2855" t="s">
        <v>8541</v>
      </c>
      <c r="B2855" t="s">
        <v>8542</v>
      </c>
      <c r="C2855" t="s">
        <v>8542</v>
      </c>
      <c r="D2855" t="str">
        <f>HYPERLINK("https://zfin.org/ZDB-GENE-030131-4909")</f>
        <v>https://zfin.org/ZDB-GENE-030131-4909</v>
      </c>
      <c r="E2855" t="s">
        <v>8543</v>
      </c>
    </row>
    <row r="2856" spans="1:5" x14ac:dyDescent="0.2">
      <c r="A2856" t="s">
        <v>8544</v>
      </c>
      <c r="B2856" t="s">
        <v>8545</v>
      </c>
      <c r="C2856" t="s">
        <v>8545</v>
      </c>
      <c r="D2856" t="str">
        <f>HYPERLINK("https://zfin.org/ZDB-GENE-060312-32")</f>
        <v>https://zfin.org/ZDB-GENE-060312-32</v>
      </c>
      <c r="E2856" t="s">
        <v>8546</v>
      </c>
    </row>
    <row r="2857" spans="1:5" x14ac:dyDescent="0.2">
      <c r="A2857" t="s">
        <v>8547</v>
      </c>
      <c r="B2857" t="s">
        <v>8548</v>
      </c>
      <c r="C2857" t="s">
        <v>8548</v>
      </c>
      <c r="D2857" t="str">
        <f>HYPERLINK("https://zfin.org/ZDB-GENE-030131-5577")</f>
        <v>https://zfin.org/ZDB-GENE-030131-5577</v>
      </c>
      <c r="E2857" t="s">
        <v>8549</v>
      </c>
    </row>
    <row r="2858" spans="1:5" x14ac:dyDescent="0.2">
      <c r="A2858" t="s">
        <v>8550</v>
      </c>
      <c r="B2858" t="s">
        <v>8551</v>
      </c>
      <c r="C2858" t="s">
        <v>8551</v>
      </c>
      <c r="D2858" t="str">
        <f>HYPERLINK("https://zfin.org/ZDB-GENE-060421-5612")</f>
        <v>https://zfin.org/ZDB-GENE-060421-5612</v>
      </c>
      <c r="E2858" t="s">
        <v>8552</v>
      </c>
    </row>
    <row r="2859" spans="1:5" x14ac:dyDescent="0.2">
      <c r="A2859" t="s">
        <v>8553</v>
      </c>
      <c r="B2859" t="s">
        <v>8554</v>
      </c>
      <c r="C2859" t="s">
        <v>8554</v>
      </c>
      <c r="D2859" t="str">
        <f>HYPERLINK("https://zfin.org/ZDB-GENE-050220-6")</f>
        <v>https://zfin.org/ZDB-GENE-050220-6</v>
      </c>
      <c r="E2859" t="s">
        <v>8555</v>
      </c>
    </row>
    <row r="2860" spans="1:5" x14ac:dyDescent="0.2">
      <c r="A2860" t="s">
        <v>8556</v>
      </c>
      <c r="B2860" t="s">
        <v>8557</v>
      </c>
      <c r="C2860" t="s">
        <v>8557</v>
      </c>
      <c r="D2860" t="str">
        <f>HYPERLINK("https://zfin.org/ZDB-GENE-041122-1")</f>
        <v>https://zfin.org/ZDB-GENE-041122-1</v>
      </c>
      <c r="E2860" t="s">
        <v>8558</v>
      </c>
    </row>
    <row r="2861" spans="1:5" x14ac:dyDescent="0.2">
      <c r="A2861" t="s">
        <v>8559</v>
      </c>
      <c r="B2861" t="s">
        <v>8560</v>
      </c>
      <c r="C2861" t="s">
        <v>8560</v>
      </c>
      <c r="D2861" t="str">
        <f>HYPERLINK("https://zfin.org/ZDB-GENE-040718-187")</f>
        <v>https://zfin.org/ZDB-GENE-040718-187</v>
      </c>
      <c r="E2861" t="s">
        <v>8561</v>
      </c>
    </row>
    <row r="2862" spans="1:5" x14ac:dyDescent="0.2">
      <c r="A2862" t="s">
        <v>8562</v>
      </c>
      <c r="B2862" t="s">
        <v>8563</v>
      </c>
      <c r="C2862" t="s">
        <v>8563</v>
      </c>
      <c r="D2862" t="str">
        <f>HYPERLINK("https://zfin.org/ZDB-GENE-040426-2555")</f>
        <v>https://zfin.org/ZDB-GENE-040426-2555</v>
      </c>
      <c r="E2862" t="s">
        <v>8564</v>
      </c>
    </row>
    <row r="2863" spans="1:5" x14ac:dyDescent="0.2">
      <c r="A2863" t="s">
        <v>8565</v>
      </c>
      <c r="B2863" t="s">
        <v>8566</v>
      </c>
      <c r="C2863" t="s">
        <v>8566</v>
      </c>
      <c r="D2863" t="str">
        <f>HYPERLINK("https://zfin.org/ZDB-GENE-080228-1")</f>
        <v>https://zfin.org/ZDB-GENE-080228-1</v>
      </c>
      <c r="E2863" t="s">
        <v>8567</v>
      </c>
    </row>
    <row r="2864" spans="1:5" x14ac:dyDescent="0.2">
      <c r="A2864" t="s">
        <v>8568</v>
      </c>
      <c r="B2864" t="s">
        <v>8569</v>
      </c>
      <c r="C2864" t="s">
        <v>8569</v>
      </c>
      <c r="D2864" t="str">
        <f>HYPERLINK("https://zfin.org/ZDB-GENE-040912-36")</f>
        <v>https://zfin.org/ZDB-GENE-040912-36</v>
      </c>
      <c r="E2864" t="s">
        <v>8570</v>
      </c>
    </row>
    <row r="2865" spans="1:5" x14ac:dyDescent="0.2">
      <c r="A2865" t="s">
        <v>8571</v>
      </c>
      <c r="B2865" t="s">
        <v>8572</v>
      </c>
      <c r="C2865" t="s">
        <v>8572</v>
      </c>
      <c r="D2865" t="str">
        <f>HYPERLINK("https://zfin.org/ZDB-GENE-060503-171")</f>
        <v>https://zfin.org/ZDB-GENE-060503-171</v>
      </c>
      <c r="E2865" t="s">
        <v>8573</v>
      </c>
    </row>
    <row r="2866" spans="1:5" x14ac:dyDescent="0.2">
      <c r="A2866" t="s">
        <v>8574</v>
      </c>
      <c r="B2866" t="s">
        <v>8575</v>
      </c>
      <c r="C2866" t="s">
        <v>8575</v>
      </c>
      <c r="D2866" t="str">
        <f>HYPERLINK("https://zfin.org/ZDB-GENE-110913-147")</f>
        <v>https://zfin.org/ZDB-GENE-110913-147</v>
      </c>
      <c r="E2866" t="s">
        <v>8576</v>
      </c>
    </row>
    <row r="2867" spans="1:5" x14ac:dyDescent="0.2">
      <c r="A2867" t="s">
        <v>8577</v>
      </c>
      <c r="B2867" t="s">
        <v>8578</v>
      </c>
      <c r="C2867" t="s">
        <v>8578</v>
      </c>
      <c r="D2867" t="str">
        <f>HYPERLINK("https://zfin.org/ZDB-GENE-121024-2")</f>
        <v>https://zfin.org/ZDB-GENE-121024-2</v>
      </c>
      <c r="E2867" t="s">
        <v>8579</v>
      </c>
    </row>
    <row r="2868" spans="1:5" x14ac:dyDescent="0.2">
      <c r="A2868" t="s">
        <v>8580</v>
      </c>
      <c r="B2868" t="s">
        <v>8581</v>
      </c>
      <c r="C2868" t="s">
        <v>8581</v>
      </c>
      <c r="D2868" t="str">
        <f>HYPERLINK("https://zfin.org/ZDB-GENE-110913-43")</f>
        <v>https://zfin.org/ZDB-GENE-110913-43</v>
      </c>
      <c r="E2868" t="s">
        <v>8582</v>
      </c>
    </row>
    <row r="2869" spans="1:5" x14ac:dyDescent="0.2">
      <c r="A2869" t="s">
        <v>8583</v>
      </c>
      <c r="B2869" t="s">
        <v>8584</v>
      </c>
      <c r="C2869" t="s">
        <v>8584</v>
      </c>
      <c r="D2869" t="str">
        <f>HYPERLINK("https://zfin.org/ZDB-GENE-040426-962")</f>
        <v>https://zfin.org/ZDB-GENE-040426-962</v>
      </c>
      <c r="E2869" t="s">
        <v>8585</v>
      </c>
    </row>
    <row r="2870" spans="1:5" x14ac:dyDescent="0.2">
      <c r="A2870" t="s">
        <v>8586</v>
      </c>
      <c r="B2870" t="s">
        <v>8587</v>
      </c>
      <c r="C2870" t="s">
        <v>8587</v>
      </c>
      <c r="D2870" t="str">
        <f>HYPERLINK("https://zfin.org/ZDB-GENE-070410-53")</f>
        <v>https://zfin.org/ZDB-GENE-070410-53</v>
      </c>
      <c r="E2870" t="s">
        <v>8588</v>
      </c>
    </row>
    <row r="2871" spans="1:5" x14ac:dyDescent="0.2">
      <c r="A2871" t="s">
        <v>8589</v>
      </c>
      <c r="B2871" t="s">
        <v>8590</v>
      </c>
      <c r="C2871" t="s">
        <v>8590</v>
      </c>
      <c r="D2871" t="str">
        <f>HYPERLINK("https://zfin.org/ZDB-GENE-061013-29")</f>
        <v>https://zfin.org/ZDB-GENE-061013-29</v>
      </c>
      <c r="E2871" t="s">
        <v>8591</v>
      </c>
    </row>
    <row r="2872" spans="1:5" x14ac:dyDescent="0.2">
      <c r="A2872" t="s">
        <v>8592</v>
      </c>
      <c r="B2872" t="s">
        <v>8593</v>
      </c>
      <c r="C2872" t="s">
        <v>8593</v>
      </c>
      <c r="D2872" t="str">
        <f>HYPERLINK("https://zfin.org/ZDB-GENE-990415-25")</f>
        <v>https://zfin.org/ZDB-GENE-990415-25</v>
      </c>
      <c r="E2872" t="s">
        <v>8594</v>
      </c>
    </row>
    <row r="2873" spans="1:5" x14ac:dyDescent="0.2">
      <c r="A2873" t="s">
        <v>8595</v>
      </c>
      <c r="B2873" t="s">
        <v>8596</v>
      </c>
      <c r="C2873" t="s">
        <v>8596</v>
      </c>
      <c r="D2873" t="str">
        <f>HYPERLINK("https://zfin.org/ZDB-GENE-061207-15")</f>
        <v>https://zfin.org/ZDB-GENE-061207-15</v>
      </c>
      <c r="E2873" t="s">
        <v>8597</v>
      </c>
    </row>
    <row r="2874" spans="1:5" x14ac:dyDescent="0.2">
      <c r="A2874" t="s">
        <v>8598</v>
      </c>
      <c r="B2874" t="s">
        <v>8599</v>
      </c>
      <c r="C2874" t="s">
        <v>8599</v>
      </c>
      <c r="D2874" t="str">
        <f>HYPERLINK("https://zfin.org/ZDB-GENE-070912-576")</f>
        <v>https://zfin.org/ZDB-GENE-070912-576</v>
      </c>
      <c r="E2874" t="s">
        <v>8600</v>
      </c>
    </row>
    <row r="2875" spans="1:5" x14ac:dyDescent="0.2">
      <c r="A2875" t="s">
        <v>8601</v>
      </c>
      <c r="B2875" t="s">
        <v>8602</v>
      </c>
      <c r="C2875" t="s">
        <v>8602</v>
      </c>
      <c r="D2875" t="str">
        <f>HYPERLINK("https://zfin.org/ZDB-GENE-060526-122")</f>
        <v>https://zfin.org/ZDB-GENE-060526-122</v>
      </c>
      <c r="E2875" t="s">
        <v>8603</v>
      </c>
    </row>
    <row r="2876" spans="1:5" x14ac:dyDescent="0.2">
      <c r="A2876" t="s">
        <v>8604</v>
      </c>
      <c r="B2876" t="s">
        <v>8605</v>
      </c>
      <c r="C2876" t="s">
        <v>8605</v>
      </c>
      <c r="D2876" t="str">
        <f>HYPERLINK("https://zfin.org/ZDB-GENE-070124-2")</f>
        <v>https://zfin.org/ZDB-GENE-070124-2</v>
      </c>
      <c r="E2876" t="s">
        <v>8606</v>
      </c>
    </row>
    <row r="2877" spans="1:5" x14ac:dyDescent="0.2">
      <c r="A2877" t="s">
        <v>8607</v>
      </c>
      <c r="B2877" t="s">
        <v>8608</v>
      </c>
      <c r="C2877" t="s">
        <v>8608</v>
      </c>
      <c r="D2877" t="str">
        <f>HYPERLINK("https://zfin.org/ZDB-GENE-110407-2")</f>
        <v>https://zfin.org/ZDB-GENE-110407-2</v>
      </c>
      <c r="E2877" t="s">
        <v>8609</v>
      </c>
    </row>
    <row r="2878" spans="1:5" x14ac:dyDescent="0.2">
      <c r="A2878" t="s">
        <v>8610</v>
      </c>
      <c r="B2878" t="s">
        <v>8611</v>
      </c>
      <c r="C2878" t="s">
        <v>8611</v>
      </c>
      <c r="D2878" t="str">
        <f>HYPERLINK("https://zfin.org/ZDB-GENE-120215-140")</f>
        <v>https://zfin.org/ZDB-GENE-120215-140</v>
      </c>
      <c r="E2878" t="s">
        <v>8612</v>
      </c>
    </row>
    <row r="2879" spans="1:5" x14ac:dyDescent="0.2">
      <c r="A2879" t="s">
        <v>8613</v>
      </c>
      <c r="B2879" t="s">
        <v>8614</v>
      </c>
      <c r="C2879" t="s">
        <v>8614</v>
      </c>
      <c r="D2879" t="str">
        <f>HYPERLINK("https://zfin.org/ZDB-GENE-060526-280")</f>
        <v>https://zfin.org/ZDB-GENE-060526-280</v>
      </c>
      <c r="E2879" t="s">
        <v>8615</v>
      </c>
    </row>
    <row r="2880" spans="1:5" x14ac:dyDescent="0.2">
      <c r="A2880" t="s">
        <v>8616</v>
      </c>
      <c r="B2880" t="s">
        <v>8617</v>
      </c>
      <c r="C2880" t="s">
        <v>8617</v>
      </c>
      <c r="D2880" t="str">
        <f>HYPERLINK("https://zfin.org/ZDB-GENE-030131-898")</f>
        <v>https://zfin.org/ZDB-GENE-030131-898</v>
      </c>
      <c r="E2880" t="s">
        <v>8618</v>
      </c>
    </row>
    <row r="2881" spans="1:5" x14ac:dyDescent="0.2">
      <c r="A2881" t="s">
        <v>8619</v>
      </c>
      <c r="B2881" t="s">
        <v>8620</v>
      </c>
      <c r="C2881" t="s">
        <v>8620</v>
      </c>
      <c r="D2881" t="str">
        <f>HYPERLINK("https://zfin.org/ZDB-GENE-021219-2")</f>
        <v>https://zfin.org/ZDB-GENE-021219-2</v>
      </c>
      <c r="E2881" t="s">
        <v>8621</v>
      </c>
    </row>
    <row r="2882" spans="1:5" x14ac:dyDescent="0.2">
      <c r="A2882" t="s">
        <v>8622</v>
      </c>
      <c r="B2882" t="s">
        <v>8623</v>
      </c>
      <c r="C2882" t="s">
        <v>8624</v>
      </c>
      <c r="D2882" t="str">
        <f>HYPERLINK("https://zfin.org/ZDB-GENE-050522-76")</f>
        <v>https://zfin.org/ZDB-GENE-050522-76</v>
      </c>
      <c r="E2882" t="s">
        <v>8625</v>
      </c>
    </row>
    <row r="2883" spans="1:5" x14ac:dyDescent="0.2">
      <c r="A2883" t="s">
        <v>8626</v>
      </c>
      <c r="B2883" t="s">
        <v>8627</v>
      </c>
      <c r="C2883" t="s">
        <v>8627</v>
      </c>
      <c r="D2883" t="str">
        <f>HYPERLINK("https://zfin.org/ZDB-GENE-040426-1002")</f>
        <v>https://zfin.org/ZDB-GENE-040426-1002</v>
      </c>
      <c r="E2883" t="s">
        <v>8628</v>
      </c>
    </row>
    <row r="2884" spans="1:5" x14ac:dyDescent="0.2">
      <c r="A2884" t="s">
        <v>8629</v>
      </c>
      <c r="B2884" t="s">
        <v>8630</v>
      </c>
      <c r="C2884" t="s">
        <v>8630</v>
      </c>
      <c r="D2884" t="str">
        <f>HYPERLINK("https://zfin.org/ZDB-GENE-100609-3")</f>
        <v>https://zfin.org/ZDB-GENE-100609-3</v>
      </c>
      <c r="E2884" t="s">
        <v>8631</v>
      </c>
    </row>
    <row r="2885" spans="1:5" x14ac:dyDescent="0.2">
      <c r="A2885" t="s">
        <v>8632</v>
      </c>
      <c r="B2885" t="s">
        <v>8633</v>
      </c>
      <c r="C2885" t="s">
        <v>8633</v>
      </c>
      <c r="D2885" t="str">
        <f>HYPERLINK("https://zfin.org/ZDB-GENE-040625-181")</f>
        <v>https://zfin.org/ZDB-GENE-040625-181</v>
      </c>
      <c r="E2885" t="s">
        <v>8634</v>
      </c>
    </row>
    <row r="2886" spans="1:5" x14ac:dyDescent="0.2">
      <c r="A2886" t="s">
        <v>8635</v>
      </c>
      <c r="B2886" t="s">
        <v>8636</v>
      </c>
      <c r="C2886" t="s">
        <v>8636</v>
      </c>
      <c r="D2886" t="str">
        <f>HYPERLINK("https://zfin.org/ZDB-GENE-030131-8324")</f>
        <v>https://zfin.org/ZDB-GENE-030131-8324</v>
      </c>
      <c r="E2886" t="s">
        <v>8637</v>
      </c>
    </row>
    <row r="2887" spans="1:5" x14ac:dyDescent="0.2">
      <c r="A2887" t="s">
        <v>8638</v>
      </c>
      <c r="B2887" t="s">
        <v>8639</v>
      </c>
      <c r="C2887" t="s">
        <v>8639</v>
      </c>
      <c r="D2887" t="str">
        <f>HYPERLINK("https://zfin.org/ZDB-GENE-050417-179")</f>
        <v>https://zfin.org/ZDB-GENE-050417-179</v>
      </c>
      <c r="E2887" t="s">
        <v>8640</v>
      </c>
    </row>
    <row r="2888" spans="1:5" x14ac:dyDescent="0.2">
      <c r="A2888" t="s">
        <v>8641</v>
      </c>
      <c r="B2888" t="s">
        <v>8642</v>
      </c>
      <c r="C2888" t="s">
        <v>8642</v>
      </c>
      <c r="D2888" t="str">
        <f>HYPERLINK("https://zfin.org/ZDB-GENE-081031-92")</f>
        <v>https://zfin.org/ZDB-GENE-081031-92</v>
      </c>
      <c r="E2888" t="s">
        <v>8643</v>
      </c>
    </row>
    <row r="2889" spans="1:5" x14ac:dyDescent="0.2">
      <c r="A2889" t="s">
        <v>8644</v>
      </c>
      <c r="B2889" t="s">
        <v>8645</v>
      </c>
      <c r="C2889" t="s">
        <v>8645</v>
      </c>
      <c r="D2889" t="str">
        <f>HYPERLINK("https://zfin.org/ZDB-GENE-031113-20")</f>
        <v>https://zfin.org/ZDB-GENE-031113-20</v>
      </c>
      <c r="E2889" t="s">
        <v>8646</v>
      </c>
    </row>
    <row r="2890" spans="1:5" x14ac:dyDescent="0.2">
      <c r="A2890" t="s">
        <v>8647</v>
      </c>
      <c r="B2890" t="s">
        <v>8648</v>
      </c>
      <c r="C2890" t="s">
        <v>8648</v>
      </c>
      <c r="D2890" t="str">
        <f>HYPERLINK("https://zfin.org/ZDB-GENE-131126-43")</f>
        <v>https://zfin.org/ZDB-GENE-131126-43</v>
      </c>
      <c r="E2890" t="s">
        <v>8649</v>
      </c>
    </row>
    <row r="2891" spans="1:5" x14ac:dyDescent="0.2">
      <c r="A2891" t="s">
        <v>8650</v>
      </c>
      <c r="B2891" t="s">
        <v>8651</v>
      </c>
      <c r="C2891" t="s">
        <v>8651</v>
      </c>
      <c r="D2891" t="str">
        <f>HYPERLINK("https://zfin.org/ZDB-GENE-040426-2096")</f>
        <v>https://zfin.org/ZDB-GENE-040426-2096</v>
      </c>
      <c r="E2891" t="s">
        <v>8652</v>
      </c>
    </row>
    <row r="2892" spans="1:5" x14ac:dyDescent="0.2">
      <c r="A2892" t="s">
        <v>8653</v>
      </c>
      <c r="B2892" t="s">
        <v>8654</v>
      </c>
      <c r="C2892" t="s">
        <v>8654</v>
      </c>
      <c r="D2892" t="str">
        <f>HYPERLINK("https://zfin.org/ZDB-GENE-030131-8247")</f>
        <v>https://zfin.org/ZDB-GENE-030131-8247</v>
      </c>
      <c r="E2892" t="s">
        <v>8655</v>
      </c>
    </row>
    <row r="2893" spans="1:5" x14ac:dyDescent="0.2">
      <c r="A2893" t="s">
        <v>8656</v>
      </c>
      <c r="B2893" t="s">
        <v>8657</v>
      </c>
      <c r="C2893" t="s">
        <v>8657</v>
      </c>
      <c r="D2893" t="str">
        <f>HYPERLINK("https://zfin.org/ZDB-GENE-070912-417")</f>
        <v>https://zfin.org/ZDB-GENE-070912-417</v>
      </c>
      <c r="E2893" t="s">
        <v>8658</v>
      </c>
    </row>
    <row r="2894" spans="1:5" x14ac:dyDescent="0.2">
      <c r="A2894" t="s">
        <v>8659</v>
      </c>
      <c r="B2894" t="s">
        <v>8660</v>
      </c>
      <c r="C2894" t="s">
        <v>8660</v>
      </c>
      <c r="D2894" t="str">
        <f>HYPERLINK("https://zfin.org/ZDB-GENE-040426-1390")</f>
        <v>https://zfin.org/ZDB-GENE-040426-1390</v>
      </c>
      <c r="E2894" t="s">
        <v>8661</v>
      </c>
    </row>
    <row r="2895" spans="1:5" x14ac:dyDescent="0.2">
      <c r="A2895" t="s">
        <v>8662</v>
      </c>
      <c r="B2895" t="s">
        <v>8663</v>
      </c>
      <c r="C2895" t="s">
        <v>8663</v>
      </c>
      <c r="D2895" t="str">
        <f>HYPERLINK("https://zfin.org/ZDB-GENE-030616-162")</f>
        <v>https://zfin.org/ZDB-GENE-030616-162</v>
      </c>
      <c r="E2895" t="s">
        <v>8664</v>
      </c>
    </row>
    <row r="2896" spans="1:5" x14ac:dyDescent="0.2">
      <c r="A2896" t="s">
        <v>8665</v>
      </c>
      <c r="B2896" t="s">
        <v>8666</v>
      </c>
      <c r="C2896" t="s">
        <v>8666</v>
      </c>
      <c r="D2896" t="str">
        <f>HYPERLINK("https://zfin.org/ZDB-GENE-040107-40")</f>
        <v>https://zfin.org/ZDB-GENE-040107-40</v>
      </c>
      <c r="E2896" t="s">
        <v>8667</v>
      </c>
    </row>
    <row r="2897" spans="1:5" x14ac:dyDescent="0.2">
      <c r="A2897" t="s">
        <v>8668</v>
      </c>
      <c r="B2897" t="s">
        <v>8669</v>
      </c>
      <c r="C2897" t="s">
        <v>8669</v>
      </c>
      <c r="D2897" t="str">
        <f>HYPERLINK("https://zfin.org/ZDB-GENE-110913-35")</f>
        <v>https://zfin.org/ZDB-GENE-110913-35</v>
      </c>
      <c r="E2897" t="s">
        <v>8670</v>
      </c>
    </row>
    <row r="2898" spans="1:5" x14ac:dyDescent="0.2">
      <c r="A2898" t="s">
        <v>8671</v>
      </c>
      <c r="B2898" t="s">
        <v>8672</v>
      </c>
      <c r="C2898" t="s">
        <v>8672</v>
      </c>
      <c r="D2898" t="str">
        <f>HYPERLINK("https://zfin.org/ZDB-GENE-031118-121")</f>
        <v>https://zfin.org/ZDB-GENE-031118-121</v>
      </c>
      <c r="E2898" t="s">
        <v>8673</v>
      </c>
    </row>
    <row r="2899" spans="1:5" x14ac:dyDescent="0.2">
      <c r="A2899" t="s">
        <v>8674</v>
      </c>
      <c r="B2899" t="s">
        <v>8675</v>
      </c>
      <c r="C2899" t="s">
        <v>8675</v>
      </c>
      <c r="D2899" t="str">
        <f>HYPERLINK("https://zfin.org/ZDB-GENE-050522-489")</f>
        <v>https://zfin.org/ZDB-GENE-050522-489</v>
      </c>
      <c r="E2899" t="s">
        <v>8676</v>
      </c>
    </row>
    <row r="2900" spans="1:5" x14ac:dyDescent="0.2">
      <c r="A2900" t="s">
        <v>8677</v>
      </c>
      <c r="B2900" t="s">
        <v>8678</v>
      </c>
      <c r="C2900" t="s">
        <v>8678</v>
      </c>
      <c r="D2900" t="str">
        <f>HYPERLINK("https://zfin.org/ZDB-GENE-041114-24")</f>
        <v>https://zfin.org/ZDB-GENE-041114-24</v>
      </c>
      <c r="E2900" t="s">
        <v>8679</v>
      </c>
    </row>
    <row r="2901" spans="1:5" x14ac:dyDescent="0.2">
      <c r="A2901" t="s">
        <v>8680</v>
      </c>
      <c r="B2901" t="s">
        <v>8681</v>
      </c>
      <c r="C2901" t="s">
        <v>8681</v>
      </c>
      <c r="D2901" t="str">
        <f>HYPERLINK("https://zfin.org/ZDB-GENE-060526-300")</f>
        <v>https://zfin.org/ZDB-GENE-060526-300</v>
      </c>
      <c r="E2901" t="s">
        <v>8682</v>
      </c>
    </row>
    <row r="2902" spans="1:5" x14ac:dyDescent="0.2">
      <c r="A2902" t="s">
        <v>8683</v>
      </c>
      <c r="B2902" t="s">
        <v>8684</v>
      </c>
      <c r="C2902" t="s">
        <v>8684</v>
      </c>
      <c r="D2902" t="str">
        <f>HYPERLINK("https://zfin.org/ZDB-GENE-031112-4")</f>
        <v>https://zfin.org/ZDB-GENE-031112-4</v>
      </c>
      <c r="E2902" t="s">
        <v>8685</v>
      </c>
    </row>
    <row r="2903" spans="1:5" x14ac:dyDescent="0.2">
      <c r="A2903" t="s">
        <v>8686</v>
      </c>
      <c r="B2903" t="s">
        <v>8687</v>
      </c>
      <c r="C2903" t="s">
        <v>8687</v>
      </c>
      <c r="D2903" t="str">
        <f>HYPERLINK("https://zfin.org/ZDB-GENE-040426-2648")</f>
        <v>https://zfin.org/ZDB-GENE-040426-2648</v>
      </c>
      <c r="E2903" t="s">
        <v>8688</v>
      </c>
    </row>
    <row r="2904" spans="1:5" x14ac:dyDescent="0.2">
      <c r="A2904" t="s">
        <v>8689</v>
      </c>
      <c r="B2904" t="s">
        <v>8690</v>
      </c>
      <c r="C2904" t="s">
        <v>8690</v>
      </c>
      <c r="D2904" t="str">
        <f>HYPERLINK("https://zfin.org/ZDB-GENE-040212-1")</f>
        <v>https://zfin.org/ZDB-GENE-040212-1</v>
      </c>
      <c r="E2904" t="s">
        <v>8691</v>
      </c>
    </row>
    <row r="2905" spans="1:5" x14ac:dyDescent="0.2">
      <c r="A2905" t="s">
        <v>8692</v>
      </c>
      <c r="B2905" t="s">
        <v>8693</v>
      </c>
      <c r="C2905" t="s">
        <v>8693</v>
      </c>
      <c r="D2905" t="str">
        <f>HYPERLINK("https://zfin.org/ZDB-GENE-111012-2")</f>
        <v>https://zfin.org/ZDB-GENE-111012-2</v>
      </c>
      <c r="E2905" t="s">
        <v>8694</v>
      </c>
    </row>
    <row r="2906" spans="1:5" x14ac:dyDescent="0.2">
      <c r="A2906" t="s">
        <v>8695</v>
      </c>
      <c r="B2906" t="s">
        <v>8696</v>
      </c>
      <c r="C2906" t="s">
        <v>8696</v>
      </c>
      <c r="D2906" t="str">
        <f>HYPERLINK("https://zfin.org/ZDB-GENE-050320-52")</f>
        <v>https://zfin.org/ZDB-GENE-050320-52</v>
      </c>
      <c r="E2906" t="s">
        <v>8697</v>
      </c>
    </row>
    <row r="2907" spans="1:5" x14ac:dyDescent="0.2">
      <c r="A2907" t="s">
        <v>8698</v>
      </c>
      <c r="B2907" t="s">
        <v>8699</v>
      </c>
      <c r="C2907" t="s">
        <v>8699</v>
      </c>
      <c r="D2907" t="str">
        <f>HYPERLINK("https://zfin.org/ZDB-GENE-040426-776")</f>
        <v>https://zfin.org/ZDB-GENE-040426-776</v>
      </c>
      <c r="E2907" t="s">
        <v>8700</v>
      </c>
    </row>
    <row r="2908" spans="1:5" x14ac:dyDescent="0.2">
      <c r="A2908" t="s">
        <v>8701</v>
      </c>
      <c r="B2908" t="s">
        <v>8702</v>
      </c>
      <c r="C2908" t="s">
        <v>8702</v>
      </c>
      <c r="D2908" t="str">
        <f>HYPERLINK("https://zfin.org/ZDB-GENE-060503-52")</f>
        <v>https://zfin.org/ZDB-GENE-060503-52</v>
      </c>
      <c r="E2908" t="s">
        <v>8703</v>
      </c>
    </row>
    <row r="2909" spans="1:5" x14ac:dyDescent="0.2">
      <c r="A2909" t="s">
        <v>8704</v>
      </c>
      <c r="B2909" t="s">
        <v>8705</v>
      </c>
      <c r="C2909" t="s">
        <v>8705</v>
      </c>
      <c r="D2909" t="str">
        <f>HYPERLINK("https://zfin.org/ZDB-GENE-050401-1")</f>
        <v>https://zfin.org/ZDB-GENE-050401-1</v>
      </c>
      <c r="E2909" t="s">
        <v>8706</v>
      </c>
    </row>
    <row r="2910" spans="1:5" x14ac:dyDescent="0.2">
      <c r="A2910" t="s">
        <v>8707</v>
      </c>
      <c r="B2910" t="s">
        <v>8708</v>
      </c>
      <c r="C2910" t="s">
        <v>8708</v>
      </c>
      <c r="D2910" t="str">
        <f>HYPERLINK("https://zfin.org/ZDB-GENE-040426-1180")</f>
        <v>https://zfin.org/ZDB-GENE-040426-1180</v>
      </c>
      <c r="E2910" t="s">
        <v>8709</v>
      </c>
    </row>
    <row r="2911" spans="1:5" x14ac:dyDescent="0.2">
      <c r="A2911" t="s">
        <v>8710</v>
      </c>
      <c r="B2911" t="s">
        <v>8711</v>
      </c>
      <c r="C2911" t="s">
        <v>8711</v>
      </c>
      <c r="D2911" t="str">
        <f>HYPERLINK("https://zfin.org/ZDB-GENE-051009-1")</f>
        <v>https://zfin.org/ZDB-GENE-051009-1</v>
      </c>
      <c r="E2911" t="s">
        <v>8712</v>
      </c>
    </row>
    <row r="2912" spans="1:5" x14ac:dyDescent="0.2">
      <c r="A2912" t="s">
        <v>8713</v>
      </c>
      <c r="B2912" t="s">
        <v>8714</v>
      </c>
      <c r="C2912" t="s">
        <v>8714</v>
      </c>
      <c r="D2912" t="str">
        <f>HYPERLINK("https://zfin.org/ZDB-GENE-030131-5206")</f>
        <v>https://zfin.org/ZDB-GENE-030131-5206</v>
      </c>
      <c r="E2912" t="s">
        <v>8715</v>
      </c>
    </row>
    <row r="2913" spans="1:5" x14ac:dyDescent="0.2">
      <c r="A2913" t="s">
        <v>8716</v>
      </c>
      <c r="B2913" t="s">
        <v>8717</v>
      </c>
      <c r="C2913" t="s">
        <v>8717</v>
      </c>
      <c r="D2913" t="str">
        <f>HYPERLINK("https://zfin.org/ZDB-GENE-141216-138")</f>
        <v>https://zfin.org/ZDB-GENE-141216-138</v>
      </c>
      <c r="E2913" t="s">
        <v>8718</v>
      </c>
    </row>
    <row r="2914" spans="1:5" x14ac:dyDescent="0.2">
      <c r="A2914" t="s">
        <v>8719</v>
      </c>
      <c r="B2914" t="s">
        <v>8720</v>
      </c>
      <c r="C2914" t="s">
        <v>8720</v>
      </c>
      <c r="D2914" t="str">
        <f>HYPERLINK("https://zfin.org/ZDB-GENE-080403-12")</f>
        <v>https://zfin.org/ZDB-GENE-080403-12</v>
      </c>
      <c r="E2914" t="s">
        <v>8721</v>
      </c>
    </row>
    <row r="2915" spans="1:5" x14ac:dyDescent="0.2">
      <c r="A2915" t="s">
        <v>8722</v>
      </c>
      <c r="B2915" t="s">
        <v>8723</v>
      </c>
      <c r="C2915" t="s">
        <v>8723</v>
      </c>
      <c r="D2915" t="str">
        <f>HYPERLINK("https://zfin.org/ZDB-GENE-030131-8774")</f>
        <v>https://zfin.org/ZDB-GENE-030131-8774</v>
      </c>
      <c r="E2915" t="s">
        <v>8724</v>
      </c>
    </row>
    <row r="2916" spans="1:5" x14ac:dyDescent="0.2">
      <c r="A2916" t="s">
        <v>8725</v>
      </c>
      <c r="B2916" t="s">
        <v>8726</v>
      </c>
      <c r="C2916" t="s">
        <v>8726</v>
      </c>
      <c r="D2916" t="str">
        <f>HYPERLINK("https://zfin.org/ZDB-GENE-030131-7047")</f>
        <v>https://zfin.org/ZDB-GENE-030131-7047</v>
      </c>
      <c r="E2916" t="s">
        <v>8727</v>
      </c>
    </row>
    <row r="2917" spans="1:5" x14ac:dyDescent="0.2">
      <c r="A2917" t="s">
        <v>8728</v>
      </c>
      <c r="B2917" t="s">
        <v>8729</v>
      </c>
      <c r="C2917" t="s">
        <v>8729</v>
      </c>
      <c r="D2917" t="str">
        <f>HYPERLINK("https://zfin.org/ZDB-GENE-050327-76")</f>
        <v>https://zfin.org/ZDB-GENE-050327-76</v>
      </c>
      <c r="E2917" t="s">
        <v>8730</v>
      </c>
    </row>
    <row r="2918" spans="1:5" x14ac:dyDescent="0.2">
      <c r="A2918" t="s">
        <v>8731</v>
      </c>
      <c r="B2918" t="s">
        <v>8732</v>
      </c>
      <c r="C2918" t="s">
        <v>8732</v>
      </c>
      <c r="D2918" t="str">
        <f>HYPERLINK("https://zfin.org/ZDB-GENE-060418-2")</f>
        <v>https://zfin.org/ZDB-GENE-060418-2</v>
      </c>
      <c r="E2918" t="s">
        <v>8733</v>
      </c>
    </row>
    <row r="2919" spans="1:5" x14ac:dyDescent="0.2">
      <c r="A2919" t="s">
        <v>8734</v>
      </c>
      <c r="B2919" t="s">
        <v>8735</v>
      </c>
      <c r="C2919" t="s">
        <v>8735</v>
      </c>
      <c r="D2919" t="str">
        <f>HYPERLINK("https://zfin.org/ZDB-GENE-091204-380")</f>
        <v>https://zfin.org/ZDB-GENE-091204-380</v>
      </c>
      <c r="E2919" t="s">
        <v>8736</v>
      </c>
    </row>
    <row r="2920" spans="1:5" x14ac:dyDescent="0.2">
      <c r="A2920" t="s">
        <v>8737</v>
      </c>
      <c r="B2920" t="s">
        <v>8738</v>
      </c>
      <c r="C2920" t="s">
        <v>8738</v>
      </c>
      <c r="D2920" t="str">
        <f>HYPERLINK("https://zfin.org/ZDB-GENE-030616-17")</f>
        <v>https://zfin.org/ZDB-GENE-030616-17</v>
      </c>
      <c r="E2920" t="s">
        <v>8739</v>
      </c>
    </row>
    <row r="2921" spans="1:5" x14ac:dyDescent="0.2">
      <c r="A2921" t="s">
        <v>8740</v>
      </c>
      <c r="B2921" t="s">
        <v>8741</v>
      </c>
      <c r="C2921" t="s">
        <v>8741</v>
      </c>
      <c r="D2921" t="str">
        <f>HYPERLINK("https://zfin.org/ZDB-GENE-060804-2")</f>
        <v>https://zfin.org/ZDB-GENE-060804-2</v>
      </c>
      <c r="E2921" t="s">
        <v>8742</v>
      </c>
    </row>
    <row r="2922" spans="1:5" x14ac:dyDescent="0.2">
      <c r="A2922" t="s">
        <v>8743</v>
      </c>
      <c r="B2922" t="s">
        <v>8744</v>
      </c>
      <c r="C2922" t="s">
        <v>8744</v>
      </c>
      <c r="D2922" t="str">
        <f>HYPERLINK("https://zfin.org/ZDB-GENE-050913-49")</f>
        <v>https://zfin.org/ZDB-GENE-050913-49</v>
      </c>
      <c r="E2922" t="s">
        <v>8745</v>
      </c>
    </row>
    <row r="2923" spans="1:5" x14ac:dyDescent="0.2">
      <c r="A2923" t="s">
        <v>8746</v>
      </c>
      <c r="B2923" t="s">
        <v>8747</v>
      </c>
      <c r="C2923" t="s">
        <v>8747</v>
      </c>
      <c r="D2923" t="str">
        <f>HYPERLINK("https://zfin.org/ZDB-GENE-060526-43")</f>
        <v>https://zfin.org/ZDB-GENE-060526-43</v>
      </c>
      <c r="E2923" t="s">
        <v>8748</v>
      </c>
    </row>
    <row r="2924" spans="1:5" x14ac:dyDescent="0.2">
      <c r="A2924" t="s">
        <v>8749</v>
      </c>
      <c r="B2924" t="s">
        <v>8750</v>
      </c>
      <c r="C2924" t="s">
        <v>8750</v>
      </c>
      <c r="D2924" t="str">
        <f>HYPERLINK("https://zfin.org/ZDB-GENE-050913-94")</f>
        <v>https://zfin.org/ZDB-GENE-050913-94</v>
      </c>
      <c r="E2924" t="s">
        <v>8751</v>
      </c>
    </row>
    <row r="2925" spans="1:5" x14ac:dyDescent="0.2">
      <c r="A2925" t="s">
        <v>8752</v>
      </c>
      <c r="B2925" t="s">
        <v>8753</v>
      </c>
      <c r="C2925" t="s">
        <v>8753</v>
      </c>
      <c r="D2925" t="str">
        <f>HYPERLINK("https://zfin.org/ZDB-GENE-131125-96")</f>
        <v>https://zfin.org/ZDB-GENE-131125-96</v>
      </c>
      <c r="E2925" t="s">
        <v>8754</v>
      </c>
    </row>
    <row r="2926" spans="1:5" x14ac:dyDescent="0.2">
      <c r="A2926" t="s">
        <v>8755</v>
      </c>
      <c r="B2926" t="s">
        <v>8756</v>
      </c>
      <c r="C2926" t="s">
        <v>8756</v>
      </c>
      <c r="D2926" t="str">
        <f>HYPERLINK("https://zfin.org/ZDB-GENE-141216-183")</f>
        <v>https://zfin.org/ZDB-GENE-141216-183</v>
      </c>
      <c r="E2926" t="s">
        <v>8757</v>
      </c>
    </row>
    <row r="2927" spans="1:5" x14ac:dyDescent="0.2">
      <c r="A2927" t="s">
        <v>8758</v>
      </c>
      <c r="B2927" t="s">
        <v>8759</v>
      </c>
      <c r="C2927" t="s">
        <v>8759</v>
      </c>
      <c r="D2927" t="str">
        <f>HYPERLINK("https://zfin.org/ZDB-GENE-090312-132")</f>
        <v>https://zfin.org/ZDB-GENE-090312-132</v>
      </c>
      <c r="E2927" t="s">
        <v>8760</v>
      </c>
    </row>
    <row r="2928" spans="1:5" x14ac:dyDescent="0.2">
      <c r="A2928" t="s">
        <v>8761</v>
      </c>
      <c r="B2928" t="s">
        <v>8762</v>
      </c>
      <c r="C2928" t="s">
        <v>8762</v>
      </c>
      <c r="D2928" t="str">
        <f>HYPERLINK("https://zfin.org/ZDB-GENE-040426-2024")</f>
        <v>https://zfin.org/ZDB-GENE-040426-2024</v>
      </c>
      <c r="E2928" t="s">
        <v>8763</v>
      </c>
    </row>
    <row r="2929" spans="1:5" x14ac:dyDescent="0.2">
      <c r="A2929" t="s">
        <v>8764</v>
      </c>
      <c r="B2929" t="s">
        <v>8765</v>
      </c>
      <c r="C2929" t="s">
        <v>8765</v>
      </c>
      <c r="D2929" t="str">
        <f>HYPERLINK("https://zfin.org/ZDB-GENE-060503-918")</f>
        <v>https://zfin.org/ZDB-GENE-060503-918</v>
      </c>
      <c r="E2929" t="s">
        <v>8766</v>
      </c>
    </row>
    <row r="2930" spans="1:5" x14ac:dyDescent="0.2">
      <c r="A2930" t="s">
        <v>8767</v>
      </c>
      <c r="B2930" t="s">
        <v>8768</v>
      </c>
      <c r="C2930" t="s">
        <v>8768</v>
      </c>
      <c r="D2930" t="str">
        <f>HYPERLINK("https://zfin.org/ZDB-GENE-060312-41")</f>
        <v>https://zfin.org/ZDB-GENE-060312-41</v>
      </c>
      <c r="E2930" t="s">
        <v>8769</v>
      </c>
    </row>
    <row r="2931" spans="1:5" x14ac:dyDescent="0.2">
      <c r="A2931" t="s">
        <v>8770</v>
      </c>
      <c r="B2931" t="s">
        <v>8771</v>
      </c>
      <c r="C2931" t="s">
        <v>8771</v>
      </c>
      <c r="D2931" t="str">
        <f>HYPERLINK("https://zfin.org/ZDB-GENE-030616-69")</f>
        <v>https://zfin.org/ZDB-GENE-030616-69</v>
      </c>
      <c r="E2931" t="s">
        <v>8772</v>
      </c>
    </row>
    <row r="2932" spans="1:5" x14ac:dyDescent="0.2">
      <c r="A2932" t="s">
        <v>8773</v>
      </c>
      <c r="B2932" t="s">
        <v>8774</v>
      </c>
      <c r="C2932" t="s">
        <v>8774</v>
      </c>
      <c r="D2932" t="str">
        <f>HYPERLINK("https://zfin.org/ZDB-GENE-030131-6132")</f>
        <v>https://zfin.org/ZDB-GENE-030131-6132</v>
      </c>
      <c r="E2932" t="s">
        <v>8775</v>
      </c>
    </row>
    <row r="2933" spans="1:5" x14ac:dyDescent="0.2">
      <c r="A2933" t="s">
        <v>8776</v>
      </c>
      <c r="B2933" t="s">
        <v>8777</v>
      </c>
      <c r="C2933" t="s">
        <v>8777</v>
      </c>
      <c r="D2933" t="str">
        <f>HYPERLINK("https://zfin.org/ZDB-GENE-030722-2")</f>
        <v>https://zfin.org/ZDB-GENE-030722-2</v>
      </c>
      <c r="E2933" t="s">
        <v>8778</v>
      </c>
    </row>
    <row r="2934" spans="1:5" x14ac:dyDescent="0.2">
      <c r="A2934" t="s">
        <v>8779</v>
      </c>
      <c r="B2934" t="s">
        <v>8780</v>
      </c>
      <c r="C2934" t="s">
        <v>8780</v>
      </c>
      <c r="D2934" t="str">
        <f>HYPERLINK("https://zfin.org/ZDB-GENE-070705-39")</f>
        <v>https://zfin.org/ZDB-GENE-070705-39</v>
      </c>
      <c r="E2934" t="s">
        <v>8781</v>
      </c>
    </row>
    <row r="2935" spans="1:5" x14ac:dyDescent="0.2">
      <c r="A2935" t="s">
        <v>8782</v>
      </c>
      <c r="B2935" t="s">
        <v>8783</v>
      </c>
      <c r="C2935" t="s">
        <v>8783</v>
      </c>
      <c r="D2935" t="str">
        <f>HYPERLINK("https://zfin.org/ZDB-GENE-050208-49")</f>
        <v>https://zfin.org/ZDB-GENE-050208-49</v>
      </c>
      <c r="E2935" t="s">
        <v>8784</v>
      </c>
    </row>
    <row r="2936" spans="1:5" x14ac:dyDescent="0.2">
      <c r="A2936" t="s">
        <v>8785</v>
      </c>
      <c r="B2936" t="s">
        <v>8786</v>
      </c>
      <c r="C2936" t="s">
        <v>8786</v>
      </c>
      <c r="D2936" t="str">
        <f>HYPERLINK("https://zfin.org/ZDB-GENE-091204-274")</f>
        <v>https://zfin.org/ZDB-GENE-091204-274</v>
      </c>
      <c r="E2936" t="s">
        <v>8787</v>
      </c>
    </row>
    <row r="2937" spans="1:5" x14ac:dyDescent="0.2">
      <c r="A2937" t="s">
        <v>8788</v>
      </c>
      <c r="B2937" t="s">
        <v>8789</v>
      </c>
      <c r="C2937" t="s">
        <v>8789</v>
      </c>
      <c r="D2937" t="str">
        <f>HYPERLINK("https://zfin.org/ZDB-GENE-980526-388")</f>
        <v>https://zfin.org/ZDB-GENE-980526-388</v>
      </c>
      <c r="E2937" t="s">
        <v>8790</v>
      </c>
    </row>
    <row r="2938" spans="1:5" x14ac:dyDescent="0.2">
      <c r="A2938" t="s">
        <v>8791</v>
      </c>
      <c r="B2938" t="s">
        <v>8792</v>
      </c>
      <c r="C2938" t="s">
        <v>8792</v>
      </c>
      <c r="D2938" t="str">
        <f>HYPERLINK("https://zfin.org/ZDB-GENE-040718-298")</f>
        <v>https://zfin.org/ZDB-GENE-040718-298</v>
      </c>
      <c r="E2938" t="s">
        <v>8793</v>
      </c>
    </row>
    <row r="2939" spans="1:5" x14ac:dyDescent="0.2">
      <c r="A2939" t="s">
        <v>8794</v>
      </c>
      <c r="B2939" t="s">
        <v>8795</v>
      </c>
      <c r="C2939" t="s">
        <v>8795</v>
      </c>
      <c r="D2939" t="str">
        <f>HYPERLINK("https://zfin.org/ZDB-GENE-990415-35")</f>
        <v>https://zfin.org/ZDB-GENE-990415-35</v>
      </c>
      <c r="E2939" t="s">
        <v>8796</v>
      </c>
    </row>
    <row r="2940" spans="1:5" x14ac:dyDescent="0.2">
      <c r="A2940" t="s">
        <v>8797</v>
      </c>
      <c r="B2940" t="s">
        <v>8798</v>
      </c>
      <c r="C2940" t="s">
        <v>8798</v>
      </c>
      <c r="D2940" t="str">
        <f>HYPERLINK("https://zfin.org/ZDB-GENE-040426-2148")</f>
        <v>https://zfin.org/ZDB-GENE-040426-2148</v>
      </c>
      <c r="E2940" t="s">
        <v>8799</v>
      </c>
    </row>
    <row r="2941" spans="1:5" x14ac:dyDescent="0.2">
      <c r="A2941" t="s">
        <v>8800</v>
      </c>
      <c r="B2941" t="s">
        <v>8801</v>
      </c>
      <c r="C2941" t="s">
        <v>8801</v>
      </c>
      <c r="D2941" t="str">
        <f>HYPERLINK("https://zfin.org/ZDB-GENE-050309-29")</f>
        <v>https://zfin.org/ZDB-GENE-050309-29</v>
      </c>
      <c r="E2941" t="s">
        <v>8802</v>
      </c>
    </row>
    <row r="2942" spans="1:5" x14ac:dyDescent="0.2">
      <c r="A2942" t="s">
        <v>8803</v>
      </c>
      <c r="B2942" t="s">
        <v>8804</v>
      </c>
      <c r="C2942" t="s">
        <v>8804</v>
      </c>
      <c r="D2942" t="str">
        <f>HYPERLINK("https://zfin.org/ZDB-GENE-051127-37")</f>
        <v>https://zfin.org/ZDB-GENE-051127-37</v>
      </c>
      <c r="E2942" t="s">
        <v>8805</v>
      </c>
    </row>
    <row r="2943" spans="1:5" x14ac:dyDescent="0.2">
      <c r="A2943" t="s">
        <v>8806</v>
      </c>
      <c r="B2943" t="s">
        <v>8807</v>
      </c>
      <c r="C2943" t="s">
        <v>8807</v>
      </c>
      <c r="D2943" t="str">
        <f>HYPERLINK("https://zfin.org/ZDB-GENE-070620-3")</f>
        <v>https://zfin.org/ZDB-GENE-070620-3</v>
      </c>
      <c r="E2943" t="s">
        <v>8808</v>
      </c>
    </row>
    <row r="2944" spans="1:5" x14ac:dyDescent="0.2">
      <c r="A2944" t="s">
        <v>8809</v>
      </c>
      <c r="B2944" t="s">
        <v>8810</v>
      </c>
      <c r="C2944" t="s">
        <v>8810</v>
      </c>
      <c r="D2944" t="str">
        <f>HYPERLINK("https://zfin.org/ZDB-GENE-061110-13")</f>
        <v>https://zfin.org/ZDB-GENE-061110-13</v>
      </c>
      <c r="E2944" t="s">
        <v>8811</v>
      </c>
    </row>
    <row r="2945" spans="1:5" x14ac:dyDescent="0.2">
      <c r="A2945" t="s">
        <v>8812</v>
      </c>
      <c r="B2945" t="s">
        <v>8813</v>
      </c>
      <c r="C2945" t="s">
        <v>8813</v>
      </c>
      <c r="D2945" t="str">
        <f>HYPERLINK("https://zfin.org/ZDB-GENE-041114-69")</f>
        <v>https://zfin.org/ZDB-GENE-041114-69</v>
      </c>
      <c r="E2945" t="s">
        <v>8814</v>
      </c>
    </row>
    <row r="2946" spans="1:5" x14ac:dyDescent="0.2">
      <c r="A2946" t="s">
        <v>8815</v>
      </c>
      <c r="B2946" t="s">
        <v>8816</v>
      </c>
      <c r="C2946" t="s">
        <v>8816</v>
      </c>
      <c r="D2946" t="str">
        <f>HYPERLINK("https://zfin.org/ZDB-GENE-020312-1")</f>
        <v>https://zfin.org/ZDB-GENE-020312-1</v>
      </c>
      <c r="E2946" t="s">
        <v>8817</v>
      </c>
    </row>
    <row r="2947" spans="1:5" x14ac:dyDescent="0.2">
      <c r="A2947" t="s">
        <v>8818</v>
      </c>
      <c r="B2947" t="s">
        <v>8819</v>
      </c>
      <c r="C2947" t="s">
        <v>8819</v>
      </c>
      <c r="D2947" t="str">
        <f>HYPERLINK("https://zfin.org/ZDB-GENE-110411-8")</f>
        <v>https://zfin.org/ZDB-GENE-110411-8</v>
      </c>
      <c r="E2947" t="s">
        <v>8820</v>
      </c>
    </row>
    <row r="2948" spans="1:5" x14ac:dyDescent="0.2">
      <c r="A2948" t="s">
        <v>8821</v>
      </c>
      <c r="B2948" t="s">
        <v>8822</v>
      </c>
      <c r="C2948" t="s">
        <v>8822</v>
      </c>
      <c r="D2948" t="str">
        <f>HYPERLINK("https://zfin.org/ZDB-GENE-080917-14")</f>
        <v>https://zfin.org/ZDB-GENE-080917-14</v>
      </c>
      <c r="E2948" t="s">
        <v>8823</v>
      </c>
    </row>
    <row r="2949" spans="1:5" x14ac:dyDescent="0.2">
      <c r="A2949" t="s">
        <v>8824</v>
      </c>
      <c r="B2949" t="s">
        <v>8825</v>
      </c>
      <c r="C2949" t="s">
        <v>8825</v>
      </c>
      <c r="D2949" t="str">
        <f>HYPERLINK("https://zfin.org/ZDB-GENE-020913-1")</f>
        <v>https://zfin.org/ZDB-GENE-020913-1</v>
      </c>
      <c r="E2949" t="s">
        <v>8826</v>
      </c>
    </row>
    <row r="2950" spans="1:5" x14ac:dyDescent="0.2">
      <c r="A2950" t="s">
        <v>8827</v>
      </c>
      <c r="B2950" t="s">
        <v>8828</v>
      </c>
      <c r="C2950" t="s">
        <v>8828</v>
      </c>
      <c r="D2950" t="str">
        <f>HYPERLINK("https://zfin.org/ZDB-GENE-040912-60")</f>
        <v>https://zfin.org/ZDB-GENE-040912-60</v>
      </c>
      <c r="E2950" t="s">
        <v>8829</v>
      </c>
    </row>
    <row r="2951" spans="1:5" x14ac:dyDescent="0.2">
      <c r="A2951" t="s">
        <v>8830</v>
      </c>
      <c r="B2951" t="s">
        <v>8831</v>
      </c>
      <c r="C2951" t="s">
        <v>8831</v>
      </c>
      <c r="D2951" t="str">
        <f>HYPERLINK("https://zfin.org/ZDB-GENE-070410-113")</f>
        <v>https://zfin.org/ZDB-GENE-070410-113</v>
      </c>
      <c r="E2951" t="s">
        <v>8832</v>
      </c>
    </row>
    <row r="2952" spans="1:5" x14ac:dyDescent="0.2">
      <c r="A2952" t="s">
        <v>8833</v>
      </c>
      <c r="B2952" t="s">
        <v>8834</v>
      </c>
      <c r="C2952" t="s">
        <v>8834</v>
      </c>
      <c r="D2952" t="str">
        <f>HYPERLINK("https://zfin.org/ZDB-GENE-081022-44")</f>
        <v>https://zfin.org/ZDB-GENE-081022-44</v>
      </c>
      <c r="E2952" t="s">
        <v>8835</v>
      </c>
    </row>
    <row r="2953" spans="1:5" x14ac:dyDescent="0.2">
      <c r="A2953" t="s">
        <v>8836</v>
      </c>
      <c r="B2953" t="s">
        <v>8837</v>
      </c>
      <c r="C2953" t="s">
        <v>8837</v>
      </c>
      <c r="D2953" t="str">
        <f>HYPERLINK("https://zfin.org/ZDB-GENE-040426-1365")</f>
        <v>https://zfin.org/ZDB-GENE-040426-1365</v>
      </c>
      <c r="E2953" t="s">
        <v>8838</v>
      </c>
    </row>
    <row r="2954" spans="1:5" x14ac:dyDescent="0.2">
      <c r="A2954" t="s">
        <v>8839</v>
      </c>
      <c r="B2954" t="s">
        <v>8840</v>
      </c>
      <c r="C2954" t="s">
        <v>8840</v>
      </c>
      <c r="D2954" t="str">
        <f>HYPERLINK("https://zfin.org/ZDB-GENE-060503-850")</f>
        <v>https://zfin.org/ZDB-GENE-060503-850</v>
      </c>
      <c r="E2954" t="s">
        <v>8841</v>
      </c>
    </row>
    <row r="2955" spans="1:5" x14ac:dyDescent="0.2">
      <c r="A2955" t="s">
        <v>8842</v>
      </c>
      <c r="B2955" t="s">
        <v>8843</v>
      </c>
      <c r="C2955" t="s">
        <v>8843</v>
      </c>
      <c r="D2955" t="str">
        <f>HYPERLINK("https://zfin.org/ZDB-GENE-040426-2174")</f>
        <v>https://zfin.org/ZDB-GENE-040426-2174</v>
      </c>
      <c r="E2955" t="s">
        <v>8844</v>
      </c>
    </row>
    <row r="2956" spans="1:5" x14ac:dyDescent="0.2">
      <c r="A2956" t="s">
        <v>8845</v>
      </c>
      <c r="B2956" t="s">
        <v>8846</v>
      </c>
      <c r="C2956" t="s">
        <v>8846</v>
      </c>
      <c r="D2956" t="str">
        <f>HYPERLINK("https://zfin.org/ZDB-GENE-051113-160")</f>
        <v>https://zfin.org/ZDB-GENE-051113-160</v>
      </c>
      <c r="E2956" t="s">
        <v>8847</v>
      </c>
    </row>
    <row r="2957" spans="1:5" x14ac:dyDescent="0.2">
      <c r="A2957" t="s">
        <v>8848</v>
      </c>
      <c r="B2957" t="s">
        <v>8849</v>
      </c>
      <c r="C2957" t="s">
        <v>8849</v>
      </c>
      <c r="D2957" t="str">
        <f>HYPERLINK("https://zfin.org/ZDB-GENE-030131-2748")</f>
        <v>https://zfin.org/ZDB-GENE-030131-2748</v>
      </c>
      <c r="E2957" t="s">
        <v>8850</v>
      </c>
    </row>
    <row r="2958" spans="1:5" x14ac:dyDescent="0.2">
      <c r="A2958" t="s">
        <v>8851</v>
      </c>
      <c r="B2958" t="s">
        <v>8852</v>
      </c>
      <c r="C2958" t="s">
        <v>8852</v>
      </c>
      <c r="D2958" t="str">
        <f>HYPERLINK("https://zfin.org/ZDB-GENE-040912-93")</f>
        <v>https://zfin.org/ZDB-GENE-040912-93</v>
      </c>
      <c r="E2958" t="s">
        <v>8853</v>
      </c>
    </row>
    <row r="2959" spans="1:5" x14ac:dyDescent="0.2">
      <c r="A2959" t="s">
        <v>8854</v>
      </c>
      <c r="B2959" t="s">
        <v>8855</v>
      </c>
      <c r="C2959" t="s">
        <v>8855</v>
      </c>
      <c r="D2959" t="str">
        <f>HYPERLINK("https://zfin.org/ZDB-GENE-040426-2068")</f>
        <v>https://zfin.org/ZDB-GENE-040426-2068</v>
      </c>
      <c r="E2959" t="s">
        <v>8856</v>
      </c>
    </row>
    <row r="2960" spans="1:5" x14ac:dyDescent="0.2">
      <c r="A2960" t="s">
        <v>8857</v>
      </c>
      <c r="B2960" t="s">
        <v>8858</v>
      </c>
      <c r="C2960" t="s">
        <v>8858</v>
      </c>
      <c r="D2960" t="str">
        <f>HYPERLINK("https://zfin.org/ZDB-GENE-131121-98")</f>
        <v>https://zfin.org/ZDB-GENE-131121-98</v>
      </c>
      <c r="E2960" t="s">
        <v>8859</v>
      </c>
    </row>
    <row r="2961" spans="1:5" x14ac:dyDescent="0.2">
      <c r="A2961" t="s">
        <v>8860</v>
      </c>
      <c r="B2961" t="s">
        <v>8861</v>
      </c>
      <c r="C2961" t="s">
        <v>8861</v>
      </c>
      <c r="D2961" t="str">
        <f>HYPERLINK("https://zfin.org/ZDB-GENE-021219-1")</f>
        <v>https://zfin.org/ZDB-GENE-021219-1</v>
      </c>
      <c r="E2961" t="s">
        <v>8862</v>
      </c>
    </row>
    <row r="2962" spans="1:5" x14ac:dyDescent="0.2">
      <c r="A2962" t="s">
        <v>8863</v>
      </c>
      <c r="B2962" t="s">
        <v>8864</v>
      </c>
      <c r="C2962" t="s">
        <v>8864</v>
      </c>
      <c r="D2962" t="str">
        <f>HYPERLINK("https://zfin.org/ZDB-GENE-070912-649")</f>
        <v>https://zfin.org/ZDB-GENE-070912-649</v>
      </c>
      <c r="E2962" t="s">
        <v>8865</v>
      </c>
    </row>
    <row r="2963" spans="1:5" x14ac:dyDescent="0.2">
      <c r="A2963" t="s">
        <v>8866</v>
      </c>
      <c r="B2963" t="s">
        <v>8867</v>
      </c>
      <c r="C2963" t="s">
        <v>8867</v>
      </c>
      <c r="D2963" t="str">
        <f>HYPERLINK("https://zfin.org/ZDB-GENE-070402-1")</f>
        <v>https://zfin.org/ZDB-GENE-070402-1</v>
      </c>
      <c r="E2963" t="s">
        <v>8868</v>
      </c>
    </row>
    <row r="2964" spans="1:5" x14ac:dyDescent="0.2">
      <c r="A2964" t="s">
        <v>8869</v>
      </c>
      <c r="B2964" t="s">
        <v>8870</v>
      </c>
      <c r="C2964" t="s">
        <v>8870</v>
      </c>
      <c r="D2964" t="str">
        <f>HYPERLINK("https://zfin.org/ZDB-GENE-040426-904")</f>
        <v>https://zfin.org/ZDB-GENE-040426-904</v>
      </c>
      <c r="E2964" t="s">
        <v>8871</v>
      </c>
    </row>
    <row r="2965" spans="1:5" x14ac:dyDescent="0.2">
      <c r="A2965" t="s">
        <v>8872</v>
      </c>
      <c r="B2965" t="s">
        <v>8873</v>
      </c>
      <c r="C2965" t="s">
        <v>8873</v>
      </c>
      <c r="D2965" t="str">
        <f>HYPERLINK("https://zfin.org/ZDB-GENE-040912-132")</f>
        <v>https://zfin.org/ZDB-GENE-040912-132</v>
      </c>
      <c r="E2965" t="s">
        <v>8874</v>
      </c>
    </row>
    <row r="2966" spans="1:5" x14ac:dyDescent="0.2">
      <c r="A2966" t="s">
        <v>8875</v>
      </c>
      <c r="B2966" t="s">
        <v>8876</v>
      </c>
      <c r="C2966" t="s">
        <v>8876</v>
      </c>
      <c r="D2966" t="str">
        <f>HYPERLINK("https://zfin.org/ZDB-GENE-040426-1310")</f>
        <v>https://zfin.org/ZDB-GENE-040426-1310</v>
      </c>
      <c r="E2966" t="s">
        <v>8877</v>
      </c>
    </row>
    <row r="2967" spans="1:5" x14ac:dyDescent="0.2">
      <c r="A2967" t="s">
        <v>8878</v>
      </c>
      <c r="B2967" t="s">
        <v>8879</v>
      </c>
      <c r="C2967" t="s">
        <v>8879</v>
      </c>
      <c r="D2967" t="str">
        <f>HYPERLINK("https://zfin.org/ZDB-GENE-141216-248")</f>
        <v>https://zfin.org/ZDB-GENE-141216-248</v>
      </c>
      <c r="E2967" t="s">
        <v>8880</v>
      </c>
    </row>
    <row r="2968" spans="1:5" x14ac:dyDescent="0.2">
      <c r="A2968" t="s">
        <v>8881</v>
      </c>
      <c r="B2968" t="s">
        <v>8882</v>
      </c>
      <c r="C2968" t="s">
        <v>8882</v>
      </c>
      <c r="D2968" t="str">
        <f>HYPERLINK("https://zfin.org/ZDB-GENE-160113-23")</f>
        <v>https://zfin.org/ZDB-GENE-160113-23</v>
      </c>
      <c r="E2968" t="s">
        <v>8883</v>
      </c>
    </row>
    <row r="2969" spans="1:5" x14ac:dyDescent="0.2">
      <c r="A2969" t="s">
        <v>8884</v>
      </c>
      <c r="B2969" t="s">
        <v>8885</v>
      </c>
      <c r="C2969" t="s">
        <v>8885</v>
      </c>
      <c r="D2969" t="str">
        <f>HYPERLINK("https://zfin.org/ZDB-GENE-040718-291")</f>
        <v>https://zfin.org/ZDB-GENE-040718-291</v>
      </c>
      <c r="E2969" t="s">
        <v>8886</v>
      </c>
    </row>
    <row r="2970" spans="1:5" x14ac:dyDescent="0.2">
      <c r="A2970" t="s">
        <v>8887</v>
      </c>
      <c r="B2970" t="s">
        <v>8888</v>
      </c>
      <c r="C2970" t="s">
        <v>8888</v>
      </c>
      <c r="D2970" t="str">
        <f>HYPERLINK("https://zfin.org/ZDB-GENE-131127-530")</f>
        <v>https://zfin.org/ZDB-GENE-131127-530</v>
      </c>
      <c r="E2970" t="s">
        <v>8889</v>
      </c>
    </row>
    <row r="2971" spans="1:5" x14ac:dyDescent="0.2">
      <c r="A2971" t="s">
        <v>8890</v>
      </c>
      <c r="B2971" t="s">
        <v>8891</v>
      </c>
      <c r="C2971" t="s">
        <v>8891</v>
      </c>
      <c r="D2971" t="str">
        <f>HYPERLINK("https://zfin.org/ZDB-GENE-040426-2500")</f>
        <v>https://zfin.org/ZDB-GENE-040426-2500</v>
      </c>
      <c r="E2971" t="s">
        <v>8892</v>
      </c>
    </row>
    <row r="2972" spans="1:5" x14ac:dyDescent="0.2">
      <c r="A2972" t="s">
        <v>8893</v>
      </c>
      <c r="B2972" t="s">
        <v>8894</v>
      </c>
      <c r="C2972" t="s">
        <v>8894</v>
      </c>
      <c r="D2972" t="str">
        <f>HYPERLINK("https://zfin.org/ZDB-GENE-030131-6225")</f>
        <v>https://zfin.org/ZDB-GENE-030131-6225</v>
      </c>
      <c r="E2972" t="s">
        <v>8895</v>
      </c>
    </row>
    <row r="2973" spans="1:5" x14ac:dyDescent="0.2">
      <c r="A2973" t="s">
        <v>8896</v>
      </c>
      <c r="B2973" t="s">
        <v>8897</v>
      </c>
      <c r="C2973" t="s">
        <v>8897</v>
      </c>
      <c r="D2973" t="str">
        <f>HYPERLINK("https://zfin.org/")</f>
        <v>https://zfin.org/</v>
      </c>
    </row>
    <row r="2974" spans="1:5" x14ac:dyDescent="0.2">
      <c r="A2974" t="s">
        <v>8898</v>
      </c>
      <c r="B2974" t="s">
        <v>8899</v>
      </c>
      <c r="C2974" t="s">
        <v>8899</v>
      </c>
      <c r="D2974" t="str">
        <f>HYPERLINK("https://zfin.org/ZDB-GENE-030131-5868")</f>
        <v>https://zfin.org/ZDB-GENE-030131-5868</v>
      </c>
      <c r="E2974" t="s">
        <v>8900</v>
      </c>
    </row>
    <row r="2975" spans="1:5" x14ac:dyDescent="0.2">
      <c r="A2975" t="s">
        <v>8901</v>
      </c>
      <c r="B2975" t="s">
        <v>8902</v>
      </c>
      <c r="C2975" t="s">
        <v>8902</v>
      </c>
      <c r="D2975" t="str">
        <f>HYPERLINK("https://zfin.org/ZDB-GENE-041114-171")</f>
        <v>https://zfin.org/ZDB-GENE-041114-171</v>
      </c>
      <c r="E2975" t="s">
        <v>8903</v>
      </c>
    </row>
    <row r="2976" spans="1:5" x14ac:dyDescent="0.2">
      <c r="A2976" t="s">
        <v>8904</v>
      </c>
      <c r="B2976" t="s">
        <v>8905</v>
      </c>
      <c r="C2976" t="s">
        <v>8905</v>
      </c>
      <c r="D2976" t="str">
        <f>HYPERLINK("https://zfin.org/ZDB-GENE-131127-453")</f>
        <v>https://zfin.org/ZDB-GENE-131127-453</v>
      </c>
      <c r="E2976" t="s">
        <v>8906</v>
      </c>
    </row>
    <row r="2977" spans="1:5" x14ac:dyDescent="0.2">
      <c r="A2977" t="s">
        <v>8907</v>
      </c>
      <c r="B2977" t="s">
        <v>8908</v>
      </c>
      <c r="C2977" t="s">
        <v>8908</v>
      </c>
      <c r="D2977" t="str">
        <f>HYPERLINK("https://zfin.org/ZDB-GENE-091106-2")</f>
        <v>https://zfin.org/ZDB-GENE-091106-2</v>
      </c>
      <c r="E2977" t="s">
        <v>8909</v>
      </c>
    </row>
    <row r="2978" spans="1:5" x14ac:dyDescent="0.2">
      <c r="A2978" t="s">
        <v>8910</v>
      </c>
      <c r="B2978" t="s">
        <v>8911</v>
      </c>
      <c r="C2978" t="s">
        <v>8911</v>
      </c>
      <c r="D2978" t="str">
        <f>HYPERLINK("https://zfin.org/ZDB-GENE-040426-2161")</f>
        <v>https://zfin.org/ZDB-GENE-040426-2161</v>
      </c>
      <c r="E2978" t="s">
        <v>8912</v>
      </c>
    </row>
    <row r="2979" spans="1:5" x14ac:dyDescent="0.2">
      <c r="A2979" t="s">
        <v>8913</v>
      </c>
      <c r="B2979" t="s">
        <v>8914</v>
      </c>
      <c r="C2979" t="s">
        <v>8914</v>
      </c>
      <c r="D2979" t="str">
        <f>HYPERLINK("https://zfin.org/ZDB-GENE-040718-190")</f>
        <v>https://zfin.org/ZDB-GENE-040718-190</v>
      </c>
      <c r="E2979" t="s">
        <v>8915</v>
      </c>
    </row>
    <row r="2980" spans="1:5" x14ac:dyDescent="0.2">
      <c r="A2980" t="s">
        <v>8916</v>
      </c>
      <c r="B2980" t="s">
        <v>8917</v>
      </c>
      <c r="C2980" t="s">
        <v>8917</v>
      </c>
      <c r="D2980" t="str">
        <f>HYPERLINK("https://zfin.org/ZDB-GENE-081104-382")</f>
        <v>https://zfin.org/ZDB-GENE-081104-382</v>
      </c>
      <c r="E2980" t="s">
        <v>8918</v>
      </c>
    </row>
    <row r="2981" spans="1:5" x14ac:dyDescent="0.2">
      <c r="A2981" t="s">
        <v>8919</v>
      </c>
      <c r="B2981" t="s">
        <v>8920</v>
      </c>
      <c r="C2981" t="s">
        <v>8920</v>
      </c>
      <c r="D2981" t="str">
        <f>HYPERLINK("https://zfin.org/ZDB-GENE-041014-248")</f>
        <v>https://zfin.org/ZDB-GENE-041014-248</v>
      </c>
      <c r="E2981" t="s">
        <v>8921</v>
      </c>
    </row>
    <row r="2982" spans="1:5" x14ac:dyDescent="0.2">
      <c r="A2982" t="s">
        <v>8922</v>
      </c>
      <c r="B2982" t="s">
        <v>8923</v>
      </c>
      <c r="C2982" t="s">
        <v>8923</v>
      </c>
      <c r="D2982" t="str">
        <f>HYPERLINK("https://zfin.org/ZDB-GENE-061027-239")</f>
        <v>https://zfin.org/ZDB-GENE-061027-239</v>
      </c>
      <c r="E2982" t="s">
        <v>8924</v>
      </c>
    </row>
    <row r="2983" spans="1:5" x14ac:dyDescent="0.2">
      <c r="A2983" t="s">
        <v>8925</v>
      </c>
      <c r="B2983" t="s">
        <v>8926</v>
      </c>
      <c r="C2983" t="s">
        <v>8926</v>
      </c>
      <c r="D2983" t="str">
        <f>HYPERLINK("https://zfin.org/ZDB-GENE-040426-2455")</f>
        <v>https://zfin.org/ZDB-GENE-040426-2455</v>
      </c>
      <c r="E2983" t="s">
        <v>8927</v>
      </c>
    </row>
    <row r="2984" spans="1:5" x14ac:dyDescent="0.2">
      <c r="A2984" t="s">
        <v>8928</v>
      </c>
      <c r="B2984" t="s">
        <v>8929</v>
      </c>
      <c r="C2984" t="s">
        <v>8929</v>
      </c>
      <c r="D2984" t="str">
        <f>HYPERLINK("https://zfin.org/ZDB-GENE-030131-8915")</f>
        <v>https://zfin.org/ZDB-GENE-030131-8915</v>
      </c>
      <c r="E2984" t="s">
        <v>8930</v>
      </c>
    </row>
    <row r="2985" spans="1:5" x14ac:dyDescent="0.2">
      <c r="A2985" t="s">
        <v>8931</v>
      </c>
      <c r="B2985" t="s">
        <v>8932</v>
      </c>
      <c r="C2985" t="s">
        <v>8932</v>
      </c>
      <c r="D2985" t="str">
        <f>HYPERLINK("https://zfin.org/ZDB-GENE-050419-16")</f>
        <v>https://zfin.org/ZDB-GENE-050419-16</v>
      </c>
      <c r="E2985" t="s">
        <v>8933</v>
      </c>
    </row>
    <row r="2986" spans="1:5" x14ac:dyDescent="0.2">
      <c r="A2986" t="s">
        <v>8934</v>
      </c>
      <c r="B2986" t="s">
        <v>8935</v>
      </c>
      <c r="C2986" t="s">
        <v>8935</v>
      </c>
      <c r="D2986" t="str">
        <f>HYPERLINK("https://zfin.org/ZDB-GENE-010502-2")</f>
        <v>https://zfin.org/ZDB-GENE-010502-2</v>
      </c>
      <c r="E2986" t="s">
        <v>8936</v>
      </c>
    </row>
    <row r="2987" spans="1:5" x14ac:dyDescent="0.2">
      <c r="A2987" t="s">
        <v>8937</v>
      </c>
      <c r="B2987" t="s">
        <v>8938</v>
      </c>
      <c r="C2987" t="s">
        <v>8938</v>
      </c>
      <c r="D2987" t="str">
        <f>HYPERLINK("https://zfin.org/ZDB-GENE-040426-757")</f>
        <v>https://zfin.org/ZDB-GENE-040426-757</v>
      </c>
      <c r="E2987" t="s">
        <v>8939</v>
      </c>
    </row>
    <row r="2988" spans="1:5" x14ac:dyDescent="0.2">
      <c r="A2988" t="s">
        <v>8940</v>
      </c>
      <c r="B2988" t="s">
        <v>8941</v>
      </c>
      <c r="C2988" t="s">
        <v>8941</v>
      </c>
      <c r="D2988" t="str">
        <f>HYPERLINK("https://zfin.org/ZDB-GENE-030131-3028")</f>
        <v>https://zfin.org/ZDB-GENE-030131-3028</v>
      </c>
      <c r="E2988" t="s">
        <v>8942</v>
      </c>
    </row>
    <row r="2989" spans="1:5" x14ac:dyDescent="0.2">
      <c r="A2989" t="s">
        <v>8943</v>
      </c>
      <c r="B2989" t="s">
        <v>8944</v>
      </c>
      <c r="C2989" t="s">
        <v>8944</v>
      </c>
      <c r="D2989" t="str">
        <f>HYPERLINK("https://zfin.org/ZDB-GENE-030131-561")</f>
        <v>https://zfin.org/ZDB-GENE-030131-561</v>
      </c>
      <c r="E2989" t="s">
        <v>8945</v>
      </c>
    </row>
    <row r="2990" spans="1:5" x14ac:dyDescent="0.2">
      <c r="A2990" t="s">
        <v>8946</v>
      </c>
      <c r="B2990" t="s">
        <v>8947</v>
      </c>
      <c r="C2990" t="s">
        <v>8947</v>
      </c>
      <c r="D2990" t="str">
        <f>HYPERLINK("https://zfin.org/ZDB-GENE-060531-7")</f>
        <v>https://zfin.org/ZDB-GENE-060531-7</v>
      </c>
      <c r="E2990" t="s">
        <v>8948</v>
      </c>
    </row>
    <row r="2991" spans="1:5" x14ac:dyDescent="0.2">
      <c r="A2991" t="s">
        <v>8949</v>
      </c>
      <c r="B2991" t="s">
        <v>8950</v>
      </c>
      <c r="C2991" t="s">
        <v>8950</v>
      </c>
      <c r="D2991" t="str">
        <f>HYPERLINK("https://zfin.org/ZDB-GENE-030131-6013")</f>
        <v>https://zfin.org/ZDB-GENE-030131-6013</v>
      </c>
      <c r="E2991" t="s">
        <v>8951</v>
      </c>
    </row>
    <row r="2992" spans="1:5" x14ac:dyDescent="0.2">
      <c r="A2992" t="s">
        <v>8952</v>
      </c>
      <c r="B2992" t="s">
        <v>8953</v>
      </c>
      <c r="C2992" t="s">
        <v>8953</v>
      </c>
      <c r="D2992" t="str">
        <f>HYPERLINK("https://zfin.org/ZDB-GENE-121214-129")</f>
        <v>https://zfin.org/ZDB-GENE-121214-129</v>
      </c>
      <c r="E2992" t="s">
        <v>8954</v>
      </c>
    </row>
    <row r="2993" spans="1:5" x14ac:dyDescent="0.2">
      <c r="A2993" t="s">
        <v>8955</v>
      </c>
      <c r="B2993" t="s">
        <v>8956</v>
      </c>
      <c r="C2993" t="s">
        <v>8956</v>
      </c>
      <c r="D2993" t="str">
        <f>HYPERLINK("https://zfin.org/ZDB-GENE-030131-9895")</f>
        <v>https://zfin.org/ZDB-GENE-030131-9895</v>
      </c>
      <c r="E2993" t="s">
        <v>8957</v>
      </c>
    </row>
    <row r="2994" spans="1:5" x14ac:dyDescent="0.2">
      <c r="A2994" t="s">
        <v>8958</v>
      </c>
      <c r="B2994" t="s">
        <v>8959</v>
      </c>
      <c r="C2994" t="s">
        <v>8959</v>
      </c>
      <c r="D2994" t="str">
        <f>HYPERLINK("https://zfin.org/ZDB-GENE-090312-217")</f>
        <v>https://zfin.org/ZDB-GENE-090312-217</v>
      </c>
      <c r="E2994" t="s">
        <v>8960</v>
      </c>
    </row>
    <row r="2995" spans="1:5" x14ac:dyDescent="0.2">
      <c r="A2995" t="s">
        <v>8961</v>
      </c>
      <c r="B2995" t="s">
        <v>8897</v>
      </c>
      <c r="C2995" t="s">
        <v>8962</v>
      </c>
      <c r="D2995" t="str">
        <f>HYPERLINK("https://zfin.org/ZDB-GENE-081022-97")</f>
        <v>https://zfin.org/ZDB-GENE-081022-97</v>
      </c>
      <c r="E2995" t="s">
        <v>8963</v>
      </c>
    </row>
    <row r="2996" spans="1:5" x14ac:dyDescent="0.2">
      <c r="A2996" t="s">
        <v>8964</v>
      </c>
      <c r="B2996" t="s">
        <v>8965</v>
      </c>
      <c r="C2996" t="s">
        <v>8965</v>
      </c>
      <c r="D2996" t="str">
        <f>HYPERLINK("https://zfin.org/ZDB-GENE-050506-61")</f>
        <v>https://zfin.org/ZDB-GENE-050506-61</v>
      </c>
      <c r="E2996" t="s">
        <v>8966</v>
      </c>
    </row>
    <row r="2997" spans="1:5" x14ac:dyDescent="0.2">
      <c r="A2997" t="s">
        <v>8967</v>
      </c>
      <c r="B2997" t="s">
        <v>8968</v>
      </c>
      <c r="C2997" t="s">
        <v>8968</v>
      </c>
      <c r="D2997" t="str">
        <f>HYPERLINK("https://zfin.org/ZDB-GENE-110411-213")</f>
        <v>https://zfin.org/ZDB-GENE-110411-213</v>
      </c>
      <c r="E2997" t="s">
        <v>8969</v>
      </c>
    </row>
    <row r="2998" spans="1:5" x14ac:dyDescent="0.2">
      <c r="A2998" t="s">
        <v>8970</v>
      </c>
      <c r="B2998" t="s">
        <v>8971</v>
      </c>
      <c r="C2998" t="s">
        <v>8971</v>
      </c>
      <c r="D2998" t="str">
        <f>HYPERLINK("https://zfin.org/ZDB-GENE-080722-5")</f>
        <v>https://zfin.org/ZDB-GENE-080722-5</v>
      </c>
      <c r="E2998" t="s">
        <v>8972</v>
      </c>
    </row>
    <row r="2999" spans="1:5" x14ac:dyDescent="0.2">
      <c r="A2999" t="s">
        <v>8973</v>
      </c>
      <c r="B2999" t="s">
        <v>8974</v>
      </c>
      <c r="C2999" t="s">
        <v>8974</v>
      </c>
      <c r="D2999" t="str">
        <f>HYPERLINK("https://zfin.org/ZDB-GENE-050522-201")</f>
        <v>https://zfin.org/ZDB-GENE-050522-201</v>
      </c>
      <c r="E2999" t="s">
        <v>8975</v>
      </c>
    </row>
    <row r="3000" spans="1:5" x14ac:dyDescent="0.2">
      <c r="A3000" t="s">
        <v>8976</v>
      </c>
      <c r="B3000" t="s">
        <v>8977</v>
      </c>
      <c r="C3000" t="s">
        <v>8977</v>
      </c>
      <c r="D3000" t="str">
        <f>HYPERLINK("https://zfin.org/ZDB-GENE-080225-18")</f>
        <v>https://zfin.org/ZDB-GENE-080225-18</v>
      </c>
      <c r="E3000" t="s">
        <v>8978</v>
      </c>
    </row>
    <row r="3001" spans="1:5" x14ac:dyDescent="0.2">
      <c r="A3001" t="s">
        <v>8979</v>
      </c>
      <c r="B3001" t="s">
        <v>8980</v>
      </c>
      <c r="C3001" t="s">
        <v>8980</v>
      </c>
      <c r="D3001" t="str">
        <f>HYPERLINK("https://zfin.org/ZDB-GENE-030131-7626")</f>
        <v>https://zfin.org/ZDB-GENE-030131-7626</v>
      </c>
      <c r="E3001" t="s">
        <v>8981</v>
      </c>
    </row>
    <row r="3002" spans="1:5" x14ac:dyDescent="0.2">
      <c r="A3002" t="s">
        <v>8982</v>
      </c>
      <c r="B3002" t="s">
        <v>8983</v>
      </c>
      <c r="C3002" t="s">
        <v>8983</v>
      </c>
      <c r="D3002" t="str">
        <f>HYPERLINK("https://zfin.org/ZDB-GENE-040718-368")</f>
        <v>https://zfin.org/ZDB-GENE-040718-368</v>
      </c>
      <c r="E3002" t="s">
        <v>8984</v>
      </c>
    </row>
    <row r="3003" spans="1:5" x14ac:dyDescent="0.2">
      <c r="A3003" t="s">
        <v>8985</v>
      </c>
      <c r="B3003" t="s">
        <v>8986</v>
      </c>
      <c r="C3003" t="s">
        <v>8986</v>
      </c>
      <c r="D3003" t="str">
        <f>HYPERLINK("https://zfin.org/ZDB-GENE-040426-1300")</f>
        <v>https://zfin.org/ZDB-GENE-040426-1300</v>
      </c>
      <c r="E3003" t="s">
        <v>8987</v>
      </c>
    </row>
    <row r="3004" spans="1:5" x14ac:dyDescent="0.2">
      <c r="A3004" t="s">
        <v>8988</v>
      </c>
      <c r="B3004" t="s">
        <v>8989</v>
      </c>
      <c r="C3004" t="s">
        <v>8989</v>
      </c>
      <c r="D3004" t="str">
        <f>HYPERLINK("https://zfin.org/ZDB-GENE-040822-15")</f>
        <v>https://zfin.org/ZDB-GENE-040822-15</v>
      </c>
      <c r="E3004" t="s">
        <v>8990</v>
      </c>
    </row>
    <row r="3005" spans="1:5" x14ac:dyDescent="0.2">
      <c r="A3005" t="s">
        <v>8991</v>
      </c>
      <c r="B3005" t="s">
        <v>8992</v>
      </c>
      <c r="C3005" t="s">
        <v>8992</v>
      </c>
      <c r="D3005" t="str">
        <f>HYPERLINK("https://zfin.org/ZDB-GENE-020905-4")</f>
        <v>https://zfin.org/ZDB-GENE-020905-4</v>
      </c>
      <c r="E3005" t="s">
        <v>8993</v>
      </c>
    </row>
    <row r="3006" spans="1:5" x14ac:dyDescent="0.2">
      <c r="A3006" t="s">
        <v>8994</v>
      </c>
      <c r="B3006" t="s">
        <v>8995</v>
      </c>
      <c r="C3006" t="s">
        <v>8995</v>
      </c>
      <c r="D3006" t="str">
        <f>HYPERLINK("https://zfin.org/ZDB-GENE-050208-711")</f>
        <v>https://zfin.org/ZDB-GENE-050208-711</v>
      </c>
      <c r="E3006" t="s">
        <v>8996</v>
      </c>
    </row>
    <row r="3007" spans="1:5" x14ac:dyDescent="0.2">
      <c r="A3007" t="s">
        <v>8997</v>
      </c>
      <c r="B3007" t="s">
        <v>8998</v>
      </c>
      <c r="C3007" t="s">
        <v>8998</v>
      </c>
      <c r="D3007" t="str">
        <f>HYPERLINK("https://zfin.org/ZDB-GENE-041212-41")</f>
        <v>https://zfin.org/ZDB-GENE-041212-41</v>
      </c>
      <c r="E3007" t="s">
        <v>8999</v>
      </c>
    </row>
    <row r="3008" spans="1:5" x14ac:dyDescent="0.2">
      <c r="A3008" t="s">
        <v>9000</v>
      </c>
      <c r="B3008" t="s">
        <v>9001</v>
      </c>
      <c r="C3008" t="s">
        <v>9001</v>
      </c>
      <c r="D3008" t="str">
        <f>HYPERLINK("https://zfin.org/ZDB-GENE-050211-1")</f>
        <v>https://zfin.org/ZDB-GENE-050211-1</v>
      </c>
      <c r="E3008" t="s">
        <v>9002</v>
      </c>
    </row>
    <row r="3009" spans="1:5" x14ac:dyDescent="0.2">
      <c r="A3009" t="s">
        <v>9003</v>
      </c>
      <c r="B3009" t="s">
        <v>9004</v>
      </c>
      <c r="C3009" t="s">
        <v>9004</v>
      </c>
      <c r="D3009" t="str">
        <f>HYPERLINK("https://zfin.org/ZDB-GENE-120215-64")</f>
        <v>https://zfin.org/ZDB-GENE-120215-64</v>
      </c>
      <c r="E3009" t="s">
        <v>9005</v>
      </c>
    </row>
    <row r="3010" spans="1:5" x14ac:dyDescent="0.2">
      <c r="A3010" t="s">
        <v>9006</v>
      </c>
      <c r="B3010" t="s">
        <v>9007</v>
      </c>
      <c r="C3010" t="s">
        <v>9007</v>
      </c>
      <c r="D3010" t="str">
        <f>HYPERLINK("https://zfin.org/ZDB-GENE-050522-297")</f>
        <v>https://zfin.org/ZDB-GENE-050522-297</v>
      </c>
      <c r="E3010" t="s">
        <v>9008</v>
      </c>
    </row>
    <row r="3011" spans="1:5" x14ac:dyDescent="0.2">
      <c r="A3011" t="s">
        <v>9009</v>
      </c>
      <c r="B3011" t="s">
        <v>9010</v>
      </c>
      <c r="C3011" t="s">
        <v>9010</v>
      </c>
      <c r="D3011" t="str">
        <f>HYPERLINK("https://zfin.org/ZDB-GENE-050306-2")</f>
        <v>https://zfin.org/ZDB-GENE-050306-2</v>
      </c>
      <c r="E3011" t="s">
        <v>9011</v>
      </c>
    </row>
    <row r="3012" spans="1:5" x14ac:dyDescent="0.2">
      <c r="A3012" t="s">
        <v>9012</v>
      </c>
      <c r="B3012" t="s">
        <v>9013</v>
      </c>
      <c r="C3012" t="s">
        <v>9013</v>
      </c>
      <c r="D3012" t="str">
        <f>HYPERLINK("https://zfin.org/ZDB-GENE-070720-18")</f>
        <v>https://zfin.org/ZDB-GENE-070720-18</v>
      </c>
      <c r="E3012" t="s">
        <v>9014</v>
      </c>
    </row>
    <row r="3013" spans="1:5" x14ac:dyDescent="0.2">
      <c r="A3013" t="s">
        <v>9015</v>
      </c>
      <c r="B3013" t="s">
        <v>9016</v>
      </c>
      <c r="C3013" t="s">
        <v>9016</v>
      </c>
      <c r="D3013" t="str">
        <f>HYPERLINK("https://zfin.org/ZDB-GENE-100729-4")</f>
        <v>https://zfin.org/ZDB-GENE-100729-4</v>
      </c>
      <c r="E3013" t="s">
        <v>9017</v>
      </c>
    </row>
    <row r="3014" spans="1:5" x14ac:dyDescent="0.2">
      <c r="A3014" t="s">
        <v>9018</v>
      </c>
      <c r="B3014" t="s">
        <v>9019</v>
      </c>
      <c r="C3014" t="s">
        <v>9019</v>
      </c>
      <c r="D3014" t="str">
        <f>HYPERLINK("https://zfin.org/ZDB-GENE-030912-7")</f>
        <v>https://zfin.org/ZDB-GENE-030912-7</v>
      </c>
      <c r="E3014" t="s">
        <v>9020</v>
      </c>
    </row>
    <row r="3015" spans="1:5" x14ac:dyDescent="0.2">
      <c r="A3015" t="s">
        <v>9021</v>
      </c>
      <c r="B3015" t="s">
        <v>9022</v>
      </c>
      <c r="C3015" t="s">
        <v>9022</v>
      </c>
      <c r="D3015" t="str">
        <f>HYPERLINK("https://zfin.org/ZDB-GENE-030131-6333")</f>
        <v>https://zfin.org/ZDB-GENE-030131-6333</v>
      </c>
      <c r="E3015" t="s">
        <v>9023</v>
      </c>
    </row>
    <row r="3016" spans="1:5" x14ac:dyDescent="0.2">
      <c r="A3016" t="s">
        <v>9024</v>
      </c>
      <c r="B3016" t="s">
        <v>9025</v>
      </c>
      <c r="C3016" t="s">
        <v>9025</v>
      </c>
      <c r="D3016" t="str">
        <f>HYPERLINK("https://zfin.org/ZDB-GENE-040724-131")</f>
        <v>https://zfin.org/ZDB-GENE-040724-131</v>
      </c>
      <c r="E3016" t="s">
        <v>9026</v>
      </c>
    </row>
    <row r="3017" spans="1:5" x14ac:dyDescent="0.2">
      <c r="A3017" t="s">
        <v>9027</v>
      </c>
      <c r="B3017" t="s">
        <v>9028</v>
      </c>
      <c r="C3017" t="s">
        <v>9028</v>
      </c>
      <c r="D3017" t="str">
        <f>HYPERLINK("https://zfin.org/ZDB-GENE-141216-132")</f>
        <v>https://zfin.org/ZDB-GENE-141216-132</v>
      </c>
      <c r="E3017" t="s">
        <v>9029</v>
      </c>
    </row>
    <row r="3018" spans="1:5" x14ac:dyDescent="0.2">
      <c r="A3018" t="s">
        <v>9030</v>
      </c>
      <c r="B3018" t="s">
        <v>9031</v>
      </c>
      <c r="C3018" t="s">
        <v>9031</v>
      </c>
      <c r="D3018" t="str">
        <f>HYPERLINK("https://zfin.org/ZDB-GENE-030131-5628")</f>
        <v>https://zfin.org/ZDB-GENE-030131-5628</v>
      </c>
      <c r="E3018" t="s">
        <v>9032</v>
      </c>
    </row>
    <row r="3019" spans="1:5" x14ac:dyDescent="0.2">
      <c r="A3019" t="s">
        <v>9033</v>
      </c>
      <c r="B3019" t="s">
        <v>9034</v>
      </c>
      <c r="C3019" t="s">
        <v>9034</v>
      </c>
      <c r="D3019" t="str">
        <f>HYPERLINK("https://zfin.org/ZDB-GENE-070216-2")</f>
        <v>https://zfin.org/ZDB-GENE-070216-2</v>
      </c>
      <c r="E3019" t="s">
        <v>9035</v>
      </c>
    </row>
    <row r="3020" spans="1:5" x14ac:dyDescent="0.2">
      <c r="A3020" t="s">
        <v>9036</v>
      </c>
      <c r="B3020" t="s">
        <v>9037</v>
      </c>
      <c r="C3020" t="s">
        <v>9037</v>
      </c>
      <c r="D3020" t="str">
        <f>HYPERLINK("https://zfin.org/ZDB-GENE-031002-50")</f>
        <v>https://zfin.org/ZDB-GENE-031002-50</v>
      </c>
      <c r="E3020" t="s">
        <v>9038</v>
      </c>
    </row>
    <row r="3021" spans="1:5" x14ac:dyDescent="0.2">
      <c r="A3021" t="s">
        <v>9039</v>
      </c>
      <c r="B3021" t="s">
        <v>9040</v>
      </c>
      <c r="C3021" t="s">
        <v>9040</v>
      </c>
      <c r="D3021" t="str">
        <f>HYPERLINK("https://zfin.org/ZDB-GENE-040718-401")</f>
        <v>https://zfin.org/ZDB-GENE-040718-401</v>
      </c>
      <c r="E3021" t="s">
        <v>9041</v>
      </c>
    </row>
    <row r="3022" spans="1:5" x14ac:dyDescent="0.2">
      <c r="A3022" t="s">
        <v>9042</v>
      </c>
      <c r="B3022" t="s">
        <v>9043</v>
      </c>
      <c r="C3022" t="s">
        <v>9043</v>
      </c>
      <c r="D3022" t="str">
        <f>HYPERLINK("https://zfin.org/ZDB-GENE-081113-3")</f>
        <v>https://zfin.org/ZDB-GENE-081113-3</v>
      </c>
      <c r="E3022" t="s">
        <v>9044</v>
      </c>
    </row>
    <row r="3023" spans="1:5" x14ac:dyDescent="0.2">
      <c r="A3023" t="s">
        <v>9045</v>
      </c>
      <c r="B3023" t="s">
        <v>9046</v>
      </c>
      <c r="C3023" t="s">
        <v>9046</v>
      </c>
      <c r="D3023" t="str">
        <f>HYPERLINK("https://zfin.org/ZDB-GENE-080806-1")</f>
        <v>https://zfin.org/ZDB-GENE-080806-1</v>
      </c>
      <c r="E3023" t="s">
        <v>9047</v>
      </c>
    </row>
    <row r="3024" spans="1:5" x14ac:dyDescent="0.2">
      <c r="A3024" t="s">
        <v>9048</v>
      </c>
      <c r="B3024" t="s">
        <v>9049</v>
      </c>
      <c r="C3024" t="s">
        <v>9049</v>
      </c>
      <c r="D3024" t="str">
        <f>HYPERLINK("https://zfin.org/ZDB-GENE-030131-7452")</f>
        <v>https://zfin.org/ZDB-GENE-030131-7452</v>
      </c>
      <c r="E3024" t="s">
        <v>9050</v>
      </c>
    </row>
    <row r="3025" spans="1:5" x14ac:dyDescent="0.2">
      <c r="A3025" t="s">
        <v>9051</v>
      </c>
      <c r="B3025" t="s">
        <v>9052</v>
      </c>
      <c r="C3025" t="s">
        <v>9052</v>
      </c>
      <c r="D3025" t="str">
        <f>HYPERLINK("https://zfin.org/ZDB-GENE-030131-2333")</f>
        <v>https://zfin.org/ZDB-GENE-030131-2333</v>
      </c>
      <c r="E3025" t="s">
        <v>9053</v>
      </c>
    </row>
    <row r="3026" spans="1:5" x14ac:dyDescent="0.2">
      <c r="A3026" t="s">
        <v>9054</v>
      </c>
      <c r="B3026" t="s">
        <v>9055</v>
      </c>
      <c r="C3026" t="s">
        <v>9055</v>
      </c>
      <c r="D3026" t="str">
        <f>HYPERLINK("https://zfin.org/ZDB-GENE-060929-616")</f>
        <v>https://zfin.org/ZDB-GENE-060929-616</v>
      </c>
      <c r="E3026" t="s">
        <v>9056</v>
      </c>
    </row>
    <row r="3027" spans="1:5" x14ac:dyDescent="0.2">
      <c r="A3027" t="s">
        <v>9057</v>
      </c>
      <c r="B3027" t="s">
        <v>9058</v>
      </c>
      <c r="C3027" t="s">
        <v>9058</v>
      </c>
      <c r="D3027" t="str">
        <f>HYPERLINK("https://zfin.org/ZDB-GENE-090311-3")</f>
        <v>https://zfin.org/ZDB-GENE-090311-3</v>
      </c>
      <c r="E3027" t="s">
        <v>9059</v>
      </c>
    </row>
    <row r="3028" spans="1:5" x14ac:dyDescent="0.2">
      <c r="A3028" t="s">
        <v>9060</v>
      </c>
      <c r="B3028" t="s">
        <v>9061</v>
      </c>
      <c r="C3028" t="s">
        <v>9061</v>
      </c>
      <c r="D3028" t="str">
        <f>HYPERLINK("https://zfin.org/ZDB-GENE-030131-4334")</f>
        <v>https://zfin.org/ZDB-GENE-030131-4334</v>
      </c>
      <c r="E3028" t="s">
        <v>9062</v>
      </c>
    </row>
    <row r="3029" spans="1:5" x14ac:dyDescent="0.2">
      <c r="A3029" t="s">
        <v>9063</v>
      </c>
      <c r="B3029" t="s">
        <v>9064</v>
      </c>
      <c r="C3029" t="s">
        <v>9064</v>
      </c>
      <c r="D3029" t="str">
        <f>HYPERLINK("https://zfin.org/ZDB-GENE-050417-234")</f>
        <v>https://zfin.org/ZDB-GENE-050417-234</v>
      </c>
      <c r="E3029" t="s">
        <v>9065</v>
      </c>
    </row>
    <row r="3030" spans="1:5" x14ac:dyDescent="0.2">
      <c r="A3030" t="s">
        <v>9066</v>
      </c>
      <c r="B3030" t="s">
        <v>9067</v>
      </c>
      <c r="C3030" t="s">
        <v>9067</v>
      </c>
      <c r="D3030" t="str">
        <f>HYPERLINK("https://zfin.org/ZDB-GENE-030131-513")</f>
        <v>https://zfin.org/ZDB-GENE-030131-513</v>
      </c>
      <c r="E3030" t="s">
        <v>9068</v>
      </c>
    </row>
    <row r="3031" spans="1:5" x14ac:dyDescent="0.2">
      <c r="A3031" t="s">
        <v>9069</v>
      </c>
      <c r="B3031" t="s">
        <v>9070</v>
      </c>
      <c r="C3031" t="s">
        <v>9070</v>
      </c>
      <c r="D3031" t="str">
        <f>HYPERLINK("https://zfin.org/ZDB-GENE-030131-2457")</f>
        <v>https://zfin.org/ZDB-GENE-030131-2457</v>
      </c>
      <c r="E3031" t="s">
        <v>9071</v>
      </c>
    </row>
    <row r="3032" spans="1:5" x14ac:dyDescent="0.2">
      <c r="A3032" t="s">
        <v>9072</v>
      </c>
      <c r="B3032" t="s">
        <v>9073</v>
      </c>
      <c r="C3032" t="s">
        <v>9073</v>
      </c>
      <c r="D3032" t="str">
        <f>HYPERLINK("https://zfin.org/ZDB-GENE-121127-1")</f>
        <v>https://zfin.org/ZDB-GENE-121127-1</v>
      </c>
      <c r="E3032" t="s">
        <v>9074</v>
      </c>
    </row>
    <row r="3033" spans="1:5" x14ac:dyDescent="0.2">
      <c r="A3033" t="s">
        <v>9075</v>
      </c>
      <c r="B3033" t="s">
        <v>9076</v>
      </c>
      <c r="C3033" t="s">
        <v>9076</v>
      </c>
      <c r="D3033" t="str">
        <f>HYPERLINK("https://zfin.org/ZDB-GENE-050913-128")</f>
        <v>https://zfin.org/ZDB-GENE-050913-128</v>
      </c>
      <c r="E3033" t="s">
        <v>9077</v>
      </c>
    </row>
    <row r="3034" spans="1:5" x14ac:dyDescent="0.2">
      <c r="A3034" t="s">
        <v>9078</v>
      </c>
      <c r="B3034" t="s">
        <v>9079</v>
      </c>
      <c r="C3034" t="s">
        <v>9079</v>
      </c>
      <c r="D3034" t="str">
        <f>HYPERLINK("https://zfin.org/ZDB-GENE-050104-1")</f>
        <v>https://zfin.org/ZDB-GENE-050104-1</v>
      </c>
      <c r="E3034" t="s">
        <v>9080</v>
      </c>
    </row>
    <row r="3035" spans="1:5" x14ac:dyDescent="0.2">
      <c r="A3035" t="s">
        <v>9081</v>
      </c>
      <c r="B3035" t="s">
        <v>9082</v>
      </c>
      <c r="C3035" t="s">
        <v>9082</v>
      </c>
      <c r="D3035" t="str">
        <f>HYPERLINK("https://zfin.org/ZDB-GENE-040426-1741")</f>
        <v>https://zfin.org/ZDB-GENE-040426-1741</v>
      </c>
      <c r="E3035" t="s">
        <v>9083</v>
      </c>
    </row>
    <row r="3036" spans="1:5" x14ac:dyDescent="0.2">
      <c r="A3036" t="s">
        <v>9084</v>
      </c>
      <c r="B3036" t="s">
        <v>9085</v>
      </c>
      <c r="C3036" t="s">
        <v>9085</v>
      </c>
      <c r="D3036" t="str">
        <f>HYPERLINK("https://zfin.org/ZDB-GENE-040718-3")</f>
        <v>https://zfin.org/ZDB-GENE-040718-3</v>
      </c>
      <c r="E3036" t="s">
        <v>9086</v>
      </c>
    </row>
    <row r="3037" spans="1:5" x14ac:dyDescent="0.2">
      <c r="A3037" t="s">
        <v>9087</v>
      </c>
      <c r="B3037" t="s">
        <v>9088</v>
      </c>
      <c r="C3037" t="s">
        <v>9088</v>
      </c>
      <c r="D3037" t="str">
        <f>HYPERLINK("https://zfin.org/ZDB-GENE-040718-371")</f>
        <v>https://zfin.org/ZDB-GENE-040718-371</v>
      </c>
      <c r="E3037" t="s">
        <v>9089</v>
      </c>
    </row>
    <row r="3038" spans="1:5" x14ac:dyDescent="0.2">
      <c r="A3038" t="s">
        <v>9090</v>
      </c>
      <c r="B3038" t="s">
        <v>9091</v>
      </c>
      <c r="C3038" t="s">
        <v>9091</v>
      </c>
      <c r="D3038" t="str">
        <f>HYPERLINK("https://zfin.org/ZDB-GENE-131121-296")</f>
        <v>https://zfin.org/ZDB-GENE-131121-296</v>
      </c>
      <c r="E3038" t="s">
        <v>9092</v>
      </c>
    </row>
    <row r="3039" spans="1:5" x14ac:dyDescent="0.2">
      <c r="A3039" t="s">
        <v>9093</v>
      </c>
      <c r="B3039" t="s">
        <v>9094</v>
      </c>
      <c r="C3039" t="s">
        <v>9094</v>
      </c>
      <c r="D3039" t="str">
        <f>HYPERLINK("https://zfin.org/ZDB-GENE-030131-5627")</f>
        <v>https://zfin.org/ZDB-GENE-030131-5627</v>
      </c>
      <c r="E3039" t="s">
        <v>9095</v>
      </c>
    </row>
    <row r="3040" spans="1:5" x14ac:dyDescent="0.2">
      <c r="A3040" t="s">
        <v>9096</v>
      </c>
      <c r="B3040" t="s">
        <v>9097</v>
      </c>
      <c r="C3040" t="s">
        <v>9097</v>
      </c>
      <c r="D3040" t="str">
        <f>HYPERLINK("https://zfin.org/ZDB-GENE-110914-101")</f>
        <v>https://zfin.org/ZDB-GENE-110914-101</v>
      </c>
      <c r="E3040" t="s">
        <v>9098</v>
      </c>
    </row>
    <row r="3041" spans="1:5" x14ac:dyDescent="0.2">
      <c r="A3041" t="s">
        <v>9099</v>
      </c>
      <c r="B3041" t="s">
        <v>9100</v>
      </c>
      <c r="C3041" t="s">
        <v>9100</v>
      </c>
      <c r="D3041" t="str">
        <f>HYPERLINK("https://zfin.org/ZDB-GENE-081107-14")</f>
        <v>https://zfin.org/ZDB-GENE-081107-14</v>
      </c>
      <c r="E3041" t="s">
        <v>9101</v>
      </c>
    </row>
    <row r="3042" spans="1:5" x14ac:dyDescent="0.2">
      <c r="A3042" t="s">
        <v>9102</v>
      </c>
      <c r="B3042" t="s">
        <v>9103</v>
      </c>
      <c r="C3042" t="s">
        <v>9103</v>
      </c>
      <c r="D3042" t="str">
        <f>HYPERLINK("https://zfin.org/ZDB-GENE-040625-59")</f>
        <v>https://zfin.org/ZDB-GENE-040625-59</v>
      </c>
      <c r="E3042" t="s">
        <v>9104</v>
      </c>
    </row>
    <row r="3043" spans="1:5" x14ac:dyDescent="0.2">
      <c r="A3043" t="s">
        <v>9105</v>
      </c>
      <c r="B3043" t="s">
        <v>9106</v>
      </c>
      <c r="C3043" t="s">
        <v>9106</v>
      </c>
      <c r="D3043" t="str">
        <f>HYPERLINK("https://zfin.org/ZDB-GENE-051113-264")</f>
        <v>https://zfin.org/ZDB-GENE-051113-264</v>
      </c>
      <c r="E3043" t="s">
        <v>9107</v>
      </c>
    </row>
    <row r="3044" spans="1:5" x14ac:dyDescent="0.2">
      <c r="A3044" t="s">
        <v>9108</v>
      </c>
      <c r="B3044" t="s">
        <v>9109</v>
      </c>
      <c r="C3044" t="s">
        <v>9109</v>
      </c>
      <c r="D3044" t="str">
        <f>HYPERLINK("https://zfin.org/ZDB-GENE-060929-902")</f>
        <v>https://zfin.org/ZDB-GENE-060929-902</v>
      </c>
      <c r="E3044" t="s">
        <v>9110</v>
      </c>
    </row>
    <row r="3045" spans="1:5" x14ac:dyDescent="0.2">
      <c r="A3045" t="s">
        <v>9111</v>
      </c>
      <c r="B3045" t="s">
        <v>9112</v>
      </c>
      <c r="C3045" t="s">
        <v>9112</v>
      </c>
      <c r="D3045" t="str">
        <f>HYPERLINK("https://zfin.org/ZDB-GENE-081104-205")</f>
        <v>https://zfin.org/ZDB-GENE-081104-205</v>
      </c>
      <c r="E3045" t="s">
        <v>9113</v>
      </c>
    </row>
    <row r="3046" spans="1:5" x14ac:dyDescent="0.2">
      <c r="A3046" t="s">
        <v>9114</v>
      </c>
      <c r="B3046" t="s">
        <v>9115</v>
      </c>
      <c r="C3046" t="s">
        <v>9115</v>
      </c>
      <c r="D3046" t="str">
        <f>HYPERLINK("https://zfin.org/ZDB-GENE-061207-38")</f>
        <v>https://zfin.org/ZDB-GENE-061207-38</v>
      </c>
      <c r="E3046" t="s">
        <v>9116</v>
      </c>
    </row>
    <row r="3047" spans="1:5" x14ac:dyDescent="0.2">
      <c r="A3047" t="s">
        <v>9117</v>
      </c>
      <c r="B3047" t="s">
        <v>9118</v>
      </c>
      <c r="C3047" t="s">
        <v>9118</v>
      </c>
      <c r="D3047" t="str">
        <f>HYPERLINK("https://zfin.org/ZDB-GENE-060316-3")</f>
        <v>https://zfin.org/ZDB-GENE-060316-3</v>
      </c>
      <c r="E3047" t="s">
        <v>9119</v>
      </c>
    </row>
    <row r="3048" spans="1:5" x14ac:dyDescent="0.2">
      <c r="A3048" t="s">
        <v>9120</v>
      </c>
      <c r="B3048" t="s">
        <v>9121</v>
      </c>
      <c r="C3048" t="s">
        <v>9121</v>
      </c>
      <c r="D3048" t="str">
        <f>HYPERLINK("https://zfin.org/ZDB-GENE-050119-1")</f>
        <v>https://zfin.org/ZDB-GENE-050119-1</v>
      </c>
      <c r="E3048" t="s">
        <v>9122</v>
      </c>
    </row>
    <row r="3049" spans="1:5" x14ac:dyDescent="0.2">
      <c r="A3049" t="s">
        <v>9123</v>
      </c>
      <c r="B3049" t="s">
        <v>9124</v>
      </c>
      <c r="C3049" t="s">
        <v>9124</v>
      </c>
      <c r="D3049" t="str">
        <f>HYPERLINK("https://zfin.org/ZDB-GENE-050517-17")</f>
        <v>https://zfin.org/ZDB-GENE-050517-17</v>
      </c>
      <c r="E3049" t="s">
        <v>9125</v>
      </c>
    </row>
    <row r="3050" spans="1:5" x14ac:dyDescent="0.2">
      <c r="A3050" t="s">
        <v>9126</v>
      </c>
      <c r="B3050" t="s">
        <v>9127</v>
      </c>
      <c r="C3050" t="s">
        <v>9127</v>
      </c>
      <c r="D3050" t="str">
        <f>HYPERLINK("https://zfin.org/ZDB-GENE-030131-3078")</f>
        <v>https://zfin.org/ZDB-GENE-030131-3078</v>
      </c>
      <c r="E3050" t="s">
        <v>9128</v>
      </c>
    </row>
    <row r="3051" spans="1:5" x14ac:dyDescent="0.2">
      <c r="A3051" t="s">
        <v>9129</v>
      </c>
      <c r="B3051" t="s">
        <v>9130</v>
      </c>
      <c r="C3051" t="s">
        <v>9130</v>
      </c>
      <c r="D3051" t="str">
        <f>HYPERLINK("https://zfin.org/ZDB-GENE-040426-2146")</f>
        <v>https://zfin.org/ZDB-GENE-040426-2146</v>
      </c>
      <c r="E3051" t="s">
        <v>9131</v>
      </c>
    </row>
    <row r="3052" spans="1:5" x14ac:dyDescent="0.2">
      <c r="A3052" t="s">
        <v>9132</v>
      </c>
      <c r="B3052" t="s">
        <v>9133</v>
      </c>
      <c r="C3052" t="s">
        <v>9133</v>
      </c>
      <c r="D3052" t="str">
        <f>HYPERLINK("https://zfin.org/ZDB-GENE-040704-6")</f>
        <v>https://zfin.org/ZDB-GENE-040704-6</v>
      </c>
      <c r="E3052" t="s">
        <v>9134</v>
      </c>
    </row>
    <row r="3053" spans="1:5" x14ac:dyDescent="0.2">
      <c r="A3053" t="s">
        <v>9135</v>
      </c>
      <c r="B3053" t="s">
        <v>9136</v>
      </c>
      <c r="C3053" t="s">
        <v>9136</v>
      </c>
      <c r="D3053" t="str">
        <f>HYPERLINK("https://zfin.org/ZDB-GENE-080204-126")</f>
        <v>https://zfin.org/ZDB-GENE-080204-126</v>
      </c>
      <c r="E3053" t="s">
        <v>9137</v>
      </c>
    </row>
    <row r="3054" spans="1:5" x14ac:dyDescent="0.2">
      <c r="A3054" t="s">
        <v>9138</v>
      </c>
      <c r="B3054" t="s">
        <v>9139</v>
      </c>
      <c r="C3054" t="s">
        <v>9139</v>
      </c>
      <c r="D3054" t="str">
        <f>HYPERLINK("https://zfin.org/ZDB-GENE-040912-105")</f>
        <v>https://zfin.org/ZDB-GENE-040912-105</v>
      </c>
      <c r="E3054" t="s">
        <v>9140</v>
      </c>
    </row>
    <row r="3055" spans="1:5" x14ac:dyDescent="0.2">
      <c r="A3055" t="s">
        <v>9141</v>
      </c>
      <c r="B3055" t="s">
        <v>9142</v>
      </c>
      <c r="C3055" t="s">
        <v>9142</v>
      </c>
      <c r="D3055" t="str">
        <f>HYPERLINK("https://zfin.org/ZDB-GENE-040718-22")</f>
        <v>https://zfin.org/ZDB-GENE-040718-22</v>
      </c>
      <c r="E3055" t="s">
        <v>9143</v>
      </c>
    </row>
    <row r="3056" spans="1:5" x14ac:dyDescent="0.2">
      <c r="A3056" t="s">
        <v>9144</v>
      </c>
      <c r="B3056" t="s">
        <v>9145</v>
      </c>
      <c r="C3056" t="s">
        <v>9145</v>
      </c>
      <c r="D3056" t="str">
        <f>HYPERLINK("https://zfin.org/ZDB-GENE-030131-1052")</f>
        <v>https://zfin.org/ZDB-GENE-030131-1052</v>
      </c>
      <c r="E3056" t="s">
        <v>9146</v>
      </c>
    </row>
    <row r="3057" spans="1:5" x14ac:dyDescent="0.2">
      <c r="A3057" t="s">
        <v>9147</v>
      </c>
      <c r="B3057" t="s">
        <v>9148</v>
      </c>
      <c r="C3057" t="s">
        <v>9148</v>
      </c>
      <c r="D3057" t="str">
        <f>HYPERLINK("https://zfin.org/ZDB-GENE-061013-677")</f>
        <v>https://zfin.org/ZDB-GENE-061013-677</v>
      </c>
      <c r="E3057" t="s">
        <v>9149</v>
      </c>
    </row>
    <row r="3058" spans="1:5" x14ac:dyDescent="0.2">
      <c r="A3058" t="s">
        <v>9150</v>
      </c>
      <c r="B3058" t="s">
        <v>9151</v>
      </c>
      <c r="C3058" t="s">
        <v>9151</v>
      </c>
      <c r="D3058" t="str">
        <f>HYPERLINK("https://zfin.org/ZDB-GENE-081028-59")</f>
        <v>https://zfin.org/ZDB-GENE-081028-59</v>
      </c>
      <c r="E3058" t="s">
        <v>9152</v>
      </c>
    </row>
    <row r="3059" spans="1:5" x14ac:dyDescent="0.2">
      <c r="A3059" t="s">
        <v>9153</v>
      </c>
      <c r="B3059" t="s">
        <v>9154</v>
      </c>
      <c r="C3059" t="s">
        <v>9154</v>
      </c>
      <c r="D3059" t="str">
        <f>HYPERLINK("https://zfin.org/ZDB-GENE-080709-1")</f>
        <v>https://zfin.org/ZDB-GENE-080709-1</v>
      </c>
      <c r="E3059" t="s">
        <v>9155</v>
      </c>
    </row>
    <row r="3060" spans="1:5" x14ac:dyDescent="0.2">
      <c r="A3060" t="s">
        <v>9156</v>
      </c>
      <c r="B3060" t="s">
        <v>9157</v>
      </c>
      <c r="C3060" t="s">
        <v>9157</v>
      </c>
      <c r="D3060" t="str">
        <f>HYPERLINK("https://zfin.org/ZDB-GENE-080220-48")</f>
        <v>https://zfin.org/ZDB-GENE-080220-48</v>
      </c>
      <c r="E3060" t="s">
        <v>9158</v>
      </c>
    </row>
    <row r="3061" spans="1:5" x14ac:dyDescent="0.2">
      <c r="A3061" t="s">
        <v>9159</v>
      </c>
      <c r="B3061" t="s">
        <v>9160</v>
      </c>
      <c r="C3061" t="s">
        <v>9160</v>
      </c>
      <c r="D3061" t="str">
        <f>HYPERLINK("https://zfin.org/ZDB-GENE-120521-1")</f>
        <v>https://zfin.org/ZDB-GENE-120521-1</v>
      </c>
      <c r="E3061" t="s">
        <v>9161</v>
      </c>
    </row>
    <row r="3062" spans="1:5" x14ac:dyDescent="0.2">
      <c r="A3062" t="s">
        <v>9162</v>
      </c>
      <c r="B3062" t="s">
        <v>9163</v>
      </c>
      <c r="C3062" t="s">
        <v>9163</v>
      </c>
      <c r="D3062" t="str">
        <f>HYPERLINK("https://zfin.org/ZDB-GENE-050417-93")</f>
        <v>https://zfin.org/ZDB-GENE-050417-93</v>
      </c>
      <c r="E3062" t="s">
        <v>9164</v>
      </c>
    </row>
    <row r="3063" spans="1:5" x14ac:dyDescent="0.2">
      <c r="A3063" t="s">
        <v>9165</v>
      </c>
      <c r="B3063" t="s">
        <v>9166</v>
      </c>
      <c r="C3063" t="s">
        <v>9166</v>
      </c>
      <c r="D3063" t="str">
        <f>HYPERLINK("https://zfin.org/ZDB-GENE-141215-21")</f>
        <v>https://zfin.org/ZDB-GENE-141215-21</v>
      </c>
      <c r="E3063" t="s">
        <v>9167</v>
      </c>
    </row>
    <row r="3064" spans="1:5" x14ac:dyDescent="0.2">
      <c r="A3064" t="s">
        <v>9168</v>
      </c>
      <c r="B3064" t="s">
        <v>9169</v>
      </c>
      <c r="C3064" t="s">
        <v>9169</v>
      </c>
      <c r="D3064" t="str">
        <f>HYPERLINK("https://zfin.org/ZDB-GENE-040426-1858")</f>
        <v>https://zfin.org/ZDB-GENE-040426-1858</v>
      </c>
      <c r="E3064" t="s">
        <v>9170</v>
      </c>
    </row>
    <row r="3065" spans="1:5" x14ac:dyDescent="0.2">
      <c r="A3065" t="s">
        <v>9171</v>
      </c>
      <c r="B3065" t="s">
        <v>9172</v>
      </c>
      <c r="C3065" t="s">
        <v>9172</v>
      </c>
      <c r="D3065" t="str">
        <f>HYPERLINK("https://zfin.org/ZDB-GENE-070620-25")</f>
        <v>https://zfin.org/ZDB-GENE-070620-25</v>
      </c>
      <c r="E3065" t="s">
        <v>9173</v>
      </c>
    </row>
    <row r="3066" spans="1:5" x14ac:dyDescent="0.2">
      <c r="A3066" t="s">
        <v>9174</v>
      </c>
      <c r="B3066" t="s">
        <v>9175</v>
      </c>
      <c r="C3066" t="s">
        <v>9175</v>
      </c>
      <c r="D3066" t="str">
        <f>HYPERLINK("https://zfin.org/ZDB-GENE-030131-8448")</f>
        <v>https://zfin.org/ZDB-GENE-030131-8448</v>
      </c>
      <c r="E3066" t="s">
        <v>9176</v>
      </c>
    </row>
    <row r="3067" spans="1:5" x14ac:dyDescent="0.2">
      <c r="A3067" t="s">
        <v>9177</v>
      </c>
      <c r="B3067" t="s">
        <v>9178</v>
      </c>
      <c r="C3067" t="s">
        <v>9178</v>
      </c>
      <c r="D3067" t="str">
        <f>HYPERLINK("https://zfin.org/ZDB-GENE-030131-7715")</f>
        <v>https://zfin.org/ZDB-GENE-030131-7715</v>
      </c>
      <c r="E3067" t="s">
        <v>9179</v>
      </c>
    </row>
    <row r="3068" spans="1:5" x14ac:dyDescent="0.2">
      <c r="A3068" t="s">
        <v>9180</v>
      </c>
      <c r="B3068" t="s">
        <v>9181</v>
      </c>
      <c r="C3068" t="s">
        <v>9181</v>
      </c>
      <c r="D3068" t="str">
        <f>HYPERLINK("https://zfin.org/ZDB-GENE-041114-26")</f>
        <v>https://zfin.org/ZDB-GENE-041114-26</v>
      </c>
      <c r="E3068" t="s">
        <v>9182</v>
      </c>
    </row>
    <row r="3069" spans="1:5" x14ac:dyDescent="0.2">
      <c r="A3069" t="s">
        <v>9183</v>
      </c>
      <c r="B3069" t="s">
        <v>9184</v>
      </c>
      <c r="C3069" t="s">
        <v>9184</v>
      </c>
      <c r="D3069" t="str">
        <f>HYPERLINK("https://zfin.org/ZDB-GENE-040912-165")</f>
        <v>https://zfin.org/ZDB-GENE-040912-165</v>
      </c>
      <c r="E3069" t="s">
        <v>9185</v>
      </c>
    </row>
    <row r="3070" spans="1:5" x14ac:dyDescent="0.2">
      <c r="A3070" t="s">
        <v>9186</v>
      </c>
      <c r="B3070" t="s">
        <v>9187</v>
      </c>
      <c r="C3070" t="s">
        <v>9187</v>
      </c>
      <c r="D3070" t="str">
        <f>HYPERLINK("https://zfin.org/ZDB-GENE-091204-95")</f>
        <v>https://zfin.org/ZDB-GENE-091204-95</v>
      </c>
      <c r="E3070" t="s">
        <v>9188</v>
      </c>
    </row>
    <row r="3071" spans="1:5" x14ac:dyDescent="0.2">
      <c r="A3071" t="s">
        <v>9189</v>
      </c>
      <c r="B3071" t="s">
        <v>9190</v>
      </c>
      <c r="C3071" t="s">
        <v>9190</v>
      </c>
      <c r="D3071" t="str">
        <f>HYPERLINK("https://zfin.org/ZDB-GENE-040618-2")</f>
        <v>https://zfin.org/ZDB-GENE-040618-2</v>
      </c>
      <c r="E3071" t="s">
        <v>9191</v>
      </c>
    </row>
    <row r="3072" spans="1:5" x14ac:dyDescent="0.2">
      <c r="A3072" t="s">
        <v>9192</v>
      </c>
      <c r="B3072" t="s">
        <v>9193</v>
      </c>
      <c r="C3072" t="s">
        <v>9193</v>
      </c>
      <c r="D3072" t="str">
        <f>HYPERLINK("https://zfin.org/ZDB-GENE-030805-4")</f>
        <v>https://zfin.org/ZDB-GENE-030805-4</v>
      </c>
      <c r="E3072" t="s">
        <v>9194</v>
      </c>
    </row>
    <row r="3073" spans="1:5" x14ac:dyDescent="0.2">
      <c r="A3073" t="s">
        <v>9195</v>
      </c>
      <c r="B3073" t="s">
        <v>9196</v>
      </c>
      <c r="C3073" t="s">
        <v>9196</v>
      </c>
      <c r="D3073" t="str">
        <f>HYPERLINK("https://zfin.org/ZDB-GENE-030131-1717")</f>
        <v>https://zfin.org/ZDB-GENE-030131-1717</v>
      </c>
      <c r="E3073" t="s">
        <v>9197</v>
      </c>
    </row>
    <row r="3074" spans="1:5" x14ac:dyDescent="0.2">
      <c r="A3074" t="s">
        <v>9198</v>
      </c>
      <c r="B3074" t="s">
        <v>9199</v>
      </c>
      <c r="C3074" t="s">
        <v>9199</v>
      </c>
      <c r="D3074" t="str">
        <f>HYPERLINK("https://zfin.org/ZDB-GENE-060503-759")</f>
        <v>https://zfin.org/ZDB-GENE-060503-759</v>
      </c>
      <c r="E3074" t="s">
        <v>9200</v>
      </c>
    </row>
    <row r="3075" spans="1:5" x14ac:dyDescent="0.2">
      <c r="A3075" t="s">
        <v>9201</v>
      </c>
      <c r="B3075" t="s">
        <v>9202</v>
      </c>
      <c r="C3075" t="s">
        <v>9202</v>
      </c>
      <c r="D3075" t="str">
        <f>HYPERLINK("https://zfin.org/ZDB-GENE-030515-3")</f>
        <v>https://zfin.org/ZDB-GENE-030515-3</v>
      </c>
      <c r="E3075" t="s">
        <v>9203</v>
      </c>
    </row>
    <row r="3076" spans="1:5" x14ac:dyDescent="0.2">
      <c r="A3076" t="s">
        <v>9204</v>
      </c>
      <c r="B3076" t="s">
        <v>9205</v>
      </c>
      <c r="C3076" t="s">
        <v>9205</v>
      </c>
      <c r="D3076" t="str">
        <f>HYPERLINK("https://zfin.org/ZDB-GENE-050417-116")</f>
        <v>https://zfin.org/ZDB-GENE-050417-116</v>
      </c>
      <c r="E3076" t="s">
        <v>9206</v>
      </c>
    </row>
    <row r="3077" spans="1:5" x14ac:dyDescent="0.2">
      <c r="A3077" t="s">
        <v>9207</v>
      </c>
      <c r="B3077" t="s">
        <v>9208</v>
      </c>
      <c r="C3077" t="s">
        <v>9208</v>
      </c>
      <c r="D3077" t="str">
        <f>HYPERLINK("https://zfin.org/ZDB-GENE-121214-170")</f>
        <v>https://zfin.org/ZDB-GENE-121214-170</v>
      </c>
      <c r="E3077" t="s">
        <v>9209</v>
      </c>
    </row>
    <row r="3078" spans="1:5" x14ac:dyDescent="0.2">
      <c r="A3078" t="s">
        <v>9210</v>
      </c>
      <c r="B3078" t="s">
        <v>9211</v>
      </c>
      <c r="C3078" t="s">
        <v>9211</v>
      </c>
      <c r="D3078" t="str">
        <f>HYPERLINK("https://zfin.org/ZDB-GENE-060201-3")</f>
        <v>https://zfin.org/ZDB-GENE-060201-3</v>
      </c>
      <c r="E3078" t="s">
        <v>9212</v>
      </c>
    </row>
    <row r="3079" spans="1:5" x14ac:dyDescent="0.2">
      <c r="A3079" t="s">
        <v>9213</v>
      </c>
      <c r="B3079" t="s">
        <v>9214</v>
      </c>
      <c r="C3079" t="s">
        <v>9214</v>
      </c>
      <c r="D3079" t="str">
        <f>HYPERLINK("https://zfin.org/ZDB-GENE-131127-184")</f>
        <v>https://zfin.org/ZDB-GENE-131127-184</v>
      </c>
      <c r="E3079" t="s">
        <v>9215</v>
      </c>
    </row>
    <row r="3080" spans="1:5" x14ac:dyDescent="0.2">
      <c r="A3080" t="s">
        <v>9216</v>
      </c>
      <c r="B3080" t="s">
        <v>9217</v>
      </c>
      <c r="C3080" t="s">
        <v>9217</v>
      </c>
      <c r="D3080" t="str">
        <f>HYPERLINK("https://zfin.org/ZDB-GENE-040718-5")</f>
        <v>https://zfin.org/ZDB-GENE-040718-5</v>
      </c>
      <c r="E3080" t="s">
        <v>9218</v>
      </c>
    </row>
    <row r="3081" spans="1:5" x14ac:dyDescent="0.2">
      <c r="A3081" t="s">
        <v>9219</v>
      </c>
      <c r="B3081" t="s">
        <v>9220</v>
      </c>
      <c r="C3081" t="s">
        <v>9220</v>
      </c>
      <c r="D3081" t="str">
        <f>HYPERLINK("https://zfin.org/ZDB-GENE-040426-1068")</f>
        <v>https://zfin.org/ZDB-GENE-040426-1068</v>
      </c>
      <c r="E3081" t="s">
        <v>9221</v>
      </c>
    </row>
    <row r="3082" spans="1:5" x14ac:dyDescent="0.2">
      <c r="A3082" t="s">
        <v>9222</v>
      </c>
      <c r="B3082" t="s">
        <v>9223</v>
      </c>
      <c r="C3082" t="s">
        <v>9223</v>
      </c>
      <c r="D3082" t="str">
        <f>HYPERLINK("https://zfin.org/ZDB-GENE-030131-1107")</f>
        <v>https://zfin.org/ZDB-GENE-030131-1107</v>
      </c>
      <c r="E3082" t="s">
        <v>9224</v>
      </c>
    </row>
    <row r="3083" spans="1:5" x14ac:dyDescent="0.2">
      <c r="A3083" t="s">
        <v>9225</v>
      </c>
      <c r="B3083" t="s">
        <v>9226</v>
      </c>
      <c r="C3083" t="s">
        <v>9226</v>
      </c>
      <c r="D3083" t="str">
        <f>HYPERLINK("https://zfin.org/ZDB-GENE-990415-273")</f>
        <v>https://zfin.org/ZDB-GENE-990415-273</v>
      </c>
      <c r="E3083" t="s">
        <v>9227</v>
      </c>
    </row>
    <row r="3084" spans="1:5" x14ac:dyDescent="0.2">
      <c r="A3084" t="s">
        <v>9228</v>
      </c>
      <c r="B3084" t="s">
        <v>9229</v>
      </c>
      <c r="C3084" t="s">
        <v>9229</v>
      </c>
      <c r="D3084" t="str">
        <f>HYPERLINK("https://zfin.org/ZDB-GENE-100212-2")</f>
        <v>https://zfin.org/ZDB-GENE-100212-2</v>
      </c>
      <c r="E3084" t="s">
        <v>9230</v>
      </c>
    </row>
    <row r="3085" spans="1:5" x14ac:dyDescent="0.2">
      <c r="A3085" t="s">
        <v>9231</v>
      </c>
      <c r="B3085" t="s">
        <v>9232</v>
      </c>
      <c r="C3085" t="s">
        <v>9232</v>
      </c>
      <c r="D3085" t="str">
        <f>HYPERLINK("https://zfin.org/ZDB-GENE-050809-127")</f>
        <v>https://zfin.org/ZDB-GENE-050809-127</v>
      </c>
      <c r="E3085" t="s">
        <v>9233</v>
      </c>
    </row>
    <row r="3086" spans="1:5" x14ac:dyDescent="0.2">
      <c r="A3086" t="s">
        <v>9234</v>
      </c>
      <c r="B3086" t="s">
        <v>9235</v>
      </c>
      <c r="C3086" t="s">
        <v>9235</v>
      </c>
      <c r="D3086" t="str">
        <f>HYPERLINK("https://zfin.org/ZDB-GENE-040718-126")</f>
        <v>https://zfin.org/ZDB-GENE-040718-126</v>
      </c>
      <c r="E3086" t="s">
        <v>9236</v>
      </c>
    </row>
    <row r="3087" spans="1:5" x14ac:dyDescent="0.2">
      <c r="A3087" t="s">
        <v>9237</v>
      </c>
      <c r="B3087" t="s">
        <v>9238</v>
      </c>
      <c r="C3087" t="s">
        <v>9238</v>
      </c>
      <c r="D3087" t="str">
        <f>HYPERLINK("https://zfin.org/ZDB-GENE-060503-388")</f>
        <v>https://zfin.org/ZDB-GENE-060503-388</v>
      </c>
      <c r="E3087" t="s">
        <v>9239</v>
      </c>
    </row>
    <row r="3088" spans="1:5" x14ac:dyDescent="0.2">
      <c r="A3088" t="s">
        <v>9240</v>
      </c>
      <c r="B3088" t="s">
        <v>9241</v>
      </c>
      <c r="C3088" t="s">
        <v>9241</v>
      </c>
      <c r="D3088" t="str">
        <f>HYPERLINK("https://zfin.org/ZDB-GENE-040801-210")</f>
        <v>https://zfin.org/ZDB-GENE-040801-210</v>
      </c>
      <c r="E3088" t="s">
        <v>9242</v>
      </c>
    </row>
    <row r="3089" spans="1:5" x14ac:dyDescent="0.2">
      <c r="A3089" t="s">
        <v>9243</v>
      </c>
      <c r="B3089" t="s">
        <v>9244</v>
      </c>
      <c r="C3089" t="s">
        <v>9244</v>
      </c>
      <c r="D3089" t="str">
        <f>HYPERLINK("https://zfin.org/ZDB-GENE-040724-146")</f>
        <v>https://zfin.org/ZDB-GENE-040724-146</v>
      </c>
      <c r="E3089" t="s">
        <v>9245</v>
      </c>
    </row>
    <row r="3090" spans="1:5" x14ac:dyDescent="0.2">
      <c r="A3090" t="s">
        <v>9246</v>
      </c>
      <c r="B3090" t="s">
        <v>9247</v>
      </c>
      <c r="C3090" t="s">
        <v>9247</v>
      </c>
      <c r="D3090" t="str">
        <f>HYPERLINK("https://zfin.org/ZDB-GENE-041008-158")</f>
        <v>https://zfin.org/ZDB-GENE-041008-158</v>
      </c>
      <c r="E3090" t="s">
        <v>9248</v>
      </c>
    </row>
    <row r="3091" spans="1:5" x14ac:dyDescent="0.2">
      <c r="A3091" t="s">
        <v>9249</v>
      </c>
      <c r="B3091" t="s">
        <v>9250</v>
      </c>
      <c r="C3091" t="s">
        <v>9250</v>
      </c>
      <c r="D3091" t="str">
        <f>HYPERLINK("https://zfin.org/ZDB-GENE-040426-1419")</f>
        <v>https://zfin.org/ZDB-GENE-040426-1419</v>
      </c>
      <c r="E3091" t="s">
        <v>9251</v>
      </c>
    </row>
    <row r="3092" spans="1:5" x14ac:dyDescent="0.2">
      <c r="A3092" t="s">
        <v>9252</v>
      </c>
      <c r="B3092" t="s">
        <v>9253</v>
      </c>
      <c r="C3092" t="s">
        <v>9253</v>
      </c>
      <c r="D3092" t="str">
        <f>HYPERLINK("https://zfin.org/ZDB-GENE-010724-11")</f>
        <v>https://zfin.org/ZDB-GENE-010724-11</v>
      </c>
      <c r="E3092" t="s">
        <v>9254</v>
      </c>
    </row>
    <row r="3093" spans="1:5" x14ac:dyDescent="0.2">
      <c r="A3093" t="s">
        <v>9255</v>
      </c>
      <c r="B3093" t="s">
        <v>9256</v>
      </c>
      <c r="C3093" t="s">
        <v>9256</v>
      </c>
      <c r="D3093" t="str">
        <f>HYPERLINK("https://zfin.org/ZDB-GENE-040426-1326")</f>
        <v>https://zfin.org/ZDB-GENE-040426-1326</v>
      </c>
      <c r="E3093" t="s">
        <v>9257</v>
      </c>
    </row>
    <row r="3094" spans="1:5" x14ac:dyDescent="0.2">
      <c r="A3094" t="s">
        <v>9258</v>
      </c>
      <c r="B3094" t="s">
        <v>9259</v>
      </c>
      <c r="C3094" t="s">
        <v>9259</v>
      </c>
      <c r="D3094" t="str">
        <f>HYPERLINK("https://zfin.org/ZDB-GENE-110913-107")</f>
        <v>https://zfin.org/ZDB-GENE-110913-107</v>
      </c>
      <c r="E3094" t="s">
        <v>9260</v>
      </c>
    </row>
    <row r="3095" spans="1:5" x14ac:dyDescent="0.2">
      <c r="A3095" t="s">
        <v>9261</v>
      </c>
      <c r="B3095" t="s">
        <v>9262</v>
      </c>
      <c r="C3095" t="s">
        <v>9262</v>
      </c>
      <c r="D3095" t="str">
        <f>HYPERLINK("https://zfin.org/ZDB-GENE-121214-1")</f>
        <v>https://zfin.org/ZDB-GENE-121214-1</v>
      </c>
      <c r="E3095" t="s">
        <v>9263</v>
      </c>
    </row>
    <row r="3096" spans="1:5" x14ac:dyDescent="0.2">
      <c r="A3096" t="s">
        <v>9264</v>
      </c>
      <c r="B3096" t="s">
        <v>9265</v>
      </c>
      <c r="C3096" t="s">
        <v>9265</v>
      </c>
      <c r="D3096" t="str">
        <f>HYPERLINK("https://zfin.org/ZDB-GENE-030131-1378")</f>
        <v>https://zfin.org/ZDB-GENE-030131-1378</v>
      </c>
      <c r="E3096" t="s">
        <v>9266</v>
      </c>
    </row>
    <row r="3097" spans="1:5" x14ac:dyDescent="0.2">
      <c r="A3097" t="s">
        <v>9267</v>
      </c>
      <c r="B3097" t="s">
        <v>9268</v>
      </c>
      <c r="C3097" t="s">
        <v>9268</v>
      </c>
      <c r="D3097" t="str">
        <f>HYPERLINK("https://zfin.org/ZDB-GENE-060421-3368")</f>
        <v>https://zfin.org/ZDB-GENE-060421-3368</v>
      </c>
      <c r="E3097" t="s">
        <v>9269</v>
      </c>
    </row>
    <row r="3098" spans="1:5" x14ac:dyDescent="0.2">
      <c r="A3098" t="s">
        <v>9270</v>
      </c>
      <c r="B3098" t="s">
        <v>9271</v>
      </c>
      <c r="C3098" t="s">
        <v>9271</v>
      </c>
      <c r="D3098" t="str">
        <f>HYPERLINK("https://zfin.org/ZDB-GENE-030131-5474")</f>
        <v>https://zfin.org/ZDB-GENE-030131-5474</v>
      </c>
      <c r="E3098" t="s">
        <v>9272</v>
      </c>
    </row>
    <row r="3099" spans="1:5" x14ac:dyDescent="0.2">
      <c r="A3099" t="s">
        <v>9273</v>
      </c>
      <c r="B3099" t="s">
        <v>9274</v>
      </c>
      <c r="C3099" t="s">
        <v>9274</v>
      </c>
      <c r="D3099" t="str">
        <f>HYPERLINK("https://zfin.org/ZDB-GENE-141216-411")</f>
        <v>https://zfin.org/ZDB-GENE-141216-411</v>
      </c>
      <c r="E3099" t="s">
        <v>9275</v>
      </c>
    </row>
    <row r="3100" spans="1:5" x14ac:dyDescent="0.2">
      <c r="A3100" t="s">
        <v>9276</v>
      </c>
      <c r="B3100" t="s">
        <v>9277</v>
      </c>
      <c r="C3100" t="s">
        <v>9277</v>
      </c>
      <c r="D3100" t="str">
        <f>HYPERLINK("https://zfin.org/ZDB-GENE-070912-651")</f>
        <v>https://zfin.org/ZDB-GENE-070912-651</v>
      </c>
      <c r="E3100" t="s">
        <v>9278</v>
      </c>
    </row>
    <row r="3101" spans="1:5" x14ac:dyDescent="0.2">
      <c r="A3101" t="s">
        <v>9279</v>
      </c>
      <c r="B3101" t="s">
        <v>9280</v>
      </c>
      <c r="C3101" t="s">
        <v>9280</v>
      </c>
      <c r="D3101" t="str">
        <f>HYPERLINK("https://zfin.org/ZDB-GENE-991008-18")</f>
        <v>https://zfin.org/ZDB-GENE-991008-18</v>
      </c>
      <c r="E3101" t="s">
        <v>9281</v>
      </c>
    </row>
    <row r="3102" spans="1:5" x14ac:dyDescent="0.2">
      <c r="A3102" t="s">
        <v>9282</v>
      </c>
      <c r="B3102" t="s">
        <v>9283</v>
      </c>
      <c r="C3102" t="s">
        <v>9283</v>
      </c>
      <c r="D3102" t="str">
        <f>HYPERLINK("https://zfin.org/ZDB-GENE-090313-49")</f>
        <v>https://zfin.org/ZDB-GENE-090313-49</v>
      </c>
      <c r="E3102" t="s">
        <v>9284</v>
      </c>
    </row>
    <row r="3103" spans="1:5" x14ac:dyDescent="0.2">
      <c r="A3103" t="s">
        <v>9285</v>
      </c>
      <c r="B3103" t="s">
        <v>9286</v>
      </c>
      <c r="C3103" t="s">
        <v>9286</v>
      </c>
      <c r="D3103" t="str">
        <f>HYPERLINK("https://zfin.org/ZDB-GENE-070912-561")</f>
        <v>https://zfin.org/ZDB-GENE-070912-561</v>
      </c>
      <c r="E3103" t="s">
        <v>9287</v>
      </c>
    </row>
    <row r="3104" spans="1:5" x14ac:dyDescent="0.2">
      <c r="A3104" t="s">
        <v>9288</v>
      </c>
      <c r="B3104" t="s">
        <v>9289</v>
      </c>
      <c r="C3104" t="s">
        <v>9289</v>
      </c>
      <c r="D3104" t="str">
        <f>HYPERLINK("https://zfin.org/ZDB-GENE-030131-2809")</f>
        <v>https://zfin.org/ZDB-GENE-030131-2809</v>
      </c>
      <c r="E3104" t="s">
        <v>9290</v>
      </c>
    </row>
    <row r="3105" spans="1:5" x14ac:dyDescent="0.2">
      <c r="A3105" t="s">
        <v>9291</v>
      </c>
      <c r="B3105" t="s">
        <v>9292</v>
      </c>
      <c r="C3105" t="s">
        <v>9292</v>
      </c>
      <c r="D3105" t="str">
        <f>HYPERLINK("https://zfin.org/ZDB-GENE-081104-454")</f>
        <v>https://zfin.org/ZDB-GENE-081104-454</v>
      </c>
      <c r="E3105" t="s">
        <v>9293</v>
      </c>
    </row>
    <row r="3106" spans="1:5" x14ac:dyDescent="0.2">
      <c r="A3106" t="s">
        <v>9294</v>
      </c>
      <c r="B3106" t="s">
        <v>9295</v>
      </c>
      <c r="C3106" t="s">
        <v>9295</v>
      </c>
      <c r="D3106" t="str">
        <f>HYPERLINK("https://zfin.org/ZDB-GENE-030131-9854")</f>
        <v>https://zfin.org/ZDB-GENE-030131-9854</v>
      </c>
      <c r="E3106" t="s">
        <v>9296</v>
      </c>
    </row>
    <row r="3107" spans="1:5" x14ac:dyDescent="0.2">
      <c r="A3107" t="s">
        <v>9297</v>
      </c>
      <c r="B3107" t="s">
        <v>9298</v>
      </c>
      <c r="C3107" t="s">
        <v>9298</v>
      </c>
      <c r="D3107" t="str">
        <f>HYPERLINK("https://zfin.org/ZDB-GENE-131127-561")</f>
        <v>https://zfin.org/ZDB-GENE-131127-561</v>
      </c>
      <c r="E3107" t="s">
        <v>9299</v>
      </c>
    </row>
    <row r="3108" spans="1:5" x14ac:dyDescent="0.2">
      <c r="A3108" t="s">
        <v>9300</v>
      </c>
      <c r="B3108" t="s">
        <v>9301</v>
      </c>
      <c r="C3108" t="s">
        <v>9301</v>
      </c>
      <c r="D3108" t="str">
        <f>HYPERLINK("https://zfin.org/ZDB-GENE-030424-2")</f>
        <v>https://zfin.org/ZDB-GENE-030424-2</v>
      </c>
      <c r="E3108" t="s">
        <v>9302</v>
      </c>
    </row>
    <row r="3109" spans="1:5" x14ac:dyDescent="0.2">
      <c r="A3109" t="s">
        <v>9303</v>
      </c>
      <c r="B3109" t="s">
        <v>9304</v>
      </c>
      <c r="C3109" t="s">
        <v>9304</v>
      </c>
      <c r="D3109" t="str">
        <f>HYPERLINK("https://zfin.org/ZDB-GENE-040724-172")</f>
        <v>https://zfin.org/ZDB-GENE-040724-172</v>
      </c>
      <c r="E3109" t="s">
        <v>9305</v>
      </c>
    </row>
    <row r="3110" spans="1:5" x14ac:dyDescent="0.2">
      <c r="A3110" t="s">
        <v>9306</v>
      </c>
      <c r="B3110" t="s">
        <v>9307</v>
      </c>
      <c r="C3110" t="s">
        <v>9307</v>
      </c>
      <c r="D3110" t="str">
        <f>HYPERLINK("https://zfin.org/ZDB-GENE-040625-161")</f>
        <v>https://zfin.org/ZDB-GENE-040625-161</v>
      </c>
      <c r="E3110" t="s">
        <v>9308</v>
      </c>
    </row>
    <row r="3111" spans="1:5" x14ac:dyDescent="0.2">
      <c r="A3111" t="s">
        <v>9309</v>
      </c>
      <c r="B3111" t="s">
        <v>9310</v>
      </c>
      <c r="C3111" t="s">
        <v>9310</v>
      </c>
      <c r="D3111" t="str">
        <f>HYPERLINK("https://zfin.org/ZDB-GENE-091217-2")</f>
        <v>https://zfin.org/ZDB-GENE-091217-2</v>
      </c>
      <c r="E3111" t="s">
        <v>9311</v>
      </c>
    </row>
    <row r="3112" spans="1:5" x14ac:dyDescent="0.2">
      <c r="A3112" t="s">
        <v>9312</v>
      </c>
      <c r="B3112" t="s">
        <v>9313</v>
      </c>
      <c r="C3112" t="s">
        <v>9313</v>
      </c>
      <c r="D3112" t="str">
        <f>HYPERLINK("https://zfin.org/ZDB-GENE-080220-8")</f>
        <v>https://zfin.org/ZDB-GENE-080220-8</v>
      </c>
      <c r="E3112" t="s">
        <v>9314</v>
      </c>
    </row>
    <row r="3113" spans="1:5" x14ac:dyDescent="0.2">
      <c r="A3113" t="s">
        <v>9315</v>
      </c>
      <c r="B3113" t="s">
        <v>9316</v>
      </c>
      <c r="C3113" t="s">
        <v>9316</v>
      </c>
      <c r="D3113" t="str">
        <f>HYPERLINK("https://zfin.org/ZDB-GENE-061215-54")</f>
        <v>https://zfin.org/ZDB-GENE-061215-54</v>
      </c>
      <c r="E3113" t="s">
        <v>9317</v>
      </c>
    </row>
    <row r="3114" spans="1:5" x14ac:dyDescent="0.2">
      <c r="A3114" t="s">
        <v>9318</v>
      </c>
      <c r="B3114" t="s">
        <v>9319</v>
      </c>
      <c r="C3114" t="s">
        <v>9319</v>
      </c>
      <c r="D3114" t="str">
        <f>HYPERLINK("https://zfin.org/ZDB-GENE-040426-1399")</f>
        <v>https://zfin.org/ZDB-GENE-040426-1399</v>
      </c>
      <c r="E3114" t="s">
        <v>9320</v>
      </c>
    </row>
    <row r="3115" spans="1:5" x14ac:dyDescent="0.2">
      <c r="A3115" t="s">
        <v>9321</v>
      </c>
      <c r="B3115" t="s">
        <v>9322</v>
      </c>
      <c r="C3115" t="s">
        <v>9322</v>
      </c>
      <c r="D3115" t="str">
        <f>HYPERLINK("https://zfin.org/ZDB-GENE-030131-4275")</f>
        <v>https://zfin.org/ZDB-GENE-030131-4275</v>
      </c>
      <c r="E3115" t="s">
        <v>9323</v>
      </c>
    </row>
    <row r="3116" spans="1:5" x14ac:dyDescent="0.2">
      <c r="A3116" t="s">
        <v>9324</v>
      </c>
      <c r="B3116" t="s">
        <v>9325</v>
      </c>
      <c r="C3116" t="s">
        <v>9325</v>
      </c>
      <c r="D3116" t="str">
        <f>HYPERLINK("https://zfin.org/ZDB-GENE-141215-45")</f>
        <v>https://zfin.org/ZDB-GENE-141215-45</v>
      </c>
      <c r="E3116" t="s">
        <v>9326</v>
      </c>
    </row>
    <row r="3117" spans="1:5" x14ac:dyDescent="0.2">
      <c r="A3117" t="s">
        <v>9327</v>
      </c>
      <c r="B3117" t="s">
        <v>9328</v>
      </c>
      <c r="C3117" t="s">
        <v>9328</v>
      </c>
      <c r="D3117" t="str">
        <f>HYPERLINK("https://zfin.org/ZDB-GENE-050522-477")</f>
        <v>https://zfin.org/ZDB-GENE-050522-477</v>
      </c>
      <c r="E3117" t="s">
        <v>9329</v>
      </c>
    </row>
    <row r="3118" spans="1:5" x14ac:dyDescent="0.2">
      <c r="A3118" t="s">
        <v>9330</v>
      </c>
      <c r="B3118" t="s">
        <v>9331</v>
      </c>
      <c r="C3118" t="s">
        <v>9331</v>
      </c>
      <c r="D3118" t="str">
        <f>HYPERLINK("https://zfin.org/ZDB-GENE-131118-24")</f>
        <v>https://zfin.org/ZDB-GENE-131118-24</v>
      </c>
      <c r="E3118" t="s">
        <v>9332</v>
      </c>
    </row>
    <row r="3119" spans="1:5" x14ac:dyDescent="0.2">
      <c r="A3119" t="s">
        <v>9333</v>
      </c>
      <c r="B3119" t="s">
        <v>9334</v>
      </c>
      <c r="C3119" t="s">
        <v>9334</v>
      </c>
      <c r="D3119" t="str">
        <f>HYPERLINK("https://zfin.org/ZDB-GENE-050208-702")</f>
        <v>https://zfin.org/ZDB-GENE-050208-702</v>
      </c>
      <c r="E3119" t="s">
        <v>9335</v>
      </c>
    </row>
    <row r="3120" spans="1:5" x14ac:dyDescent="0.2">
      <c r="A3120" t="s">
        <v>9336</v>
      </c>
      <c r="B3120" t="s">
        <v>9337</v>
      </c>
      <c r="C3120" t="s">
        <v>9337</v>
      </c>
      <c r="D3120" t="str">
        <f>HYPERLINK("https://zfin.org/ZDB-GENE-080530-2")</f>
        <v>https://zfin.org/ZDB-GENE-080530-2</v>
      </c>
      <c r="E3120" t="s">
        <v>9338</v>
      </c>
    </row>
    <row r="3121" spans="1:5" x14ac:dyDescent="0.2">
      <c r="A3121" t="s">
        <v>9339</v>
      </c>
      <c r="B3121" t="s">
        <v>9340</v>
      </c>
      <c r="C3121" t="s">
        <v>9340</v>
      </c>
      <c r="D3121" t="str">
        <f>HYPERLINK("https://zfin.org/ZDB-GENE-050522-328")</f>
        <v>https://zfin.org/ZDB-GENE-050522-328</v>
      </c>
      <c r="E3121" t="s">
        <v>9341</v>
      </c>
    </row>
    <row r="3122" spans="1:5" x14ac:dyDescent="0.2">
      <c r="A3122" t="s">
        <v>9342</v>
      </c>
      <c r="B3122" t="s">
        <v>9343</v>
      </c>
      <c r="C3122" t="s">
        <v>9343</v>
      </c>
      <c r="D3122" t="str">
        <f>HYPERLINK("https://zfin.org/ZDB-GENE-061019-1")</f>
        <v>https://zfin.org/ZDB-GENE-061019-1</v>
      </c>
      <c r="E3122" t="s">
        <v>9344</v>
      </c>
    </row>
    <row r="3123" spans="1:5" x14ac:dyDescent="0.2">
      <c r="A3123" t="s">
        <v>9345</v>
      </c>
      <c r="B3123" t="s">
        <v>9346</v>
      </c>
      <c r="C3123" t="s">
        <v>9346</v>
      </c>
      <c r="D3123" t="str">
        <f>HYPERLINK("https://zfin.org/ZDB-GENE-071212-1")</f>
        <v>https://zfin.org/ZDB-GENE-071212-1</v>
      </c>
      <c r="E3123" t="s">
        <v>9347</v>
      </c>
    </row>
    <row r="3124" spans="1:5" x14ac:dyDescent="0.2">
      <c r="A3124" t="s">
        <v>9348</v>
      </c>
      <c r="B3124" t="s">
        <v>9349</v>
      </c>
      <c r="C3124" t="s">
        <v>9349</v>
      </c>
      <c r="D3124" t="str">
        <f>HYPERLINK("https://zfin.org/ZDB-GENE-030131-9475")</f>
        <v>https://zfin.org/ZDB-GENE-030131-9475</v>
      </c>
      <c r="E3124" t="s">
        <v>9350</v>
      </c>
    </row>
    <row r="3125" spans="1:5" x14ac:dyDescent="0.2">
      <c r="A3125" t="s">
        <v>9351</v>
      </c>
      <c r="B3125" t="s">
        <v>9352</v>
      </c>
      <c r="C3125" t="s">
        <v>9352</v>
      </c>
      <c r="D3125" t="str">
        <f>HYPERLINK("https://zfin.org/ZDB-GENE-040718-246")</f>
        <v>https://zfin.org/ZDB-GENE-040718-246</v>
      </c>
      <c r="E3125" t="s">
        <v>9353</v>
      </c>
    </row>
    <row r="3126" spans="1:5" x14ac:dyDescent="0.2">
      <c r="A3126" t="s">
        <v>9354</v>
      </c>
      <c r="B3126" t="s">
        <v>9355</v>
      </c>
      <c r="C3126" t="s">
        <v>9355</v>
      </c>
      <c r="D3126" t="str">
        <f>HYPERLINK("https://zfin.org/ZDB-GENE-020503-2")</f>
        <v>https://zfin.org/ZDB-GENE-020503-2</v>
      </c>
      <c r="E3126" t="s">
        <v>9356</v>
      </c>
    </row>
    <row r="3127" spans="1:5" x14ac:dyDescent="0.2">
      <c r="A3127" t="s">
        <v>9357</v>
      </c>
      <c r="B3127" t="s">
        <v>9358</v>
      </c>
      <c r="C3127" t="s">
        <v>9358</v>
      </c>
      <c r="D3127" t="str">
        <f>HYPERLINK("https://zfin.org/ZDB-GENE-030131-774")</f>
        <v>https://zfin.org/ZDB-GENE-030131-774</v>
      </c>
      <c r="E3127" t="s">
        <v>9359</v>
      </c>
    </row>
    <row r="3128" spans="1:5" x14ac:dyDescent="0.2">
      <c r="A3128" t="s">
        <v>9360</v>
      </c>
      <c r="B3128" t="s">
        <v>9361</v>
      </c>
      <c r="C3128" t="s">
        <v>9361</v>
      </c>
      <c r="D3128" t="str">
        <f>HYPERLINK("https://zfin.org/ZDB-GENE-070912-676")</f>
        <v>https://zfin.org/ZDB-GENE-070912-676</v>
      </c>
      <c r="E3128" t="s">
        <v>9362</v>
      </c>
    </row>
    <row r="3129" spans="1:5" x14ac:dyDescent="0.2">
      <c r="A3129" t="s">
        <v>9363</v>
      </c>
      <c r="B3129" t="s">
        <v>9364</v>
      </c>
      <c r="C3129" t="s">
        <v>9364</v>
      </c>
      <c r="D3129" t="str">
        <f>HYPERLINK("https://zfin.org/ZDB-GENE-070705-400")</f>
        <v>https://zfin.org/ZDB-GENE-070705-400</v>
      </c>
      <c r="E3129" t="s">
        <v>9365</v>
      </c>
    </row>
    <row r="3130" spans="1:5" x14ac:dyDescent="0.2">
      <c r="A3130" t="s">
        <v>9366</v>
      </c>
      <c r="B3130" t="s">
        <v>9367</v>
      </c>
      <c r="C3130" t="s">
        <v>9367</v>
      </c>
      <c r="D3130" t="str">
        <f>HYPERLINK("https://zfin.org/ZDB-GENE-071120-8")</f>
        <v>https://zfin.org/ZDB-GENE-071120-8</v>
      </c>
      <c r="E3130" t="s">
        <v>9368</v>
      </c>
    </row>
    <row r="3131" spans="1:5" x14ac:dyDescent="0.2">
      <c r="A3131" t="s">
        <v>9369</v>
      </c>
      <c r="B3131" t="s">
        <v>9370</v>
      </c>
      <c r="C3131" t="s">
        <v>9370</v>
      </c>
      <c r="D3131" t="str">
        <f>HYPERLINK("https://zfin.org/ZDB-GENE-060526-266")</f>
        <v>https://zfin.org/ZDB-GENE-060526-266</v>
      </c>
      <c r="E3131" t="s">
        <v>9371</v>
      </c>
    </row>
    <row r="3132" spans="1:5" x14ac:dyDescent="0.2">
      <c r="A3132" t="s">
        <v>9372</v>
      </c>
      <c r="B3132" t="s">
        <v>9373</v>
      </c>
      <c r="C3132" t="s">
        <v>9373</v>
      </c>
      <c r="D3132" t="str">
        <f>HYPERLINK("https://zfin.org/ZDB-GENE-131121-587")</f>
        <v>https://zfin.org/ZDB-GENE-131121-587</v>
      </c>
      <c r="E3132" t="s">
        <v>9374</v>
      </c>
    </row>
    <row r="3133" spans="1:5" x14ac:dyDescent="0.2">
      <c r="A3133" t="s">
        <v>9375</v>
      </c>
      <c r="B3133" t="s">
        <v>9376</v>
      </c>
      <c r="C3133" t="s">
        <v>9376</v>
      </c>
      <c r="D3133" t="str">
        <f>HYPERLINK("https://zfin.org/ZDB-GENE-040426-2351")</f>
        <v>https://zfin.org/ZDB-GENE-040426-2351</v>
      </c>
      <c r="E3133" t="s">
        <v>9377</v>
      </c>
    </row>
    <row r="3134" spans="1:5" x14ac:dyDescent="0.2">
      <c r="A3134" t="s">
        <v>9378</v>
      </c>
      <c r="B3134" t="s">
        <v>9379</v>
      </c>
      <c r="C3134" t="s">
        <v>9379</v>
      </c>
      <c r="D3134" t="str">
        <f>HYPERLINK("https://zfin.org/ZDB-GENE-040426-1586")</f>
        <v>https://zfin.org/ZDB-GENE-040426-1586</v>
      </c>
      <c r="E3134" t="s">
        <v>9380</v>
      </c>
    </row>
    <row r="3135" spans="1:5" x14ac:dyDescent="0.2">
      <c r="A3135" t="s">
        <v>9381</v>
      </c>
      <c r="B3135" t="s">
        <v>9382</v>
      </c>
      <c r="C3135" t="s">
        <v>9382</v>
      </c>
      <c r="D3135" t="str">
        <f>HYPERLINK("https://zfin.org/ZDB-GENE-030128-4")</f>
        <v>https://zfin.org/ZDB-GENE-030128-4</v>
      </c>
      <c r="E3135" t="s">
        <v>9383</v>
      </c>
    </row>
    <row r="3136" spans="1:5" x14ac:dyDescent="0.2">
      <c r="A3136" t="s">
        <v>9384</v>
      </c>
      <c r="B3136" t="s">
        <v>9385</v>
      </c>
      <c r="C3136" t="s">
        <v>9385</v>
      </c>
      <c r="D3136" t="str">
        <f>HYPERLINK("https://zfin.org/ZDB-GENE-030131-7928")</f>
        <v>https://zfin.org/ZDB-GENE-030131-7928</v>
      </c>
      <c r="E3136" t="s">
        <v>9386</v>
      </c>
    </row>
    <row r="3137" spans="1:5" x14ac:dyDescent="0.2">
      <c r="A3137" t="s">
        <v>9387</v>
      </c>
      <c r="B3137" t="s">
        <v>9388</v>
      </c>
      <c r="C3137" t="s">
        <v>9388</v>
      </c>
      <c r="D3137" t="str">
        <f>HYPERLINK("https://zfin.org/ZDB-GENE-030131-6065")</f>
        <v>https://zfin.org/ZDB-GENE-030131-6065</v>
      </c>
      <c r="E3137" t="s">
        <v>9389</v>
      </c>
    </row>
    <row r="3138" spans="1:5" x14ac:dyDescent="0.2">
      <c r="A3138" t="s">
        <v>9390</v>
      </c>
      <c r="B3138" t="s">
        <v>9391</v>
      </c>
      <c r="C3138" t="s">
        <v>9391</v>
      </c>
      <c r="D3138" t="str">
        <f>HYPERLINK("https://zfin.org/ZDB-GENE-060130-180")</f>
        <v>https://zfin.org/ZDB-GENE-060130-180</v>
      </c>
      <c r="E3138" t="s">
        <v>9392</v>
      </c>
    </row>
    <row r="3139" spans="1:5" x14ac:dyDescent="0.2">
      <c r="A3139" t="s">
        <v>9393</v>
      </c>
      <c r="B3139" t="s">
        <v>9394</v>
      </c>
      <c r="C3139" t="s">
        <v>9394</v>
      </c>
      <c r="D3139" t="str">
        <f>HYPERLINK("https://zfin.org/ZDB-GENE-061013-96")</f>
        <v>https://zfin.org/ZDB-GENE-061013-96</v>
      </c>
      <c r="E3139" t="s">
        <v>9395</v>
      </c>
    </row>
    <row r="3140" spans="1:5" x14ac:dyDescent="0.2">
      <c r="A3140" t="s">
        <v>9396</v>
      </c>
      <c r="B3140" t="s">
        <v>9397</v>
      </c>
      <c r="C3140" t="s">
        <v>9397</v>
      </c>
      <c r="D3140" t="str">
        <f>HYPERLINK("https://zfin.org/ZDB-GENE-070620-1")</f>
        <v>https://zfin.org/ZDB-GENE-070620-1</v>
      </c>
      <c r="E3140" t="s">
        <v>9398</v>
      </c>
    </row>
    <row r="3141" spans="1:5" x14ac:dyDescent="0.2">
      <c r="A3141" t="s">
        <v>9399</v>
      </c>
      <c r="B3141" t="s">
        <v>9400</v>
      </c>
      <c r="C3141" t="s">
        <v>9400</v>
      </c>
      <c r="D3141" t="str">
        <f>HYPERLINK("https://zfin.org/ZDB-GENE-031222-5")</f>
        <v>https://zfin.org/ZDB-GENE-031222-5</v>
      </c>
      <c r="E3141" t="s">
        <v>9401</v>
      </c>
    </row>
    <row r="3142" spans="1:5" x14ac:dyDescent="0.2">
      <c r="A3142" t="s">
        <v>9402</v>
      </c>
      <c r="B3142" t="s">
        <v>9403</v>
      </c>
      <c r="C3142" t="s">
        <v>9403</v>
      </c>
      <c r="D3142" t="str">
        <f>HYPERLINK("https://zfin.org/ZDB-GENE-131121-433")</f>
        <v>https://zfin.org/ZDB-GENE-131121-433</v>
      </c>
      <c r="E3142" t="s">
        <v>9404</v>
      </c>
    </row>
    <row r="3143" spans="1:5" x14ac:dyDescent="0.2">
      <c r="A3143" t="s">
        <v>9405</v>
      </c>
      <c r="B3143" t="s">
        <v>9406</v>
      </c>
      <c r="C3143" t="s">
        <v>9406</v>
      </c>
      <c r="D3143" t="str">
        <f>HYPERLINK("https://zfin.org/ZDB-GENE-030131-5571")</f>
        <v>https://zfin.org/ZDB-GENE-030131-5571</v>
      </c>
      <c r="E3143" t="s">
        <v>9407</v>
      </c>
    </row>
    <row r="3144" spans="1:5" x14ac:dyDescent="0.2">
      <c r="A3144" t="s">
        <v>9408</v>
      </c>
      <c r="B3144" t="s">
        <v>9409</v>
      </c>
      <c r="C3144" t="s">
        <v>9409</v>
      </c>
      <c r="D3144" t="str">
        <f>HYPERLINK("https://zfin.org/ZDB-GENE-130204-2")</f>
        <v>https://zfin.org/ZDB-GENE-130204-2</v>
      </c>
      <c r="E3144" t="s">
        <v>9410</v>
      </c>
    </row>
    <row r="3145" spans="1:5" x14ac:dyDescent="0.2">
      <c r="A3145" t="s">
        <v>9411</v>
      </c>
      <c r="B3145" t="s">
        <v>9412</v>
      </c>
      <c r="C3145" t="s">
        <v>9412</v>
      </c>
      <c r="D3145" t="str">
        <f>HYPERLINK("https://zfin.org/ZDB-GENE-081104-455")</f>
        <v>https://zfin.org/ZDB-GENE-081104-455</v>
      </c>
      <c r="E3145" t="s">
        <v>9413</v>
      </c>
    </row>
    <row r="3146" spans="1:5" x14ac:dyDescent="0.2">
      <c r="A3146" t="s">
        <v>9414</v>
      </c>
      <c r="B3146" t="s">
        <v>9415</v>
      </c>
      <c r="C3146" t="s">
        <v>9415</v>
      </c>
      <c r="D3146" t="str">
        <f>HYPERLINK("https://zfin.org/ZDB-GENE-010426-1")</f>
        <v>https://zfin.org/ZDB-GENE-010426-1</v>
      </c>
      <c r="E3146" t="s">
        <v>9416</v>
      </c>
    </row>
    <row r="3147" spans="1:5" x14ac:dyDescent="0.2">
      <c r="A3147" t="s">
        <v>9417</v>
      </c>
      <c r="B3147" t="s">
        <v>9418</v>
      </c>
      <c r="C3147" t="s">
        <v>9418</v>
      </c>
      <c r="D3147" t="str">
        <f>HYPERLINK("https://zfin.org/ZDB-GENE-141216-372")</f>
        <v>https://zfin.org/ZDB-GENE-141216-372</v>
      </c>
      <c r="E3147" t="s">
        <v>9419</v>
      </c>
    </row>
    <row r="3148" spans="1:5" x14ac:dyDescent="0.2">
      <c r="A3148" t="s">
        <v>9420</v>
      </c>
      <c r="B3148" t="s">
        <v>9421</v>
      </c>
      <c r="C3148" t="s">
        <v>9421</v>
      </c>
      <c r="D3148" t="str">
        <f>HYPERLINK("https://zfin.org/ZDB-GENE-061103-547")</f>
        <v>https://zfin.org/ZDB-GENE-061103-547</v>
      </c>
      <c r="E3148" t="s">
        <v>9422</v>
      </c>
    </row>
    <row r="3149" spans="1:5" x14ac:dyDescent="0.2">
      <c r="A3149" t="s">
        <v>9423</v>
      </c>
      <c r="B3149" t="s">
        <v>9424</v>
      </c>
      <c r="C3149" t="s">
        <v>9424</v>
      </c>
      <c r="D3149" t="str">
        <f>HYPERLINK("https://zfin.org/ZDB-GENE-030804-19")</f>
        <v>https://zfin.org/ZDB-GENE-030804-19</v>
      </c>
      <c r="E3149" t="s">
        <v>9425</v>
      </c>
    </row>
    <row r="3150" spans="1:5" x14ac:dyDescent="0.2">
      <c r="A3150" t="s">
        <v>9426</v>
      </c>
      <c r="B3150" t="s">
        <v>9427</v>
      </c>
      <c r="C3150" t="s">
        <v>9427</v>
      </c>
      <c r="D3150" t="str">
        <f>HYPERLINK("https://zfin.org/ZDB-GENE-040426-939")</f>
        <v>https://zfin.org/ZDB-GENE-040426-939</v>
      </c>
      <c r="E3150" t="s">
        <v>9428</v>
      </c>
    </row>
    <row r="3151" spans="1:5" x14ac:dyDescent="0.2">
      <c r="A3151" t="s">
        <v>9429</v>
      </c>
      <c r="B3151" t="s">
        <v>9430</v>
      </c>
      <c r="C3151" t="s">
        <v>9430</v>
      </c>
      <c r="D3151" t="str">
        <f>HYPERLINK("https://zfin.org/ZDB-GENE-030131-4867")</f>
        <v>https://zfin.org/ZDB-GENE-030131-4867</v>
      </c>
      <c r="E3151" t="s">
        <v>9431</v>
      </c>
    </row>
    <row r="3152" spans="1:5" x14ac:dyDescent="0.2">
      <c r="A3152" t="s">
        <v>9432</v>
      </c>
      <c r="B3152" t="s">
        <v>9433</v>
      </c>
      <c r="C3152" t="s">
        <v>9433</v>
      </c>
      <c r="D3152" t="str">
        <f>HYPERLINK("https://zfin.org/ZDB-GENE-010501-3")</f>
        <v>https://zfin.org/ZDB-GENE-010501-3</v>
      </c>
      <c r="E3152" t="s">
        <v>9434</v>
      </c>
    </row>
    <row r="3153" spans="1:5" x14ac:dyDescent="0.2">
      <c r="A3153" t="s">
        <v>9435</v>
      </c>
      <c r="B3153" t="s">
        <v>9436</v>
      </c>
      <c r="C3153" t="s">
        <v>9436</v>
      </c>
      <c r="D3153" t="str">
        <f>HYPERLINK("https://zfin.org/ZDB-GENE-030131-443")</f>
        <v>https://zfin.org/ZDB-GENE-030131-443</v>
      </c>
      <c r="E3153" t="s">
        <v>9437</v>
      </c>
    </row>
    <row r="3154" spans="1:5" x14ac:dyDescent="0.2">
      <c r="A3154" t="s">
        <v>9438</v>
      </c>
      <c r="B3154" t="s">
        <v>9439</v>
      </c>
      <c r="C3154" t="s">
        <v>9439</v>
      </c>
      <c r="D3154" t="str">
        <f>HYPERLINK("https://zfin.org/ZDB-GENE-051113-276")</f>
        <v>https://zfin.org/ZDB-GENE-051113-276</v>
      </c>
      <c r="E3154" t="s">
        <v>9440</v>
      </c>
    </row>
    <row r="3155" spans="1:5" x14ac:dyDescent="0.2">
      <c r="A3155" t="s">
        <v>9441</v>
      </c>
      <c r="B3155" t="s">
        <v>9442</v>
      </c>
      <c r="C3155" t="s">
        <v>9442</v>
      </c>
      <c r="D3155" t="str">
        <f>HYPERLINK("https://zfin.org/ZDB-GENE-010130-2")</f>
        <v>https://zfin.org/ZDB-GENE-010130-2</v>
      </c>
      <c r="E3155" t="s">
        <v>9443</v>
      </c>
    </row>
    <row r="3156" spans="1:5" x14ac:dyDescent="0.2">
      <c r="A3156" t="s">
        <v>9444</v>
      </c>
      <c r="B3156" t="s">
        <v>9445</v>
      </c>
      <c r="C3156" t="s">
        <v>9445</v>
      </c>
      <c r="D3156" t="str">
        <f>HYPERLINK("https://zfin.org/ZDB-GENE-070112-1502")</f>
        <v>https://zfin.org/ZDB-GENE-070112-1502</v>
      </c>
      <c r="E3156" t="s">
        <v>9446</v>
      </c>
    </row>
    <row r="3157" spans="1:5" x14ac:dyDescent="0.2">
      <c r="A3157" t="s">
        <v>9447</v>
      </c>
      <c r="B3157" t="s">
        <v>9448</v>
      </c>
      <c r="C3157" t="s">
        <v>9448</v>
      </c>
      <c r="D3157" t="str">
        <f>HYPERLINK("https://zfin.org/ZDB-GENE-030131-1774")</f>
        <v>https://zfin.org/ZDB-GENE-030131-1774</v>
      </c>
      <c r="E3157" t="s">
        <v>9449</v>
      </c>
    </row>
    <row r="3158" spans="1:5" x14ac:dyDescent="0.2">
      <c r="A3158" t="s">
        <v>9450</v>
      </c>
      <c r="B3158" t="s">
        <v>9451</v>
      </c>
      <c r="C3158" t="s">
        <v>9451</v>
      </c>
      <c r="D3158" t="str">
        <f>HYPERLINK("https://zfin.org/ZDB-GENE-070410-83")</f>
        <v>https://zfin.org/ZDB-GENE-070410-83</v>
      </c>
      <c r="E3158" t="s">
        <v>9452</v>
      </c>
    </row>
    <row r="3159" spans="1:5" x14ac:dyDescent="0.2">
      <c r="A3159" t="s">
        <v>9453</v>
      </c>
      <c r="B3159" t="s">
        <v>9454</v>
      </c>
      <c r="C3159" t="s">
        <v>9454</v>
      </c>
      <c r="D3159" t="str">
        <f>HYPERLINK("https://zfin.org/ZDB-GENE-070112-1862")</f>
        <v>https://zfin.org/ZDB-GENE-070112-1862</v>
      </c>
      <c r="E3159" t="s">
        <v>9455</v>
      </c>
    </row>
    <row r="3160" spans="1:5" x14ac:dyDescent="0.2">
      <c r="A3160" t="s">
        <v>9456</v>
      </c>
      <c r="B3160" t="s">
        <v>9457</v>
      </c>
      <c r="C3160" t="s">
        <v>9457</v>
      </c>
      <c r="D3160" t="str">
        <f>HYPERLINK("https://zfin.org/ZDB-GENE-030131-7763")</f>
        <v>https://zfin.org/ZDB-GENE-030131-7763</v>
      </c>
      <c r="E3160" t="s">
        <v>9458</v>
      </c>
    </row>
    <row r="3161" spans="1:5" x14ac:dyDescent="0.2">
      <c r="A3161" t="s">
        <v>9459</v>
      </c>
      <c r="B3161" t="s">
        <v>9460</v>
      </c>
      <c r="C3161" t="s">
        <v>9460</v>
      </c>
      <c r="D3161" t="str">
        <f>HYPERLINK("https://zfin.org/ZDB-GENE-030131-3029")</f>
        <v>https://zfin.org/ZDB-GENE-030131-3029</v>
      </c>
      <c r="E3161" t="s">
        <v>9461</v>
      </c>
    </row>
    <row r="3162" spans="1:5" x14ac:dyDescent="0.2">
      <c r="A3162" t="s">
        <v>9462</v>
      </c>
      <c r="B3162" t="s">
        <v>9463</v>
      </c>
      <c r="C3162" t="s">
        <v>9463</v>
      </c>
      <c r="D3162" t="str">
        <f>HYPERLINK("https://zfin.org/ZDB-GENE-050417-182")</f>
        <v>https://zfin.org/ZDB-GENE-050417-182</v>
      </c>
      <c r="E3162" t="s">
        <v>9464</v>
      </c>
    </row>
    <row r="3163" spans="1:5" x14ac:dyDescent="0.2">
      <c r="A3163" t="s">
        <v>9465</v>
      </c>
      <c r="B3163" t="s">
        <v>9466</v>
      </c>
      <c r="C3163" t="s">
        <v>9466</v>
      </c>
      <c r="D3163" t="str">
        <f>HYPERLINK("https://zfin.org/ZDB-GENE-091118-127")</f>
        <v>https://zfin.org/ZDB-GENE-091118-127</v>
      </c>
      <c r="E3163" t="s">
        <v>9467</v>
      </c>
    </row>
    <row r="3164" spans="1:5" x14ac:dyDescent="0.2">
      <c r="A3164" t="s">
        <v>9468</v>
      </c>
      <c r="B3164" t="s">
        <v>9469</v>
      </c>
      <c r="C3164" t="s">
        <v>9469</v>
      </c>
      <c r="D3164" t="str">
        <f>HYPERLINK("https://zfin.org/ZDB-GENE-011116-1")</f>
        <v>https://zfin.org/ZDB-GENE-011116-1</v>
      </c>
      <c r="E3164" t="s">
        <v>9470</v>
      </c>
    </row>
    <row r="3165" spans="1:5" x14ac:dyDescent="0.2">
      <c r="A3165" t="s">
        <v>9471</v>
      </c>
      <c r="B3165" t="s">
        <v>9472</v>
      </c>
      <c r="C3165" t="s">
        <v>9472</v>
      </c>
      <c r="D3165" t="str">
        <f>HYPERLINK("https://zfin.org/ZDB-GENE-030131-3404")</f>
        <v>https://zfin.org/ZDB-GENE-030131-3404</v>
      </c>
      <c r="E3165" t="s">
        <v>9473</v>
      </c>
    </row>
    <row r="3166" spans="1:5" x14ac:dyDescent="0.2">
      <c r="A3166" t="s">
        <v>9474</v>
      </c>
      <c r="B3166" t="s">
        <v>9475</v>
      </c>
      <c r="C3166" t="s">
        <v>9475</v>
      </c>
      <c r="D3166" t="str">
        <f>HYPERLINK("https://zfin.org/ZDB-GENE-030131-5753")</f>
        <v>https://zfin.org/ZDB-GENE-030131-5753</v>
      </c>
      <c r="E3166" t="s">
        <v>9476</v>
      </c>
    </row>
    <row r="3167" spans="1:5" x14ac:dyDescent="0.2">
      <c r="A3167" t="s">
        <v>9477</v>
      </c>
      <c r="B3167" t="s">
        <v>9478</v>
      </c>
      <c r="C3167" t="s">
        <v>9478</v>
      </c>
      <c r="D3167" t="str">
        <f>HYPERLINK("https://zfin.org/ZDB-GENE-050417-370")</f>
        <v>https://zfin.org/ZDB-GENE-050417-370</v>
      </c>
      <c r="E3167" t="s">
        <v>9479</v>
      </c>
    </row>
    <row r="3168" spans="1:5" x14ac:dyDescent="0.2">
      <c r="A3168" t="s">
        <v>9480</v>
      </c>
      <c r="B3168" t="s">
        <v>9481</v>
      </c>
      <c r="C3168" t="s">
        <v>9481</v>
      </c>
      <c r="D3168" t="str">
        <f>HYPERLINK("https://zfin.org/ZDB-GENE-061110-52")</f>
        <v>https://zfin.org/ZDB-GENE-061110-52</v>
      </c>
      <c r="E3168" t="s">
        <v>9482</v>
      </c>
    </row>
    <row r="3169" spans="1:5" x14ac:dyDescent="0.2">
      <c r="A3169" t="s">
        <v>9483</v>
      </c>
      <c r="B3169" t="s">
        <v>9484</v>
      </c>
      <c r="C3169" t="s">
        <v>9484</v>
      </c>
      <c r="D3169" t="str">
        <f>HYPERLINK("https://zfin.org/ZDB-GENE-030131-9599")</f>
        <v>https://zfin.org/ZDB-GENE-030131-9599</v>
      </c>
      <c r="E3169" t="s">
        <v>9485</v>
      </c>
    </row>
    <row r="3170" spans="1:5" x14ac:dyDescent="0.2">
      <c r="A3170" t="s">
        <v>9486</v>
      </c>
      <c r="B3170" t="s">
        <v>9487</v>
      </c>
      <c r="C3170" t="s">
        <v>9487</v>
      </c>
      <c r="D3170" t="str">
        <f>HYPERLINK("https://zfin.org/ZDB-GENE-050417-270")</f>
        <v>https://zfin.org/ZDB-GENE-050417-270</v>
      </c>
      <c r="E3170" t="s">
        <v>9488</v>
      </c>
    </row>
    <row r="3171" spans="1:5" x14ac:dyDescent="0.2">
      <c r="A3171" t="s">
        <v>9489</v>
      </c>
      <c r="B3171" t="s">
        <v>9490</v>
      </c>
      <c r="C3171" t="s">
        <v>9490</v>
      </c>
      <c r="D3171" t="str">
        <f>HYPERLINK("https://zfin.org/ZDB-GENE-090312-7")</f>
        <v>https://zfin.org/ZDB-GENE-090312-7</v>
      </c>
      <c r="E3171" t="s">
        <v>9491</v>
      </c>
    </row>
    <row r="3172" spans="1:5" x14ac:dyDescent="0.2">
      <c r="A3172" t="s">
        <v>9492</v>
      </c>
      <c r="B3172" t="s">
        <v>9493</v>
      </c>
      <c r="C3172" t="s">
        <v>9493</v>
      </c>
      <c r="D3172" t="str">
        <f>HYPERLINK("https://zfin.org/ZDB-GENE-030131-1008")</f>
        <v>https://zfin.org/ZDB-GENE-030131-1008</v>
      </c>
      <c r="E3172" t="s">
        <v>9494</v>
      </c>
    </row>
    <row r="3173" spans="1:5" x14ac:dyDescent="0.2">
      <c r="A3173" t="s">
        <v>9495</v>
      </c>
      <c r="B3173" t="s">
        <v>9496</v>
      </c>
      <c r="C3173" t="s">
        <v>9496</v>
      </c>
      <c r="D3173" t="str">
        <f>HYPERLINK("https://zfin.org/ZDB-GENE-041111-253")</f>
        <v>https://zfin.org/ZDB-GENE-041111-253</v>
      </c>
      <c r="E3173" t="s">
        <v>9497</v>
      </c>
    </row>
    <row r="3174" spans="1:5" x14ac:dyDescent="0.2">
      <c r="A3174" t="s">
        <v>9498</v>
      </c>
      <c r="B3174" t="s">
        <v>9499</v>
      </c>
      <c r="C3174" t="s">
        <v>9499</v>
      </c>
      <c r="D3174" t="str">
        <f>HYPERLINK("https://zfin.org/ZDB-GENE-030131-4476")</f>
        <v>https://zfin.org/ZDB-GENE-030131-4476</v>
      </c>
      <c r="E3174" t="s">
        <v>9500</v>
      </c>
    </row>
    <row r="3175" spans="1:5" x14ac:dyDescent="0.2">
      <c r="A3175" t="s">
        <v>9501</v>
      </c>
      <c r="B3175" t="s">
        <v>9502</v>
      </c>
      <c r="C3175" t="s">
        <v>9502</v>
      </c>
      <c r="D3175" t="str">
        <f>HYPERLINK("https://zfin.org/ZDB-GENE-041114-191")</f>
        <v>https://zfin.org/ZDB-GENE-041114-191</v>
      </c>
      <c r="E3175" t="s">
        <v>9503</v>
      </c>
    </row>
    <row r="3176" spans="1:5" x14ac:dyDescent="0.2">
      <c r="A3176" t="s">
        <v>9504</v>
      </c>
      <c r="B3176" t="s">
        <v>9505</v>
      </c>
      <c r="C3176" t="s">
        <v>9505</v>
      </c>
      <c r="D3176" t="str">
        <f>HYPERLINK("https://zfin.org/ZDB-GENE-091204-273")</f>
        <v>https://zfin.org/ZDB-GENE-091204-273</v>
      </c>
      <c r="E3176" t="s">
        <v>9506</v>
      </c>
    </row>
    <row r="3177" spans="1:5" x14ac:dyDescent="0.2">
      <c r="A3177" t="s">
        <v>9507</v>
      </c>
      <c r="B3177" t="s">
        <v>9508</v>
      </c>
      <c r="C3177" t="s">
        <v>9508</v>
      </c>
      <c r="D3177" t="str">
        <f>HYPERLINK("https://zfin.org/ZDB-GENE-050320-35")</f>
        <v>https://zfin.org/ZDB-GENE-050320-35</v>
      </c>
      <c r="E3177" t="s">
        <v>9509</v>
      </c>
    </row>
    <row r="3178" spans="1:5" x14ac:dyDescent="0.2">
      <c r="A3178" t="s">
        <v>9510</v>
      </c>
      <c r="B3178" t="s">
        <v>9511</v>
      </c>
      <c r="C3178" t="s">
        <v>9511</v>
      </c>
      <c r="D3178" t="str">
        <f>HYPERLINK("https://zfin.org/ZDB-GENE-020916-2")</f>
        <v>https://zfin.org/ZDB-GENE-020916-2</v>
      </c>
      <c r="E3178" t="s">
        <v>9512</v>
      </c>
    </row>
    <row r="3179" spans="1:5" x14ac:dyDescent="0.2">
      <c r="A3179" t="s">
        <v>9513</v>
      </c>
      <c r="B3179" t="s">
        <v>9514</v>
      </c>
      <c r="C3179" t="s">
        <v>9514</v>
      </c>
      <c r="D3179" t="str">
        <f>HYPERLINK("https://zfin.org/")</f>
        <v>https://zfin.org/</v>
      </c>
    </row>
    <row r="3180" spans="1:5" x14ac:dyDescent="0.2">
      <c r="A3180" t="s">
        <v>9515</v>
      </c>
      <c r="B3180" t="s">
        <v>9516</v>
      </c>
      <c r="C3180" t="s">
        <v>9516</v>
      </c>
      <c r="D3180" t="str">
        <f>HYPERLINK("https://zfin.org/ZDB-GENE-131121-428")</f>
        <v>https://zfin.org/ZDB-GENE-131121-428</v>
      </c>
      <c r="E3180" t="s">
        <v>9517</v>
      </c>
    </row>
    <row r="3181" spans="1:5" x14ac:dyDescent="0.2">
      <c r="A3181" t="s">
        <v>9518</v>
      </c>
      <c r="B3181" t="s">
        <v>9519</v>
      </c>
      <c r="C3181" t="s">
        <v>9519</v>
      </c>
      <c r="D3181" t="str">
        <f>HYPERLINK("https://zfin.org/ZDB-GENE-040718-28")</f>
        <v>https://zfin.org/ZDB-GENE-040718-28</v>
      </c>
      <c r="E3181" t="s">
        <v>9520</v>
      </c>
    </row>
    <row r="3182" spans="1:5" x14ac:dyDescent="0.2">
      <c r="A3182" t="s">
        <v>9521</v>
      </c>
      <c r="B3182" t="s">
        <v>9522</v>
      </c>
      <c r="C3182" t="s">
        <v>9522</v>
      </c>
      <c r="D3182" t="str">
        <f>HYPERLINK("https://zfin.org/ZDB-GENE-030131-4426")</f>
        <v>https://zfin.org/ZDB-GENE-030131-4426</v>
      </c>
      <c r="E3182" t="s">
        <v>9523</v>
      </c>
    </row>
    <row r="3183" spans="1:5" x14ac:dyDescent="0.2">
      <c r="A3183" t="s">
        <v>9524</v>
      </c>
      <c r="B3183" t="s">
        <v>9525</v>
      </c>
      <c r="C3183" t="s">
        <v>9525</v>
      </c>
      <c r="D3183" t="str">
        <f>HYPERLINK("https://zfin.org/ZDB-GENE-141216-106")</f>
        <v>https://zfin.org/ZDB-GENE-141216-106</v>
      </c>
      <c r="E3183" t="s">
        <v>9526</v>
      </c>
    </row>
    <row r="3184" spans="1:5" x14ac:dyDescent="0.2">
      <c r="A3184" t="s">
        <v>9527</v>
      </c>
      <c r="B3184" t="s">
        <v>9528</v>
      </c>
      <c r="C3184" t="s">
        <v>9528</v>
      </c>
      <c r="D3184" t="str">
        <f>HYPERLINK("https://zfin.org/ZDB-GENE-030131-8550")</f>
        <v>https://zfin.org/ZDB-GENE-030131-8550</v>
      </c>
      <c r="E3184" t="s">
        <v>9529</v>
      </c>
    </row>
    <row r="3185" spans="1:5" x14ac:dyDescent="0.2">
      <c r="A3185" t="s">
        <v>9530</v>
      </c>
      <c r="B3185" t="s">
        <v>9531</v>
      </c>
      <c r="C3185" t="s">
        <v>9531</v>
      </c>
      <c r="D3185" t="str">
        <f>HYPERLINK("https://zfin.org/ZDB-GENE-060526-160")</f>
        <v>https://zfin.org/ZDB-GENE-060526-160</v>
      </c>
      <c r="E3185" t="s">
        <v>9532</v>
      </c>
    </row>
    <row r="3186" spans="1:5" x14ac:dyDescent="0.2">
      <c r="A3186" t="s">
        <v>9533</v>
      </c>
      <c r="B3186" t="s">
        <v>9534</v>
      </c>
      <c r="C3186" t="s">
        <v>9534</v>
      </c>
      <c r="D3186" t="str">
        <f>HYPERLINK("https://zfin.org/ZDB-GENE-040426-791")</f>
        <v>https://zfin.org/ZDB-GENE-040426-791</v>
      </c>
      <c r="E3186" t="s">
        <v>9535</v>
      </c>
    </row>
    <row r="3187" spans="1:5" x14ac:dyDescent="0.2">
      <c r="A3187" t="s">
        <v>9536</v>
      </c>
      <c r="B3187" t="s">
        <v>9537</v>
      </c>
      <c r="C3187" t="s">
        <v>9537</v>
      </c>
      <c r="D3187" t="str">
        <f>HYPERLINK("https://zfin.org/ZDB-GENE-040426-2852")</f>
        <v>https://zfin.org/ZDB-GENE-040426-2852</v>
      </c>
      <c r="E3187" t="s">
        <v>9538</v>
      </c>
    </row>
    <row r="3188" spans="1:5" x14ac:dyDescent="0.2">
      <c r="A3188" t="s">
        <v>9539</v>
      </c>
      <c r="B3188" t="s">
        <v>9540</v>
      </c>
      <c r="C3188" t="s">
        <v>9540</v>
      </c>
      <c r="D3188" t="str">
        <f>HYPERLINK("https://zfin.org/ZDB-GENE-050706-152")</f>
        <v>https://zfin.org/ZDB-GENE-050706-152</v>
      </c>
      <c r="E3188" t="s">
        <v>9541</v>
      </c>
    </row>
    <row r="3189" spans="1:5" x14ac:dyDescent="0.2">
      <c r="A3189" t="s">
        <v>9542</v>
      </c>
      <c r="B3189" t="s">
        <v>9543</v>
      </c>
      <c r="C3189" t="s">
        <v>9543</v>
      </c>
      <c r="D3189" t="str">
        <f>HYPERLINK("https://zfin.org/ZDB-GENE-070410-52")</f>
        <v>https://zfin.org/ZDB-GENE-070410-52</v>
      </c>
      <c r="E3189" t="s">
        <v>9544</v>
      </c>
    </row>
    <row r="3190" spans="1:5" x14ac:dyDescent="0.2">
      <c r="A3190" t="s">
        <v>9545</v>
      </c>
      <c r="B3190" t="s">
        <v>9514</v>
      </c>
      <c r="C3190" t="s">
        <v>9546</v>
      </c>
      <c r="D3190" t="str">
        <f>HYPERLINK("https://zfin.org/ZDB-GENE-061207-52")</f>
        <v>https://zfin.org/ZDB-GENE-061207-52</v>
      </c>
      <c r="E3190" t="s">
        <v>9547</v>
      </c>
    </row>
    <row r="3191" spans="1:5" x14ac:dyDescent="0.2">
      <c r="A3191" t="s">
        <v>9548</v>
      </c>
      <c r="B3191" t="s">
        <v>9549</v>
      </c>
      <c r="C3191" t="s">
        <v>9549</v>
      </c>
      <c r="D3191" t="str">
        <f>HYPERLINK("https://zfin.org/ZDB-GENE-041008-186")</f>
        <v>https://zfin.org/ZDB-GENE-041008-186</v>
      </c>
      <c r="E3191" t="s">
        <v>9550</v>
      </c>
    </row>
    <row r="3192" spans="1:5" x14ac:dyDescent="0.2">
      <c r="A3192" t="s">
        <v>9551</v>
      </c>
      <c r="B3192" t="s">
        <v>9552</v>
      </c>
      <c r="C3192" t="s">
        <v>9552</v>
      </c>
      <c r="D3192" t="str">
        <f>HYPERLINK("https://zfin.org/ZDB-GENE-141216-142")</f>
        <v>https://zfin.org/ZDB-GENE-141216-142</v>
      </c>
      <c r="E3192" t="s">
        <v>9553</v>
      </c>
    </row>
    <row r="3193" spans="1:5" x14ac:dyDescent="0.2">
      <c r="A3193" t="s">
        <v>9554</v>
      </c>
      <c r="B3193" t="s">
        <v>9555</v>
      </c>
      <c r="C3193" t="s">
        <v>9555</v>
      </c>
      <c r="D3193" t="str">
        <f>HYPERLINK("https://zfin.org/ZDB-GENE-030131-5838")</f>
        <v>https://zfin.org/ZDB-GENE-030131-5838</v>
      </c>
      <c r="E3193" t="s">
        <v>9556</v>
      </c>
    </row>
    <row r="3194" spans="1:5" x14ac:dyDescent="0.2">
      <c r="A3194" t="s">
        <v>9557</v>
      </c>
      <c r="B3194" t="s">
        <v>9558</v>
      </c>
      <c r="C3194" t="s">
        <v>9558</v>
      </c>
      <c r="D3194" t="str">
        <f>HYPERLINK("https://zfin.org/ZDB-GENE-141216-405")</f>
        <v>https://zfin.org/ZDB-GENE-141216-405</v>
      </c>
      <c r="E3194" t="s">
        <v>9559</v>
      </c>
    </row>
    <row r="3195" spans="1:5" x14ac:dyDescent="0.2">
      <c r="A3195" t="s">
        <v>9560</v>
      </c>
      <c r="B3195" t="s">
        <v>9561</v>
      </c>
      <c r="C3195" t="s">
        <v>9561</v>
      </c>
      <c r="D3195" t="str">
        <f>HYPERLINK("https://zfin.org/ZDB-GENE-050913-68")</f>
        <v>https://zfin.org/ZDB-GENE-050913-68</v>
      </c>
      <c r="E3195" t="s">
        <v>9562</v>
      </c>
    </row>
    <row r="3196" spans="1:5" x14ac:dyDescent="0.2">
      <c r="A3196" t="s">
        <v>9563</v>
      </c>
      <c r="B3196" t="s">
        <v>9564</v>
      </c>
      <c r="C3196" t="s">
        <v>9564</v>
      </c>
      <c r="D3196" t="str">
        <f>HYPERLINK("https://zfin.org/ZDB-GENE-061013-79")</f>
        <v>https://zfin.org/ZDB-GENE-061013-79</v>
      </c>
      <c r="E3196" t="s">
        <v>9565</v>
      </c>
    </row>
    <row r="3197" spans="1:5" x14ac:dyDescent="0.2">
      <c r="A3197" t="s">
        <v>9566</v>
      </c>
      <c r="B3197" t="s">
        <v>9567</v>
      </c>
      <c r="C3197" t="s">
        <v>9567</v>
      </c>
      <c r="D3197" t="str">
        <f>HYPERLINK("https://zfin.org/ZDB-GENE-141216-17")</f>
        <v>https://zfin.org/ZDB-GENE-141216-17</v>
      </c>
      <c r="E3197" t="s">
        <v>9568</v>
      </c>
    </row>
    <row r="3198" spans="1:5" x14ac:dyDescent="0.2">
      <c r="A3198" t="s">
        <v>9569</v>
      </c>
      <c r="B3198" t="s">
        <v>9570</v>
      </c>
      <c r="C3198" t="s">
        <v>9570</v>
      </c>
      <c r="D3198" t="str">
        <f>HYPERLINK("https://zfin.org/ZDB-GENE-131121-141")</f>
        <v>https://zfin.org/ZDB-GENE-131121-141</v>
      </c>
      <c r="E3198" t="s">
        <v>9571</v>
      </c>
    </row>
    <row r="3199" spans="1:5" x14ac:dyDescent="0.2">
      <c r="A3199" t="s">
        <v>9572</v>
      </c>
      <c r="B3199" t="s">
        <v>9573</v>
      </c>
      <c r="C3199" t="s">
        <v>9573</v>
      </c>
      <c r="D3199" t="str">
        <f>HYPERLINK("https://zfin.org/ZDB-GENE-040625-120")</f>
        <v>https://zfin.org/ZDB-GENE-040625-120</v>
      </c>
      <c r="E3199" t="s">
        <v>9574</v>
      </c>
    </row>
    <row r="3200" spans="1:5" x14ac:dyDescent="0.2">
      <c r="A3200" t="s">
        <v>9575</v>
      </c>
      <c r="B3200" t="s">
        <v>9576</v>
      </c>
      <c r="C3200" t="s">
        <v>9576</v>
      </c>
      <c r="D3200" t="str">
        <f>HYPERLINK("https://zfin.org/ZDB-GENE-050419-138")</f>
        <v>https://zfin.org/ZDB-GENE-050419-138</v>
      </c>
      <c r="E3200" t="s">
        <v>9577</v>
      </c>
    </row>
    <row r="3201" spans="1:5" x14ac:dyDescent="0.2">
      <c r="A3201" t="s">
        <v>9578</v>
      </c>
      <c r="B3201" t="s">
        <v>9579</v>
      </c>
      <c r="C3201" t="s">
        <v>9579</v>
      </c>
      <c r="D3201" t="str">
        <f>HYPERLINK("https://zfin.org/ZDB-GENE-131119-6")</f>
        <v>https://zfin.org/ZDB-GENE-131119-6</v>
      </c>
      <c r="E3201" t="s">
        <v>9580</v>
      </c>
    </row>
    <row r="3202" spans="1:5" x14ac:dyDescent="0.2">
      <c r="A3202" t="s">
        <v>9581</v>
      </c>
      <c r="B3202" t="s">
        <v>9582</v>
      </c>
      <c r="C3202" t="s">
        <v>9582</v>
      </c>
      <c r="D3202" t="str">
        <f>HYPERLINK("https://zfin.org/ZDB-GENE-140107-2")</f>
        <v>https://zfin.org/ZDB-GENE-140107-2</v>
      </c>
      <c r="E3202" t="s">
        <v>9583</v>
      </c>
    </row>
    <row r="3203" spans="1:5" x14ac:dyDescent="0.2">
      <c r="A3203" t="s">
        <v>9584</v>
      </c>
      <c r="B3203" t="s">
        <v>9585</v>
      </c>
      <c r="C3203" t="s">
        <v>9585</v>
      </c>
      <c r="D3203" t="str">
        <f>HYPERLINK("https://zfin.org/ZDB-GENE-030131-3813")</f>
        <v>https://zfin.org/ZDB-GENE-030131-3813</v>
      </c>
      <c r="E3203" t="s">
        <v>9586</v>
      </c>
    </row>
    <row r="3204" spans="1:5" x14ac:dyDescent="0.2">
      <c r="A3204" t="s">
        <v>9587</v>
      </c>
      <c r="B3204" t="s">
        <v>9588</v>
      </c>
      <c r="C3204" t="s">
        <v>9588</v>
      </c>
      <c r="D3204" t="str">
        <f>HYPERLINK("https://zfin.org/ZDB-GENE-000208-17")</f>
        <v>https://zfin.org/ZDB-GENE-000208-17</v>
      </c>
      <c r="E3204" t="s">
        <v>9589</v>
      </c>
    </row>
    <row r="3205" spans="1:5" x14ac:dyDescent="0.2">
      <c r="A3205" t="s">
        <v>9590</v>
      </c>
      <c r="B3205" t="s">
        <v>9591</v>
      </c>
      <c r="C3205" t="s">
        <v>9591</v>
      </c>
      <c r="D3205" t="str">
        <f>HYPERLINK("https://zfin.org/ZDB-GENE-030411-2")</f>
        <v>https://zfin.org/ZDB-GENE-030411-2</v>
      </c>
      <c r="E3205" t="s">
        <v>9592</v>
      </c>
    </row>
    <row r="3206" spans="1:5" x14ac:dyDescent="0.2">
      <c r="A3206" t="s">
        <v>9593</v>
      </c>
      <c r="B3206" t="s">
        <v>9594</v>
      </c>
      <c r="C3206" t="s">
        <v>9594</v>
      </c>
      <c r="D3206" t="str">
        <f>HYPERLINK("https://zfin.org/ZDB-GENE-091112-22")</f>
        <v>https://zfin.org/ZDB-GENE-091112-22</v>
      </c>
      <c r="E3206" t="s">
        <v>9595</v>
      </c>
    </row>
    <row r="3207" spans="1:5" x14ac:dyDescent="0.2">
      <c r="A3207" t="s">
        <v>9596</v>
      </c>
      <c r="B3207" t="s">
        <v>9597</v>
      </c>
      <c r="C3207" t="s">
        <v>9597</v>
      </c>
      <c r="D3207" t="str">
        <f>HYPERLINK("https://zfin.org/ZDB-GENE-080512-2")</f>
        <v>https://zfin.org/ZDB-GENE-080512-2</v>
      </c>
      <c r="E3207" t="s">
        <v>9598</v>
      </c>
    </row>
    <row r="3208" spans="1:5" x14ac:dyDescent="0.2">
      <c r="A3208" t="s">
        <v>9599</v>
      </c>
      <c r="B3208" t="s">
        <v>9600</v>
      </c>
      <c r="C3208" t="s">
        <v>9600</v>
      </c>
      <c r="D3208" t="str">
        <f>HYPERLINK("https://zfin.org/ZDB-GENE-040426-1516")</f>
        <v>https://zfin.org/ZDB-GENE-040426-1516</v>
      </c>
      <c r="E3208" t="s">
        <v>9601</v>
      </c>
    </row>
    <row r="3209" spans="1:5" x14ac:dyDescent="0.2">
      <c r="A3209" t="s">
        <v>9602</v>
      </c>
      <c r="B3209" t="s">
        <v>9603</v>
      </c>
      <c r="C3209" t="s">
        <v>9603</v>
      </c>
      <c r="D3209" t="str">
        <f>HYPERLINK("https://zfin.org/ZDB-GENE-081103-19")</f>
        <v>https://zfin.org/ZDB-GENE-081103-19</v>
      </c>
      <c r="E3209" t="s">
        <v>9604</v>
      </c>
    </row>
    <row r="3210" spans="1:5" x14ac:dyDescent="0.2">
      <c r="A3210" t="s">
        <v>9605</v>
      </c>
      <c r="B3210" t="s">
        <v>9606</v>
      </c>
      <c r="C3210" t="s">
        <v>9606</v>
      </c>
      <c r="D3210" t="str">
        <f>HYPERLINK("https://zfin.org/ZDB-GENE-081104-295")</f>
        <v>https://zfin.org/ZDB-GENE-081104-295</v>
      </c>
      <c r="E3210" t="s">
        <v>9607</v>
      </c>
    </row>
    <row r="3211" spans="1:5" x14ac:dyDescent="0.2">
      <c r="A3211" t="s">
        <v>9608</v>
      </c>
      <c r="B3211" t="s">
        <v>9609</v>
      </c>
      <c r="C3211" t="s">
        <v>9609</v>
      </c>
      <c r="D3211" t="str">
        <f>HYPERLINK("https://zfin.org/ZDB-GENE-090313-79")</f>
        <v>https://zfin.org/ZDB-GENE-090313-79</v>
      </c>
      <c r="E3211" t="s">
        <v>9610</v>
      </c>
    </row>
    <row r="3212" spans="1:5" x14ac:dyDescent="0.2">
      <c r="A3212" t="s">
        <v>9611</v>
      </c>
      <c r="B3212" t="s">
        <v>9612</v>
      </c>
      <c r="C3212" t="s">
        <v>9612</v>
      </c>
      <c r="D3212" t="str">
        <f>HYPERLINK("https://zfin.org/ZDB-GENE-060312-35")</f>
        <v>https://zfin.org/ZDB-GENE-060312-35</v>
      </c>
      <c r="E3212" t="s">
        <v>9613</v>
      </c>
    </row>
    <row r="3213" spans="1:5" x14ac:dyDescent="0.2">
      <c r="A3213" t="s">
        <v>9614</v>
      </c>
      <c r="B3213" t="s">
        <v>9615</v>
      </c>
      <c r="C3213" t="s">
        <v>9615</v>
      </c>
      <c r="D3213" t="str">
        <f>HYPERLINK("https://zfin.org/ZDB-GENE-120214-39")</f>
        <v>https://zfin.org/ZDB-GENE-120214-39</v>
      </c>
      <c r="E3213" t="s">
        <v>9616</v>
      </c>
    </row>
    <row r="3214" spans="1:5" x14ac:dyDescent="0.2">
      <c r="A3214" t="s">
        <v>9617</v>
      </c>
      <c r="B3214" t="s">
        <v>9618</v>
      </c>
      <c r="C3214" t="s">
        <v>9618</v>
      </c>
      <c r="D3214" t="str">
        <f>HYPERLINK("https://zfin.org/ZDB-GENE-041008-196")</f>
        <v>https://zfin.org/ZDB-GENE-041008-196</v>
      </c>
      <c r="E3214" t="s">
        <v>9619</v>
      </c>
    </row>
    <row r="3215" spans="1:5" x14ac:dyDescent="0.2">
      <c r="A3215" t="s">
        <v>9620</v>
      </c>
      <c r="B3215" t="s">
        <v>9621</v>
      </c>
      <c r="C3215" t="s">
        <v>9621</v>
      </c>
      <c r="D3215" t="str">
        <f>HYPERLINK("https://zfin.org/ZDB-GENE-060929-994")</f>
        <v>https://zfin.org/ZDB-GENE-060929-994</v>
      </c>
      <c r="E3215" t="s">
        <v>9622</v>
      </c>
    </row>
    <row r="3216" spans="1:5" x14ac:dyDescent="0.2">
      <c r="A3216" t="s">
        <v>9623</v>
      </c>
      <c r="B3216" t="s">
        <v>9624</v>
      </c>
      <c r="C3216" t="s">
        <v>9624</v>
      </c>
      <c r="D3216" t="str">
        <f>HYPERLINK("https://zfin.org/ZDB-GENE-120411-42")</f>
        <v>https://zfin.org/ZDB-GENE-120411-42</v>
      </c>
      <c r="E3216" t="s">
        <v>9625</v>
      </c>
    </row>
    <row r="3217" spans="1:5" x14ac:dyDescent="0.2">
      <c r="A3217" t="s">
        <v>9626</v>
      </c>
      <c r="B3217" t="s">
        <v>9627</v>
      </c>
      <c r="C3217" t="s">
        <v>9627</v>
      </c>
      <c r="D3217" t="str">
        <f>HYPERLINK("https://zfin.org/ZDB-GENE-030131-3405")</f>
        <v>https://zfin.org/ZDB-GENE-030131-3405</v>
      </c>
      <c r="E3217" t="s">
        <v>9628</v>
      </c>
    </row>
    <row r="3218" spans="1:5" x14ac:dyDescent="0.2">
      <c r="A3218" t="s">
        <v>9629</v>
      </c>
      <c r="B3218" t="s">
        <v>9630</v>
      </c>
      <c r="C3218" t="s">
        <v>9630</v>
      </c>
      <c r="D3218" t="str">
        <f>HYPERLINK("https://zfin.org/ZDB-GENE-040426-1436")</f>
        <v>https://zfin.org/ZDB-GENE-040426-1436</v>
      </c>
      <c r="E3218" t="s">
        <v>9631</v>
      </c>
    </row>
    <row r="3219" spans="1:5" x14ac:dyDescent="0.2">
      <c r="A3219" t="s">
        <v>9632</v>
      </c>
      <c r="B3219" t="s">
        <v>9633</v>
      </c>
      <c r="C3219" t="s">
        <v>9633</v>
      </c>
      <c r="D3219" t="str">
        <f>HYPERLINK("https://zfin.org/ZDB-GENE-000901-1")</f>
        <v>https://zfin.org/ZDB-GENE-000901-1</v>
      </c>
      <c r="E3219" t="s">
        <v>9634</v>
      </c>
    </row>
    <row r="3220" spans="1:5" x14ac:dyDescent="0.2">
      <c r="A3220" t="s">
        <v>9635</v>
      </c>
      <c r="B3220" t="s">
        <v>9636</v>
      </c>
      <c r="C3220" t="s">
        <v>9636</v>
      </c>
      <c r="D3220" t="str">
        <f>HYPERLINK("https://zfin.org/ZDB-GENE-040625-62")</f>
        <v>https://zfin.org/ZDB-GENE-040625-62</v>
      </c>
      <c r="E3220" t="s">
        <v>9637</v>
      </c>
    </row>
    <row r="3221" spans="1:5" x14ac:dyDescent="0.2">
      <c r="A3221" t="s">
        <v>9638</v>
      </c>
      <c r="B3221" t="s">
        <v>9639</v>
      </c>
      <c r="C3221" t="s">
        <v>9639</v>
      </c>
      <c r="D3221" t="str">
        <f>HYPERLINK("https://zfin.org/ZDB-GENE-091113-36")</f>
        <v>https://zfin.org/ZDB-GENE-091113-36</v>
      </c>
      <c r="E3221" t="s">
        <v>9640</v>
      </c>
    </row>
    <row r="3222" spans="1:5" x14ac:dyDescent="0.2">
      <c r="A3222" t="s">
        <v>9641</v>
      </c>
      <c r="B3222" t="s">
        <v>9642</v>
      </c>
      <c r="C3222" t="s">
        <v>9642</v>
      </c>
      <c r="D3222" t="str">
        <f>HYPERLINK("https://zfin.org/ZDB-GENE-030131-8001")</f>
        <v>https://zfin.org/ZDB-GENE-030131-8001</v>
      </c>
      <c r="E3222" t="s">
        <v>9643</v>
      </c>
    </row>
    <row r="3223" spans="1:5" x14ac:dyDescent="0.2">
      <c r="A3223" t="s">
        <v>9644</v>
      </c>
      <c r="B3223" t="s">
        <v>9645</v>
      </c>
      <c r="C3223" t="s">
        <v>9645</v>
      </c>
      <c r="D3223" t="str">
        <f>HYPERLINK("https://zfin.org/ZDB-GENE-040426-2825")</f>
        <v>https://zfin.org/ZDB-GENE-040426-2825</v>
      </c>
      <c r="E3223" t="s">
        <v>9646</v>
      </c>
    </row>
    <row r="3224" spans="1:5" x14ac:dyDescent="0.2">
      <c r="A3224" t="s">
        <v>9647</v>
      </c>
      <c r="B3224" t="s">
        <v>9648</v>
      </c>
      <c r="C3224" t="s">
        <v>9648</v>
      </c>
      <c r="D3224" t="str">
        <f>HYPERLINK("https://zfin.org/ZDB-GENE-050327-51")</f>
        <v>https://zfin.org/ZDB-GENE-050327-51</v>
      </c>
      <c r="E3224" t="s">
        <v>9649</v>
      </c>
    </row>
    <row r="3225" spans="1:5" x14ac:dyDescent="0.2">
      <c r="A3225" t="s">
        <v>9650</v>
      </c>
      <c r="B3225" t="s">
        <v>9651</v>
      </c>
      <c r="C3225" t="s">
        <v>9651</v>
      </c>
      <c r="D3225" t="str">
        <f>HYPERLINK("https://zfin.org/ZDB-GENE-050522-23")</f>
        <v>https://zfin.org/ZDB-GENE-050522-23</v>
      </c>
      <c r="E3225" t="s">
        <v>9652</v>
      </c>
    </row>
    <row r="3226" spans="1:5" x14ac:dyDescent="0.2">
      <c r="A3226" t="s">
        <v>9653</v>
      </c>
      <c r="B3226" t="s">
        <v>9654</v>
      </c>
      <c r="C3226" t="s">
        <v>9654</v>
      </c>
      <c r="D3226" t="str">
        <f>HYPERLINK("https://zfin.org/ZDB-GENE-061027-116")</f>
        <v>https://zfin.org/ZDB-GENE-061027-116</v>
      </c>
      <c r="E3226" t="s">
        <v>9655</v>
      </c>
    </row>
    <row r="3227" spans="1:5" x14ac:dyDescent="0.2">
      <c r="A3227" t="s">
        <v>9656</v>
      </c>
      <c r="B3227" t="s">
        <v>9657</v>
      </c>
      <c r="C3227" t="s">
        <v>9657</v>
      </c>
      <c r="D3227" t="str">
        <f>HYPERLINK("https://zfin.org/ZDB-GENE-060526-166")</f>
        <v>https://zfin.org/ZDB-GENE-060526-166</v>
      </c>
      <c r="E3227" t="s">
        <v>9658</v>
      </c>
    </row>
    <row r="3228" spans="1:5" x14ac:dyDescent="0.2">
      <c r="A3228" t="s">
        <v>9659</v>
      </c>
      <c r="B3228" t="s">
        <v>9660</v>
      </c>
      <c r="C3228" t="s">
        <v>9660</v>
      </c>
      <c r="D3228" t="str">
        <f>HYPERLINK("https://zfin.org/ZDB-GENE-050417-306")</f>
        <v>https://zfin.org/ZDB-GENE-050417-306</v>
      </c>
      <c r="E3228" t="s">
        <v>9661</v>
      </c>
    </row>
    <row r="3229" spans="1:5" x14ac:dyDescent="0.2">
      <c r="A3229" t="s">
        <v>9662</v>
      </c>
      <c r="B3229" t="s">
        <v>9663</v>
      </c>
      <c r="C3229" t="s">
        <v>9663</v>
      </c>
      <c r="D3229" t="str">
        <f>HYPERLINK("https://zfin.org/ZDB-GENE-040801-78")</f>
        <v>https://zfin.org/ZDB-GENE-040801-78</v>
      </c>
      <c r="E3229" t="s">
        <v>9664</v>
      </c>
    </row>
    <row r="3230" spans="1:5" x14ac:dyDescent="0.2">
      <c r="A3230" t="s">
        <v>9665</v>
      </c>
      <c r="B3230" t="s">
        <v>9666</v>
      </c>
      <c r="C3230" t="s">
        <v>9666</v>
      </c>
      <c r="D3230" t="str">
        <f>HYPERLINK("https://zfin.org/ZDB-GENE-041212-18")</f>
        <v>https://zfin.org/ZDB-GENE-041212-18</v>
      </c>
      <c r="E3230" t="s">
        <v>9667</v>
      </c>
    </row>
    <row r="3231" spans="1:5" x14ac:dyDescent="0.2">
      <c r="A3231" t="s">
        <v>9668</v>
      </c>
      <c r="B3231" t="s">
        <v>9669</v>
      </c>
      <c r="C3231" t="s">
        <v>9669</v>
      </c>
      <c r="D3231" t="str">
        <f>HYPERLINK("https://zfin.org/ZDB-GENE-030131-6166")</f>
        <v>https://zfin.org/ZDB-GENE-030131-6166</v>
      </c>
      <c r="E3231" t="s">
        <v>9670</v>
      </c>
    </row>
    <row r="3232" spans="1:5" x14ac:dyDescent="0.2">
      <c r="A3232" t="s">
        <v>9671</v>
      </c>
      <c r="B3232" t="s">
        <v>9672</v>
      </c>
      <c r="C3232" t="s">
        <v>9672</v>
      </c>
      <c r="D3232" t="str">
        <f>HYPERLINK("https://zfin.org/ZDB-GENE-030131-2818")</f>
        <v>https://zfin.org/ZDB-GENE-030131-2818</v>
      </c>
      <c r="E3232" t="s">
        <v>9673</v>
      </c>
    </row>
    <row r="3233" spans="1:5" x14ac:dyDescent="0.2">
      <c r="A3233" t="s">
        <v>9674</v>
      </c>
      <c r="B3233" t="s">
        <v>9675</v>
      </c>
      <c r="C3233" t="s">
        <v>9675</v>
      </c>
      <c r="D3233" t="str">
        <f>HYPERLINK("https://zfin.org/ZDB-GENE-121001-5")</f>
        <v>https://zfin.org/ZDB-GENE-121001-5</v>
      </c>
      <c r="E3233" t="s">
        <v>9676</v>
      </c>
    </row>
    <row r="3234" spans="1:5" x14ac:dyDescent="0.2">
      <c r="A3234" t="s">
        <v>9677</v>
      </c>
      <c r="B3234" t="s">
        <v>9678</v>
      </c>
      <c r="C3234" t="s">
        <v>9678</v>
      </c>
      <c r="D3234" t="str">
        <f>HYPERLINK("https://zfin.org/ZDB-GENE-050417-110")</f>
        <v>https://zfin.org/ZDB-GENE-050417-110</v>
      </c>
      <c r="E3234" t="s">
        <v>9679</v>
      </c>
    </row>
    <row r="3235" spans="1:5" x14ac:dyDescent="0.2">
      <c r="A3235" t="s">
        <v>9680</v>
      </c>
      <c r="B3235" t="s">
        <v>9681</v>
      </c>
      <c r="C3235" t="s">
        <v>9681</v>
      </c>
      <c r="D3235" t="str">
        <f>HYPERLINK("https://zfin.org/ZDB-GENE-160113-67")</f>
        <v>https://zfin.org/ZDB-GENE-160113-67</v>
      </c>
      <c r="E3235" t="s">
        <v>9682</v>
      </c>
    </row>
    <row r="3236" spans="1:5" x14ac:dyDescent="0.2">
      <c r="A3236" t="s">
        <v>9683</v>
      </c>
      <c r="B3236" t="s">
        <v>4682</v>
      </c>
      <c r="C3236" t="s">
        <v>9684</v>
      </c>
      <c r="D3236" t="str">
        <f>HYPERLINK("https://zfin.org/")</f>
        <v>https://zfin.org/</v>
      </c>
    </row>
    <row r="3237" spans="1:5" x14ac:dyDescent="0.2">
      <c r="A3237" t="s">
        <v>9685</v>
      </c>
      <c r="B3237" t="s">
        <v>9686</v>
      </c>
      <c r="C3237" t="s">
        <v>9686</v>
      </c>
      <c r="D3237" t="str">
        <f>HYPERLINK("https://zfin.org/ZDB-GENE-060526-242")</f>
        <v>https://zfin.org/ZDB-GENE-060526-242</v>
      </c>
      <c r="E3237" t="s">
        <v>9687</v>
      </c>
    </row>
    <row r="3238" spans="1:5" x14ac:dyDescent="0.2">
      <c r="A3238" t="s">
        <v>9688</v>
      </c>
      <c r="B3238" t="s">
        <v>9689</v>
      </c>
      <c r="C3238" t="s">
        <v>9689</v>
      </c>
      <c r="D3238" t="str">
        <f>HYPERLINK("https://zfin.org/ZDB-GENE-040426-1408")</f>
        <v>https://zfin.org/ZDB-GENE-040426-1408</v>
      </c>
      <c r="E3238" t="s">
        <v>9690</v>
      </c>
    </row>
    <row r="3239" spans="1:5" x14ac:dyDescent="0.2">
      <c r="A3239" t="s">
        <v>9691</v>
      </c>
      <c r="B3239" t="s">
        <v>9692</v>
      </c>
      <c r="C3239" t="s">
        <v>9693</v>
      </c>
      <c r="D3239" t="str">
        <f>HYPERLINK("https://zfin.org/ZDB-GENE-050522-93")</f>
        <v>https://zfin.org/ZDB-GENE-050522-93</v>
      </c>
      <c r="E3239" t="s">
        <v>9694</v>
      </c>
    </row>
    <row r="3240" spans="1:5" x14ac:dyDescent="0.2">
      <c r="A3240" t="s">
        <v>9695</v>
      </c>
      <c r="B3240" t="s">
        <v>9696</v>
      </c>
      <c r="C3240" t="s">
        <v>9696</v>
      </c>
      <c r="D3240" t="str">
        <f>HYPERLINK("https://zfin.org/ZDB-GENE-090313-224")</f>
        <v>https://zfin.org/ZDB-GENE-090313-224</v>
      </c>
      <c r="E3240" t="s">
        <v>9697</v>
      </c>
    </row>
    <row r="3241" spans="1:5" x14ac:dyDescent="0.2">
      <c r="A3241" t="s">
        <v>9698</v>
      </c>
      <c r="B3241" t="s">
        <v>9699</v>
      </c>
      <c r="C3241" t="s">
        <v>9699</v>
      </c>
      <c r="D3241" t="str">
        <f>HYPERLINK("https://zfin.org/ZDB-GENE-090109-1")</f>
        <v>https://zfin.org/ZDB-GENE-090109-1</v>
      </c>
      <c r="E3241" t="s">
        <v>9700</v>
      </c>
    </row>
    <row r="3242" spans="1:5" x14ac:dyDescent="0.2">
      <c r="A3242" t="s">
        <v>9701</v>
      </c>
      <c r="B3242" t="s">
        <v>9702</v>
      </c>
      <c r="C3242" t="s">
        <v>9702</v>
      </c>
      <c r="D3242" t="str">
        <f>HYPERLINK("https://zfin.org/ZDB-GENE-060130-74")</f>
        <v>https://zfin.org/ZDB-GENE-060130-74</v>
      </c>
      <c r="E3242" t="s">
        <v>9703</v>
      </c>
    </row>
    <row r="3243" spans="1:5" x14ac:dyDescent="0.2">
      <c r="A3243" t="s">
        <v>9704</v>
      </c>
      <c r="B3243" t="s">
        <v>9705</v>
      </c>
      <c r="C3243" t="s">
        <v>9705</v>
      </c>
      <c r="D3243" t="str">
        <f>HYPERLINK("https://zfin.org/ZDB-GENE-040426-1651")</f>
        <v>https://zfin.org/ZDB-GENE-040426-1651</v>
      </c>
      <c r="E3243" t="s">
        <v>9706</v>
      </c>
    </row>
    <row r="3244" spans="1:5" x14ac:dyDescent="0.2">
      <c r="A3244" t="s">
        <v>9707</v>
      </c>
      <c r="B3244" t="s">
        <v>9708</v>
      </c>
      <c r="C3244" t="s">
        <v>9708</v>
      </c>
      <c r="D3244" t="str">
        <f>HYPERLINK("https://zfin.org/ZDB-GENE-031126-3")</f>
        <v>https://zfin.org/ZDB-GENE-031126-3</v>
      </c>
      <c r="E3244" t="s">
        <v>9709</v>
      </c>
    </row>
    <row r="3245" spans="1:5" x14ac:dyDescent="0.2">
      <c r="A3245" t="s">
        <v>9710</v>
      </c>
      <c r="B3245" t="s">
        <v>9711</v>
      </c>
      <c r="C3245" t="s">
        <v>9711</v>
      </c>
      <c r="D3245" t="str">
        <f>HYPERLINK("https://zfin.org/ZDB-GENE-030131-448")</f>
        <v>https://zfin.org/ZDB-GENE-030131-448</v>
      </c>
      <c r="E3245" t="s">
        <v>9712</v>
      </c>
    </row>
    <row r="3246" spans="1:5" x14ac:dyDescent="0.2">
      <c r="A3246" t="s">
        <v>9713</v>
      </c>
      <c r="B3246" t="s">
        <v>9714</v>
      </c>
      <c r="C3246" t="s">
        <v>9714</v>
      </c>
      <c r="D3246" t="str">
        <f>HYPERLINK("https://zfin.org/ZDB-GENE-141216-467")</f>
        <v>https://zfin.org/ZDB-GENE-141216-467</v>
      </c>
      <c r="E3246" t="s">
        <v>9715</v>
      </c>
    </row>
    <row r="3247" spans="1:5" x14ac:dyDescent="0.2">
      <c r="A3247" t="s">
        <v>9716</v>
      </c>
      <c r="B3247" t="s">
        <v>9717</v>
      </c>
      <c r="C3247" t="s">
        <v>9717</v>
      </c>
      <c r="D3247" t="str">
        <f>HYPERLINK("https://zfin.org/ZDB-GENE-050327-4")</f>
        <v>https://zfin.org/ZDB-GENE-050327-4</v>
      </c>
      <c r="E3247" t="s">
        <v>9718</v>
      </c>
    </row>
    <row r="3248" spans="1:5" x14ac:dyDescent="0.2">
      <c r="A3248" t="s">
        <v>9719</v>
      </c>
      <c r="B3248" t="s">
        <v>9720</v>
      </c>
      <c r="C3248" t="s">
        <v>9720</v>
      </c>
      <c r="D3248" t="str">
        <f>HYPERLINK("https://zfin.org/ZDB-GENE-070410-4")</f>
        <v>https://zfin.org/ZDB-GENE-070410-4</v>
      </c>
      <c r="E3248" t="s">
        <v>9721</v>
      </c>
    </row>
    <row r="3249" spans="1:5" x14ac:dyDescent="0.2">
      <c r="A3249" t="s">
        <v>9722</v>
      </c>
      <c r="B3249" t="s">
        <v>9723</v>
      </c>
      <c r="C3249" t="s">
        <v>9723</v>
      </c>
      <c r="D3249" t="str">
        <f>HYPERLINK("https://zfin.org/ZDB-GENE-040808-46")</f>
        <v>https://zfin.org/ZDB-GENE-040808-46</v>
      </c>
      <c r="E3249" t="s">
        <v>9724</v>
      </c>
    </row>
    <row r="3250" spans="1:5" x14ac:dyDescent="0.2">
      <c r="A3250" t="s">
        <v>9725</v>
      </c>
      <c r="B3250" t="s">
        <v>9726</v>
      </c>
      <c r="C3250" t="s">
        <v>9726</v>
      </c>
      <c r="D3250" t="str">
        <f>HYPERLINK("https://zfin.org/ZDB-GENE-030131-7176")</f>
        <v>https://zfin.org/ZDB-GENE-030131-7176</v>
      </c>
      <c r="E3250" t="s">
        <v>9727</v>
      </c>
    </row>
    <row r="3251" spans="1:5" x14ac:dyDescent="0.2">
      <c r="A3251" t="s">
        <v>9728</v>
      </c>
      <c r="B3251" t="s">
        <v>9729</v>
      </c>
      <c r="C3251" t="s">
        <v>9729</v>
      </c>
      <c r="D3251" t="str">
        <f>HYPERLINK("https://zfin.org/ZDB-GENE-980526-389")</f>
        <v>https://zfin.org/ZDB-GENE-980526-389</v>
      </c>
      <c r="E3251" t="s">
        <v>9730</v>
      </c>
    </row>
    <row r="3252" spans="1:5" x14ac:dyDescent="0.2">
      <c r="A3252" t="s">
        <v>9731</v>
      </c>
      <c r="B3252" t="s">
        <v>9732</v>
      </c>
      <c r="C3252" t="s">
        <v>9732</v>
      </c>
      <c r="D3252" t="str">
        <f>HYPERLINK("https://zfin.org/ZDB-GENE-141216-479")</f>
        <v>https://zfin.org/ZDB-GENE-141216-479</v>
      </c>
      <c r="E3252" t="s">
        <v>9733</v>
      </c>
    </row>
    <row r="3253" spans="1:5" x14ac:dyDescent="0.2">
      <c r="A3253" t="s">
        <v>9734</v>
      </c>
      <c r="B3253" t="s">
        <v>9735</v>
      </c>
      <c r="C3253" t="s">
        <v>9735</v>
      </c>
      <c r="D3253" t="str">
        <f>HYPERLINK("https://zfin.org/ZDB-GENE-131121-419")</f>
        <v>https://zfin.org/ZDB-GENE-131121-419</v>
      </c>
      <c r="E3253" t="s">
        <v>9736</v>
      </c>
    </row>
    <row r="3254" spans="1:5" x14ac:dyDescent="0.2">
      <c r="A3254" t="s">
        <v>9737</v>
      </c>
      <c r="B3254" t="s">
        <v>9738</v>
      </c>
      <c r="C3254" t="s">
        <v>9738</v>
      </c>
      <c r="D3254" t="str">
        <f>HYPERLINK("https://zfin.org/ZDB-GENE-050208-727")</f>
        <v>https://zfin.org/ZDB-GENE-050208-727</v>
      </c>
      <c r="E3254" t="s">
        <v>9739</v>
      </c>
    </row>
    <row r="3255" spans="1:5" x14ac:dyDescent="0.2">
      <c r="A3255" t="s">
        <v>9740</v>
      </c>
      <c r="B3255" t="s">
        <v>9741</v>
      </c>
      <c r="C3255" t="s">
        <v>9741</v>
      </c>
      <c r="D3255" t="str">
        <f>HYPERLINK("https://zfin.org/ZDB-GENE-060825-160")</f>
        <v>https://zfin.org/ZDB-GENE-060825-160</v>
      </c>
      <c r="E3255" t="s">
        <v>9742</v>
      </c>
    </row>
    <row r="3256" spans="1:5" x14ac:dyDescent="0.2">
      <c r="A3256" t="s">
        <v>9743</v>
      </c>
      <c r="B3256" t="s">
        <v>9744</v>
      </c>
      <c r="C3256" t="s">
        <v>9744</v>
      </c>
      <c r="D3256" t="str">
        <f>HYPERLINK("https://zfin.org/ZDB-GENE-050420-335")</f>
        <v>https://zfin.org/ZDB-GENE-050420-335</v>
      </c>
      <c r="E3256" t="s">
        <v>9745</v>
      </c>
    </row>
    <row r="3257" spans="1:5" x14ac:dyDescent="0.2">
      <c r="A3257" t="s">
        <v>9746</v>
      </c>
      <c r="B3257" t="s">
        <v>9747</v>
      </c>
      <c r="C3257" t="s">
        <v>9747</v>
      </c>
      <c r="D3257" t="str">
        <f>HYPERLINK("https://zfin.org/ZDB-GENE-030131-1673")</f>
        <v>https://zfin.org/ZDB-GENE-030131-1673</v>
      </c>
      <c r="E3257" t="s">
        <v>9748</v>
      </c>
    </row>
    <row r="3258" spans="1:5" x14ac:dyDescent="0.2">
      <c r="A3258" t="s">
        <v>9749</v>
      </c>
      <c r="B3258" t="s">
        <v>9750</v>
      </c>
      <c r="C3258" t="s">
        <v>9750</v>
      </c>
      <c r="D3258" t="str">
        <f>HYPERLINK("https://zfin.org/ZDB-GENE-060825-309")</f>
        <v>https://zfin.org/ZDB-GENE-060825-309</v>
      </c>
      <c r="E3258" t="s">
        <v>9751</v>
      </c>
    </row>
    <row r="3259" spans="1:5" x14ac:dyDescent="0.2">
      <c r="A3259" t="s">
        <v>9752</v>
      </c>
      <c r="B3259" t="s">
        <v>9753</v>
      </c>
      <c r="C3259" t="s">
        <v>9753</v>
      </c>
      <c r="D3259" t="str">
        <f>HYPERLINK("https://zfin.org/ZDB-GENE-060810-84")</f>
        <v>https://zfin.org/ZDB-GENE-060810-84</v>
      </c>
      <c r="E3259" t="s">
        <v>9754</v>
      </c>
    </row>
    <row r="3260" spans="1:5" x14ac:dyDescent="0.2">
      <c r="A3260" t="s">
        <v>9755</v>
      </c>
      <c r="B3260" t="s">
        <v>9756</v>
      </c>
      <c r="C3260" t="s">
        <v>9756</v>
      </c>
      <c r="D3260" t="str">
        <f>HYPERLINK("https://zfin.org/ZDB-GENE-041001-185")</f>
        <v>https://zfin.org/ZDB-GENE-041001-185</v>
      </c>
      <c r="E3260" t="s">
        <v>9757</v>
      </c>
    </row>
    <row r="3261" spans="1:5" x14ac:dyDescent="0.2">
      <c r="A3261" t="s">
        <v>9758</v>
      </c>
      <c r="B3261" t="s">
        <v>9759</v>
      </c>
      <c r="C3261" t="s">
        <v>9759</v>
      </c>
      <c r="D3261" t="str">
        <f>HYPERLINK("https://zfin.org/ZDB-GENE-131126-14")</f>
        <v>https://zfin.org/ZDB-GENE-131126-14</v>
      </c>
      <c r="E3261" t="s">
        <v>9760</v>
      </c>
    </row>
    <row r="3262" spans="1:5" x14ac:dyDescent="0.2">
      <c r="A3262" t="s">
        <v>9761</v>
      </c>
      <c r="B3262" t="s">
        <v>9762</v>
      </c>
      <c r="C3262" t="s">
        <v>9762</v>
      </c>
      <c r="D3262" t="str">
        <f>HYPERLINK("https://zfin.org/ZDB-GENE-050327-9")</f>
        <v>https://zfin.org/ZDB-GENE-050327-9</v>
      </c>
      <c r="E3262" t="s">
        <v>9763</v>
      </c>
    </row>
    <row r="3263" spans="1:5" x14ac:dyDescent="0.2">
      <c r="A3263" t="s">
        <v>9764</v>
      </c>
      <c r="B3263" t="s">
        <v>9765</v>
      </c>
      <c r="C3263" t="s">
        <v>9765</v>
      </c>
      <c r="D3263" t="str">
        <f>HYPERLINK("https://zfin.org/ZDB-GENE-050417-308")</f>
        <v>https://zfin.org/ZDB-GENE-050417-308</v>
      </c>
      <c r="E3263" t="s">
        <v>9766</v>
      </c>
    </row>
    <row r="3264" spans="1:5" x14ac:dyDescent="0.2">
      <c r="A3264" t="s">
        <v>9767</v>
      </c>
      <c r="B3264" t="s">
        <v>9768</v>
      </c>
      <c r="C3264" t="s">
        <v>9768</v>
      </c>
      <c r="D3264" t="str">
        <f>HYPERLINK("https://zfin.org/ZDB-GENE-081231-1")</f>
        <v>https://zfin.org/ZDB-GENE-081231-1</v>
      </c>
      <c r="E3264" t="s">
        <v>9769</v>
      </c>
    </row>
    <row r="3265" spans="1:5" x14ac:dyDescent="0.2">
      <c r="A3265" t="s">
        <v>9770</v>
      </c>
      <c r="B3265" t="s">
        <v>9771</v>
      </c>
      <c r="C3265" t="s">
        <v>9771</v>
      </c>
      <c r="D3265" t="str">
        <f>HYPERLINK("https://zfin.org/ZDB-GENE-131122-96")</f>
        <v>https://zfin.org/ZDB-GENE-131122-96</v>
      </c>
      <c r="E3265" t="s">
        <v>9772</v>
      </c>
    </row>
    <row r="3266" spans="1:5" x14ac:dyDescent="0.2">
      <c r="A3266" t="s">
        <v>9773</v>
      </c>
      <c r="B3266" t="s">
        <v>9774</v>
      </c>
      <c r="C3266" t="s">
        <v>9774</v>
      </c>
      <c r="D3266" t="str">
        <f>HYPERLINK("https://zfin.org/ZDB-GENE-030131-3033")</f>
        <v>https://zfin.org/ZDB-GENE-030131-3033</v>
      </c>
      <c r="E3266" t="s">
        <v>9775</v>
      </c>
    </row>
    <row r="3267" spans="1:5" x14ac:dyDescent="0.2">
      <c r="A3267" t="s">
        <v>9776</v>
      </c>
      <c r="B3267" t="s">
        <v>9777</v>
      </c>
      <c r="C3267" t="s">
        <v>9777</v>
      </c>
      <c r="D3267" t="str">
        <f>HYPERLINK("https://zfin.org/ZDB-GENE-110411-6")</f>
        <v>https://zfin.org/ZDB-GENE-110411-6</v>
      </c>
      <c r="E3267" t="s">
        <v>9778</v>
      </c>
    </row>
    <row r="3268" spans="1:5" x14ac:dyDescent="0.2">
      <c r="A3268" t="s">
        <v>9779</v>
      </c>
      <c r="B3268" t="s">
        <v>9780</v>
      </c>
      <c r="C3268" t="s">
        <v>9780</v>
      </c>
      <c r="D3268" t="str">
        <f>HYPERLINK("https://zfin.org/ZDB-GENE-030819-1")</f>
        <v>https://zfin.org/ZDB-GENE-030819-1</v>
      </c>
      <c r="E3268" t="s">
        <v>9781</v>
      </c>
    </row>
    <row r="3269" spans="1:5" x14ac:dyDescent="0.2">
      <c r="A3269" t="s">
        <v>9782</v>
      </c>
      <c r="B3269" t="s">
        <v>9783</v>
      </c>
      <c r="C3269" t="s">
        <v>9783</v>
      </c>
      <c r="D3269" t="str">
        <f>HYPERLINK("https://zfin.org/ZDB-GENE-070912-719")</f>
        <v>https://zfin.org/ZDB-GENE-070912-719</v>
      </c>
      <c r="E3269" t="s">
        <v>9784</v>
      </c>
    </row>
    <row r="3270" spans="1:5" x14ac:dyDescent="0.2">
      <c r="A3270" t="s">
        <v>9785</v>
      </c>
      <c r="B3270" t="s">
        <v>9786</v>
      </c>
      <c r="C3270" t="s">
        <v>9786</v>
      </c>
      <c r="D3270" t="str">
        <f>HYPERLINK("https://zfin.org/ZDB-GENE-070424-17")</f>
        <v>https://zfin.org/ZDB-GENE-070424-17</v>
      </c>
      <c r="E3270" t="s">
        <v>9787</v>
      </c>
    </row>
    <row r="3271" spans="1:5" x14ac:dyDescent="0.2">
      <c r="A3271" t="s">
        <v>9788</v>
      </c>
      <c r="B3271" t="s">
        <v>9789</v>
      </c>
      <c r="C3271" t="s">
        <v>9789</v>
      </c>
      <c r="D3271" t="str">
        <f>HYPERLINK("https://zfin.org/ZDB-GENE-030131-8516")</f>
        <v>https://zfin.org/ZDB-GENE-030131-8516</v>
      </c>
      <c r="E3271" t="s">
        <v>9790</v>
      </c>
    </row>
    <row r="3272" spans="1:5" x14ac:dyDescent="0.2">
      <c r="A3272" t="s">
        <v>9791</v>
      </c>
      <c r="B3272" t="s">
        <v>9792</v>
      </c>
      <c r="C3272" t="s">
        <v>9792</v>
      </c>
      <c r="D3272" t="str">
        <f>HYPERLINK("https://zfin.org/ZDB-GENE-060526-265")</f>
        <v>https://zfin.org/ZDB-GENE-060526-265</v>
      </c>
      <c r="E3272" t="s">
        <v>9793</v>
      </c>
    </row>
    <row r="3273" spans="1:5" x14ac:dyDescent="0.2">
      <c r="A3273" t="s">
        <v>9794</v>
      </c>
      <c r="B3273" t="s">
        <v>9795</v>
      </c>
      <c r="C3273" t="s">
        <v>9795</v>
      </c>
      <c r="D3273" t="str">
        <f>HYPERLINK("https://zfin.org/ZDB-GENE-070912-715")</f>
        <v>https://zfin.org/ZDB-GENE-070912-715</v>
      </c>
      <c r="E3273" t="s">
        <v>9796</v>
      </c>
    </row>
    <row r="3274" spans="1:5" x14ac:dyDescent="0.2">
      <c r="A3274" t="s">
        <v>9797</v>
      </c>
      <c r="B3274" t="s">
        <v>9798</v>
      </c>
      <c r="C3274" t="s">
        <v>9798</v>
      </c>
      <c r="D3274" t="str">
        <f>HYPERLINK("https://zfin.org/ZDB-GENE-060526-350")</f>
        <v>https://zfin.org/ZDB-GENE-060526-350</v>
      </c>
      <c r="E3274" t="s">
        <v>9799</v>
      </c>
    </row>
    <row r="3275" spans="1:5" x14ac:dyDescent="0.2">
      <c r="A3275" t="s">
        <v>9800</v>
      </c>
      <c r="B3275" t="s">
        <v>9801</v>
      </c>
      <c r="C3275" t="s">
        <v>9801</v>
      </c>
      <c r="D3275" t="str">
        <f>HYPERLINK("https://zfin.org/ZDB-GENE-010219-1")</f>
        <v>https://zfin.org/ZDB-GENE-010219-1</v>
      </c>
      <c r="E3275" t="s">
        <v>9802</v>
      </c>
    </row>
    <row r="3276" spans="1:5" x14ac:dyDescent="0.2">
      <c r="A3276" t="s">
        <v>9803</v>
      </c>
      <c r="B3276" t="s">
        <v>9804</v>
      </c>
      <c r="C3276" t="s">
        <v>9804</v>
      </c>
      <c r="D3276" t="str">
        <f>HYPERLINK("https://zfin.org/ZDB-GENE-040426-2873")</f>
        <v>https://zfin.org/ZDB-GENE-040426-2873</v>
      </c>
      <c r="E3276" t="s">
        <v>9805</v>
      </c>
    </row>
    <row r="3277" spans="1:5" x14ac:dyDescent="0.2">
      <c r="A3277" t="s">
        <v>9806</v>
      </c>
      <c r="B3277" t="s">
        <v>9807</v>
      </c>
      <c r="C3277" t="s">
        <v>9807</v>
      </c>
      <c r="D3277" t="str">
        <f>HYPERLINK("https://zfin.org/ZDB-GENE-030131-3980")</f>
        <v>https://zfin.org/ZDB-GENE-030131-3980</v>
      </c>
      <c r="E3277" t="s">
        <v>9808</v>
      </c>
    </row>
    <row r="3278" spans="1:5" x14ac:dyDescent="0.2">
      <c r="A3278" t="s">
        <v>9809</v>
      </c>
      <c r="B3278" t="s">
        <v>9810</v>
      </c>
      <c r="C3278" t="s">
        <v>9810</v>
      </c>
      <c r="D3278" t="str">
        <f>HYPERLINK("https://zfin.org/ZDB-GENE-030131-3806")</f>
        <v>https://zfin.org/ZDB-GENE-030131-3806</v>
      </c>
      <c r="E3278" t="s">
        <v>9811</v>
      </c>
    </row>
    <row r="3279" spans="1:5" x14ac:dyDescent="0.2">
      <c r="A3279" t="s">
        <v>9812</v>
      </c>
      <c r="B3279" t="s">
        <v>9813</v>
      </c>
      <c r="C3279" t="s">
        <v>9813</v>
      </c>
      <c r="D3279" t="str">
        <f>HYPERLINK("https://zfin.org/ZDB-GENE-060531-130")</f>
        <v>https://zfin.org/ZDB-GENE-060531-130</v>
      </c>
      <c r="E3279" t="s">
        <v>9814</v>
      </c>
    </row>
    <row r="3280" spans="1:5" x14ac:dyDescent="0.2">
      <c r="A3280" t="s">
        <v>9815</v>
      </c>
      <c r="B3280" t="s">
        <v>9816</v>
      </c>
      <c r="C3280" t="s">
        <v>9816</v>
      </c>
      <c r="D3280" t="str">
        <f>HYPERLINK("https://zfin.org/ZDB-GENE-030616-591")</f>
        <v>https://zfin.org/ZDB-GENE-030616-591</v>
      </c>
      <c r="E3280" t="s">
        <v>9817</v>
      </c>
    </row>
    <row r="3281" spans="1:5" x14ac:dyDescent="0.2">
      <c r="A3281" t="s">
        <v>9818</v>
      </c>
      <c r="B3281" t="s">
        <v>9819</v>
      </c>
      <c r="C3281" t="s">
        <v>9819</v>
      </c>
      <c r="D3281" t="str">
        <f>HYPERLINK("https://zfin.org/ZDB-GENE-040801-254")</f>
        <v>https://zfin.org/ZDB-GENE-040801-254</v>
      </c>
      <c r="E3281" t="s">
        <v>9820</v>
      </c>
    </row>
    <row r="3282" spans="1:5" x14ac:dyDescent="0.2">
      <c r="A3282" t="s">
        <v>9821</v>
      </c>
      <c r="B3282" t="s">
        <v>9822</v>
      </c>
      <c r="C3282" t="s">
        <v>9822</v>
      </c>
      <c r="D3282" t="str">
        <f>HYPERLINK("https://zfin.org/ZDB-GENE-040801-246")</f>
        <v>https://zfin.org/ZDB-GENE-040801-246</v>
      </c>
      <c r="E3282" t="s">
        <v>9823</v>
      </c>
    </row>
    <row r="3283" spans="1:5" x14ac:dyDescent="0.2">
      <c r="A3283" t="s">
        <v>9824</v>
      </c>
      <c r="B3283" t="s">
        <v>9825</v>
      </c>
      <c r="C3283" t="s">
        <v>9825</v>
      </c>
      <c r="D3283" t="str">
        <f>HYPERLINK("https://zfin.org/ZDB-GENE-040426-2236")</f>
        <v>https://zfin.org/ZDB-GENE-040426-2236</v>
      </c>
      <c r="E3283" t="s">
        <v>9826</v>
      </c>
    </row>
    <row r="3284" spans="1:5" x14ac:dyDescent="0.2">
      <c r="A3284" t="s">
        <v>9827</v>
      </c>
      <c r="B3284" t="s">
        <v>9828</v>
      </c>
      <c r="C3284" t="s">
        <v>9828</v>
      </c>
      <c r="D3284" t="str">
        <f>HYPERLINK("https://zfin.org/ZDB-GENE-030131-4459")</f>
        <v>https://zfin.org/ZDB-GENE-030131-4459</v>
      </c>
      <c r="E3284" t="s">
        <v>9829</v>
      </c>
    </row>
    <row r="3285" spans="1:5" x14ac:dyDescent="0.2">
      <c r="A3285" t="s">
        <v>9830</v>
      </c>
      <c r="B3285" t="s">
        <v>9831</v>
      </c>
      <c r="C3285" t="s">
        <v>9831</v>
      </c>
      <c r="D3285" t="str">
        <f>HYPERLINK("https://zfin.org/ZDB-GENE-030131-5411")</f>
        <v>https://zfin.org/ZDB-GENE-030131-5411</v>
      </c>
      <c r="E3285" t="s">
        <v>9832</v>
      </c>
    </row>
    <row r="3286" spans="1:5" x14ac:dyDescent="0.2">
      <c r="A3286" t="s">
        <v>9833</v>
      </c>
      <c r="B3286" t="s">
        <v>9834</v>
      </c>
      <c r="C3286" t="s">
        <v>9834</v>
      </c>
      <c r="D3286" t="str">
        <f>HYPERLINK("https://zfin.org/ZDB-GENE-030131-6948")</f>
        <v>https://zfin.org/ZDB-GENE-030131-6948</v>
      </c>
      <c r="E3286" t="s">
        <v>9835</v>
      </c>
    </row>
    <row r="3287" spans="1:5" x14ac:dyDescent="0.2">
      <c r="A3287" t="s">
        <v>9836</v>
      </c>
      <c r="B3287" t="s">
        <v>9837</v>
      </c>
      <c r="C3287" t="s">
        <v>9837</v>
      </c>
      <c r="D3287" t="str">
        <f>HYPERLINK("https://zfin.org/ZDB-GENE-060519-27")</f>
        <v>https://zfin.org/ZDB-GENE-060519-27</v>
      </c>
      <c r="E3287" t="s">
        <v>9838</v>
      </c>
    </row>
    <row r="3288" spans="1:5" x14ac:dyDescent="0.2">
      <c r="A3288" t="s">
        <v>9839</v>
      </c>
      <c r="B3288" t="s">
        <v>9840</v>
      </c>
      <c r="C3288" t="s">
        <v>9840</v>
      </c>
      <c r="D3288" t="str">
        <f>HYPERLINK("https://zfin.org/ZDB-GENE-100922-65")</f>
        <v>https://zfin.org/ZDB-GENE-100922-65</v>
      </c>
      <c r="E3288" t="s">
        <v>9841</v>
      </c>
    </row>
    <row r="3289" spans="1:5" x14ac:dyDescent="0.2">
      <c r="A3289" t="s">
        <v>9842</v>
      </c>
      <c r="B3289" t="s">
        <v>9843</v>
      </c>
      <c r="C3289" t="s">
        <v>9843</v>
      </c>
      <c r="D3289" t="str">
        <f>HYPERLINK("https://zfin.org/ZDB-GENE-030114-4")</f>
        <v>https://zfin.org/ZDB-GENE-030114-4</v>
      </c>
      <c r="E3289" t="s">
        <v>9844</v>
      </c>
    </row>
    <row r="3290" spans="1:5" x14ac:dyDescent="0.2">
      <c r="A3290" t="s">
        <v>9845</v>
      </c>
      <c r="B3290" t="s">
        <v>9846</v>
      </c>
      <c r="C3290" t="s">
        <v>9846</v>
      </c>
      <c r="D3290" t="str">
        <f>HYPERLINK("https://zfin.org/ZDB-GENE-090313-44")</f>
        <v>https://zfin.org/ZDB-GENE-090313-44</v>
      </c>
      <c r="E3290" t="s">
        <v>9847</v>
      </c>
    </row>
    <row r="3291" spans="1:5" x14ac:dyDescent="0.2">
      <c r="A3291" t="s">
        <v>9848</v>
      </c>
      <c r="B3291" t="s">
        <v>9849</v>
      </c>
      <c r="C3291" t="s">
        <v>9849</v>
      </c>
      <c r="D3291" t="str">
        <f>HYPERLINK("https://zfin.org/ZDB-GENE-030911-10")</f>
        <v>https://zfin.org/ZDB-GENE-030911-10</v>
      </c>
      <c r="E3291" t="s">
        <v>9850</v>
      </c>
    </row>
    <row r="3292" spans="1:5" x14ac:dyDescent="0.2">
      <c r="A3292" t="s">
        <v>9851</v>
      </c>
      <c r="B3292" t="s">
        <v>9852</v>
      </c>
      <c r="C3292" t="s">
        <v>9852</v>
      </c>
      <c r="D3292" t="str">
        <f>HYPERLINK("https://zfin.org/ZDB-GENE-041010-77")</f>
        <v>https://zfin.org/ZDB-GENE-041010-77</v>
      </c>
      <c r="E3292" t="s">
        <v>9853</v>
      </c>
    </row>
    <row r="3293" spans="1:5" x14ac:dyDescent="0.2">
      <c r="A3293" t="s">
        <v>9854</v>
      </c>
      <c r="B3293" t="s">
        <v>9855</v>
      </c>
      <c r="C3293" t="s">
        <v>9855</v>
      </c>
      <c r="D3293" t="str">
        <f>HYPERLINK("https://zfin.org/ZDB-GENE-041010-132")</f>
        <v>https://zfin.org/ZDB-GENE-041010-132</v>
      </c>
      <c r="E3293" t="s">
        <v>9856</v>
      </c>
    </row>
    <row r="3294" spans="1:5" x14ac:dyDescent="0.2">
      <c r="A3294" t="s">
        <v>9857</v>
      </c>
      <c r="B3294" t="s">
        <v>9858</v>
      </c>
      <c r="C3294" t="s">
        <v>9858</v>
      </c>
      <c r="D3294" t="str">
        <f>HYPERLINK("https://zfin.org/ZDB-GENE-120206-2")</f>
        <v>https://zfin.org/ZDB-GENE-120206-2</v>
      </c>
      <c r="E3294" t="s">
        <v>9859</v>
      </c>
    </row>
    <row r="3295" spans="1:5" x14ac:dyDescent="0.2">
      <c r="A3295" t="s">
        <v>9860</v>
      </c>
      <c r="B3295" t="s">
        <v>9861</v>
      </c>
      <c r="C3295" t="s">
        <v>9861</v>
      </c>
      <c r="D3295" t="str">
        <f>HYPERLINK("https://zfin.org/ZDB-GENE-120703-20")</f>
        <v>https://zfin.org/ZDB-GENE-120703-20</v>
      </c>
      <c r="E3295" t="s">
        <v>9862</v>
      </c>
    </row>
    <row r="3296" spans="1:5" x14ac:dyDescent="0.2">
      <c r="A3296" t="s">
        <v>9863</v>
      </c>
      <c r="B3296" t="s">
        <v>9864</v>
      </c>
      <c r="C3296" t="s">
        <v>9864</v>
      </c>
      <c r="D3296" t="str">
        <f>HYPERLINK("https://zfin.org/ZDB-GENE-061201-60")</f>
        <v>https://zfin.org/ZDB-GENE-061201-60</v>
      </c>
      <c r="E3296" t="s">
        <v>9865</v>
      </c>
    </row>
    <row r="3297" spans="1:5" x14ac:dyDescent="0.2">
      <c r="A3297" t="s">
        <v>9866</v>
      </c>
      <c r="B3297" t="s">
        <v>9867</v>
      </c>
      <c r="C3297" t="s">
        <v>9867</v>
      </c>
      <c r="D3297" t="str">
        <f>HYPERLINK("https://zfin.org/ZDB-GENE-030131-5232")</f>
        <v>https://zfin.org/ZDB-GENE-030131-5232</v>
      </c>
      <c r="E3297" t="s">
        <v>9868</v>
      </c>
    </row>
    <row r="3298" spans="1:5" x14ac:dyDescent="0.2">
      <c r="A3298" t="s">
        <v>9869</v>
      </c>
      <c r="B3298" t="s">
        <v>9870</v>
      </c>
      <c r="C3298" t="s">
        <v>9870</v>
      </c>
      <c r="D3298" t="str">
        <f>HYPERLINK("https://zfin.org/ZDB-GENE-040718-185")</f>
        <v>https://zfin.org/ZDB-GENE-040718-185</v>
      </c>
      <c r="E3298" t="s">
        <v>9871</v>
      </c>
    </row>
    <row r="3299" spans="1:5" x14ac:dyDescent="0.2">
      <c r="A3299" t="s">
        <v>9872</v>
      </c>
      <c r="B3299" t="s">
        <v>9873</v>
      </c>
      <c r="C3299" t="s">
        <v>9873</v>
      </c>
      <c r="D3299" t="str">
        <f>HYPERLINK("https://zfin.org/ZDB-GENE-110613-2")</f>
        <v>https://zfin.org/ZDB-GENE-110613-2</v>
      </c>
      <c r="E3299" t="s">
        <v>9874</v>
      </c>
    </row>
    <row r="3300" spans="1:5" x14ac:dyDescent="0.2">
      <c r="A3300" t="s">
        <v>9875</v>
      </c>
      <c r="B3300" t="s">
        <v>9876</v>
      </c>
      <c r="C3300" t="s">
        <v>9876</v>
      </c>
      <c r="D3300" t="str">
        <f>HYPERLINK("https://zfin.org/ZDB-GENE-030131-3464")</f>
        <v>https://zfin.org/ZDB-GENE-030131-3464</v>
      </c>
      <c r="E3300" t="s">
        <v>9877</v>
      </c>
    </row>
    <row r="3301" spans="1:5" x14ac:dyDescent="0.2">
      <c r="A3301" t="s">
        <v>9878</v>
      </c>
      <c r="B3301" t="s">
        <v>9879</v>
      </c>
      <c r="C3301" t="s">
        <v>9879</v>
      </c>
      <c r="D3301" t="str">
        <f>HYPERLINK("https://zfin.org/ZDB-GENE-070905-2")</f>
        <v>https://zfin.org/ZDB-GENE-070905-2</v>
      </c>
      <c r="E3301" t="s">
        <v>9880</v>
      </c>
    </row>
    <row r="3302" spans="1:5" x14ac:dyDescent="0.2">
      <c r="A3302" t="s">
        <v>9881</v>
      </c>
      <c r="B3302" t="s">
        <v>9882</v>
      </c>
      <c r="C3302" t="s">
        <v>9882</v>
      </c>
      <c r="D3302" t="str">
        <f>HYPERLINK("https://zfin.org/ZDB-GENE-040426-1103")</f>
        <v>https://zfin.org/ZDB-GENE-040426-1103</v>
      </c>
      <c r="E3302" t="s">
        <v>9883</v>
      </c>
    </row>
    <row r="3303" spans="1:5" x14ac:dyDescent="0.2">
      <c r="A3303" t="s">
        <v>9884</v>
      </c>
      <c r="B3303" t="s">
        <v>9885</v>
      </c>
      <c r="C3303" t="s">
        <v>9885</v>
      </c>
      <c r="D3303" t="str">
        <f>HYPERLINK("https://zfin.org/ZDB-GENE-031010-45")</f>
        <v>https://zfin.org/ZDB-GENE-031010-45</v>
      </c>
      <c r="E3303" t="s">
        <v>9886</v>
      </c>
    </row>
    <row r="3304" spans="1:5" x14ac:dyDescent="0.2">
      <c r="A3304" t="s">
        <v>9887</v>
      </c>
      <c r="B3304" t="s">
        <v>9888</v>
      </c>
      <c r="C3304" t="s">
        <v>9888</v>
      </c>
      <c r="D3304" t="str">
        <f>HYPERLINK("https://zfin.org/ZDB-GENE-060929-340")</f>
        <v>https://zfin.org/ZDB-GENE-060929-340</v>
      </c>
      <c r="E3304" t="s">
        <v>9889</v>
      </c>
    </row>
    <row r="3305" spans="1:5" x14ac:dyDescent="0.2">
      <c r="A3305" t="s">
        <v>9890</v>
      </c>
      <c r="B3305" t="s">
        <v>9891</v>
      </c>
      <c r="C3305" t="s">
        <v>9891</v>
      </c>
      <c r="D3305" t="str">
        <f>HYPERLINK("https://zfin.org/ZDB-GENE-131120-9")</f>
        <v>https://zfin.org/ZDB-GENE-131120-9</v>
      </c>
      <c r="E3305" t="s">
        <v>9892</v>
      </c>
    </row>
    <row r="3306" spans="1:5" x14ac:dyDescent="0.2">
      <c r="A3306" t="s">
        <v>9893</v>
      </c>
      <c r="B3306" t="s">
        <v>9894</v>
      </c>
      <c r="C3306" t="s">
        <v>9894</v>
      </c>
      <c r="D3306" t="str">
        <f>HYPERLINK("https://zfin.org/ZDB-GENE-010201-3")</f>
        <v>https://zfin.org/ZDB-GENE-010201-3</v>
      </c>
      <c r="E3306" t="s">
        <v>9895</v>
      </c>
    </row>
    <row r="3307" spans="1:5" x14ac:dyDescent="0.2">
      <c r="A3307" t="s">
        <v>9896</v>
      </c>
      <c r="B3307" t="s">
        <v>9897</v>
      </c>
      <c r="C3307" t="s">
        <v>9897</v>
      </c>
      <c r="D3307" t="str">
        <f>HYPERLINK("https://zfin.org/ZDB-GENE-041010-30")</f>
        <v>https://zfin.org/ZDB-GENE-041010-30</v>
      </c>
      <c r="E3307" t="s">
        <v>9898</v>
      </c>
    </row>
    <row r="3308" spans="1:5" x14ac:dyDescent="0.2">
      <c r="A3308" t="s">
        <v>9899</v>
      </c>
      <c r="B3308" t="s">
        <v>9900</v>
      </c>
      <c r="C3308" t="s">
        <v>9900</v>
      </c>
      <c r="D3308" t="str">
        <f>HYPERLINK("https://zfin.org/ZDB-GENE-090313-142")</f>
        <v>https://zfin.org/ZDB-GENE-090313-142</v>
      </c>
      <c r="E3308" t="s">
        <v>9901</v>
      </c>
    </row>
    <row r="3309" spans="1:5" x14ac:dyDescent="0.2">
      <c r="A3309" t="s">
        <v>9902</v>
      </c>
      <c r="B3309" t="s">
        <v>9903</v>
      </c>
      <c r="C3309" t="s">
        <v>9903</v>
      </c>
      <c r="D3309" t="str">
        <f>HYPERLINK("https://zfin.org/ZDB-GENE-020809-2")</f>
        <v>https://zfin.org/ZDB-GENE-020809-2</v>
      </c>
      <c r="E3309" t="s">
        <v>9904</v>
      </c>
    </row>
    <row r="3310" spans="1:5" x14ac:dyDescent="0.2">
      <c r="A3310" t="s">
        <v>9905</v>
      </c>
      <c r="B3310" t="s">
        <v>9906</v>
      </c>
      <c r="C3310" t="s">
        <v>9906</v>
      </c>
      <c r="D3310" t="str">
        <f>HYPERLINK("https://zfin.org/ZDB-GENE-121214-99")</f>
        <v>https://zfin.org/ZDB-GENE-121214-99</v>
      </c>
      <c r="E3310" t="s">
        <v>9907</v>
      </c>
    </row>
    <row r="3311" spans="1:5" x14ac:dyDescent="0.2">
      <c r="A3311" t="s">
        <v>9908</v>
      </c>
      <c r="B3311" t="s">
        <v>9909</v>
      </c>
      <c r="C3311" t="s">
        <v>9909</v>
      </c>
      <c r="D3311" t="str">
        <f>HYPERLINK("https://zfin.org/ZDB-GENE-050522-272")</f>
        <v>https://zfin.org/ZDB-GENE-050522-272</v>
      </c>
      <c r="E3311" t="s">
        <v>9910</v>
      </c>
    </row>
    <row r="3312" spans="1:5" x14ac:dyDescent="0.2">
      <c r="A3312" t="s">
        <v>9911</v>
      </c>
      <c r="B3312" t="s">
        <v>9912</v>
      </c>
      <c r="C3312" t="s">
        <v>9912</v>
      </c>
      <c r="D3312" t="str">
        <f>HYPERLINK("https://zfin.org/ZDB-GENE-030131-1368")</f>
        <v>https://zfin.org/ZDB-GENE-030131-1368</v>
      </c>
      <c r="E3312" t="s">
        <v>9913</v>
      </c>
    </row>
    <row r="3313" spans="1:5" x14ac:dyDescent="0.2">
      <c r="A3313" t="s">
        <v>9914</v>
      </c>
      <c r="B3313" t="s">
        <v>9915</v>
      </c>
      <c r="C3313" t="s">
        <v>9915</v>
      </c>
      <c r="D3313" t="str">
        <f>HYPERLINK("https://zfin.org/ZDB-GENE-050522-84")</f>
        <v>https://zfin.org/ZDB-GENE-050522-84</v>
      </c>
      <c r="E3313" t="s">
        <v>9916</v>
      </c>
    </row>
    <row r="3314" spans="1:5" x14ac:dyDescent="0.2">
      <c r="A3314" t="s">
        <v>9917</v>
      </c>
      <c r="B3314" t="s">
        <v>9918</v>
      </c>
      <c r="C3314" t="s">
        <v>9918</v>
      </c>
      <c r="D3314" t="str">
        <f>HYPERLINK("https://zfin.org/ZDB-GENE-060526-342")</f>
        <v>https://zfin.org/ZDB-GENE-060526-342</v>
      </c>
      <c r="E3314" t="s">
        <v>9919</v>
      </c>
    </row>
    <row r="3315" spans="1:5" x14ac:dyDescent="0.2">
      <c r="A3315" t="s">
        <v>9920</v>
      </c>
      <c r="B3315" t="s">
        <v>9921</v>
      </c>
      <c r="C3315" t="s">
        <v>9921</v>
      </c>
      <c r="D3315" t="str">
        <f>HYPERLINK("https://zfin.org/ZDB-GENE-030131-9923")</f>
        <v>https://zfin.org/ZDB-GENE-030131-9923</v>
      </c>
      <c r="E3315" t="s">
        <v>9922</v>
      </c>
    </row>
    <row r="3316" spans="1:5" x14ac:dyDescent="0.2">
      <c r="A3316" t="s">
        <v>9923</v>
      </c>
      <c r="B3316" t="s">
        <v>9924</v>
      </c>
      <c r="C3316" t="s">
        <v>9924</v>
      </c>
      <c r="D3316" t="str">
        <f>HYPERLINK("https://zfin.org/ZDB-GENE-050731-6")</f>
        <v>https://zfin.org/ZDB-GENE-050731-6</v>
      </c>
      <c r="E3316" t="s">
        <v>9925</v>
      </c>
    </row>
    <row r="3317" spans="1:5" x14ac:dyDescent="0.2">
      <c r="A3317" t="s">
        <v>9926</v>
      </c>
      <c r="B3317" t="s">
        <v>9927</v>
      </c>
      <c r="C3317" t="s">
        <v>9927</v>
      </c>
      <c r="D3317" t="str">
        <f>HYPERLINK("https://zfin.org/ZDB-GENE-060929-128")</f>
        <v>https://zfin.org/ZDB-GENE-060929-128</v>
      </c>
      <c r="E3317" t="s">
        <v>9928</v>
      </c>
    </row>
    <row r="3318" spans="1:5" x14ac:dyDescent="0.2">
      <c r="A3318" t="s">
        <v>9929</v>
      </c>
      <c r="B3318" t="s">
        <v>9930</v>
      </c>
      <c r="C3318" t="s">
        <v>9930</v>
      </c>
      <c r="D3318" t="str">
        <f>HYPERLINK("https://zfin.org/ZDB-GENE-040426-1608")</f>
        <v>https://zfin.org/ZDB-GENE-040426-1608</v>
      </c>
      <c r="E3318" t="s">
        <v>9931</v>
      </c>
    </row>
    <row r="3319" spans="1:5" x14ac:dyDescent="0.2">
      <c r="A3319" t="s">
        <v>9932</v>
      </c>
      <c r="B3319" t="s">
        <v>9933</v>
      </c>
      <c r="C3319" t="s">
        <v>9933</v>
      </c>
      <c r="D3319" t="str">
        <f>HYPERLINK("https://zfin.org/ZDB-GENE-060503-729")</f>
        <v>https://zfin.org/ZDB-GENE-060503-729</v>
      </c>
      <c r="E3319" t="s">
        <v>9934</v>
      </c>
    </row>
    <row r="3320" spans="1:5" x14ac:dyDescent="0.2">
      <c r="A3320" t="s">
        <v>9935</v>
      </c>
      <c r="B3320" t="s">
        <v>9936</v>
      </c>
      <c r="C3320" t="s">
        <v>9936</v>
      </c>
      <c r="D3320" t="str">
        <f>HYPERLINK("https://zfin.org/ZDB-GENE-030131-7489")</f>
        <v>https://zfin.org/ZDB-GENE-030131-7489</v>
      </c>
      <c r="E3320" t="s">
        <v>9937</v>
      </c>
    </row>
    <row r="3321" spans="1:5" x14ac:dyDescent="0.2">
      <c r="A3321" t="s">
        <v>9938</v>
      </c>
      <c r="B3321" t="s">
        <v>9939</v>
      </c>
      <c r="C3321" t="s">
        <v>9939</v>
      </c>
      <c r="D3321" t="str">
        <f>HYPERLINK("https://zfin.org/ZDB-GENE-071022-2")</f>
        <v>https://zfin.org/ZDB-GENE-071022-2</v>
      </c>
      <c r="E3321" t="s">
        <v>9940</v>
      </c>
    </row>
    <row r="3322" spans="1:5" x14ac:dyDescent="0.2">
      <c r="A3322" t="s">
        <v>9941</v>
      </c>
      <c r="B3322" t="s">
        <v>9942</v>
      </c>
      <c r="C3322" t="s">
        <v>9942</v>
      </c>
      <c r="D3322" t="str">
        <f>HYPERLINK("https://zfin.org/ZDB-GENE-990603-10")</f>
        <v>https://zfin.org/ZDB-GENE-990603-10</v>
      </c>
      <c r="E3322" t="s">
        <v>9943</v>
      </c>
    </row>
    <row r="3323" spans="1:5" x14ac:dyDescent="0.2">
      <c r="A3323" t="s">
        <v>9944</v>
      </c>
      <c r="B3323" t="s">
        <v>9945</v>
      </c>
      <c r="C3323" t="s">
        <v>9945</v>
      </c>
      <c r="D3323" t="str">
        <f>HYPERLINK("https://zfin.org/ZDB-GENE-060503-262")</f>
        <v>https://zfin.org/ZDB-GENE-060503-262</v>
      </c>
      <c r="E3323" t="s">
        <v>9946</v>
      </c>
    </row>
    <row r="3324" spans="1:5" x14ac:dyDescent="0.2">
      <c r="A3324" t="s">
        <v>9947</v>
      </c>
      <c r="B3324" t="s">
        <v>9948</v>
      </c>
      <c r="C3324" t="s">
        <v>9948</v>
      </c>
      <c r="D3324" t="str">
        <f>HYPERLINK("https://zfin.org/ZDB-GENE-030131-5032")</f>
        <v>https://zfin.org/ZDB-GENE-030131-5032</v>
      </c>
      <c r="E3324" t="s">
        <v>9949</v>
      </c>
    </row>
    <row r="3325" spans="1:5" x14ac:dyDescent="0.2">
      <c r="A3325" t="s">
        <v>9950</v>
      </c>
      <c r="B3325" t="s">
        <v>9951</v>
      </c>
      <c r="C3325" t="s">
        <v>9951</v>
      </c>
      <c r="D3325" t="str">
        <f>HYPERLINK("https://zfin.org/ZDB-GENE-091113-37")</f>
        <v>https://zfin.org/ZDB-GENE-091113-37</v>
      </c>
      <c r="E3325" t="s">
        <v>9952</v>
      </c>
    </row>
    <row r="3326" spans="1:5" x14ac:dyDescent="0.2">
      <c r="A3326" t="s">
        <v>9953</v>
      </c>
      <c r="B3326" t="s">
        <v>9954</v>
      </c>
      <c r="C3326" t="s">
        <v>9954</v>
      </c>
      <c r="D3326" t="str">
        <f>HYPERLINK("https://zfin.org/ZDB-GENE-070209-143")</f>
        <v>https://zfin.org/ZDB-GENE-070209-143</v>
      </c>
      <c r="E3326" t="s">
        <v>9955</v>
      </c>
    </row>
    <row r="3327" spans="1:5" x14ac:dyDescent="0.2">
      <c r="A3327" t="s">
        <v>9956</v>
      </c>
      <c r="B3327" t="s">
        <v>9957</v>
      </c>
      <c r="C3327" t="s">
        <v>9957</v>
      </c>
      <c r="D3327" t="str">
        <f>HYPERLINK("https://zfin.org/ZDB-GENE-030616-592")</f>
        <v>https://zfin.org/ZDB-GENE-030616-592</v>
      </c>
      <c r="E3327" t="s">
        <v>9958</v>
      </c>
    </row>
    <row r="3328" spans="1:5" x14ac:dyDescent="0.2">
      <c r="A3328" t="s">
        <v>9959</v>
      </c>
      <c r="B3328" t="s">
        <v>9960</v>
      </c>
      <c r="C3328" t="s">
        <v>9960</v>
      </c>
      <c r="D3328" t="str">
        <f>HYPERLINK("https://zfin.org/ZDB-GENE-030131-5928")</f>
        <v>https://zfin.org/ZDB-GENE-030131-5928</v>
      </c>
      <c r="E3328" t="s">
        <v>9961</v>
      </c>
    </row>
    <row r="3329" spans="1:5" x14ac:dyDescent="0.2">
      <c r="A3329" t="s">
        <v>9962</v>
      </c>
      <c r="B3329" t="s">
        <v>9963</v>
      </c>
      <c r="C3329" t="s">
        <v>9963</v>
      </c>
      <c r="D3329" t="str">
        <f>HYPERLINK("https://zfin.org/ZDB-GENE-050309-201")</f>
        <v>https://zfin.org/ZDB-GENE-050309-201</v>
      </c>
      <c r="E3329" t="s">
        <v>9964</v>
      </c>
    </row>
    <row r="3330" spans="1:5" x14ac:dyDescent="0.2">
      <c r="A3330" t="s">
        <v>9965</v>
      </c>
      <c r="B3330" t="s">
        <v>9966</v>
      </c>
      <c r="C3330" t="s">
        <v>9966</v>
      </c>
      <c r="D3330" t="str">
        <f>HYPERLINK("https://zfin.org/ZDB-GENE-141222-27")</f>
        <v>https://zfin.org/ZDB-GENE-141222-27</v>
      </c>
      <c r="E3330" t="s">
        <v>9967</v>
      </c>
    </row>
    <row r="3331" spans="1:5" x14ac:dyDescent="0.2">
      <c r="A3331" t="s">
        <v>9968</v>
      </c>
      <c r="B3331" t="s">
        <v>9969</v>
      </c>
      <c r="C3331" t="s">
        <v>9969</v>
      </c>
      <c r="D3331" t="str">
        <f>HYPERLINK("https://zfin.org/ZDB-GENE-070209-47")</f>
        <v>https://zfin.org/ZDB-GENE-070209-47</v>
      </c>
      <c r="E3331" t="s">
        <v>9970</v>
      </c>
    </row>
    <row r="3332" spans="1:5" x14ac:dyDescent="0.2">
      <c r="A3332" t="s">
        <v>9971</v>
      </c>
      <c r="B3332" t="s">
        <v>9972</v>
      </c>
      <c r="C3332" t="s">
        <v>9972</v>
      </c>
      <c r="D3332" t="str">
        <f>HYPERLINK("https://zfin.org/ZDB-GENE-081022-3")</f>
        <v>https://zfin.org/ZDB-GENE-081022-3</v>
      </c>
      <c r="E3332" t="s">
        <v>9973</v>
      </c>
    </row>
    <row r="3333" spans="1:5" x14ac:dyDescent="0.2">
      <c r="A3333" t="s">
        <v>9974</v>
      </c>
      <c r="B3333" t="s">
        <v>9975</v>
      </c>
      <c r="C3333" t="s">
        <v>9975</v>
      </c>
      <c r="D3333" t="str">
        <f>HYPERLINK("https://zfin.org/ZDB-GENE-010618-3")</f>
        <v>https://zfin.org/ZDB-GENE-010618-3</v>
      </c>
      <c r="E3333" t="s">
        <v>9976</v>
      </c>
    </row>
    <row r="3334" spans="1:5" x14ac:dyDescent="0.2">
      <c r="A3334" t="s">
        <v>9977</v>
      </c>
      <c r="B3334" t="s">
        <v>9978</v>
      </c>
      <c r="C3334" t="s">
        <v>9978</v>
      </c>
      <c r="D3334" t="str">
        <f>HYPERLINK("https://zfin.org/ZDB-GENE-050417-195")</f>
        <v>https://zfin.org/ZDB-GENE-050417-195</v>
      </c>
      <c r="E3334" t="s">
        <v>9979</v>
      </c>
    </row>
    <row r="3335" spans="1:5" x14ac:dyDescent="0.2">
      <c r="A3335" t="s">
        <v>9980</v>
      </c>
      <c r="B3335" t="s">
        <v>9981</v>
      </c>
      <c r="C3335" t="s">
        <v>9981</v>
      </c>
      <c r="D3335" t="str">
        <f>HYPERLINK("https://zfin.org/ZDB-GENE-041014-253")</f>
        <v>https://zfin.org/ZDB-GENE-041014-253</v>
      </c>
      <c r="E3335" t="s">
        <v>9982</v>
      </c>
    </row>
    <row r="3336" spans="1:5" x14ac:dyDescent="0.2">
      <c r="A3336" t="s">
        <v>9983</v>
      </c>
      <c r="B3336" t="s">
        <v>9984</v>
      </c>
      <c r="C3336" t="s">
        <v>9984</v>
      </c>
      <c r="D3336" t="str">
        <f>HYPERLINK("https://zfin.org/ZDB-GENE-041212-28")</f>
        <v>https://zfin.org/ZDB-GENE-041212-28</v>
      </c>
      <c r="E3336" t="s">
        <v>9985</v>
      </c>
    </row>
    <row r="3337" spans="1:5" x14ac:dyDescent="0.2">
      <c r="A3337" t="s">
        <v>9986</v>
      </c>
      <c r="B3337" t="s">
        <v>9987</v>
      </c>
      <c r="C3337" t="s">
        <v>9987</v>
      </c>
      <c r="D3337" t="str">
        <f>HYPERLINK("https://zfin.org/ZDB-GENE-110307-1")</f>
        <v>https://zfin.org/ZDB-GENE-110307-1</v>
      </c>
      <c r="E3337" t="s">
        <v>9988</v>
      </c>
    </row>
    <row r="3338" spans="1:5" x14ac:dyDescent="0.2">
      <c r="A3338" t="s">
        <v>9989</v>
      </c>
      <c r="B3338" t="s">
        <v>9990</v>
      </c>
      <c r="C3338" t="s">
        <v>9990</v>
      </c>
      <c r="D3338" t="str">
        <f>HYPERLINK("https://zfin.org/ZDB-GENE-070424-152")</f>
        <v>https://zfin.org/ZDB-GENE-070424-152</v>
      </c>
      <c r="E3338" t="s">
        <v>9991</v>
      </c>
    </row>
    <row r="3339" spans="1:5" x14ac:dyDescent="0.2">
      <c r="A3339" t="s">
        <v>9992</v>
      </c>
      <c r="B3339" t="s">
        <v>9993</v>
      </c>
      <c r="C3339" t="s">
        <v>9993</v>
      </c>
      <c r="D3339" t="str">
        <f>HYPERLINK("https://zfin.org/ZDB-GENE-050913-129")</f>
        <v>https://zfin.org/ZDB-GENE-050913-129</v>
      </c>
      <c r="E3339" t="s">
        <v>9994</v>
      </c>
    </row>
    <row r="3340" spans="1:5" x14ac:dyDescent="0.2">
      <c r="A3340" t="s">
        <v>9995</v>
      </c>
      <c r="B3340" t="s">
        <v>9996</v>
      </c>
      <c r="C3340" t="s">
        <v>9996</v>
      </c>
      <c r="D3340" t="str">
        <f>HYPERLINK("https://zfin.org/ZDB-GENE-040822-29")</f>
        <v>https://zfin.org/ZDB-GENE-040822-29</v>
      </c>
      <c r="E3340" t="s">
        <v>9997</v>
      </c>
    </row>
    <row r="3341" spans="1:5" x14ac:dyDescent="0.2">
      <c r="A3341" t="s">
        <v>9998</v>
      </c>
      <c r="B3341" t="s">
        <v>9999</v>
      </c>
      <c r="C3341" t="s">
        <v>9999</v>
      </c>
      <c r="D3341" t="str">
        <f>HYPERLINK("https://zfin.org/ZDB-GENE-030131-1495")</f>
        <v>https://zfin.org/ZDB-GENE-030131-1495</v>
      </c>
      <c r="E3341" t="s">
        <v>10000</v>
      </c>
    </row>
    <row r="3342" spans="1:5" x14ac:dyDescent="0.2">
      <c r="A3342" t="s">
        <v>10001</v>
      </c>
      <c r="B3342" t="s">
        <v>10002</v>
      </c>
      <c r="C3342" t="s">
        <v>10002</v>
      </c>
      <c r="D3342" t="str">
        <f>HYPERLINK("https://zfin.org/ZDB-GENE-050320-40")</f>
        <v>https://zfin.org/ZDB-GENE-050320-40</v>
      </c>
      <c r="E3342" t="s">
        <v>10003</v>
      </c>
    </row>
    <row r="3343" spans="1:5" x14ac:dyDescent="0.2">
      <c r="A3343" t="s">
        <v>10004</v>
      </c>
      <c r="B3343" t="s">
        <v>10005</v>
      </c>
      <c r="C3343" t="s">
        <v>10005</v>
      </c>
      <c r="D3343" t="str">
        <f>HYPERLINK("https://zfin.org/ZDB-GENE-040426-2753")</f>
        <v>https://zfin.org/ZDB-GENE-040426-2753</v>
      </c>
      <c r="E3343" t="s">
        <v>10006</v>
      </c>
    </row>
    <row r="3344" spans="1:5" x14ac:dyDescent="0.2">
      <c r="A3344" t="s">
        <v>10007</v>
      </c>
      <c r="B3344" t="s">
        <v>10008</v>
      </c>
      <c r="C3344" t="s">
        <v>10008</v>
      </c>
      <c r="D3344" t="str">
        <f>HYPERLINK("https://zfin.org/ZDB-GENE-060421-7142")</f>
        <v>https://zfin.org/ZDB-GENE-060421-7142</v>
      </c>
      <c r="E3344" t="s">
        <v>10009</v>
      </c>
    </row>
    <row r="3345" spans="1:5" x14ac:dyDescent="0.2">
      <c r="A3345" t="s">
        <v>10010</v>
      </c>
      <c r="B3345" t="s">
        <v>10011</v>
      </c>
      <c r="C3345" t="s">
        <v>10011</v>
      </c>
      <c r="D3345" t="str">
        <f>HYPERLINK("https://zfin.org/ZDB-GENE-030323-1")</f>
        <v>https://zfin.org/ZDB-GENE-030323-1</v>
      </c>
      <c r="E3345" t="s">
        <v>10012</v>
      </c>
    </row>
    <row r="3346" spans="1:5" x14ac:dyDescent="0.2">
      <c r="A3346" t="s">
        <v>10013</v>
      </c>
      <c r="B3346" t="s">
        <v>10014</v>
      </c>
      <c r="C3346" t="s">
        <v>10014</v>
      </c>
      <c r="D3346" t="str">
        <f>HYPERLINK("https://zfin.org/ZDB-GENE-040428-3")</f>
        <v>https://zfin.org/ZDB-GENE-040428-3</v>
      </c>
      <c r="E3346" t="s">
        <v>10015</v>
      </c>
    </row>
    <row r="3347" spans="1:5" x14ac:dyDescent="0.2">
      <c r="A3347" t="s">
        <v>10016</v>
      </c>
      <c r="B3347" t="s">
        <v>10017</v>
      </c>
      <c r="C3347" t="s">
        <v>10017</v>
      </c>
      <c r="D3347" t="str">
        <f>HYPERLINK("https://zfin.org/ZDB-GENE-090128-4")</f>
        <v>https://zfin.org/ZDB-GENE-090128-4</v>
      </c>
      <c r="E3347" t="s">
        <v>10018</v>
      </c>
    </row>
    <row r="3348" spans="1:5" x14ac:dyDescent="0.2">
      <c r="A3348" t="s">
        <v>10019</v>
      </c>
      <c r="B3348" t="s">
        <v>10020</v>
      </c>
      <c r="C3348" t="s">
        <v>10020</v>
      </c>
      <c r="D3348" t="str">
        <f>HYPERLINK("https://zfin.org/ZDB-GENE-070508-4")</f>
        <v>https://zfin.org/ZDB-GENE-070508-4</v>
      </c>
      <c r="E3348" t="s">
        <v>10021</v>
      </c>
    </row>
    <row r="3349" spans="1:5" x14ac:dyDescent="0.2">
      <c r="A3349" t="s">
        <v>10022</v>
      </c>
      <c r="B3349" t="s">
        <v>10023</v>
      </c>
      <c r="C3349" t="s">
        <v>10023</v>
      </c>
      <c r="D3349" t="str">
        <f>HYPERLINK("https://zfin.org/ZDB-GENE-131127-543")</f>
        <v>https://zfin.org/ZDB-GENE-131127-543</v>
      </c>
      <c r="E3349" t="s">
        <v>10024</v>
      </c>
    </row>
    <row r="3350" spans="1:5" x14ac:dyDescent="0.2">
      <c r="A3350" t="s">
        <v>10025</v>
      </c>
      <c r="B3350" t="s">
        <v>10026</v>
      </c>
      <c r="C3350" t="s">
        <v>10026</v>
      </c>
      <c r="D3350" t="str">
        <f>HYPERLINK("https://zfin.org/ZDB-GENE-091020-5")</f>
        <v>https://zfin.org/ZDB-GENE-091020-5</v>
      </c>
      <c r="E3350" t="s">
        <v>10027</v>
      </c>
    </row>
    <row r="3351" spans="1:5" x14ac:dyDescent="0.2">
      <c r="A3351" t="s">
        <v>10028</v>
      </c>
      <c r="B3351" t="s">
        <v>10029</v>
      </c>
      <c r="C3351" t="s">
        <v>10029</v>
      </c>
      <c r="D3351" t="str">
        <f>HYPERLINK("https://zfin.org/ZDB-GENE-140106-241")</f>
        <v>https://zfin.org/ZDB-GENE-140106-241</v>
      </c>
      <c r="E3351" t="s">
        <v>10030</v>
      </c>
    </row>
    <row r="3352" spans="1:5" x14ac:dyDescent="0.2">
      <c r="A3352" t="s">
        <v>10031</v>
      </c>
      <c r="B3352" t="s">
        <v>10032</v>
      </c>
      <c r="C3352" t="s">
        <v>10032</v>
      </c>
      <c r="D3352" t="str">
        <f>HYPERLINK("https://zfin.org/ZDB-GENE-081104-60")</f>
        <v>https://zfin.org/ZDB-GENE-081104-60</v>
      </c>
      <c r="E3352" t="s">
        <v>10033</v>
      </c>
    </row>
    <row r="3353" spans="1:5" x14ac:dyDescent="0.2">
      <c r="A3353" t="s">
        <v>10034</v>
      </c>
      <c r="B3353" t="s">
        <v>10035</v>
      </c>
      <c r="C3353" t="s">
        <v>10035</v>
      </c>
      <c r="D3353" t="str">
        <f>HYPERLINK("https://zfin.org/ZDB-GENE-050208-348")</f>
        <v>https://zfin.org/ZDB-GENE-050208-348</v>
      </c>
      <c r="E3353" t="s">
        <v>10036</v>
      </c>
    </row>
    <row r="3354" spans="1:5" x14ac:dyDescent="0.2">
      <c r="A3354" t="s">
        <v>10037</v>
      </c>
      <c r="B3354" t="s">
        <v>10038</v>
      </c>
      <c r="C3354" t="s">
        <v>10038</v>
      </c>
      <c r="D3354" t="str">
        <f>HYPERLINK("https://zfin.org/ZDB-GENE-070912-648")</f>
        <v>https://zfin.org/ZDB-GENE-070912-648</v>
      </c>
      <c r="E3354" t="s">
        <v>10039</v>
      </c>
    </row>
    <row r="3355" spans="1:5" x14ac:dyDescent="0.2">
      <c r="A3355" t="s">
        <v>10040</v>
      </c>
      <c r="B3355" t="s">
        <v>10041</v>
      </c>
      <c r="C3355" t="s">
        <v>10041</v>
      </c>
      <c r="D3355" t="str">
        <f>HYPERLINK("https://zfin.org/ZDB-GENE-060825-25")</f>
        <v>https://zfin.org/ZDB-GENE-060825-25</v>
      </c>
      <c r="E3355" t="s">
        <v>10042</v>
      </c>
    </row>
    <row r="3356" spans="1:5" x14ac:dyDescent="0.2">
      <c r="A3356" t="s">
        <v>10043</v>
      </c>
      <c r="B3356" t="s">
        <v>10044</v>
      </c>
      <c r="C3356" t="s">
        <v>10044</v>
      </c>
      <c r="D3356" t="str">
        <f>HYPERLINK("https://zfin.org/ZDB-GENE-060929-684")</f>
        <v>https://zfin.org/ZDB-GENE-060929-684</v>
      </c>
      <c r="E3356" t="s">
        <v>10045</v>
      </c>
    </row>
    <row r="3357" spans="1:5" x14ac:dyDescent="0.2">
      <c r="A3357" t="s">
        <v>10046</v>
      </c>
      <c r="B3357" t="s">
        <v>10047</v>
      </c>
      <c r="C3357" t="s">
        <v>10047</v>
      </c>
      <c r="D3357" t="str">
        <f>HYPERLINK("https://zfin.org/ZDB-GENE-041008-25")</f>
        <v>https://zfin.org/ZDB-GENE-041008-25</v>
      </c>
      <c r="E3357" t="s">
        <v>10048</v>
      </c>
    </row>
    <row r="3358" spans="1:5" x14ac:dyDescent="0.2">
      <c r="A3358" t="s">
        <v>10049</v>
      </c>
      <c r="B3358" t="s">
        <v>10050</v>
      </c>
      <c r="C3358" t="s">
        <v>10050</v>
      </c>
      <c r="D3358" t="str">
        <f>HYPERLINK("https://zfin.org/ZDB-GENE-050913-48")</f>
        <v>https://zfin.org/ZDB-GENE-050913-48</v>
      </c>
      <c r="E3358" t="s">
        <v>10051</v>
      </c>
    </row>
    <row r="3359" spans="1:5" x14ac:dyDescent="0.2">
      <c r="A3359" t="s">
        <v>10052</v>
      </c>
      <c r="B3359" t="s">
        <v>10053</v>
      </c>
      <c r="C3359" t="s">
        <v>10053</v>
      </c>
      <c r="D3359" t="str">
        <f>HYPERLINK("https://zfin.org/ZDB-GENE-050420-117")</f>
        <v>https://zfin.org/ZDB-GENE-050420-117</v>
      </c>
      <c r="E3359" t="s">
        <v>10054</v>
      </c>
    </row>
    <row r="3360" spans="1:5" x14ac:dyDescent="0.2">
      <c r="A3360" t="s">
        <v>10055</v>
      </c>
      <c r="B3360" t="s">
        <v>10056</v>
      </c>
      <c r="C3360" t="s">
        <v>10056</v>
      </c>
      <c r="D3360" t="str">
        <f>HYPERLINK("https://zfin.org/ZDB-GENE-070912-120")</f>
        <v>https://zfin.org/ZDB-GENE-070912-120</v>
      </c>
      <c r="E3360" t="s">
        <v>10057</v>
      </c>
    </row>
    <row r="3361" spans="1:5" x14ac:dyDescent="0.2">
      <c r="A3361" t="s">
        <v>10058</v>
      </c>
      <c r="B3361" t="s">
        <v>10059</v>
      </c>
      <c r="C3361" t="s">
        <v>10059</v>
      </c>
      <c r="D3361" t="str">
        <f>HYPERLINK("https://zfin.org/ZDB-GENE-070912-273")</f>
        <v>https://zfin.org/ZDB-GENE-070912-273</v>
      </c>
      <c r="E3361" t="s">
        <v>10060</v>
      </c>
    </row>
    <row r="3362" spans="1:5" x14ac:dyDescent="0.2">
      <c r="A3362" t="s">
        <v>10061</v>
      </c>
      <c r="B3362" t="s">
        <v>10062</v>
      </c>
      <c r="C3362" t="s">
        <v>10062</v>
      </c>
      <c r="D3362" t="str">
        <f>HYPERLINK("https://zfin.org/ZDB-GENE-030131-9296")</f>
        <v>https://zfin.org/ZDB-GENE-030131-9296</v>
      </c>
      <c r="E3362" t="s">
        <v>10063</v>
      </c>
    </row>
    <row r="3363" spans="1:5" x14ac:dyDescent="0.2">
      <c r="A3363" t="s">
        <v>10064</v>
      </c>
      <c r="B3363" t="s">
        <v>10065</v>
      </c>
      <c r="C3363" t="s">
        <v>10065</v>
      </c>
      <c r="D3363" t="str">
        <f>HYPERLINK("https://zfin.org/ZDB-GENE-030131-8356")</f>
        <v>https://zfin.org/ZDB-GENE-030131-8356</v>
      </c>
      <c r="E3363" t="s">
        <v>10066</v>
      </c>
    </row>
    <row r="3364" spans="1:5" x14ac:dyDescent="0.2">
      <c r="A3364" t="s">
        <v>10067</v>
      </c>
      <c r="B3364" t="s">
        <v>10068</v>
      </c>
      <c r="C3364" t="s">
        <v>10068</v>
      </c>
      <c r="D3364" t="str">
        <f>HYPERLINK("https://zfin.org/ZDB-GENE-040426-1586")</f>
        <v>https://zfin.org/ZDB-GENE-040426-1586</v>
      </c>
      <c r="E3364" t="s">
        <v>10069</v>
      </c>
    </row>
    <row r="3365" spans="1:5" x14ac:dyDescent="0.2">
      <c r="A3365" t="s">
        <v>10070</v>
      </c>
      <c r="B3365" t="s">
        <v>10071</v>
      </c>
      <c r="C3365" t="s">
        <v>10071</v>
      </c>
      <c r="D3365" t="str">
        <f>HYPERLINK("https://zfin.org/ZDB-GENE-070620-8")</f>
        <v>https://zfin.org/ZDB-GENE-070620-8</v>
      </c>
      <c r="E3365" t="s">
        <v>10072</v>
      </c>
    </row>
    <row r="3366" spans="1:5" x14ac:dyDescent="0.2">
      <c r="A3366" t="s">
        <v>10073</v>
      </c>
      <c r="B3366" t="s">
        <v>10074</v>
      </c>
      <c r="C3366" t="s">
        <v>10074</v>
      </c>
      <c r="D3366" t="str">
        <f>HYPERLINK("https://zfin.org/ZDB-GENE-070112-502")</f>
        <v>https://zfin.org/ZDB-GENE-070112-502</v>
      </c>
      <c r="E3366" t="s">
        <v>10075</v>
      </c>
    </row>
    <row r="3367" spans="1:5" x14ac:dyDescent="0.2">
      <c r="A3367" t="s">
        <v>10076</v>
      </c>
      <c r="B3367" t="s">
        <v>10077</v>
      </c>
      <c r="C3367" t="s">
        <v>10077</v>
      </c>
      <c r="D3367" t="str">
        <f>HYPERLINK("https://zfin.org/ZDB-GENE-060526-192")</f>
        <v>https://zfin.org/ZDB-GENE-060526-192</v>
      </c>
      <c r="E3367" t="s">
        <v>10078</v>
      </c>
    </row>
    <row r="3368" spans="1:5" x14ac:dyDescent="0.2">
      <c r="A3368" t="s">
        <v>10079</v>
      </c>
      <c r="B3368" t="s">
        <v>10080</v>
      </c>
      <c r="C3368" t="s">
        <v>10080</v>
      </c>
      <c r="D3368" t="str">
        <f>HYPERLINK("https://zfin.org/ZDB-GENE-030131-5864")</f>
        <v>https://zfin.org/ZDB-GENE-030131-5864</v>
      </c>
      <c r="E3368" t="s">
        <v>10081</v>
      </c>
    </row>
    <row r="3369" spans="1:5" x14ac:dyDescent="0.2">
      <c r="A3369" t="s">
        <v>10082</v>
      </c>
      <c r="B3369" t="s">
        <v>10083</v>
      </c>
      <c r="C3369" t="s">
        <v>10083</v>
      </c>
      <c r="D3369" t="str">
        <f>HYPERLINK("https://zfin.org/ZDB-GENE-030131-9372")</f>
        <v>https://zfin.org/ZDB-GENE-030131-9372</v>
      </c>
      <c r="E3369" t="s">
        <v>10084</v>
      </c>
    </row>
    <row r="3370" spans="1:5" x14ac:dyDescent="0.2">
      <c r="A3370" t="s">
        <v>10085</v>
      </c>
      <c r="B3370" t="s">
        <v>10086</v>
      </c>
      <c r="C3370" t="s">
        <v>10086</v>
      </c>
      <c r="D3370" t="str">
        <f>HYPERLINK("https://zfin.org/ZDB-GENE-040801-163")</f>
        <v>https://zfin.org/ZDB-GENE-040801-163</v>
      </c>
      <c r="E3370" t="s">
        <v>10087</v>
      </c>
    </row>
    <row r="3371" spans="1:5" x14ac:dyDescent="0.2">
      <c r="A3371" t="s">
        <v>10088</v>
      </c>
      <c r="B3371" t="s">
        <v>10089</v>
      </c>
      <c r="C3371" t="s">
        <v>10089</v>
      </c>
      <c r="D3371" t="str">
        <f>HYPERLINK("https://zfin.org/ZDB-GENE-050522-500")</f>
        <v>https://zfin.org/ZDB-GENE-050522-500</v>
      </c>
      <c r="E3371" t="s">
        <v>10090</v>
      </c>
    </row>
    <row r="3372" spans="1:5" x14ac:dyDescent="0.2">
      <c r="A3372" t="s">
        <v>10091</v>
      </c>
      <c r="B3372" t="s">
        <v>10092</v>
      </c>
      <c r="C3372" t="s">
        <v>10092</v>
      </c>
      <c r="D3372" t="str">
        <f>HYPERLINK("https://zfin.org/ZDB-GENE-031030-13")</f>
        <v>https://zfin.org/ZDB-GENE-031030-13</v>
      </c>
      <c r="E3372" t="s">
        <v>10093</v>
      </c>
    </row>
    <row r="3373" spans="1:5" x14ac:dyDescent="0.2">
      <c r="A3373" t="s">
        <v>10094</v>
      </c>
      <c r="B3373" t="s">
        <v>10095</v>
      </c>
      <c r="C3373" t="s">
        <v>10095</v>
      </c>
      <c r="D3373" t="str">
        <f>HYPERLINK("https://zfin.org/ZDB-GENE-041111-209")</f>
        <v>https://zfin.org/ZDB-GENE-041111-209</v>
      </c>
      <c r="E3373" t="s">
        <v>10096</v>
      </c>
    </row>
    <row r="3374" spans="1:5" x14ac:dyDescent="0.2">
      <c r="A3374" t="s">
        <v>10097</v>
      </c>
      <c r="B3374" t="s">
        <v>10098</v>
      </c>
      <c r="C3374" t="s">
        <v>10098</v>
      </c>
      <c r="D3374" t="str">
        <f>HYPERLINK("https://zfin.org/ZDB-GENE-060126-7")</f>
        <v>https://zfin.org/ZDB-GENE-060126-7</v>
      </c>
      <c r="E3374" t="s">
        <v>10099</v>
      </c>
    </row>
    <row r="3375" spans="1:5" x14ac:dyDescent="0.2">
      <c r="A3375" t="s">
        <v>10100</v>
      </c>
      <c r="B3375" t="s">
        <v>10101</v>
      </c>
      <c r="C3375" t="s">
        <v>10101</v>
      </c>
      <c r="D3375" t="str">
        <f>HYPERLINK("https://zfin.org/ZDB-GENE-030131-1393")</f>
        <v>https://zfin.org/ZDB-GENE-030131-1393</v>
      </c>
      <c r="E3375" t="s">
        <v>10102</v>
      </c>
    </row>
    <row r="3376" spans="1:5" x14ac:dyDescent="0.2">
      <c r="A3376" t="s">
        <v>10103</v>
      </c>
      <c r="B3376" t="s">
        <v>10104</v>
      </c>
      <c r="C3376" t="s">
        <v>10104</v>
      </c>
      <c r="D3376" t="str">
        <f>HYPERLINK("https://zfin.org/ZDB-GENE-041114-128")</f>
        <v>https://zfin.org/ZDB-GENE-041114-128</v>
      </c>
      <c r="E3376" t="s">
        <v>10105</v>
      </c>
    </row>
    <row r="3377" spans="1:5" x14ac:dyDescent="0.2">
      <c r="A3377" t="s">
        <v>10106</v>
      </c>
      <c r="B3377" t="s">
        <v>10107</v>
      </c>
      <c r="C3377" t="s">
        <v>10107</v>
      </c>
      <c r="D3377" t="str">
        <f>HYPERLINK("https://zfin.org/ZDB-GENE-040718-232")</f>
        <v>https://zfin.org/ZDB-GENE-040718-232</v>
      </c>
      <c r="E3377" t="s">
        <v>10108</v>
      </c>
    </row>
    <row r="3378" spans="1:5" x14ac:dyDescent="0.2">
      <c r="A3378" t="s">
        <v>10109</v>
      </c>
      <c r="B3378" t="s">
        <v>10110</v>
      </c>
      <c r="C3378" t="s">
        <v>10110</v>
      </c>
      <c r="D3378" t="str">
        <f>HYPERLINK("https://zfin.org/ZDB-GENE-060620-1")</f>
        <v>https://zfin.org/ZDB-GENE-060620-1</v>
      </c>
      <c r="E3378" t="s">
        <v>10111</v>
      </c>
    </row>
    <row r="3379" spans="1:5" x14ac:dyDescent="0.2">
      <c r="A3379" t="s">
        <v>10112</v>
      </c>
      <c r="B3379" t="s">
        <v>10113</v>
      </c>
      <c r="C3379" t="s">
        <v>10113</v>
      </c>
      <c r="D3379" t="str">
        <f>HYPERLINK("https://zfin.org/ZDB-GENE-040426-938")</f>
        <v>https://zfin.org/ZDB-GENE-040426-938</v>
      </c>
      <c r="E3379" t="s">
        <v>10114</v>
      </c>
    </row>
    <row r="3380" spans="1:5" x14ac:dyDescent="0.2">
      <c r="A3380" t="s">
        <v>10115</v>
      </c>
      <c r="B3380" t="s">
        <v>10116</v>
      </c>
      <c r="C3380" t="s">
        <v>10116</v>
      </c>
      <c r="D3380" t="str">
        <f>HYPERLINK("https://zfin.org/ZDB-GENE-030131-1517")</f>
        <v>https://zfin.org/ZDB-GENE-030131-1517</v>
      </c>
      <c r="E3380" t="s">
        <v>10117</v>
      </c>
    </row>
    <row r="3381" spans="1:5" x14ac:dyDescent="0.2">
      <c r="A3381" t="s">
        <v>10118</v>
      </c>
      <c r="B3381" t="s">
        <v>10119</v>
      </c>
      <c r="C3381" t="s">
        <v>10119</v>
      </c>
      <c r="D3381" t="str">
        <f>HYPERLINK("https://zfin.org/ZDB-GENE-010716-3")</f>
        <v>https://zfin.org/ZDB-GENE-010716-3</v>
      </c>
      <c r="E3381" t="s">
        <v>10120</v>
      </c>
    </row>
    <row r="3382" spans="1:5" x14ac:dyDescent="0.2">
      <c r="A3382" t="s">
        <v>10121</v>
      </c>
      <c r="B3382" t="s">
        <v>10122</v>
      </c>
      <c r="C3382" t="s">
        <v>10122</v>
      </c>
      <c r="D3382" t="str">
        <f>HYPERLINK("https://zfin.org/ZDB-GENE-030131-8693")</f>
        <v>https://zfin.org/ZDB-GENE-030131-8693</v>
      </c>
      <c r="E3382" t="s">
        <v>10123</v>
      </c>
    </row>
    <row r="3383" spans="1:5" x14ac:dyDescent="0.2">
      <c r="A3383" t="s">
        <v>10124</v>
      </c>
      <c r="B3383" t="s">
        <v>10125</v>
      </c>
      <c r="C3383" t="s">
        <v>10125</v>
      </c>
      <c r="D3383" t="str">
        <f>HYPERLINK("https://zfin.org/ZDB-GENE-040426-693")</f>
        <v>https://zfin.org/ZDB-GENE-040426-693</v>
      </c>
      <c r="E3383" t="s">
        <v>10126</v>
      </c>
    </row>
    <row r="3384" spans="1:5" x14ac:dyDescent="0.2">
      <c r="A3384" t="s">
        <v>10127</v>
      </c>
      <c r="B3384" t="s">
        <v>10128</v>
      </c>
      <c r="C3384" t="s">
        <v>10128</v>
      </c>
      <c r="D3384" t="str">
        <f>HYPERLINK("https://zfin.org/ZDB-GENE-030131-1145")</f>
        <v>https://zfin.org/ZDB-GENE-030131-1145</v>
      </c>
      <c r="E3384" t="s">
        <v>10129</v>
      </c>
    </row>
    <row r="3385" spans="1:5" x14ac:dyDescent="0.2">
      <c r="A3385" t="s">
        <v>10130</v>
      </c>
      <c r="B3385" t="s">
        <v>10131</v>
      </c>
      <c r="C3385" t="s">
        <v>10131</v>
      </c>
      <c r="D3385" t="str">
        <f>HYPERLINK("https://zfin.org/ZDB-GENE-070928-36")</f>
        <v>https://zfin.org/ZDB-GENE-070928-36</v>
      </c>
      <c r="E3385" t="s">
        <v>10132</v>
      </c>
    </row>
    <row r="3386" spans="1:5" x14ac:dyDescent="0.2">
      <c r="A3386" t="s">
        <v>10133</v>
      </c>
      <c r="B3386" t="s">
        <v>10134</v>
      </c>
      <c r="C3386" t="s">
        <v>10135</v>
      </c>
      <c r="D3386" t="str">
        <f>HYPERLINK("https://zfin.org/ZDB-GENE-041210-206")</f>
        <v>https://zfin.org/ZDB-GENE-041210-206</v>
      </c>
      <c r="E3386" t="s">
        <v>10136</v>
      </c>
    </row>
    <row r="3387" spans="1:5" x14ac:dyDescent="0.2">
      <c r="A3387" t="s">
        <v>10137</v>
      </c>
      <c r="B3387" t="s">
        <v>10138</v>
      </c>
      <c r="C3387" t="s">
        <v>10138</v>
      </c>
      <c r="D3387" t="str">
        <f>HYPERLINK("https://zfin.org/ZDB-GENE-041008-187")</f>
        <v>https://zfin.org/ZDB-GENE-041008-187</v>
      </c>
      <c r="E3387" t="s">
        <v>10139</v>
      </c>
    </row>
    <row r="3388" spans="1:5" x14ac:dyDescent="0.2">
      <c r="A3388" t="s">
        <v>10140</v>
      </c>
      <c r="B3388" t="s">
        <v>10141</v>
      </c>
      <c r="C3388" t="s">
        <v>10141</v>
      </c>
      <c r="D3388" t="str">
        <f>HYPERLINK("https://zfin.org/ZDB-GENE-040426-1827")</f>
        <v>https://zfin.org/ZDB-GENE-040426-1827</v>
      </c>
      <c r="E3388" t="s">
        <v>10142</v>
      </c>
    </row>
    <row r="3389" spans="1:5" x14ac:dyDescent="0.2">
      <c r="A3389" t="s">
        <v>10143</v>
      </c>
      <c r="B3389" t="s">
        <v>10144</v>
      </c>
      <c r="C3389" t="s">
        <v>10144</v>
      </c>
      <c r="D3389" t="str">
        <f>HYPERLINK("https://zfin.org/ZDB-GENE-040718-392")</f>
        <v>https://zfin.org/ZDB-GENE-040718-392</v>
      </c>
      <c r="E3389" t="s">
        <v>10145</v>
      </c>
    </row>
    <row r="3390" spans="1:5" x14ac:dyDescent="0.2">
      <c r="A3390" t="s">
        <v>10146</v>
      </c>
      <c r="B3390" t="s">
        <v>10147</v>
      </c>
      <c r="C3390" t="s">
        <v>10147</v>
      </c>
      <c r="D3390" t="str">
        <f>HYPERLINK("https://zfin.org/ZDB-GENE-040721-2")</f>
        <v>https://zfin.org/ZDB-GENE-040721-2</v>
      </c>
      <c r="E3390" t="s">
        <v>10148</v>
      </c>
    </row>
    <row r="3391" spans="1:5" x14ac:dyDescent="0.2">
      <c r="A3391" t="s">
        <v>10149</v>
      </c>
      <c r="B3391" t="s">
        <v>10150</v>
      </c>
      <c r="C3391" t="s">
        <v>10150</v>
      </c>
      <c r="D3391" t="str">
        <f>HYPERLINK("https://zfin.org/ZDB-GENE-050220-7")</f>
        <v>https://zfin.org/ZDB-GENE-050220-7</v>
      </c>
      <c r="E3391" t="s">
        <v>10151</v>
      </c>
    </row>
    <row r="3392" spans="1:5" x14ac:dyDescent="0.2">
      <c r="A3392" t="s">
        <v>10152</v>
      </c>
      <c r="B3392" t="s">
        <v>10153</v>
      </c>
      <c r="C3392" t="s">
        <v>10153</v>
      </c>
      <c r="D3392" t="str">
        <f>HYPERLINK("https://zfin.org/")</f>
        <v>https://zfin.org/</v>
      </c>
    </row>
    <row r="3393" spans="1:5" x14ac:dyDescent="0.2">
      <c r="A3393" t="s">
        <v>10154</v>
      </c>
      <c r="B3393" t="s">
        <v>10155</v>
      </c>
      <c r="C3393" t="s">
        <v>10155</v>
      </c>
      <c r="D3393" t="str">
        <f>HYPERLINK("https://zfin.org/ZDB-GENE-131120-5")</f>
        <v>https://zfin.org/ZDB-GENE-131120-5</v>
      </c>
      <c r="E3393" t="s">
        <v>10156</v>
      </c>
    </row>
    <row r="3394" spans="1:5" x14ac:dyDescent="0.2">
      <c r="A3394" t="s">
        <v>10157</v>
      </c>
      <c r="B3394" t="s">
        <v>10158</v>
      </c>
      <c r="C3394" t="s">
        <v>10158</v>
      </c>
      <c r="D3394" t="str">
        <f>HYPERLINK("https://zfin.org/ZDB-GENE-091204-124")</f>
        <v>https://zfin.org/ZDB-GENE-091204-124</v>
      </c>
      <c r="E3394" t="s">
        <v>10159</v>
      </c>
    </row>
    <row r="3395" spans="1:5" x14ac:dyDescent="0.2">
      <c r="A3395" t="s">
        <v>10160</v>
      </c>
      <c r="B3395" t="s">
        <v>10161</v>
      </c>
      <c r="C3395" t="s">
        <v>10161</v>
      </c>
      <c r="D3395" t="str">
        <f>HYPERLINK("https://zfin.org/ZDB-GENE-990415-14")</f>
        <v>https://zfin.org/ZDB-GENE-990415-14</v>
      </c>
      <c r="E3395" t="s">
        <v>10162</v>
      </c>
    </row>
    <row r="3396" spans="1:5" x14ac:dyDescent="0.2">
      <c r="A3396" t="s">
        <v>10163</v>
      </c>
      <c r="B3396" t="s">
        <v>10164</v>
      </c>
      <c r="C3396" t="s">
        <v>10164</v>
      </c>
      <c r="D3396" t="str">
        <f>HYPERLINK("https://zfin.org/ZDB-GENE-040704-59")</f>
        <v>https://zfin.org/ZDB-GENE-040704-59</v>
      </c>
      <c r="E3396" t="s">
        <v>10165</v>
      </c>
    </row>
    <row r="3397" spans="1:5" x14ac:dyDescent="0.2">
      <c r="A3397" t="s">
        <v>10166</v>
      </c>
      <c r="B3397" t="s">
        <v>10167</v>
      </c>
      <c r="C3397" t="s">
        <v>10167</v>
      </c>
      <c r="D3397" t="str">
        <f>HYPERLINK("https://zfin.org/ZDB-GENE-131121-513")</f>
        <v>https://zfin.org/ZDB-GENE-131121-513</v>
      </c>
      <c r="E3397" t="s">
        <v>10168</v>
      </c>
    </row>
    <row r="3398" spans="1:5" x14ac:dyDescent="0.2">
      <c r="A3398" t="s">
        <v>10169</v>
      </c>
      <c r="B3398" t="s">
        <v>10170</v>
      </c>
      <c r="C3398" t="s">
        <v>10170</v>
      </c>
      <c r="D3398" t="str">
        <f>HYPERLINK("https://zfin.org/ZDB-GENE-030616-262")</f>
        <v>https://zfin.org/ZDB-GENE-030616-262</v>
      </c>
      <c r="E3398" t="s">
        <v>10171</v>
      </c>
    </row>
    <row r="3399" spans="1:5" x14ac:dyDescent="0.2">
      <c r="A3399" t="s">
        <v>10172</v>
      </c>
      <c r="B3399" t="s">
        <v>10173</v>
      </c>
      <c r="C3399" t="s">
        <v>10173</v>
      </c>
      <c r="D3399" t="str">
        <f>HYPERLINK("https://zfin.org/ZDB-GENE-051113-136")</f>
        <v>https://zfin.org/ZDB-GENE-051113-136</v>
      </c>
      <c r="E3399" t="s">
        <v>10174</v>
      </c>
    </row>
    <row r="3400" spans="1:5" x14ac:dyDescent="0.2">
      <c r="A3400" t="s">
        <v>10175</v>
      </c>
      <c r="B3400" t="s">
        <v>10176</v>
      </c>
      <c r="C3400" t="s">
        <v>10176</v>
      </c>
      <c r="D3400" t="str">
        <f>HYPERLINK("https://zfin.org/ZDB-GENE-030131-4135")</f>
        <v>https://zfin.org/ZDB-GENE-030131-4135</v>
      </c>
      <c r="E3400" t="s">
        <v>10177</v>
      </c>
    </row>
    <row r="3401" spans="1:5" x14ac:dyDescent="0.2">
      <c r="A3401" t="s">
        <v>10178</v>
      </c>
      <c r="B3401" t="s">
        <v>10179</v>
      </c>
      <c r="C3401" t="s">
        <v>10179</v>
      </c>
      <c r="D3401" t="str">
        <f>HYPERLINK("https://zfin.org/ZDB-GENE-030820-2")</f>
        <v>https://zfin.org/ZDB-GENE-030820-2</v>
      </c>
      <c r="E3401" t="s">
        <v>10180</v>
      </c>
    </row>
    <row r="3402" spans="1:5" x14ac:dyDescent="0.2">
      <c r="A3402" t="s">
        <v>10181</v>
      </c>
      <c r="B3402" t="s">
        <v>10182</v>
      </c>
      <c r="C3402" t="s">
        <v>10182</v>
      </c>
      <c r="D3402" t="str">
        <f>HYPERLINK("https://zfin.org/ZDB-GENE-030131-2439")</f>
        <v>https://zfin.org/ZDB-GENE-030131-2439</v>
      </c>
      <c r="E3402" t="s">
        <v>10183</v>
      </c>
    </row>
    <row r="3403" spans="1:5" x14ac:dyDescent="0.2">
      <c r="A3403" t="s">
        <v>10184</v>
      </c>
      <c r="B3403" t="s">
        <v>10185</v>
      </c>
      <c r="C3403" t="s">
        <v>10185</v>
      </c>
      <c r="D3403" t="str">
        <f>HYPERLINK("https://zfin.org/ZDB-GENE-131127-289")</f>
        <v>https://zfin.org/ZDB-GENE-131127-289</v>
      </c>
      <c r="E3403" t="s">
        <v>10186</v>
      </c>
    </row>
    <row r="3404" spans="1:5" x14ac:dyDescent="0.2">
      <c r="A3404" t="s">
        <v>10187</v>
      </c>
      <c r="B3404" t="s">
        <v>10188</v>
      </c>
      <c r="C3404" t="s">
        <v>10188</v>
      </c>
      <c r="D3404" t="str">
        <f>HYPERLINK("https://zfin.org/ZDB-GENE-020419-28")</f>
        <v>https://zfin.org/ZDB-GENE-020419-28</v>
      </c>
      <c r="E3404" t="s">
        <v>10189</v>
      </c>
    </row>
    <row r="3405" spans="1:5" x14ac:dyDescent="0.2">
      <c r="A3405" t="s">
        <v>10190</v>
      </c>
      <c r="B3405" t="s">
        <v>10191</v>
      </c>
      <c r="C3405" t="s">
        <v>10191</v>
      </c>
      <c r="D3405" t="str">
        <f>HYPERLINK("https://zfin.org/ZDB-GENE-060526-182")</f>
        <v>https://zfin.org/ZDB-GENE-060526-182</v>
      </c>
      <c r="E3405" t="s">
        <v>10192</v>
      </c>
    </row>
    <row r="3406" spans="1:5" x14ac:dyDescent="0.2">
      <c r="A3406" t="s">
        <v>10193</v>
      </c>
      <c r="B3406" t="s">
        <v>10194</v>
      </c>
      <c r="C3406" t="s">
        <v>10194</v>
      </c>
      <c r="D3406" t="str">
        <f>HYPERLINK("https://zfin.org/ZDB-GENE-040426-852")</f>
        <v>https://zfin.org/ZDB-GENE-040426-852</v>
      </c>
      <c r="E3406" t="s">
        <v>10195</v>
      </c>
    </row>
    <row r="3407" spans="1:5" x14ac:dyDescent="0.2">
      <c r="A3407" t="s">
        <v>10196</v>
      </c>
      <c r="B3407" t="s">
        <v>10197</v>
      </c>
      <c r="C3407" t="s">
        <v>10197</v>
      </c>
      <c r="D3407" t="str">
        <f>HYPERLINK("https://zfin.org/ZDB-GENE-050417-276")</f>
        <v>https://zfin.org/ZDB-GENE-050417-276</v>
      </c>
      <c r="E3407" t="s">
        <v>10198</v>
      </c>
    </row>
    <row r="3408" spans="1:5" x14ac:dyDescent="0.2">
      <c r="A3408" t="s">
        <v>10199</v>
      </c>
      <c r="B3408" t="s">
        <v>10200</v>
      </c>
      <c r="C3408" t="s">
        <v>10200</v>
      </c>
      <c r="D3408" t="str">
        <f>HYPERLINK("https://zfin.org/ZDB-GENE-030131-2646")</f>
        <v>https://zfin.org/ZDB-GENE-030131-2646</v>
      </c>
      <c r="E3408" t="s">
        <v>10201</v>
      </c>
    </row>
    <row r="3409" spans="1:5" x14ac:dyDescent="0.2">
      <c r="A3409" t="s">
        <v>10202</v>
      </c>
      <c r="B3409" t="s">
        <v>10203</v>
      </c>
      <c r="C3409" t="s">
        <v>10203</v>
      </c>
      <c r="D3409" t="str">
        <f>HYPERLINK("https://zfin.org/ZDB-GENE-091204-119")</f>
        <v>https://zfin.org/ZDB-GENE-091204-119</v>
      </c>
      <c r="E3409" t="s">
        <v>10204</v>
      </c>
    </row>
    <row r="3410" spans="1:5" x14ac:dyDescent="0.2">
      <c r="A3410" t="s">
        <v>10205</v>
      </c>
      <c r="B3410" t="s">
        <v>10206</v>
      </c>
      <c r="C3410" t="s">
        <v>10206</v>
      </c>
      <c r="D3410" t="str">
        <f>HYPERLINK("https://zfin.org/ZDB-GENE-110913-63")</f>
        <v>https://zfin.org/ZDB-GENE-110913-63</v>
      </c>
      <c r="E3410" t="s">
        <v>10207</v>
      </c>
    </row>
    <row r="3411" spans="1:5" x14ac:dyDescent="0.2">
      <c r="A3411" t="s">
        <v>10208</v>
      </c>
      <c r="B3411" t="s">
        <v>10209</v>
      </c>
      <c r="C3411" t="s">
        <v>10209</v>
      </c>
      <c r="D3411" t="str">
        <f>HYPERLINK("https://zfin.org/ZDB-GENE-030131-9753")</f>
        <v>https://zfin.org/ZDB-GENE-030131-9753</v>
      </c>
      <c r="E3411" t="s">
        <v>10210</v>
      </c>
    </row>
    <row r="3412" spans="1:5" x14ac:dyDescent="0.2">
      <c r="A3412" t="s">
        <v>10211</v>
      </c>
      <c r="B3412" t="s">
        <v>10212</v>
      </c>
      <c r="C3412" t="s">
        <v>10212</v>
      </c>
      <c r="D3412" t="str">
        <f>HYPERLINK("https://zfin.org/ZDB-GENE-030131-9531")</f>
        <v>https://zfin.org/ZDB-GENE-030131-9531</v>
      </c>
      <c r="E3412" t="s">
        <v>10213</v>
      </c>
    </row>
    <row r="3413" spans="1:5" x14ac:dyDescent="0.2">
      <c r="A3413" t="s">
        <v>10214</v>
      </c>
      <c r="B3413" t="s">
        <v>10215</v>
      </c>
      <c r="C3413" t="s">
        <v>10215</v>
      </c>
      <c r="D3413" t="str">
        <f>HYPERLINK("https://zfin.org/ZDB-GENE-000210-8")</f>
        <v>https://zfin.org/ZDB-GENE-000210-8</v>
      </c>
      <c r="E3413" t="s">
        <v>10216</v>
      </c>
    </row>
    <row r="3414" spans="1:5" x14ac:dyDescent="0.2">
      <c r="A3414" t="s">
        <v>10217</v>
      </c>
      <c r="B3414" t="s">
        <v>10218</v>
      </c>
      <c r="C3414" t="s">
        <v>10218</v>
      </c>
      <c r="D3414" t="str">
        <f>HYPERLINK("https://zfin.org/ZDB-GENE-091204-404")</f>
        <v>https://zfin.org/ZDB-GENE-091204-404</v>
      </c>
      <c r="E3414" t="s">
        <v>10219</v>
      </c>
    </row>
    <row r="3415" spans="1:5" x14ac:dyDescent="0.2">
      <c r="A3415" t="s">
        <v>10220</v>
      </c>
      <c r="B3415" t="s">
        <v>10221</v>
      </c>
      <c r="C3415" t="s">
        <v>10221</v>
      </c>
      <c r="D3415" t="str">
        <f>HYPERLINK("https://zfin.org/ZDB-GENE-030131-563")</f>
        <v>https://zfin.org/ZDB-GENE-030131-563</v>
      </c>
      <c r="E3415" t="s">
        <v>10222</v>
      </c>
    </row>
    <row r="3416" spans="1:5" x14ac:dyDescent="0.2">
      <c r="A3416" t="s">
        <v>10223</v>
      </c>
      <c r="B3416" t="s">
        <v>10224</v>
      </c>
      <c r="C3416" t="s">
        <v>10224</v>
      </c>
      <c r="D3416" t="str">
        <f>HYPERLINK("https://zfin.org/ZDB-GENE-131127-421")</f>
        <v>https://zfin.org/ZDB-GENE-131127-421</v>
      </c>
      <c r="E3416" t="s">
        <v>10225</v>
      </c>
    </row>
    <row r="3417" spans="1:5" x14ac:dyDescent="0.2">
      <c r="A3417" t="s">
        <v>10226</v>
      </c>
      <c r="B3417" t="s">
        <v>10227</v>
      </c>
      <c r="C3417" t="s">
        <v>10227</v>
      </c>
      <c r="D3417" t="str">
        <f>HYPERLINK("https://zfin.org/ZDB-GENE-090312-17")</f>
        <v>https://zfin.org/ZDB-GENE-090312-17</v>
      </c>
      <c r="E3417" t="s">
        <v>10228</v>
      </c>
    </row>
    <row r="3418" spans="1:5" x14ac:dyDescent="0.2">
      <c r="A3418" t="s">
        <v>10229</v>
      </c>
      <c r="B3418" t="s">
        <v>10230</v>
      </c>
      <c r="C3418" t="s">
        <v>10230</v>
      </c>
      <c r="D3418" t="str">
        <f>HYPERLINK("https://zfin.org/ZDB-GENE-061013-562")</f>
        <v>https://zfin.org/ZDB-GENE-061013-562</v>
      </c>
      <c r="E3418" t="s">
        <v>10231</v>
      </c>
    </row>
    <row r="3419" spans="1:5" x14ac:dyDescent="0.2">
      <c r="A3419" t="s">
        <v>10232</v>
      </c>
      <c r="B3419" t="s">
        <v>10233</v>
      </c>
      <c r="C3419" t="s">
        <v>10233</v>
      </c>
      <c r="D3419" t="str">
        <f>HYPERLINK("https://zfin.org/ZDB-GENE-060503-864")</f>
        <v>https://zfin.org/ZDB-GENE-060503-864</v>
      </c>
      <c r="E3419" t="s">
        <v>10234</v>
      </c>
    </row>
    <row r="3420" spans="1:5" x14ac:dyDescent="0.2">
      <c r="A3420" t="s">
        <v>10235</v>
      </c>
      <c r="B3420" t="s">
        <v>10236</v>
      </c>
      <c r="C3420" t="s">
        <v>10236</v>
      </c>
      <c r="D3420" t="str">
        <f>HYPERLINK("https://zfin.org/ZDB-GENE-050208-333")</f>
        <v>https://zfin.org/ZDB-GENE-050208-333</v>
      </c>
      <c r="E3420" t="s">
        <v>10237</v>
      </c>
    </row>
    <row r="3421" spans="1:5" x14ac:dyDescent="0.2">
      <c r="A3421" t="s">
        <v>10238</v>
      </c>
      <c r="B3421" t="s">
        <v>10239</v>
      </c>
      <c r="C3421" t="s">
        <v>10239</v>
      </c>
      <c r="D3421" t="str">
        <f>HYPERLINK("https://zfin.org/ZDB-GENE-040426-2685")</f>
        <v>https://zfin.org/ZDB-GENE-040426-2685</v>
      </c>
      <c r="E3421" t="s">
        <v>10240</v>
      </c>
    </row>
    <row r="3422" spans="1:5" x14ac:dyDescent="0.2">
      <c r="A3422" t="s">
        <v>10241</v>
      </c>
      <c r="B3422" t="s">
        <v>10242</v>
      </c>
      <c r="C3422" t="s">
        <v>10242</v>
      </c>
      <c r="D3422" t="str">
        <f>HYPERLINK("https://zfin.org/ZDB-GENE-071120-2")</f>
        <v>https://zfin.org/ZDB-GENE-071120-2</v>
      </c>
      <c r="E3422" t="s">
        <v>10243</v>
      </c>
    </row>
    <row r="3423" spans="1:5" x14ac:dyDescent="0.2">
      <c r="A3423" t="s">
        <v>10244</v>
      </c>
      <c r="B3423" t="s">
        <v>10245</v>
      </c>
      <c r="C3423" t="s">
        <v>10245</v>
      </c>
      <c r="D3423" t="str">
        <f>HYPERLINK("https://zfin.org/ZDB-GENE-111011-2")</f>
        <v>https://zfin.org/ZDB-GENE-111011-2</v>
      </c>
      <c r="E3423" t="s">
        <v>10246</v>
      </c>
    </row>
    <row r="3424" spans="1:5" x14ac:dyDescent="0.2">
      <c r="A3424" t="s">
        <v>10247</v>
      </c>
      <c r="B3424" t="s">
        <v>10248</v>
      </c>
      <c r="C3424" t="s">
        <v>10248</v>
      </c>
      <c r="D3424" t="str">
        <f>HYPERLINK("https://zfin.org/ZDB-GENE-070912-641")</f>
        <v>https://zfin.org/ZDB-GENE-070912-641</v>
      </c>
      <c r="E3424" t="s">
        <v>10249</v>
      </c>
    </row>
    <row r="3425" spans="1:5" x14ac:dyDescent="0.2">
      <c r="A3425" t="s">
        <v>10250</v>
      </c>
      <c r="B3425" t="s">
        <v>10251</v>
      </c>
      <c r="C3425" t="s">
        <v>10251</v>
      </c>
      <c r="D3425" t="str">
        <f>HYPERLINK("https://zfin.org/ZDB-GENE-040822-31")</f>
        <v>https://zfin.org/ZDB-GENE-040822-31</v>
      </c>
      <c r="E3425" t="s">
        <v>10252</v>
      </c>
    </row>
    <row r="3426" spans="1:5" x14ac:dyDescent="0.2">
      <c r="A3426" t="s">
        <v>10253</v>
      </c>
      <c r="B3426" t="s">
        <v>10254</v>
      </c>
      <c r="C3426" t="s">
        <v>10254</v>
      </c>
      <c r="D3426" t="str">
        <f>HYPERLINK("https://zfin.org/ZDB-GENE-030131-4733")</f>
        <v>https://zfin.org/ZDB-GENE-030131-4733</v>
      </c>
      <c r="E3426" t="s">
        <v>10255</v>
      </c>
    </row>
    <row r="3427" spans="1:5" x14ac:dyDescent="0.2">
      <c r="A3427" t="s">
        <v>10256</v>
      </c>
      <c r="B3427" t="s">
        <v>10257</v>
      </c>
      <c r="C3427" t="s">
        <v>10257</v>
      </c>
      <c r="D3427" t="str">
        <f>HYPERLINK("https://zfin.org/ZDB-GENE-031118-62")</f>
        <v>https://zfin.org/ZDB-GENE-031118-62</v>
      </c>
      <c r="E3427" t="s">
        <v>10258</v>
      </c>
    </row>
    <row r="3428" spans="1:5" x14ac:dyDescent="0.2">
      <c r="A3428" t="s">
        <v>10259</v>
      </c>
      <c r="B3428" t="s">
        <v>10260</v>
      </c>
      <c r="C3428" t="s">
        <v>10260</v>
      </c>
      <c r="D3428" t="str">
        <f>HYPERLINK("https://zfin.org/ZDB-GENE-050107-5")</f>
        <v>https://zfin.org/ZDB-GENE-050107-5</v>
      </c>
      <c r="E3428" t="s">
        <v>10261</v>
      </c>
    </row>
    <row r="3429" spans="1:5" x14ac:dyDescent="0.2">
      <c r="A3429" t="s">
        <v>10262</v>
      </c>
      <c r="B3429" t="s">
        <v>10263</v>
      </c>
      <c r="C3429" t="s">
        <v>10263</v>
      </c>
      <c r="D3429" t="str">
        <f>HYPERLINK("https://zfin.org/ZDB-GENE-081104-112")</f>
        <v>https://zfin.org/ZDB-GENE-081104-112</v>
      </c>
      <c r="E3429" t="s">
        <v>10264</v>
      </c>
    </row>
    <row r="3430" spans="1:5" x14ac:dyDescent="0.2">
      <c r="A3430" t="s">
        <v>10265</v>
      </c>
      <c r="B3430" t="s">
        <v>10266</v>
      </c>
      <c r="C3430" t="s">
        <v>10266</v>
      </c>
      <c r="D3430" t="str">
        <f>HYPERLINK("https://zfin.org/ZDB-GENE-050208-566")</f>
        <v>https://zfin.org/ZDB-GENE-050208-566</v>
      </c>
      <c r="E3430" t="s">
        <v>10267</v>
      </c>
    </row>
    <row r="3431" spans="1:5" x14ac:dyDescent="0.2">
      <c r="A3431" t="s">
        <v>10268</v>
      </c>
      <c r="B3431" t="s">
        <v>10269</v>
      </c>
      <c r="C3431" t="s">
        <v>10269</v>
      </c>
      <c r="D3431" t="str">
        <f>HYPERLINK("https://zfin.org/ZDB-GENE-131121-604")</f>
        <v>https://zfin.org/ZDB-GENE-131121-604</v>
      </c>
      <c r="E3431" t="s">
        <v>10270</v>
      </c>
    </row>
    <row r="3432" spans="1:5" x14ac:dyDescent="0.2">
      <c r="A3432" t="s">
        <v>10271</v>
      </c>
      <c r="B3432" t="s">
        <v>10272</v>
      </c>
      <c r="C3432" t="s">
        <v>10272</v>
      </c>
      <c r="D3432" t="str">
        <f>HYPERLINK("https://zfin.org/ZDB-GENE-131121-24")</f>
        <v>https://zfin.org/ZDB-GENE-131121-24</v>
      </c>
      <c r="E3432" t="s">
        <v>10273</v>
      </c>
    </row>
    <row r="3433" spans="1:5" x14ac:dyDescent="0.2">
      <c r="A3433" t="s">
        <v>10274</v>
      </c>
      <c r="B3433" t="s">
        <v>10275</v>
      </c>
      <c r="C3433" t="s">
        <v>10275</v>
      </c>
      <c r="D3433" t="str">
        <f>HYPERLINK("https://zfin.org/ZDB-GENE-040426-1121")</f>
        <v>https://zfin.org/ZDB-GENE-040426-1121</v>
      </c>
      <c r="E3433" t="s">
        <v>10276</v>
      </c>
    </row>
    <row r="3434" spans="1:5" x14ac:dyDescent="0.2">
      <c r="A3434" t="s">
        <v>10277</v>
      </c>
      <c r="B3434" t="s">
        <v>10278</v>
      </c>
      <c r="C3434" t="s">
        <v>10278</v>
      </c>
      <c r="D3434" t="str">
        <f>HYPERLINK("https://zfin.org/ZDB-GENE-070912-244")</f>
        <v>https://zfin.org/ZDB-GENE-070912-244</v>
      </c>
      <c r="E3434" t="s">
        <v>10279</v>
      </c>
    </row>
    <row r="3435" spans="1:5" x14ac:dyDescent="0.2">
      <c r="A3435" t="s">
        <v>10280</v>
      </c>
      <c r="B3435" t="s">
        <v>10281</v>
      </c>
      <c r="C3435" t="s">
        <v>10281</v>
      </c>
      <c r="D3435" t="str">
        <f>HYPERLINK("https://zfin.org/ZDB-GENE-030131-6039")</f>
        <v>https://zfin.org/ZDB-GENE-030131-6039</v>
      </c>
      <c r="E3435" t="s">
        <v>10282</v>
      </c>
    </row>
    <row r="3436" spans="1:5" x14ac:dyDescent="0.2">
      <c r="A3436" t="s">
        <v>10283</v>
      </c>
      <c r="B3436" t="s">
        <v>10284</v>
      </c>
      <c r="C3436" t="s">
        <v>10284</v>
      </c>
      <c r="D3436" t="str">
        <f>HYPERLINK("https://zfin.org/ZDB-GENE-030131-8131")</f>
        <v>https://zfin.org/ZDB-GENE-030131-8131</v>
      </c>
      <c r="E3436" t="s">
        <v>10285</v>
      </c>
    </row>
    <row r="3437" spans="1:5" x14ac:dyDescent="0.2">
      <c r="A3437" t="s">
        <v>10286</v>
      </c>
      <c r="B3437" t="s">
        <v>10287</v>
      </c>
      <c r="C3437" t="s">
        <v>10287</v>
      </c>
      <c r="D3437" t="str">
        <f>HYPERLINK("https://zfin.org/ZDB-GENE-040625-129")</f>
        <v>https://zfin.org/ZDB-GENE-040625-129</v>
      </c>
      <c r="E3437" t="s">
        <v>10288</v>
      </c>
    </row>
    <row r="3438" spans="1:5" x14ac:dyDescent="0.2">
      <c r="A3438" t="s">
        <v>10289</v>
      </c>
      <c r="B3438" t="s">
        <v>10290</v>
      </c>
      <c r="C3438" t="s">
        <v>10290</v>
      </c>
      <c r="D3438" t="str">
        <f>HYPERLINK("https://zfin.org/ZDB-GENE-071004-6")</f>
        <v>https://zfin.org/ZDB-GENE-071004-6</v>
      </c>
      <c r="E3438" t="s">
        <v>10291</v>
      </c>
    </row>
    <row r="3439" spans="1:5" x14ac:dyDescent="0.2">
      <c r="A3439" t="s">
        <v>10292</v>
      </c>
      <c r="B3439" t="s">
        <v>10293</v>
      </c>
      <c r="C3439" t="s">
        <v>10293</v>
      </c>
      <c r="D3439" t="str">
        <f>HYPERLINK("https://zfin.org/ZDB-GENE-050208-407")</f>
        <v>https://zfin.org/ZDB-GENE-050208-407</v>
      </c>
      <c r="E3439" t="s">
        <v>10294</v>
      </c>
    </row>
    <row r="3440" spans="1:5" x14ac:dyDescent="0.2">
      <c r="A3440" t="s">
        <v>10295</v>
      </c>
      <c r="B3440" t="s">
        <v>10296</v>
      </c>
      <c r="C3440" t="s">
        <v>10296</v>
      </c>
      <c r="D3440" t="str">
        <f>HYPERLINK("https://zfin.org/ZDB-GENE-041210-125")</f>
        <v>https://zfin.org/ZDB-GENE-041210-125</v>
      </c>
      <c r="E3440" t="s">
        <v>10297</v>
      </c>
    </row>
    <row r="3441" spans="1:5" x14ac:dyDescent="0.2">
      <c r="A3441" t="s">
        <v>10298</v>
      </c>
      <c r="B3441" t="s">
        <v>10299</v>
      </c>
      <c r="C3441" t="s">
        <v>10299</v>
      </c>
      <c r="D3441" t="str">
        <f>HYPERLINK("https://zfin.org/ZDB-GENE-061103-385")</f>
        <v>https://zfin.org/ZDB-GENE-061103-385</v>
      </c>
      <c r="E3441" t="s">
        <v>10300</v>
      </c>
    </row>
    <row r="3442" spans="1:5" x14ac:dyDescent="0.2">
      <c r="A3442" t="s">
        <v>10301</v>
      </c>
      <c r="B3442" t="s">
        <v>10302</v>
      </c>
      <c r="C3442" t="s">
        <v>10302</v>
      </c>
      <c r="D3442" t="str">
        <f>HYPERLINK("https://zfin.org/ZDB-GENE-060503-180")</f>
        <v>https://zfin.org/ZDB-GENE-060503-180</v>
      </c>
      <c r="E3442" t="s">
        <v>10303</v>
      </c>
    </row>
    <row r="3443" spans="1:5" x14ac:dyDescent="0.2">
      <c r="A3443" t="s">
        <v>10304</v>
      </c>
      <c r="B3443" t="s">
        <v>10305</v>
      </c>
      <c r="C3443" t="s">
        <v>10305</v>
      </c>
      <c r="D3443" t="str">
        <f>HYPERLINK("https://zfin.org/ZDB-GENE-070410-143")</f>
        <v>https://zfin.org/ZDB-GENE-070410-143</v>
      </c>
      <c r="E3443" t="s">
        <v>10306</v>
      </c>
    </row>
    <row r="3444" spans="1:5" x14ac:dyDescent="0.2">
      <c r="A3444" t="s">
        <v>10307</v>
      </c>
      <c r="B3444" t="s">
        <v>10308</v>
      </c>
      <c r="C3444" t="s">
        <v>10308</v>
      </c>
      <c r="D3444" t="str">
        <f>HYPERLINK("https://zfin.org/ZDB-GENE-040724-139")</f>
        <v>https://zfin.org/ZDB-GENE-040724-139</v>
      </c>
      <c r="E3444" t="s">
        <v>10309</v>
      </c>
    </row>
    <row r="3445" spans="1:5" x14ac:dyDescent="0.2">
      <c r="A3445" t="s">
        <v>10310</v>
      </c>
      <c r="B3445" t="s">
        <v>10311</v>
      </c>
      <c r="C3445" t="s">
        <v>10311</v>
      </c>
      <c r="D3445" t="str">
        <f>HYPERLINK("https://zfin.org/ZDB-GENE-050522-467")</f>
        <v>https://zfin.org/ZDB-GENE-050522-467</v>
      </c>
      <c r="E3445" t="s">
        <v>10312</v>
      </c>
    </row>
    <row r="3446" spans="1:5" x14ac:dyDescent="0.2">
      <c r="A3446" t="s">
        <v>10313</v>
      </c>
      <c r="B3446" t="s">
        <v>10314</v>
      </c>
      <c r="C3446" t="s">
        <v>10314</v>
      </c>
      <c r="D3446" t="str">
        <f>HYPERLINK("https://zfin.org/ZDB-GENE-060825-162")</f>
        <v>https://zfin.org/ZDB-GENE-060825-162</v>
      </c>
      <c r="E3446" t="s">
        <v>10315</v>
      </c>
    </row>
    <row r="3447" spans="1:5" x14ac:dyDescent="0.2">
      <c r="A3447" t="s">
        <v>10316</v>
      </c>
      <c r="B3447" t="s">
        <v>10317</v>
      </c>
      <c r="C3447" t="s">
        <v>10317</v>
      </c>
      <c r="D3447" t="str">
        <f>HYPERLINK("https://zfin.org/ZDB-GENE-040801-121")</f>
        <v>https://zfin.org/ZDB-GENE-040801-121</v>
      </c>
      <c r="E3447" t="s">
        <v>10318</v>
      </c>
    </row>
    <row r="3448" spans="1:5" x14ac:dyDescent="0.2">
      <c r="A3448" t="s">
        <v>10319</v>
      </c>
      <c r="B3448" t="s">
        <v>10320</v>
      </c>
      <c r="C3448" t="s">
        <v>10320</v>
      </c>
      <c r="D3448" t="str">
        <f>HYPERLINK("https://zfin.org/ZDB-GENE-050320-58")</f>
        <v>https://zfin.org/ZDB-GENE-050320-58</v>
      </c>
      <c r="E3448" t="s">
        <v>10321</v>
      </c>
    </row>
    <row r="3449" spans="1:5" x14ac:dyDescent="0.2">
      <c r="A3449" t="s">
        <v>10322</v>
      </c>
      <c r="B3449" t="s">
        <v>10323</v>
      </c>
      <c r="C3449" t="s">
        <v>10323</v>
      </c>
      <c r="D3449" t="str">
        <f>HYPERLINK("https://zfin.org/ZDB-GENE-090311-54")</f>
        <v>https://zfin.org/ZDB-GENE-090311-54</v>
      </c>
      <c r="E3449" t="s">
        <v>10324</v>
      </c>
    </row>
    <row r="3450" spans="1:5" x14ac:dyDescent="0.2">
      <c r="A3450" t="s">
        <v>10325</v>
      </c>
      <c r="B3450" t="s">
        <v>10326</v>
      </c>
      <c r="C3450" t="s">
        <v>10326</v>
      </c>
      <c r="D3450" t="str">
        <f>HYPERLINK("https://zfin.org/ZDB-GENE-070410-133")</f>
        <v>https://zfin.org/ZDB-GENE-070410-133</v>
      </c>
      <c r="E3450" t="s">
        <v>10327</v>
      </c>
    </row>
    <row r="3451" spans="1:5" x14ac:dyDescent="0.2">
      <c r="A3451" t="s">
        <v>10328</v>
      </c>
      <c r="B3451" t="s">
        <v>10329</v>
      </c>
      <c r="C3451" t="s">
        <v>10329</v>
      </c>
      <c r="D3451" t="str">
        <f>HYPERLINK("https://zfin.org/ZDB-GENE-080403-16")</f>
        <v>https://zfin.org/ZDB-GENE-080403-16</v>
      </c>
      <c r="E3451" t="s">
        <v>10330</v>
      </c>
    </row>
    <row r="3452" spans="1:5" x14ac:dyDescent="0.2">
      <c r="A3452" t="s">
        <v>10331</v>
      </c>
      <c r="B3452" t="s">
        <v>10332</v>
      </c>
      <c r="C3452" t="s">
        <v>10332</v>
      </c>
      <c r="D3452" t="str">
        <f>HYPERLINK("https://zfin.org/ZDB-GENE-050417-12")</f>
        <v>https://zfin.org/ZDB-GENE-050417-12</v>
      </c>
      <c r="E3452" t="s">
        <v>10333</v>
      </c>
    </row>
    <row r="3453" spans="1:5" x14ac:dyDescent="0.2">
      <c r="A3453" t="s">
        <v>10334</v>
      </c>
      <c r="B3453" t="s">
        <v>10335</v>
      </c>
      <c r="C3453" t="s">
        <v>10335</v>
      </c>
      <c r="D3453" t="str">
        <f>HYPERLINK("https://zfin.org/ZDB-GENE-031010-33")</f>
        <v>https://zfin.org/ZDB-GENE-031010-33</v>
      </c>
      <c r="E3453" t="s">
        <v>10336</v>
      </c>
    </row>
    <row r="3454" spans="1:5" x14ac:dyDescent="0.2">
      <c r="A3454" t="s">
        <v>10337</v>
      </c>
      <c r="B3454" t="s">
        <v>10338</v>
      </c>
      <c r="C3454" t="s">
        <v>10338</v>
      </c>
      <c r="D3454" t="str">
        <f>HYPERLINK("https://zfin.org/ZDB-GENE-040426-2450")</f>
        <v>https://zfin.org/ZDB-GENE-040426-2450</v>
      </c>
      <c r="E3454" t="s">
        <v>10339</v>
      </c>
    </row>
    <row r="3455" spans="1:5" x14ac:dyDescent="0.2">
      <c r="A3455" t="s">
        <v>10340</v>
      </c>
      <c r="B3455" t="s">
        <v>10341</v>
      </c>
      <c r="C3455" t="s">
        <v>10341</v>
      </c>
      <c r="D3455" t="str">
        <f>HYPERLINK("https://zfin.org/ZDB-GENE-050320-15")</f>
        <v>https://zfin.org/ZDB-GENE-050320-15</v>
      </c>
      <c r="E3455" t="s">
        <v>10342</v>
      </c>
    </row>
    <row r="3456" spans="1:5" x14ac:dyDescent="0.2">
      <c r="A3456" t="s">
        <v>10343</v>
      </c>
      <c r="B3456" t="s">
        <v>10344</v>
      </c>
      <c r="C3456" t="s">
        <v>10344</v>
      </c>
      <c r="D3456" t="str">
        <f>HYPERLINK("https://zfin.org/ZDB-GENE-030131-533")</f>
        <v>https://zfin.org/ZDB-GENE-030131-533</v>
      </c>
      <c r="E3456" t="s">
        <v>10345</v>
      </c>
    </row>
    <row r="3457" spans="1:5" x14ac:dyDescent="0.2">
      <c r="A3457" t="s">
        <v>10346</v>
      </c>
      <c r="B3457" t="s">
        <v>10347</v>
      </c>
      <c r="C3457" t="s">
        <v>10347</v>
      </c>
      <c r="D3457" t="str">
        <f>HYPERLINK("https://zfin.org/ZDB-GENE-141216-115")</f>
        <v>https://zfin.org/ZDB-GENE-141216-115</v>
      </c>
      <c r="E3457" t="s">
        <v>10348</v>
      </c>
    </row>
    <row r="3458" spans="1:5" x14ac:dyDescent="0.2">
      <c r="A3458" t="s">
        <v>10349</v>
      </c>
      <c r="B3458" t="s">
        <v>10350</v>
      </c>
      <c r="C3458" t="s">
        <v>10350</v>
      </c>
      <c r="D3458" t="str">
        <f>HYPERLINK("https://zfin.org/ZDB-GENE-030131-6898")</f>
        <v>https://zfin.org/ZDB-GENE-030131-6898</v>
      </c>
      <c r="E3458" t="s">
        <v>10351</v>
      </c>
    </row>
    <row r="3459" spans="1:5" x14ac:dyDescent="0.2">
      <c r="A3459" t="s">
        <v>10352</v>
      </c>
      <c r="B3459" t="s">
        <v>10353</v>
      </c>
      <c r="C3459" t="s">
        <v>10353</v>
      </c>
      <c r="D3459" t="str">
        <f>HYPERLINK("https://zfin.org/ZDB-GENE-060616-196")</f>
        <v>https://zfin.org/ZDB-GENE-060616-196</v>
      </c>
      <c r="E3459" t="s">
        <v>10354</v>
      </c>
    </row>
    <row r="3460" spans="1:5" x14ac:dyDescent="0.2">
      <c r="A3460" t="s">
        <v>10355</v>
      </c>
      <c r="B3460" t="s">
        <v>10356</v>
      </c>
      <c r="C3460" t="s">
        <v>10356</v>
      </c>
      <c r="D3460" t="str">
        <f>HYPERLINK("https://zfin.org/ZDB-GENE-110913-68")</f>
        <v>https://zfin.org/ZDB-GENE-110913-68</v>
      </c>
      <c r="E3460" t="s">
        <v>10357</v>
      </c>
    </row>
    <row r="3461" spans="1:5" x14ac:dyDescent="0.2">
      <c r="A3461" t="s">
        <v>10358</v>
      </c>
      <c r="B3461" t="s">
        <v>10359</v>
      </c>
      <c r="C3461" t="s">
        <v>10359</v>
      </c>
      <c r="D3461" t="str">
        <f>HYPERLINK("https://zfin.org/ZDB-GENE-131122-51")</f>
        <v>https://zfin.org/ZDB-GENE-131122-51</v>
      </c>
      <c r="E3461" t="s">
        <v>10360</v>
      </c>
    </row>
    <row r="3462" spans="1:5" x14ac:dyDescent="0.2">
      <c r="A3462" t="s">
        <v>10361</v>
      </c>
      <c r="B3462" t="s">
        <v>10362</v>
      </c>
      <c r="C3462" t="s">
        <v>10362</v>
      </c>
      <c r="D3462" t="str">
        <f>HYPERLINK("https://zfin.org/ZDB-GENE-121214-207")</f>
        <v>https://zfin.org/ZDB-GENE-121214-207</v>
      </c>
      <c r="E3462" t="s">
        <v>10363</v>
      </c>
    </row>
    <row r="3463" spans="1:5" x14ac:dyDescent="0.2">
      <c r="A3463" t="s">
        <v>10364</v>
      </c>
      <c r="B3463" t="s">
        <v>10365</v>
      </c>
      <c r="C3463" t="s">
        <v>10365</v>
      </c>
      <c r="D3463" t="str">
        <f>HYPERLINK("https://zfin.org/ZDB-GENE-040426-1056")</f>
        <v>https://zfin.org/ZDB-GENE-040426-1056</v>
      </c>
      <c r="E3463" t="s">
        <v>10366</v>
      </c>
    </row>
    <row r="3464" spans="1:5" x14ac:dyDescent="0.2">
      <c r="A3464" t="s">
        <v>10367</v>
      </c>
      <c r="B3464" t="s">
        <v>10368</v>
      </c>
      <c r="C3464" t="s">
        <v>10368</v>
      </c>
      <c r="D3464" t="str">
        <f>HYPERLINK("https://zfin.org/ZDB-GENE-090312-62")</f>
        <v>https://zfin.org/ZDB-GENE-090312-62</v>
      </c>
      <c r="E3464" t="s">
        <v>10369</v>
      </c>
    </row>
    <row r="3465" spans="1:5" x14ac:dyDescent="0.2">
      <c r="A3465" t="s">
        <v>10370</v>
      </c>
      <c r="B3465" t="s">
        <v>10371</v>
      </c>
      <c r="C3465" t="s">
        <v>10371</v>
      </c>
      <c r="D3465" t="str">
        <f>HYPERLINK("https://zfin.org/ZDB-GENE-120913-1")</f>
        <v>https://zfin.org/ZDB-GENE-120913-1</v>
      </c>
      <c r="E3465" t="s">
        <v>10372</v>
      </c>
    </row>
    <row r="3466" spans="1:5" x14ac:dyDescent="0.2">
      <c r="A3466" t="s">
        <v>10373</v>
      </c>
      <c r="B3466" t="s">
        <v>10374</v>
      </c>
      <c r="C3466" t="s">
        <v>10374</v>
      </c>
      <c r="D3466" t="str">
        <f>HYPERLINK("https://zfin.org/ZDB-GENE-040718-130")</f>
        <v>https://zfin.org/ZDB-GENE-040718-130</v>
      </c>
      <c r="E3466" t="s">
        <v>10375</v>
      </c>
    </row>
    <row r="3467" spans="1:5" x14ac:dyDescent="0.2">
      <c r="A3467" t="s">
        <v>10376</v>
      </c>
      <c r="B3467" t="s">
        <v>10377</v>
      </c>
      <c r="C3467" t="s">
        <v>10377</v>
      </c>
      <c r="D3467" t="str">
        <f>HYPERLINK("https://zfin.org/ZDB-GENE-050327-91")</f>
        <v>https://zfin.org/ZDB-GENE-050327-91</v>
      </c>
      <c r="E3467" t="s">
        <v>10378</v>
      </c>
    </row>
    <row r="3468" spans="1:5" x14ac:dyDescent="0.2">
      <c r="A3468" t="s">
        <v>10379</v>
      </c>
      <c r="B3468" t="s">
        <v>10380</v>
      </c>
      <c r="C3468" t="s">
        <v>10380</v>
      </c>
      <c r="D3468" t="str">
        <f>HYPERLINK("https://zfin.org/ZDB-GENE-121214-150")</f>
        <v>https://zfin.org/ZDB-GENE-121214-150</v>
      </c>
      <c r="E3468" t="s">
        <v>10381</v>
      </c>
    </row>
    <row r="3469" spans="1:5" x14ac:dyDescent="0.2">
      <c r="A3469" t="s">
        <v>10382</v>
      </c>
      <c r="B3469" t="s">
        <v>10383</v>
      </c>
      <c r="C3469" t="s">
        <v>10383</v>
      </c>
      <c r="D3469" t="str">
        <f>HYPERLINK("https://zfin.org/ZDB-GENE-020320-4")</f>
        <v>https://zfin.org/ZDB-GENE-020320-4</v>
      </c>
      <c r="E3469" t="s">
        <v>10384</v>
      </c>
    </row>
    <row r="3470" spans="1:5" x14ac:dyDescent="0.2">
      <c r="A3470" t="s">
        <v>10385</v>
      </c>
      <c r="B3470" t="s">
        <v>10386</v>
      </c>
      <c r="C3470" t="s">
        <v>10386</v>
      </c>
      <c r="D3470" t="str">
        <f>HYPERLINK("https://zfin.org/ZDB-GENE-090313-72")</f>
        <v>https://zfin.org/ZDB-GENE-090313-72</v>
      </c>
      <c r="E3470" t="s">
        <v>10387</v>
      </c>
    </row>
    <row r="3471" spans="1:5" x14ac:dyDescent="0.2">
      <c r="A3471" t="s">
        <v>10388</v>
      </c>
      <c r="B3471" t="s">
        <v>10389</v>
      </c>
      <c r="C3471" t="s">
        <v>10389</v>
      </c>
      <c r="D3471" t="str">
        <f>HYPERLINK("https://zfin.org/ZDB-GENE-030131-6320")</f>
        <v>https://zfin.org/ZDB-GENE-030131-6320</v>
      </c>
      <c r="E3471" t="s">
        <v>10390</v>
      </c>
    </row>
    <row r="3472" spans="1:5" x14ac:dyDescent="0.2">
      <c r="A3472" t="s">
        <v>10391</v>
      </c>
      <c r="B3472" t="s">
        <v>10392</v>
      </c>
      <c r="C3472" t="s">
        <v>10392</v>
      </c>
      <c r="D3472" t="str">
        <f>HYPERLINK("https://zfin.org/ZDB-GENE-030131-1059")</f>
        <v>https://zfin.org/ZDB-GENE-030131-1059</v>
      </c>
      <c r="E3472" t="s">
        <v>10393</v>
      </c>
    </row>
    <row r="3473" spans="1:5" x14ac:dyDescent="0.2">
      <c r="A3473" t="s">
        <v>10394</v>
      </c>
      <c r="B3473" t="s">
        <v>10395</v>
      </c>
      <c r="C3473" t="s">
        <v>10395</v>
      </c>
      <c r="D3473" t="str">
        <f>HYPERLINK("https://zfin.org/ZDB-GENE-041010-109")</f>
        <v>https://zfin.org/ZDB-GENE-041010-109</v>
      </c>
      <c r="E3473" t="s">
        <v>10396</v>
      </c>
    </row>
    <row r="3474" spans="1:5" x14ac:dyDescent="0.2">
      <c r="A3474" t="s">
        <v>10397</v>
      </c>
      <c r="B3474" t="s">
        <v>10398</v>
      </c>
      <c r="C3474" t="s">
        <v>10398</v>
      </c>
      <c r="D3474" t="str">
        <f>HYPERLINK("https://zfin.org/ZDB-GENE-030131-2905")</f>
        <v>https://zfin.org/ZDB-GENE-030131-2905</v>
      </c>
      <c r="E3474" t="s">
        <v>10399</v>
      </c>
    </row>
    <row r="3475" spans="1:5" x14ac:dyDescent="0.2">
      <c r="A3475" t="s">
        <v>10400</v>
      </c>
      <c r="B3475" t="s">
        <v>10401</v>
      </c>
      <c r="C3475" t="s">
        <v>10401</v>
      </c>
      <c r="D3475" t="str">
        <f>HYPERLINK("https://zfin.org/ZDB-GENE-060929-668")</f>
        <v>https://zfin.org/ZDB-GENE-060929-668</v>
      </c>
      <c r="E3475" t="s">
        <v>10402</v>
      </c>
    </row>
    <row r="3476" spans="1:5" x14ac:dyDescent="0.2">
      <c r="A3476" t="s">
        <v>10403</v>
      </c>
      <c r="B3476" t="s">
        <v>10404</v>
      </c>
      <c r="C3476" t="s">
        <v>10404</v>
      </c>
      <c r="D3476" t="str">
        <f>HYPERLINK("https://zfin.org/ZDB-GENE-131120-146")</f>
        <v>https://zfin.org/ZDB-GENE-131120-146</v>
      </c>
      <c r="E3476" t="s">
        <v>10405</v>
      </c>
    </row>
    <row r="3477" spans="1:5" x14ac:dyDescent="0.2">
      <c r="A3477" t="s">
        <v>10406</v>
      </c>
      <c r="B3477" t="s">
        <v>10407</v>
      </c>
      <c r="C3477" t="s">
        <v>10407</v>
      </c>
      <c r="D3477" t="str">
        <f>HYPERLINK("https://zfin.org/ZDB-GENE-061207-24")</f>
        <v>https://zfin.org/ZDB-GENE-061207-24</v>
      </c>
      <c r="E3477" t="s">
        <v>10408</v>
      </c>
    </row>
    <row r="3478" spans="1:5" x14ac:dyDescent="0.2">
      <c r="A3478" t="s">
        <v>10409</v>
      </c>
      <c r="B3478" t="s">
        <v>10410</v>
      </c>
      <c r="C3478" t="s">
        <v>10410</v>
      </c>
      <c r="D3478" t="str">
        <f>HYPERLINK("https://zfin.org/ZDB-GENE-060526-307")</f>
        <v>https://zfin.org/ZDB-GENE-060526-307</v>
      </c>
      <c r="E3478" t="s">
        <v>10411</v>
      </c>
    </row>
    <row r="3479" spans="1:5" x14ac:dyDescent="0.2">
      <c r="A3479" t="s">
        <v>10412</v>
      </c>
      <c r="B3479" t="s">
        <v>10413</v>
      </c>
      <c r="C3479" t="s">
        <v>10413</v>
      </c>
      <c r="D3479" t="str">
        <f>HYPERLINK("https://zfin.org/ZDB-GENE-030219-204")</f>
        <v>https://zfin.org/ZDB-GENE-030219-204</v>
      </c>
      <c r="E3479" t="s">
        <v>10414</v>
      </c>
    </row>
    <row r="3480" spans="1:5" x14ac:dyDescent="0.2">
      <c r="A3480" t="s">
        <v>10415</v>
      </c>
      <c r="B3480" t="s">
        <v>10416</v>
      </c>
      <c r="C3480" t="s">
        <v>10416</v>
      </c>
      <c r="D3480" t="str">
        <f>HYPERLINK("https://zfin.org/ZDB-GENE-121214-223")</f>
        <v>https://zfin.org/ZDB-GENE-121214-223</v>
      </c>
      <c r="E3480" t="s">
        <v>10417</v>
      </c>
    </row>
    <row r="3481" spans="1:5" x14ac:dyDescent="0.2">
      <c r="A3481" t="s">
        <v>10418</v>
      </c>
      <c r="B3481" t="s">
        <v>10419</v>
      </c>
      <c r="C3481" t="s">
        <v>10419</v>
      </c>
      <c r="D3481" t="str">
        <f>HYPERLINK("https://zfin.org/ZDB-GENE-040115-2")</f>
        <v>https://zfin.org/ZDB-GENE-040115-2</v>
      </c>
      <c r="E3481" t="s">
        <v>10420</v>
      </c>
    </row>
    <row r="3482" spans="1:5" x14ac:dyDescent="0.2">
      <c r="A3482" t="s">
        <v>10421</v>
      </c>
      <c r="B3482" t="s">
        <v>10422</v>
      </c>
      <c r="C3482" t="s">
        <v>10422</v>
      </c>
      <c r="D3482" t="str">
        <f>HYPERLINK("https://zfin.org/ZDB-GENE-141211-39")</f>
        <v>https://zfin.org/ZDB-GENE-141211-39</v>
      </c>
      <c r="E3482" t="s">
        <v>10423</v>
      </c>
    </row>
    <row r="3483" spans="1:5" x14ac:dyDescent="0.2">
      <c r="A3483" t="s">
        <v>10424</v>
      </c>
      <c r="B3483" t="s">
        <v>10425</v>
      </c>
      <c r="C3483" t="s">
        <v>10425</v>
      </c>
      <c r="D3483" t="str">
        <f>HYPERLINK("https://zfin.org/ZDB-GENE-141215-36")</f>
        <v>https://zfin.org/ZDB-GENE-141215-36</v>
      </c>
      <c r="E3483" t="s">
        <v>10426</v>
      </c>
    </row>
    <row r="3484" spans="1:5" x14ac:dyDescent="0.2">
      <c r="A3484" t="s">
        <v>10427</v>
      </c>
      <c r="B3484" t="s">
        <v>10428</v>
      </c>
      <c r="C3484" t="s">
        <v>10428</v>
      </c>
      <c r="D3484" t="str">
        <f>HYPERLINK("https://zfin.org/ZDB-GENE-110411-21")</f>
        <v>https://zfin.org/ZDB-GENE-110411-21</v>
      </c>
      <c r="E3484" t="s">
        <v>10429</v>
      </c>
    </row>
    <row r="3485" spans="1:5" x14ac:dyDescent="0.2">
      <c r="A3485" t="s">
        <v>10430</v>
      </c>
      <c r="B3485" t="s">
        <v>10431</v>
      </c>
      <c r="C3485" t="s">
        <v>10431</v>
      </c>
      <c r="D3485" t="str">
        <f>HYPERLINK("https://zfin.org/ZDB-GENE-090807-3")</f>
        <v>https://zfin.org/ZDB-GENE-090807-3</v>
      </c>
      <c r="E3485" t="s">
        <v>10432</v>
      </c>
    </row>
    <row r="3486" spans="1:5" x14ac:dyDescent="0.2">
      <c r="A3486" t="s">
        <v>10433</v>
      </c>
      <c r="B3486" t="s">
        <v>10434</v>
      </c>
      <c r="C3486" t="s">
        <v>10434</v>
      </c>
      <c r="D3486" t="str">
        <f>HYPERLINK("https://zfin.org/ZDB-GENE-131105-1")</f>
        <v>https://zfin.org/ZDB-GENE-131105-1</v>
      </c>
      <c r="E3486" t="s">
        <v>10435</v>
      </c>
    </row>
    <row r="3487" spans="1:5" x14ac:dyDescent="0.2">
      <c r="A3487" t="s">
        <v>10436</v>
      </c>
      <c r="B3487" t="s">
        <v>10437</v>
      </c>
      <c r="C3487" t="s">
        <v>10437</v>
      </c>
      <c r="D3487" t="str">
        <f>HYPERLINK("https://zfin.org/ZDB-GENE-030131-378")</f>
        <v>https://zfin.org/ZDB-GENE-030131-378</v>
      </c>
      <c r="E3487" t="s">
        <v>10438</v>
      </c>
    </row>
    <row r="3488" spans="1:5" x14ac:dyDescent="0.2">
      <c r="A3488" t="s">
        <v>10439</v>
      </c>
      <c r="B3488" t="s">
        <v>10440</v>
      </c>
      <c r="C3488" t="s">
        <v>10440</v>
      </c>
      <c r="D3488" t="str">
        <f>HYPERLINK("https://zfin.org/ZDB-GENE-080204-84")</f>
        <v>https://zfin.org/ZDB-GENE-080204-84</v>
      </c>
      <c r="E3488" t="s">
        <v>10441</v>
      </c>
    </row>
    <row r="3489" spans="1:5" x14ac:dyDescent="0.2">
      <c r="A3489" t="s">
        <v>10442</v>
      </c>
      <c r="B3489" t="s">
        <v>10443</v>
      </c>
      <c r="C3489" t="s">
        <v>10443</v>
      </c>
      <c r="D3489" t="str">
        <f>HYPERLINK("https://zfin.org/ZDB-GENE-070705-225")</f>
        <v>https://zfin.org/ZDB-GENE-070705-225</v>
      </c>
      <c r="E3489" t="s">
        <v>10444</v>
      </c>
    </row>
    <row r="3490" spans="1:5" x14ac:dyDescent="0.2">
      <c r="A3490" t="s">
        <v>10445</v>
      </c>
      <c r="B3490" t="s">
        <v>10446</v>
      </c>
      <c r="C3490" t="s">
        <v>10446</v>
      </c>
      <c r="D3490" t="str">
        <f>HYPERLINK("https://zfin.org/ZDB-GENE-141212-299")</f>
        <v>https://zfin.org/ZDB-GENE-141212-299</v>
      </c>
      <c r="E3490" t="s">
        <v>10447</v>
      </c>
    </row>
    <row r="3491" spans="1:5" x14ac:dyDescent="0.2">
      <c r="A3491" t="s">
        <v>10448</v>
      </c>
      <c r="B3491" t="s">
        <v>10449</v>
      </c>
      <c r="C3491" t="s">
        <v>10449</v>
      </c>
      <c r="D3491" t="str">
        <f>HYPERLINK("https://zfin.org/ZDB-GENE-120406-10")</f>
        <v>https://zfin.org/ZDB-GENE-120406-10</v>
      </c>
      <c r="E3491" t="s">
        <v>10450</v>
      </c>
    </row>
    <row r="3492" spans="1:5" x14ac:dyDescent="0.2">
      <c r="A3492" t="s">
        <v>10451</v>
      </c>
      <c r="B3492" t="s">
        <v>10452</v>
      </c>
      <c r="C3492" t="s">
        <v>10452</v>
      </c>
      <c r="D3492" t="str">
        <f>HYPERLINK("https://zfin.org/ZDB-GENE-041010-11")</f>
        <v>https://zfin.org/ZDB-GENE-041010-11</v>
      </c>
      <c r="E3492" t="s">
        <v>10453</v>
      </c>
    </row>
    <row r="3493" spans="1:5" x14ac:dyDescent="0.2">
      <c r="A3493" t="s">
        <v>10454</v>
      </c>
      <c r="B3493" t="s">
        <v>10455</v>
      </c>
      <c r="C3493" t="s">
        <v>10455</v>
      </c>
      <c r="D3493" t="str">
        <f>HYPERLINK("https://zfin.org/ZDB-GENE-130625-2")</f>
        <v>https://zfin.org/ZDB-GENE-130625-2</v>
      </c>
      <c r="E3493" t="s">
        <v>10456</v>
      </c>
    </row>
    <row r="3494" spans="1:5" x14ac:dyDescent="0.2">
      <c r="A3494" t="s">
        <v>10457</v>
      </c>
      <c r="B3494" t="s">
        <v>10458</v>
      </c>
      <c r="C3494" t="s">
        <v>10458</v>
      </c>
      <c r="D3494" t="str">
        <f>HYPERLINK("https://zfin.org/ZDB-GENE-040912-65")</f>
        <v>https://zfin.org/ZDB-GENE-040912-65</v>
      </c>
      <c r="E3494" t="s">
        <v>10459</v>
      </c>
    </row>
    <row r="3495" spans="1:5" x14ac:dyDescent="0.2">
      <c r="A3495" t="s">
        <v>10460</v>
      </c>
      <c r="B3495" t="s">
        <v>10461</v>
      </c>
      <c r="C3495" t="s">
        <v>10461</v>
      </c>
      <c r="D3495" t="str">
        <f>HYPERLINK("https://zfin.org/ZDB-GENE-040426-2584")</f>
        <v>https://zfin.org/ZDB-GENE-040426-2584</v>
      </c>
      <c r="E3495" t="s">
        <v>10462</v>
      </c>
    </row>
    <row r="3496" spans="1:5" x14ac:dyDescent="0.2">
      <c r="A3496" t="s">
        <v>10463</v>
      </c>
      <c r="B3496" t="s">
        <v>10464</v>
      </c>
      <c r="C3496" t="s">
        <v>10464</v>
      </c>
      <c r="D3496" t="str">
        <f>HYPERLINK("https://zfin.org/ZDB-GENE-040625-36")</f>
        <v>https://zfin.org/ZDB-GENE-040625-36</v>
      </c>
      <c r="E3496" t="s">
        <v>10465</v>
      </c>
    </row>
    <row r="3497" spans="1:5" x14ac:dyDescent="0.2">
      <c r="A3497" t="s">
        <v>10466</v>
      </c>
      <c r="B3497" t="s">
        <v>10467</v>
      </c>
      <c r="C3497" t="s">
        <v>10467</v>
      </c>
      <c r="D3497" t="str">
        <f>HYPERLINK("https://zfin.org/ZDB-GENE-060503-608")</f>
        <v>https://zfin.org/ZDB-GENE-060503-608</v>
      </c>
      <c r="E3497" t="s">
        <v>10468</v>
      </c>
    </row>
    <row r="3498" spans="1:5" x14ac:dyDescent="0.2">
      <c r="A3498" t="s">
        <v>10469</v>
      </c>
      <c r="B3498" t="s">
        <v>10470</v>
      </c>
      <c r="C3498" t="s">
        <v>10470</v>
      </c>
      <c r="D3498" t="str">
        <f>HYPERLINK("https://zfin.org/ZDB-GENE-091113-62")</f>
        <v>https://zfin.org/ZDB-GENE-091113-62</v>
      </c>
      <c r="E3498" t="s">
        <v>10471</v>
      </c>
    </row>
    <row r="3499" spans="1:5" x14ac:dyDescent="0.2">
      <c r="A3499" t="s">
        <v>10472</v>
      </c>
      <c r="B3499" t="s">
        <v>10473</v>
      </c>
      <c r="C3499" t="s">
        <v>10473</v>
      </c>
      <c r="D3499" t="str">
        <f>HYPERLINK("https://zfin.org/ZDB-GENE-120104-2")</f>
        <v>https://zfin.org/ZDB-GENE-120104-2</v>
      </c>
      <c r="E3499" t="s">
        <v>10474</v>
      </c>
    </row>
    <row r="3500" spans="1:5" x14ac:dyDescent="0.2">
      <c r="A3500" t="s">
        <v>10475</v>
      </c>
      <c r="B3500" t="s">
        <v>10476</v>
      </c>
      <c r="C3500" t="s">
        <v>10476</v>
      </c>
      <c r="D3500" t="str">
        <f>HYPERLINK("https://zfin.org/ZDB-GENE-050208-257")</f>
        <v>https://zfin.org/ZDB-GENE-050208-257</v>
      </c>
      <c r="E3500" t="s">
        <v>10477</v>
      </c>
    </row>
    <row r="3501" spans="1:5" x14ac:dyDescent="0.2">
      <c r="A3501" t="s">
        <v>10478</v>
      </c>
      <c r="B3501" t="s">
        <v>10479</v>
      </c>
      <c r="C3501" t="s">
        <v>10479</v>
      </c>
      <c r="D3501" t="str">
        <f>HYPERLINK("https://zfin.org/ZDB-GENE-070912-245")</f>
        <v>https://zfin.org/ZDB-GENE-070912-245</v>
      </c>
      <c r="E3501" t="s">
        <v>10480</v>
      </c>
    </row>
    <row r="3502" spans="1:5" x14ac:dyDescent="0.2">
      <c r="A3502" t="s">
        <v>10481</v>
      </c>
      <c r="B3502" t="s">
        <v>10482</v>
      </c>
      <c r="C3502" t="s">
        <v>10482</v>
      </c>
      <c r="D3502" t="str">
        <f>HYPERLINK("https://zfin.org/ZDB-GENE-040426-1172")</f>
        <v>https://zfin.org/ZDB-GENE-040426-1172</v>
      </c>
      <c r="E3502" t="s">
        <v>10483</v>
      </c>
    </row>
    <row r="3503" spans="1:5" x14ac:dyDescent="0.2">
      <c r="A3503" t="s">
        <v>10484</v>
      </c>
      <c r="B3503" t="s">
        <v>10485</v>
      </c>
      <c r="C3503" t="s">
        <v>10485</v>
      </c>
      <c r="D3503" t="str">
        <f>HYPERLINK("https://zfin.org/ZDB-GENE-141216-78")</f>
        <v>https://zfin.org/ZDB-GENE-141216-78</v>
      </c>
      <c r="E3503" t="s">
        <v>10486</v>
      </c>
    </row>
    <row r="3504" spans="1:5" x14ac:dyDescent="0.2">
      <c r="A3504" t="s">
        <v>10487</v>
      </c>
      <c r="B3504" t="s">
        <v>10488</v>
      </c>
      <c r="C3504" t="s">
        <v>10488</v>
      </c>
      <c r="D3504" t="str">
        <f>HYPERLINK("https://zfin.org/ZDB-GENE-060503-161")</f>
        <v>https://zfin.org/ZDB-GENE-060503-161</v>
      </c>
      <c r="E3504" t="s">
        <v>10489</v>
      </c>
    </row>
    <row r="3505" spans="1:5" x14ac:dyDescent="0.2">
      <c r="A3505" t="s">
        <v>10490</v>
      </c>
      <c r="B3505" t="s">
        <v>10491</v>
      </c>
      <c r="C3505" t="s">
        <v>10491</v>
      </c>
      <c r="D3505" t="str">
        <f>HYPERLINK("https://zfin.org/ZDB-GENE-030131-7434")</f>
        <v>https://zfin.org/ZDB-GENE-030131-7434</v>
      </c>
      <c r="E3505" t="s">
        <v>10492</v>
      </c>
    </row>
    <row r="3506" spans="1:5" x14ac:dyDescent="0.2">
      <c r="A3506" t="s">
        <v>10493</v>
      </c>
      <c r="B3506" t="s">
        <v>10494</v>
      </c>
      <c r="C3506" t="s">
        <v>10494</v>
      </c>
      <c r="D3506" t="str">
        <f>HYPERLINK("https://zfin.org/ZDB-GENE-120703-8")</f>
        <v>https://zfin.org/ZDB-GENE-120703-8</v>
      </c>
      <c r="E3506" t="s">
        <v>10495</v>
      </c>
    </row>
    <row r="3507" spans="1:5" x14ac:dyDescent="0.2">
      <c r="A3507" t="s">
        <v>10496</v>
      </c>
      <c r="B3507" t="s">
        <v>10497</v>
      </c>
      <c r="C3507" t="s">
        <v>10497</v>
      </c>
      <c r="D3507" t="str">
        <f>HYPERLINK("https://zfin.org/ZDB-GENE-040426-1444")</f>
        <v>https://zfin.org/ZDB-GENE-040426-1444</v>
      </c>
      <c r="E3507" t="s">
        <v>10498</v>
      </c>
    </row>
    <row r="3508" spans="1:5" x14ac:dyDescent="0.2">
      <c r="A3508" t="s">
        <v>10499</v>
      </c>
      <c r="B3508" t="s">
        <v>10500</v>
      </c>
      <c r="C3508" t="s">
        <v>10500</v>
      </c>
      <c r="D3508" t="str">
        <f>HYPERLINK("https://zfin.org/ZDB-GENE-031105-2")</f>
        <v>https://zfin.org/ZDB-GENE-031105-2</v>
      </c>
      <c r="E3508" t="s">
        <v>10501</v>
      </c>
    </row>
    <row r="3509" spans="1:5" x14ac:dyDescent="0.2">
      <c r="A3509" t="s">
        <v>10502</v>
      </c>
      <c r="B3509" t="s">
        <v>10503</v>
      </c>
      <c r="C3509" t="s">
        <v>10503</v>
      </c>
      <c r="D3509" t="str">
        <f>HYPERLINK("https://zfin.org/ZDB-GENE-030131-3607")</f>
        <v>https://zfin.org/ZDB-GENE-030131-3607</v>
      </c>
      <c r="E3509" t="s">
        <v>10504</v>
      </c>
    </row>
    <row r="3510" spans="1:5" x14ac:dyDescent="0.2">
      <c r="A3510" t="s">
        <v>10505</v>
      </c>
      <c r="B3510" t="s">
        <v>10506</v>
      </c>
      <c r="C3510" t="s">
        <v>10506</v>
      </c>
      <c r="D3510" t="str">
        <f>HYPERLINK("https://zfin.org/ZDB-GENE-030131-494")</f>
        <v>https://zfin.org/ZDB-GENE-030131-494</v>
      </c>
      <c r="E3510" t="s">
        <v>10507</v>
      </c>
    </row>
    <row r="3511" spans="1:5" x14ac:dyDescent="0.2">
      <c r="A3511" t="s">
        <v>10508</v>
      </c>
      <c r="B3511" t="s">
        <v>10509</v>
      </c>
      <c r="C3511" t="s">
        <v>10509</v>
      </c>
      <c r="D3511" t="str">
        <f>HYPERLINK("https://zfin.org/ZDB-GENE-070912-359")</f>
        <v>https://zfin.org/ZDB-GENE-070912-359</v>
      </c>
      <c r="E3511" t="s">
        <v>10510</v>
      </c>
    </row>
    <row r="3512" spans="1:5" x14ac:dyDescent="0.2">
      <c r="A3512" t="s">
        <v>10511</v>
      </c>
      <c r="B3512" t="s">
        <v>10512</v>
      </c>
      <c r="C3512" t="s">
        <v>10512</v>
      </c>
      <c r="D3512" t="str">
        <f>HYPERLINK("https://zfin.org/ZDB-GENE-060526-162")</f>
        <v>https://zfin.org/ZDB-GENE-060526-162</v>
      </c>
      <c r="E3512" t="s">
        <v>10513</v>
      </c>
    </row>
    <row r="3513" spans="1:5" x14ac:dyDescent="0.2">
      <c r="A3513" t="s">
        <v>10514</v>
      </c>
      <c r="B3513" t="s">
        <v>10515</v>
      </c>
      <c r="C3513" t="s">
        <v>10515</v>
      </c>
      <c r="D3513" t="str">
        <f>HYPERLINK("https://zfin.org/ZDB-GENE-041210-245")</f>
        <v>https://zfin.org/ZDB-GENE-041210-245</v>
      </c>
      <c r="E3513" t="s">
        <v>10516</v>
      </c>
    </row>
    <row r="3514" spans="1:5" x14ac:dyDescent="0.2">
      <c r="A3514" t="s">
        <v>10517</v>
      </c>
      <c r="B3514" t="s">
        <v>10518</v>
      </c>
      <c r="C3514" t="s">
        <v>10518</v>
      </c>
      <c r="D3514" t="str">
        <f>HYPERLINK("https://zfin.org/ZDB-GENE-131120-69")</f>
        <v>https://zfin.org/ZDB-GENE-131120-69</v>
      </c>
      <c r="E3514" t="s">
        <v>10519</v>
      </c>
    </row>
    <row r="3515" spans="1:5" x14ac:dyDescent="0.2">
      <c r="A3515" t="s">
        <v>10520</v>
      </c>
      <c r="B3515" t="s">
        <v>10521</v>
      </c>
      <c r="C3515" t="s">
        <v>10521</v>
      </c>
      <c r="D3515" t="str">
        <f>HYPERLINK("https://zfin.org/ZDB-GENE-040625-133")</f>
        <v>https://zfin.org/ZDB-GENE-040625-133</v>
      </c>
      <c r="E3515" t="s">
        <v>10522</v>
      </c>
    </row>
    <row r="3516" spans="1:5" x14ac:dyDescent="0.2">
      <c r="A3516" t="s">
        <v>10523</v>
      </c>
      <c r="B3516" t="s">
        <v>10524</v>
      </c>
      <c r="C3516" t="s">
        <v>10524</v>
      </c>
      <c r="D3516" t="str">
        <f>HYPERLINK("https://zfin.org/ZDB-GENE-071116-4")</f>
        <v>https://zfin.org/ZDB-GENE-071116-4</v>
      </c>
      <c r="E3516" t="s">
        <v>10525</v>
      </c>
    </row>
    <row r="3517" spans="1:5" x14ac:dyDescent="0.2">
      <c r="A3517" t="s">
        <v>10526</v>
      </c>
      <c r="B3517" t="s">
        <v>10527</v>
      </c>
      <c r="C3517" t="s">
        <v>10527</v>
      </c>
      <c r="D3517" t="str">
        <f>HYPERLINK("https://zfin.org/ZDB-GENE-000125-12")</f>
        <v>https://zfin.org/ZDB-GENE-000125-12</v>
      </c>
      <c r="E3517" t="s">
        <v>10528</v>
      </c>
    </row>
    <row r="3518" spans="1:5" x14ac:dyDescent="0.2">
      <c r="A3518" t="s">
        <v>10529</v>
      </c>
      <c r="B3518" t="s">
        <v>10530</v>
      </c>
      <c r="C3518" t="s">
        <v>10530</v>
      </c>
      <c r="D3518" t="str">
        <f>HYPERLINK("https://zfin.org/ZDB-GENE-040822-35")</f>
        <v>https://zfin.org/ZDB-GENE-040822-35</v>
      </c>
      <c r="E3518" t="s">
        <v>10531</v>
      </c>
    </row>
    <row r="3519" spans="1:5" x14ac:dyDescent="0.2">
      <c r="A3519" t="s">
        <v>10532</v>
      </c>
      <c r="B3519" t="s">
        <v>10533</v>
      </c>
      <c r="C3519" t="s">
        <v>10533</v>
      </c>
      <c r="D3519" t="str">
        <f>HYPERLINK("https://zfin.org/ZDB-GENE-050522-231")</f>
        <v>https://zfin.org/ZDB-GENE-050522-231</v>
      </c>
      <c r="E3519" t="s">
        <v>10534</v>
      </c>
    </row>
    <row r="3520" spans="1:5" x14ac:dyDescent="0.2">
      <c r="A3520" t="s">
        <v>10535</v>
      </c>
      <c r="B3520" t="s">
        <v>10536</v>
      </c>
      <c r="C3520" t="s">
        <v>10536</v>
      </c>
      <c r="D3520" t="str">
        <f>HYPERLINK("https://zfin.org/ZDB-GENE-040426-1271")</f>
        <v>https://zfin.org/ZDB-GENE-040426-1271</v>
      </c>
      <c r="E3520" t="s">
        <v>10537</v>
      </c>
    </row>
    <row r="3521" spans="1:5" x14ac:dyDescent="0.2">
      <c r="A3521" t="s">
        <v>10538</v>
      </c>
      <c r="B3521" t="s">
        <v>10539</v>
      </c>
      <c r="C3521" t="s">
        <v>10539</v>
      </c>
      <c r="D3521" t="str">
        <f>HYPERLINK("https://zfin.org/ZDB-GENE-141212-393")</f>
        <v>https://zfin.org/ZDB-GENE-141212-393</v>
      </c>
      <c r="E3521" t="s">
        <v>10540</v>
      </c>
    </row>
    <row r="3522" spans="1:5" x14ac:dyDescent="0.2">
      <c r="A3522" t="s">
        <v>10541</v>
      </c>
      <c r="B3522" t="s">
        <v>10542</v>
      </c>
      <c r="C3522" t="s">
        <v>10542</v>
      </c>
      <c r="D3522" t="str">
        <f>HYPERLINK("https://zfin.org/ZDB-GENE-040426-1943")</f>
        <v>https://zfin.org/ZDB-GENE-040426-1943</v>
      </c>
      <c r="E3522" t="s">
        <v>10543</v>
      </c>
    </row>
    <row r="3523" spans="1:5" x14ac:dyDescent="0.2">
      <c r="A3523" t="s">
        <v>10544</v>
      </c>
      <c r="B3523" t="s">
        <v>10545</v>
      </c>
      <c r="C3523" t="s">
        <v>10545</v>
      </c>
      <c r="D3523" t="str">
        <f>HYPERLINK("https://zfin.org/ZDB-GENE-041220-2")</f>
        <v>https://zfin.org/ZDB-GENE-041220-2</v>
      </c>
      <c r="E3523" t="s">
        <v>10546</v>
      </c>
    </row>
    <row r="3524" spans="1:5" x14ac:dyDescent="0.2">
      <c r="A3524" t="s">
        <v>10547</v>
      </c>
      <c r="B3524" t="s">
        <v>10548</v>
      </c>
      <c r="C3524" t="s">
        <v>10548</v>
      </c>
      <c r="D3524" t="str">
        <f>HYPERLINK("https://zfin.org/ZDB-GENE-030616-449")</f>
        <v>https://zfin.org/ZDB-GENE-030616-449</v>
      </c>
      <c r="E3524" t="s">
        <v>10549</v>
      </c>
    </row>
    <row r="3525" spans="1:5" x14ac:dyDescent="0.2">
      <c r="A3525" t="s">
        <v>10550</v>
      </c>
      <c r="B3525" t="s">
        <v>10551</v>
      </c>
      <c r="C3525" t="s">
        <v>10551</v>
      </c>
      <c r="D3525" t="str">
        <f>HYPERLINK("https://zfin.org/ZDB-GENE-030131-383")</f>
        <v>https://zfin.org/ZDB-GENE-030131-383</v>
      </c>
      <c r="E3525" t="s">
        <v>10552</v>
      </c>
    </row>
    <row r="3526" spans="1:5" x14ac:dyDescent="0.2">
      <c r="A3526" t="s">
        <v>10553</v>
      </c>
      <c r="B3526" t="s">
        <v>10554</v>
      </c>
      <c r="C3526" t="s">
        <v>10554</v>
      </c>
      <c r="D3526" t="str">
        <f>HYPERLINK("https://zfin.org/ZDB-GENE-030131-2857")</f>
        <v>https://zfin.org/ZDB-GENE-030131-2857</v>
      </c>
      <c r="E3526" t="s">
        <v>10555</v>
      </c>
    </row>
    <row r="3527" spans="1:5" x14ac:dyDescent="0.2">
      <c r="A3527" t="s">
        <v>10556</v>
      </c>
      <c r="B3527" t="s">
        <v>10557</v>
      </c>
      <c r="C3527" t="s">
        <v>10557</v>
      </c>
      <c r="D3527" t="str">
        <f>HYPERLINK("https://zfin.org/ZDB-GENE-050414-2")</f>
        <v>https://zfin.org/ZDB-GENE-050414-2</v>
      </c>
      <c r="E3527" t="s">
        <v>10558</v>
      </c>
    </row>
    <row r="3528" spans="1:5" x14ac:dyDescent="0.2">
      <c r="A3528" t="s">
        <v>10559</v>
      </c>
      <c r="B3528" t="s">
        <v>10560</v>
      </c>
      <c r="C3528" t="s">
        <v>10560</v>
      </c>
      <c r="D3528" t="str">
        <f>HYPERLINK("https://zfin.org/ZDB-GENE-121219-3")</f>
        <v>https://zfin.org/ZDB-GENE-121219-3</v>
      </c>
      <c r="E3528" t="s">
        <v>10561</v>
      </c>
    </row>
    <row r="3529" spans="1:5" x14ac:dyDescent="0.2">
      <c r="A3529" t="s">
        <v>10562</v>
      </c>
      <c r="B3529" t="s">
        <v>10563</v>
      </c>
      <c r="C3529" t="s">
        <v>10563</v>
      </c>
      <c r="D3529" t="str">
        <f>HYPERLINK("https://zfin.org/ZDB-GENE-051030-126")</f>
        <v>https://zfin.org/ZDB-GENE-051030-126</v>
      </c>
      <c r="E3529" t="s">
        <v>10564</v>
      </c>
    </row>
    <row r="3530" spans="1:5" x14ac:dyDescent="0.2">
      <c r="A3530" t="s">
        <v>10565</v>
      </c>
      <c r="B3530" t="s">
        <v>10566</v>
      </c>
      <c r="C3530" t="s">
        <v>10566</v>
      </c>
      <c r="D3530" t="str">
        <f>HYPERLINK("https://zfin.org/ZDB-GENE-050913-146")</f>
        <v>https://zfin.org/ZDB-GENE-050913-146</v>
      </c>
      <c r="E3530" t="s">
        <v>10567</v>
      </c>
    </row>
    <row r="3531" spans="1:5" x14ac:dyDescent="0.2">
      <c r="A3531" t="s">
        <v>10568</v>
      </c>
      <c r="B3531" t="s">
        <v>10569</v>
      </c>
      <c r="C3531" t="s">
        <v>10569</v>
      </c>
      <c r="D3531" t="str">
        <f>HYPERLINK("https://zfin.org/ZDB-GENE-040426-1347")</f>
        <v>https://zfin.org/ZDB-GENE-040426-1347</v>
      </c>
      <c r="E3531" t="s">
        <v>10570</v>
      </c>
    </row>
    <row r="3532" spans="1:5" x14ac:dyDescent="0.2">
      <c r="A3532" t="s">
        <v>10571</v>
      </c>
      <c r="B3532" t="s">
        <v>10572</v>
      </c>
      <c r="C3532" t="s">
        <v>10572</v>
      </c>
      <c r="D3532" t="str">
        <f>HYPERLINK("https://zfin.org/ZDB-GENE-081105-117")</f>
        <v>https://zfin.org/ZDB-GENE-081105-117</v>
      </c>
      <c r="E3532" t="s">
        <v>10573</v>
      </c>
    </row>
    <row r="3533" spans="1:5" x14ac:dyDescent="0.2">
      <c r="A3533" t="s">
        <v>10574</v>
      </c>
      <c r="B3533" t="s">
        <v>10575</v>
      </c>
      <c r="C3533" t="s">
        <v>10575</v>
      </c>
      <c r="D3533" t="str">
        <f>HYPERLINK("https://zfin.org/ZDB-GENE-131127-114")</f>
        <v>https://zfin.org/ZDB-GENE-131127-114</v>
      </c>
      <c r="E3533" t="s">
        <v>10576</v>
      </c>
    </row>
    <row r="3534" spans="1:5" x14ac:dyDescent="0.2">
      <c r="A3534" t="s">
        <v>10577</v>
      </c>
      <c r="B3534" t="s">
        <v>10578</v>
      </c>
      <c r="C3534" t="s">
        <v>10578</v>
      </c>
      <c r="D3534" t="str">
        <f>HYPERLINK("https://zfin.org/ZDB-GENE-060503-301")</f>
        <v>https://zfin.org/ZDB-GENE-060503-301</v>
      </c>
      <c r="E3534" t="s">
        <v>10579</v>
      </c>
    </row>
    <row r="3535" spans="1:5" x14ac:dyDescent="0.2">
      <c r="A3535" t="s">
        <v>10580</v>
      </c>
      <c r="B3535" t="s">
        <v>10581</v>
      </c>
      <c r="C3535" t="s">
        <v>10581</v>
      </c>
      <c r="D3535" t="str">
        <f>HYPERLINK("https://zfin.org/ZDB-GENE-040121-4")</f>
        <v>https://zfin.org/ZDB-GENE-040121-4</v>
      </c>
      <c r="E3535" t="s">
        <v>10582</v>
      </c>
    </row>
    <row r="3536" spans="1:5" x14ac:dyDescent="0.2">
      <c r="A3536" t="s">
        <v>10583</v>
      </c>
      <c r="B3536" t="s">
        <v>10584</v>
      </c>
      <c r="C3536" t="s">
        <v>10584</v>
      </c>
      <c r="D3536" t="str">
        <f>HYPERLINK("https://zfin.org/ZDB-GENE-061215-108")</f>
        <v>https://zfin.org/ZDB-GENE-061215-108</v>
      </c>
      <c r="E3536" t="s">
        <v>10585</v>
      </c>
    </row>
    <row r="3537" spans="1:5" x14ac:dyDescent="0.2">
      <c r="A3537" t="s">
        <v>10586</v>
      </c>
      <c r="B3537" t="s">
        <v>10587</v>
      </c>
      <c r="C3537" t="s">
        <v>10587</v>
      </c>
      <c r="D3537" t="str">
        <f>HYPERLINK("https://zfin.org/ZDB-GENE-040801-155")</f>
        <v>https://zfin.org/ZDB-GENE-040801-155</v>
      </c>
      <c r="E3537" t="s">
        <v>10588</v>
      </c>
    </row>
    <row r="3538" spans="1:5" x14ac:dyDescent="0.2">
      <c r="A3538" t="s">
        <v>10589</v>
      </c>
      <c r="B3538" t="s">
        <v>10590</v>
      </c>
      <c r="C3538" t="s">
        <v>10590</v>
      </c>
      <c r="D3538" t="str">
        <f>HYPERLINK("https://zfin.org/ZDB-GENE-040718-210")</f>
        <v>https://zfin.org/ZDB-GENE-040718-210</v>
      </c>
      <c r="E3538" t="s">
        <v>10591</v>
      </c>
    </row>
    <row r="3539" spans="1:5" x14ac:dyDescent="0.2">
      <c r="A3539" t="s">
        <v>10592</v>
      </c>
      <c r="B3539" t="s">
        <v>10593</v>
      </c>
      <c r="C3539" t="s">
        <v>10593</v>
      </c>
      <c r="D3539" t="str">
        <f>HYPERLINK("https://zfin.org/ZDB-GENE-040625-140")</f>
        <v>https://zfin.org/ZDB-GENE-040625-140</v>
      </c>
      <c r="E3539" t="s">
        <v>10594</v>
      </c>
    </row>
    <row r="3540" spans="1:5" x14ac:dyDescent="0.2">
      <c r="A3540" t="s">
        <v>10595</v>
      </c>
      <c r="B3540" t="s">
        <v>10596</v>
      </c>
      <c r="C3540" t="s">
        <v>10596</v>
      </c>
      <c r="D3540" t="str">
        <f>HYPERLINK("https://zfin.org/ZDB-GENE-111221-4")</f>
        <v>https://zfin.org/ZDB-GENE-111221-4</v>
      </c>
      <c r="E3540" t="s">
        <v>10597</v>
      </c>
    </row>
    <row r="3541" spans="1:5" x14ac:dyDescent="0.2">
      <c r="A3541" t="s">
        <v>10598</v>
      </c>
      <c r="B3541" t="s">
        <v>10599</v>
      </c>
      <c r="C3541" t="s">
        <v>10599</v>
      </c>
      <c r="D3541" t="str">
        <f>HYPERLINK("https://zfin.org/ZDB-GENE-030131-5259")</f>
        <v>https://zfin.org/ZDB-GENE-030131-5259</v>
      </c>
      <c r="E3541" t="s">
        <v>10600</v>
      </c>
    </row>
    <row r="3542" spans="1:5" x14ac:dyDescent="0.2">
      <c r="A3542" t="s">
        <v>10601</v>
      </c>
      <c r="B3542" t="s">
        <v>10602</v>
      </c>
      <c r="C3542" t="s">
        <v>10602</v>
      </c>
      <c r="D3542" t="str">
        <f>HYPERLINK("https://zfin.org/ZDB-GENE-141219-7")</f>
        <v>https://zfin.org/ZDB-GENE-141219-7</v>
      </c>
      <c r="E3542" t="s">
        <v>10603</v>
      </c>
    </row>
    <row r="3543" spans="1:5" x14ac:dyDescent="0.2">
      <c r="A3543" t="s">
        <v>10604</v>
      </c>
      <c r="B3543" t="s">
        <v>10605</v>
      </c>
      <c r="C3543" t="s">
        <v>10605</v>
      </c>
      <c r="D3543" t="str">
        <f>HYPERLINK("https://zfin.org/ZDB-GENE-100920-5")</f>
        <v>https://zfin.org/ZDB-GENE-100920-5</v>
      </c>
      <c r="E3543" t="s">
        <v>10606</v>
      </c>
    </row>
    <row r="3544" spans="1:5" x14ac:dyDescent="0.2">
      <c r="A3544" t="s">
        <v>10607</v>
      </c>
      <c r="B3544" t="s">
        <v>10608</v>
      </c>
      <c r="C3544" t="s">
        <v>10608</v>
      </c>
      <c r="D3544" t="str">
        <f>HYPERLINK("https://zfin.org/ZDB-GENE-030707-5")</f>
        <v>https://zfin.org/ZDB-GENE-030707-5</v>
      </c>
      <c r="E3544" t="s">
        <v>10609</v>
      </c>
    </row>
    <row r="3545" spans="1:5" x14ac:dyDescent="0.2">
      <c r="A3545" t="s">
        <v>10610</v>
      </c>
      <c r="B3545" t="s">
        <v>10611</v>
      </c>
      <c r="C3545" t="s">
        <v>10611</v>
      </c>
      <c r="D3545" t="str">
        <f>HYPERLINK("https://zfin.org/ZDB-GENE-030131-1486")</f>
        <v>https://zfin.org/ZDB-GENE-030131-1486</v>
      </c>
      <c r="E3545" t="s">
        <v>10612</v>
      </c>
    </row>
    <row r="3546" spans="1:5" x14ac:dyDescent="0.2">
      <c r="A3546" t="s">
        <v>10613</v>
      </c>
      <c r="B3546" t="s">
        <v>10614</v>
      </c>
      <c r="C3546" t="s">
        <v>10614</v>
      </c>
      <c r="D3546" t="str">
        <f>HYPERLINK("https://zfin.org/ZDB-GENE-050913-43")</f>
        <v>https://zfin.org/ZDB-GENE-050913-43</v>
      </c>
      <c r="E3546" t="s">
        <v>10615</v>
      </c>
    </row>
    <row r="3547" spans="1:5" x14ac:dyDescent="0.2">
      <c r="A3547" t="s">
        <v>10616</v>
      </c>
      <c r="B3547" t="s">
        <v>10617</v>
      </c>
      <c r="C3547" t="s">
        <v>10617</v>
      </c>
      <c r="D3547" t="str">
        <f>HYPERLINK("https://zfin.org/ZDB-GENE-030131-8673")</f>
        <v>https://zfin.org/ZDB-GENE-030131-8673</v>
      </c>
      <c r="E3547" t="s">
        <v>10618</v>
      </c>
    </row>
    <row r="3548" spans="1:5" x14ac:dyDescent="0.2">
      <c r="A3548" t="s">
        <v>10619</v>
      </c>
      <c r="B3548" t="s">
        <v>10620</v>
      </c>
      <c r="C3548" t="s">
        <v>10620</v>
      </c>
      <c r="D3548" t="str">
        <f>HYPERLINK("https://zfin.org/ZDB-GENE-050309-66")</f>
        <v>https://zfin.org/ZDB-GENE-050309-66</v>
      </c>
      <c r="E3548" t="s">
        <v>10621</v>
      </c>
    </row>
    <row r="3549" spans="1:5" x14ac:dyDescent="0.2">
      <c r="A3549" t="s">
        <v>10622</v>
      </c>
      <c r="B3549" t="s">
        <v>10623</v>
      </c>
      <c r="C3549" t="s">
        <v>10623</v>
      </c>
      <c r="D3549" t="str">
        <f>HYPERLINK("https://zfin.org/ZDB-GENE-061103-595")</f>
        <v>https://zfin.org/ZDB-GENE-061103-595</v>
      </c>
      <c r="E3549" t="s">
        <v>10624</v>
      </c>
    </row>
    <row r="3550" spans="1:5" x14ac:dyDescent="0.2">
      <c r="A3550" t="s">
        <v>10625</v>
      </c>
      <c r="B3550" t="s">
        <v>10626</v>
      </c>
      <c r="C3550" t="s">
        <v>10626</v>
      </c>
      <c r="D3550" t="str">
        <f>HYPERLINK("https://zfin.org/ZDB-GENE-091112-7")</f>
        <v>https://zfin.org/ZDB-GENE-091112-7</v>
      </c>
      <c r="E3550" t="s">
        <v>10627</v>
      </c>
    </row>
    <row r="3551" spans="1:5" x14ac:dyDescent="0.2">
      <c r="A3551" t="s">
        <v>10628</v>
      </c>
      <c r="B3551" t="s">
        <v>10629</v>
      </c>
      <c r="C3551" t="s">
        <v>10629</v>
      </c>
      <c r="D3551" t="str">
        <f>HYPERLINK("https://zfin.org/ZDB-GENE-030925-47")</f>
        <v>https://zfin.org/ZDB-GENE-030925-47</v>
      </c>
      <c r="E3551" t="s">
        <v>10630</v>
      </c>
    </row>
    <row r="3552" spans="1:5" x14ac:dyDescent="0.2">
      <c r="A3552" t="s">
        <v>10631</v>
      </c>
      <c r="B3552" t="s">
        <v>10632</v>
      </c>
      <c r="C3552" t="s">
        <v>10632</v>
      </c>
      <c r="D3552" t="str">
        <f>HYPERLINK("https://zfin.org/ZDB-GENE-030826-35")</f>
        <v>https://zfin.org/ZDB-GENE-030826-35</v>
      </c>
      <c r="E3552" t="s">
        <v>10633</v>
      </c>
    </row>
    <row r="3553" spans="1:5" x14ac:dyDescent="0.2">
      <c r="A3553" t="s">
        <v>10634</v>
      </c>
      <c r="B3553" t="s">
        <v>10635</v>
      </c>
      <c r="C3553" t="s">
        <v>10635</v>
      </c>
      <c r="D3553" t="str">
        <f>HYPERLINK("https://zfin.org/ZDB-GENE-030131-2579")</f>
        <v>https://zfin.org/ZDB-GENE-030131-2579</v>
      </c>
      <c r="E3553" t="s">
        <v>10636</v>
      </c>
    </row>
    <row r="3554" spans="1:5" x14ac:dyDescent="0.2">
      <c r="A3554" t="s">
        <v>10637</v>
      </c>
      <c r="B3554" t="s">
        <v>10638</v>
      </c>
      <c r="C3554" t="s">
        <v>10638</v>
      </c>
      <c r="D3554" t="str">
        <f>HYPERLINK("https://zfin.org/ZDB-GENE-060503-87")</f>
        <v>https://zfin.org/ZDB-GENE-060503-87</v>
      </c>
      <c r="E3554" t="s">
        <v>10639</v>
      </c>
    </row>
    <row r="3555" spans="1:5" x14ac:dyDescent="0.2">
      <c r="A3555" t="s">
        <v>10640</v>
      </c>
      <c r="B3555" t="s">
        <v>10641</v>
      </c>
      <c r="C3555" t="s">
        <v>10641</v>
      </c>
      <c r="D3555" t="str">
        <f>HYPERLINK("https://zfin.org/ZDB-GENE-030131-2862")</f>
        <v>https://zfin.org/ZDB-GENE-030131-2862</v>
      </c>
      <c r="E3555" t="s">
        <v>10642</v>
      </c>
    </row>
    <row r="3556" spans="1:5" x14ac:dyDescent="0.2">
      <c r="A3556" t="s">
        <v>10643</v>
      </c>
      <c r="B3556" t="s">
        <v>10644</v>
      </c>
      <c r="C3556" t="s">
        <v>10644</v>
      </c>
      <c r="D3556" t="str">
        <f>HYPERLINK("https://zfin.org/ZDB-GENE-041111-270")</f>
        <v>https://zfin.org/ZDB-GENE-041111-270</v>
      </c>
      <c r="E3556" t="s">
        <v>10645</v>
      </c>
    </row>
    <row r="3557" spans="1:5" x14ac:dyDescent="0.2">
      <c r="A3557" t="s">
        <v>10646</v>
      </c>
      <c r="B3557" t="s">
        <v>10647</v>
      </c>
      <c r="C3557" t="s">
        <v>10647</v>
      </c>
      <c r="D3557" t="str">
        <f>HYPERLINK("https://zfin.org/ZDB-GENE-071119-1")</f>
        <v>https://zfin.org/ZDB-GENE-071119-1</v>
      </c>
      <c r="E3557" t="s">
        <v>10648</v>
      </c>
    </row>
    <row r="3558" spans="1:5" x14ac:dyDescent="0.2">
      <c r="A3558" t="s">
        <v>10649</v>
      </c>
      <c r="B3558" t="s">
        <v>10650</v>
      </c>
      <c r="C3558" t="s">
        <v>10650</v>
      </c>
      <c r="D3558" t="str">
        <f>HYPERLINK("https://zfin.org/ZDB-GENE-030131-2829")</f>
        <v>https://zfin.org/ZDB-GENE-030131-2829</v>
      </c>
      <c r="E3558" t="s">
        <v>10651</v>
      </c>
    </row>
    <row r="3559" spans="1:5" x14ac:dyDescent="0.2">
      <c r="A3559" t="s">
        <v>10652</v>
      </c>
      <c r="B3559" t="s">
        <v>10653</v>
      </c>
      <c r="C3559" t="s">
        <v>10653</v>
      </c>
      <c r="D3559" t="str">
        <f>HYPERLINK("https://zfin.org/ZDB-GENE-040426-801")</f>
        <v>https://zfin.org/ZDB-GENE-040426-801</v>
      </c>
      <c r="E3559" t="s">
        <v>10654</v>
      </c>
    </row>
    <row r="3560" spans="1:5" x14ac:dyDescent="0.2">
      <c r="A3560" t="s">
        <v>10655</v>
      </c>
      <c r="B3560" t="s">
        <v>10656</v>
      </c>
      <c r="C3560" t="s">
        <v>10656</v>
      </c>
      <c r="D3560" t="str">
        <f>HYPERLINK("https://zfin.org/ZDB-GENE-030829-24")</f>
        <v>https://zfin.org/ZDB-GENE-030829-24</v>
      </c>
      <c r="E3560" t="s">
        <v>10657</v>
      </c>
    </row>
    <row r="3561" spans="1:5" x14ac:dyDescent="0.2">
      <c r="A3561" t="s">
        <v>10658</v>
      </c>
      <c r="B3561" t="s">
        <v>10659</v>
      </c>
      <c r="C3561" t="s">
        <v>10659</v>
      </c>
      <c r="D3561" t="str">
        <f>HYPERLINK("https://zfin.org/ZDB-GENE-130603-36")</f>
        <v>https://zfin.org/ZDB-GENE-130603-36</v>
      </c>
      <c r="E3561" t="s">
        <v>10660</v>
      </c>
    </row>
    <row r="3562" spans="1:5" x14ac:dyDescent="0.2">
      <c r="A3562" t="s">
        <v>10661</v>
      </c>
      <c r="B3562" t="s">
        <v>10662</v>
      </c>
      <c r="C3562" t="s">
        <v>10662</v>
      </c>
      <c r="D3562" t="str">
        <f>HYPERLINK("https://zfin.org/ZDB-GENE-040426-2303")</f>
        <v>https://zfin.org/ZDB-GENE-040426-2303</v>
      </c>
      <c r="E3562" t="s">
        <v>10663</v>
      </c>
    </row>
    <row r="3563" spans="1:5" x14ac:dyDescent="0.2">
      <c r="A3563" t="s">
        <v>10664</v>
      </c>
      <c r="B3563" t="s">
        <v>10665</v>
      </c>
      <c r="C3563" t="s">
        <v>10665</v>
      </c>
      <c r="D3563" t="str">
        <f>HYPERLINK("https://zfin.org/ZDB-GENE-060929-288")</f>
        <v>https://zfin.org/ZDB-GENE-060929-288</v>
      </c>
      <c r="E3563" t="s">
        <v>10666</v>
      </c>
    </row>
    <row r="3564" spans="1:5" x14ac:dyDescent="0.2">
      <c r="A3564" t="s">
        <v>10667</v>
      </c>
      <c r="B3564" t="s">
        <v>10668</v>
      </c>
      <c r="C3564" t="s">
        <v>10668</v>
      </c>
      <c r="D3564" t="str">
        <f>HYPERLINK("https://zfin.org/ZDB-GENE-080807-4")</f>
        <v>https://zfin.org/ZDB-GENE-080807-4</v>
      </c>
      <c r="E3564" t="s">
        <v>10669</v>
      </c>
    </row>
    <row r="3565" spans="1:5" x14ac:dyDescent="0.2">
      <c r="A3565" t="s">
        <v>10670</v>
      </c>
      <c r="B3565" t="s">
        <v>10671</v>
      </c>
      <c r="C3565" t="s">
        <v>10671</v>
      </c>
      <c r="D3565" t="str">
        <f>HYPERLINK("https://zfin.org/ZDB-GENE-060303-1")</f>
        <v>https://zfin.org/ZDB-GENE-060303-1</v>
      </c>
      <c r="E3565" t="s">
        <v>10672</v>
      </c>
    </row>
    <row r="3566" spans="1:5" x14ac:dyDescent="0.2">
      <c r="A3566" t="s">
        <v>10673</v>
      </c>
      <c r="B3566" t="s">
        <v>10674</v>
      </c>
      <c r="C3566" t="s">
        <v>10674</v>
      </c>
      <c r="D3566" t="str">
        <f>HYPERLINK("https://zfin.org/ZDB-GENE-131125-18")</f>
        <v>https://zfin.org/ZDB-GENE-131125-18</v>
      </c>
      <c r="E3566" t="s">
        <v>10675</v>
      </c>
    </row>
    <row r="3567" spans="1:5" x14ac:dyDescent="0.2">
      <c r="A3567" t="s">
        <v>10676</v>
      </c>
      <c r="B3567" t="s">
        <v>10677</v>
      </c>
      <c r="C3567" t="s">
        <v>10677</v>
      </c>
      <c r="D3567" t="str">
        <f>HYPERLINK("https://zfin.org/ZDB-GENE-040426-2248")</f>
        <v>https://zfin.org/ZDB-GENE-040426-2248</v>
      </c>
      <c r="E3567" t="s">
        <v>10678</v>
      </c>
    </row>
    <row r="3568" spans="1:5" x14ac:dyDescent="0.2">
      <c r="A3568" t="s">
        <v>10679</v>
      </c>
      <c r="B3568" t="s">
        <v>10680</v>
      </c>
      <c r="C3568" t="s">
        <v>10680</v>
      </c>
      <c r="D3568" t="str">
        <f>HYPERLINK("https://zfin.org/ZDB-GENE-050506-35")</f>
        <v>https://zfin.org/ZDB-GENE-050506-35</v>
      </c>
      <c r="E3568" t="s">
        <v>10681</v>
      </c>
    </row>
    <row r="3569" spans="1:5" x14ac:dyDescent="0.2">
      <c r="A3569" t="s">
        <v>10682</v>
      </c>
      <c r="B3569" t="s">
        <v>10683</v>
      </c>
      <c r="C3569" t="s">
        <v>10683</v>
      </c>
      <c r="D3569" t="str">
        <f>HYPERLINK("https://zfin.org/ZDB-GENE-131127-582")</f>
        <v>https://zfin.org/ZDB-GENE-131127-582</v>
      </c>
      <c r="E3569" t="s">
        <v>10684</v>
      </c>
    </row>
    <row r="3570" spans="1:5" x14ac:dyDescent="0.2">
      <c r="A3570" t="s">
        <v>10685</v>
      </c>
      <c r="B3570" t="s">
        <v>10686</v>
      </c>
      <c r="C3570" t="s">
        <v>10686</v>
      </c>
      <c r="D3570" t="str">
        <f>HYPERLINK("https://zfin.org/ZDB-GENE-141216-349")</f>
        <v>https://zfin.org/ZDB-GENE-141216-349</v>
      </c>
      <c r="E3570" t="s">
        <v>10687</v>
      </c>
    </row>
    <row r="3571" spans="1:5" x14ac:dyDescent="0.2">
      <c r="A3571" t="s">
        <v>10688</v>
      </c>
      <c r="B3571" t="s">
        <v>10689</v>
      </c>
      <c r="C3571" t="s">
        <v>10689</v>
      </c>
      <c r="D3571" t="str">
        <f>HYPERLINK("https://zfin.org/ZDB-GENE-060421-4796")</f>
        <v>https://zfin.org/ZDB-GENE-060421-4796</v>
      </c>
      <c r="E3571" t="s">
        <v>10690</v>
      </c>
    </row>
    <row r="3572" spans="1:5" x14ac:dyDescent="0.2">
      <c r="A3572" t="s">
        <v>10691</v>
      </c>
      <c r="B3572" t="s">
        <v>10692</v>
      </c>
      <c r="C3572" t="s">
        <v>10692</v>
      </c>
      <c r="D3572" t="str">
        <f>HYPERLINK("https://zfin.org/ZDB-GENE-030131-2913")</f>
        <v>https://zfin.org/ZDB-GENE-030131-2913</v>
      </c>
      <c r="E3572" t="s">
        <v>10693</v>
      </c>
    </row>
    <row r="3573" spans="1:5" x14ac:dyDescent="0.2">
      <c r="A3573" t="s">
        <v>10694</v>
      </c>
      <c r="B3573" t="s">
        <v>10695</v>
      </c>
      <c r="C3573" t="s">
        <v>10695</v>
      </c>
      <c r="D3573" t="str">
        <f>HYPERLINK("https://zfin.org/ZDB-GENE-060503-733")</f>
        <v>https://zfin.org/ZDB-GENE-060503-733</v>
      </c>
      <c r="E3573" t="s">
        <v>10696</v>
      </c>
    </row>
    <row r="3574" spans="1:5" x14ac:dyDescent="0.2">
      <c r="A3574" t="s">
        <v>10697</v>
      </c>
      <c r="B3574" t="s">
        <v>10698</v>
      </c>
      <c r="C3574" t="s">
        <v>10698</v>
      </c>
      <c r="D3574" t="str">
        <f>HYPERLINK("https://zfin.org/ZDB-GENE-040724-177")</f>
        <v>https://zfin.org/ZDB-GENE-040724-177</v>
      </c>
      <c r="E3574" t="s">
        <v>10699</v>
      </c>
    </row>
    <row r="3575" spans="1:5" x14ac:dyDescent="0.2">
      <c r="A3575" t="s">
        <v>10700</v>
      </c>
      <c r="B3575" t="s">
        <v>10701</v>
      </c>
      <c r="C3575" t="s">
        <v>10701</v>
      </c>
      <c r="D3575" t="str">
        <f>HYPERLINK("https://zfin.org/ZDB-GENE-030131-4917")</f>
        <v>https://zfin.org/ZDB-GENE-030131-4917</v>
      </c>
      <c r="E3575" t="s">
        <v>10702</v>
      </c>
    </row>
    <row r="3576" spans="1:5" x14ac:dyDescent="0.2">
      <c r="A3576" t="s">
        <v>10703</v>
      </c>
      <c r="B3576" t="s">
        <v>10704</v>
      </c>
      <c r="C3576" t="s">
        <v>10704</v>
      </c>
      <c r="D3576" t="str">
        <f>HYPERLINK("https://zfin.org/ZDB-GENE-050208-441")</f>
        <v>https://zfin.org/ZDB-GENE-050208-441</v>
      </c>
      <c r="E3576" t="s">
        <v>10705</v>
      </c>
    </row>
    <row r="3577" spans="1:5" x14ac:dyDescent="0.2">
      <c r="A3577" t="s">
        <v>10706</v>
      </c>
      <c r="B3577" t="s">
        <v>10707</v>
      </c>
      <c r="C3577" t="s">
        <v>10707</v>
      </c>
      <c r="D3577" t="str">
        <f>HYPERLINK("https://zfin.org/ZDB-GENE-031219-2")</f>
        <v>https://zfin.org/ZDB-GENE-031219-2</v>
      </c>
      <c r="E3577" t="s">
        <v>10708</v>
      </c>
    </row>
    <row r="3578" spans="1:5" x14ac:dyDescent="0.2">
      <c r="A3578" t="s">
        <v>10709</v>
      </c>
      <c r="B3578" t="s">
        <v>10710</v>
      </c>
      <c r="C3578" t="s">
        <v>10710</v>
      </c>
      <c r="D3578" t="str">
        <f>HYPERLINK("https://zfin.org/ZDB-GENE-040724-125")</f>
        <v>https://zfin.org/ZDB-GENE-040724-125</v>
      </c>
      <c r="E3578" t="s">
        <v>10711</v>
      </c>
    </row>
    <row r="3579" spans="1:5" x14ac:dyDescent="0.2">
      <c r="A3579" t="s">
        <v>10712</v>
      </c>
      <c r="B3579" t="s">
        <v>10713</v>
      </c>
      <c r="C3579" t="s">
        <v>10713</v>
      </c>
      <c r="D3579" t="str">
        <f>HYPERLINK("https://zfin.org/ZDB-GENE-130620-1")</f>
        <v>https://zfin.org/ZDB-GENE-130620-1</v>
      </c>
      <c r="E3579" t="s">
        <v>10714</v>
      </c>
    </row>
    <row r="3580" spans="1:5" x14ac:dyDescent="0.2">
      <c r="A3580" t="s">
        <v>10715</v>
      </c>
      <c r="B3580" t="s">
        <v>10716</v>
      </c>
      <c r="C3580" t="s">
        <v>10716</v>
      </c>
      <c r="D3580" t="str">
        <f>HYPERLINK("https://zfin.org/ZDB-GENE-030131-822")</f>
        <v>https://zfin.org/ZDB-GENE-030131-822</v>
      </c>
      <c r="E3580" t="s">
        <v>10717</v>
      </c>
    </row>
    <row r="3581" spans="1:5" x14ac:dyDescent="0.2">
      <c r="A3581" t="s">
        <v>10718</v>
      </c>
      <c r="B3581" t="s">
        <v>10719</v>
      </c>
      <c r="C3581" t="s">
        <v>10719</v>
      </c>
      <c r="D3581" t="str">
        <f>HYPERLINK("https://zfin.org/ZDB-GENE-131127-246")</f>
        <v>https://zfin.org/ZDB-GENE-131127-246</v>
      </c>
      <c r="E3581" t="s">
        <v>10720</v>
      </c>
    </row>
    <row r="3582" spans="1:5" x14ac:dyDescent="0.2">
      <c r="A3582" t="s">
        <v>10721</v>
      </c>
      <c r="B3582" t="s">
        <v>10722</v>
      </c>
      <c r="C3582" t="s">
        <v>10722</v>
      </c>
      <c r="D3582" t="str">
        <f>HYPERLINK("https://zfin.org/ZDB-GENE-070725-2")</f>
        <v>https://zfin.org/ZDB-GENE-070725-2</v>
      </c>
      <c r="E3582" t="s">
        <v>10723</v>
      </c>
    </row>
    <row r="3583" spans="1:5" x14ac:dyDescent="0.2">
      <c r="A3583" t="s">
        <v>10724</v>
      </c>
      <c r="B3583" t="s">
        <v>10725</v>
      </c>
      <c r="C3583" t="s">
        <v>10725</v>
      </c>
      <c r="D3583" t="str">
        <f>HYPERLINK("https://zfin.org/ZDB-GENE-030131-9710")</f>
        <v>https://zfin.org/ZDB-GENE-030131-9710</v>
      </c>
      <c r="E3583" t="s">
        <v>10726</v>
      </c>
    </row>
    <row r="3584" spans="1:5" x14ac:dyDescent="0.2">
      <c r="A3584" t="s">
        <v>10727</v>
      </c>
      <c r="B3584" t="s">
        <v>10728</v>
      </c>
      <c r="C3584" t="s">
        <v>10728</v>
      </c>
      <c r="D3584" t="str">
        <f>HYPERLINK("https://zfin.org/ZDB-GENE-131121-401")</f>
        <v>https://zfin.org/ZDB-GENE-131121-401</v>
      </c>
      <c r="E3584" t="s">
        <v>10729</v>
      </c>
    </row>
    <row r="3585" spans="1:5" x14ac:dyDescent="0.2">
      <c r="A3585" t="s">
        <v>10730</v>
      </c>
      <c r="B3585" t="s">
        <v>10731</v>
      </c>
      <c r="C3585" t="s">
        <v>10731</v>
      </c>
      <c r="D3585" t="str">
        <f>HYPERLINK("https://zfin.org/ZDB-GENE-131121-177")</f>
        <v>https://zfin.org/ZDB-GENE-131121-177</v>
      </c>
      <c r="E3585" t="s">
        <v>10732</v>
      </c>
    </row>
    <row r="3586" spans="1:5" x14ac:dyDescent="0.2">
      <c r="A3586" t="s">
        <v>10733</v>
      </c>
      <c r="B3586" t="s">
        <v>10734</v>
      </c>
      <c r="C3586" t="s">
        <v>10734</v>
      </c>
      <c r="D3586" t="str">
        <f>HYPERLINK("https://zfin.org/ZDB-GENE-091110-2")</f>
        <v>https://zfin.org/ZDB-GENE-091110-2</v>
      </c>
      <c r="E3586" t="s">
        <v>10735</v>
      </c>
    </row>
    <row r="3587" spans="1:5" x14ac:dyDescent="0.2">
      <c r="A3587" t="s">
        <v>10736</v>
      </c>
      <c r="B3587" t="s">
        <v>10737</v>
      </c>
      <c r="C3587" t="s">
        <v>10737</v>
      </c>
      <c r="D3587" t="str">
        <f>HYPERLINK("https://zfin.org/ZDB-GENE-040426-2801")</f>
        <v>https://zfin.org/ZDB-GENE-040426-2801</v>
      </c>
      <c r="E3587" t="s">
        <v>10738</v>
      </c>
    </row>
    <row r="3588" spans="1:5" x14ac:dyDescent="0.2">
      <c r="A3588" t="s">
        <v>10739</v>
      </c>
      <c r="B3588" t="s">
        <v>10740</v>
      </c>
      <c r="C3588" t="s">
        <v>10740</v>
      </c>
      <c r="D3588" t="str">
        <f>HYPERLINK("https://zfin.org/ZDB-GENE-141215-49")</f>
        <v>https://zfin.org/ZDB-GENE-141215-49</v>
      </c>
      <c r="E3588" t="s">
        <v>10741</v>
      </c>
    </row>
    <row r="3589" spans="1:5" x14ac:dyDescent="0.2">
      <c r="A3589" t="s">
        <v>10742</v>
      </c>
      <c r="B3589" t="s">
        <v>10743</v>
      </c>
      <c r="C3589" t="s">
        <v>10743</v>
      </c>
      <c r="D3589" t="str">
        <f>HYPERLINK("https://zfin.org/ZDB-GENE-040426-2878")</f>
        <v>https://zfin.org/ZDB-GENE-040426-2878</v>
      </c>
      <c r="E3589" t="s">
        <v>10744</v>
      </c>
    </row>
    <row r="3590" spans="1:5" x14ac:dyDescent="0.2">
      <c r="A3590" t="s">
        <v>10745</v>
      </c>
      <c r="B3590" t="s">
        <v>10746</v>
      </c>
      <c r="C3590" t="s">
        <v>10746</v>
      </c>
      <c r="D3590" t="str">
        <f>HYPERLINK("https://zfin.org/ZDB-GENE-040426-2407")</f>
        <v>https://zfin.org/ZDB-GENE-040426-2407</v>
      </c>
      <c r="E3590" t="s">
        <v>10747</v>
      </c>
    </row>
    <row r="3591" spans="1:5" x14ac:dyDescent="0.2">
      <c r="A3591" t="s">
        <v>10748</v>
      </c>
      <c r="B3591" t="s">
        <v>10749</v>
      </c>
      <c r="C3591" t="s">
        <v>10749</v>
      </c>
      <c r="D3591" t="str">
        <f>HYPERLINK("https://zfin.org/ZDB-GENE-030131-1689")</f>
        <v>https://zfin.org/ZDB-GENE-030131-1689</v>
      </c>
      <c r="E3591" t="s">
        <v>10750</v>
      </c>
    </row>
    <row r="3592" spans="1:5" x14ac:dyDescent="0.2">
      <c r="A3592" t="s">
        <v>10751</v>
      </c>
      <c r="B3592" t="s">
        <v>10752</v>
      </c>
      <c r="C3592" t="s">
        <v>10752</v>
      </c>
      <c r="D3592" t="str">
        <f>HYPERLINK("https://zfin.org/ZDB-GENE-050809-108")</f>
        <v>https://zfin.org/ZDB-GENE-050809-108</v>
      </c>
      <c r="E3592" t="s">
        <v>10753</v>
      </c>
    </row>
    <row r="3593" spans="1:5" x14ac:dyDescent="0.2">
      <c r="A3593" t="s">
        <v>10754</v>
      </c>
      <c r="B3593" t="s">
        <v>10755</v>
      </c>
      <c r="C3593" t="s">
        <v>10755</v>
      </c>
      <c r="D3593" t="str">
        <f>HYPERLINK("https://zfin.org/ZDB-GENE-040426-2830")</f>
        <v>https://zfin.org/ZDB-GENE-040426-2830</v>
      </c>
      <c r="E3593" t="s">
        <v>10756</v>
      </c>
    </row>
    <row r="3594" spans="1:5" x14ac:dyDescent="0.2">
      <c r="A3594" t="s">
        <v>10757</v>
      </c>
      <c r="B3594" t="s">
        <v>10758</v>
      </c>
      <c r="C3594" t="s">
        <v>10758</v>
      </c>
      <c r="D3594" t="str">
        <f>HYPERLINK("https://zfin.org/ZDB-GENE-030131-33")</f>
        <v>https://zfin.org/ZDB-GENE-030131-33</v>
      </c>
      <c r="E3594" t="s">
        <v>10759</v>
      </c>
    </row>
    <row r="3595" spans="1:5" x14ac:dyDescent="0.2">
      <c r="A3595" t="s">
        <v>10760</v>
      </c>
      <c r="B3595" t="s">
        <v>10761</v>
      </c>
      <c r="C3595" t="s">
        <v>10761</v>
      </c>
      <c r="D3595" t="str">
        <f>HYPERLINK("https://zfin.org/ZDB-GENE-101104-13")</f>
        <v>https://zfin.org/ZDB-GENE-101104-13</v>
      </c>
      <c r="E3595" t="s">
        <v>10762</v>
      </c>
    </row>
    <row r="3596" spans="1:5" x14ac:dyDescent="0.2">
      <c r="A3596" t="s">
        <v>10763</v>
      </c>
      <c r="B3596" t="s">
        <v>10764</v>
      </c>
      <c r="C3596" t="s">
        <v>10764</v>
      </c>
      <c r="D3596" t="str">
        <f>HYPERLINK("https://zfin.org/ZDB-GENE-070912-424")</f>
        <v>https://zfin.org/ZDB-GENE-070912-424</v>
      </c>
      <c r="E3596" t="s">
        <v>10765</v>
      </c>
    </row>
    <row r="3597" spans="1:5" x14ac:dyDescent="0.2">
      <c r="A3597" t="s">
        <v>10766</v>
      </c>
      <c r="B3597" t="s">
        <v>10767</v>
      </c>
      <c r="C3597" t="s">
        <v>10767</v>
      </c>
      <c r="D3597" t="str">
        <f>HYPERLINK("https://zfin.org/ZDB-GENE-041008-147")</f>
        <v>https://zfin.org/ZDB-GENE-041008-147</v>
      </c>
      <c r="E3597" t="s">
        <v>10768</v>
      </c>
    </row>
    <row r="3598" spans="1:5" x14ac:dyDescent="0.2">
      <c r="A3598" t="s">
        <v>10769</v>
      </c>
      <c r="B3598" t="s">
        <v>10770</v>
      </c>
      <c r="C3598" t="s">
        <v>10770</v>
      </c>
      <c r="D3598" t="str">
        <f>HYPERLINK("https://zfin.org/ZDB-GENE-000210-33")</f>
        <v>https://zfin.org/ZDB-GENE-000210-33</v>
      </c>
      <c r="E3598" t="s">
        <v>10771</v>
      </c>
    </row>
    <row r="3599" spans="1:5" x14ac:dyDescent="0.2">
      <c r="A3599" t="s">
        <v>10772</v>
      </c>
      <c r="B3599" t="s">
        <v>10773</v>
      </c>
      <c r="C3599" t="s">
        <v>10773</v>
      </c>
      <c r="D3599" t="str">
        <f>HYPERLINK("https://zfin.org/ZDB-GENE-090313-347")</f>
        <v>https://zfin.org/ZDB-GENE-090313-347</v>
      </c>
      <c r="E3599" t="s">
        <v>10774</v>
      </c>
    </row>
    <row r="3600" spans="1:5" x14ac:dyDescent="0.2">
      <c r="A3600" t="s">
        <v>10775</v>
      </c>
      <c r="B3600" t="s">
        <v>10776</v>
      </c>
      <c r="C3600" t="s">
        <v>10776</v>
      </c>
      <c r="D3600" t="str">
        <f>HYPERLINK("https://zfin.org/ZDB-GENE-040426-2507")</f>
        <v>https://zfin.org/ZDB-GENE-040426-2507</v>
      </c>
      <c r="E3600" t="s">
        <v>10777</v>
      </c>
    </row>
    <row r="3601" spans="1:5" x14ac:dyDescent="0.2">
      <c r="A3601" t="s">
        <v>10778</v>
      </c>
      <c r="B3601" t="s">
        <v>10779</v>
      </c>
      <c r="C3601" t="s">
        <v>10779</v>
      </c>
      <c r="D3601" t="str">
        <f>HYPERLINK("https://zfin.org/ZDB-GENE-131125-28")</f>
        <v>https://zfin.org/ZDB-GENE-131125-28</v>
      </c>
      <c r="E3601" t="s">
        <v>10780</v>
      </c>
    </row>
    <row r="3602" spans="1:5" x14ac:dyDescent="0.2">
      <c r="A3602" t="s">
        <v>10781</v>
      </c>
      <c r="B3602" t="s">
        <v>10782</v>
      </c>
      <c r="C3602" t="s">
        <v>10782</v>
      </c>
      <c r="D3602" t="str">
        <f>HYPERLINK("https://zfin.org/ZDB-GENE-041008-80")</f>
        <v>https://zfin.org/ZDB-GENE-041008-80</v>
      </c>
      <c r="E3602" t="s">
        <v>10783</v>
      </c>
    </row>
    <row r="3603" spans="1:5" x14ac:dyDescent="0.2">
      <c r="A3603" t="s">
        <v>10784</v>
      </c>
      <c r="B3603" t="s">
        <v>10785</v>
      </c>
      <c r="C3603" t="s">
        <v>10785</v>
      </c>
      <c r="D3603" t="str">
        <f>HYPERLINK("https://zfin.org/ZDB-GENE-130530-662")</f>
        <v>https://zfin.org/ZDB-GENE-130530-662</v>
      </c>
      <c r="E3603" t="s">
        <v>10786</v>
      </c>
    </row>
    <row r="3604" spans="1:5" x14ac:dyDescent="0.2">
      <c r="A3604" t="s">
        <v>10787</v>
      </c>
      <c r="B3604" t="s">
        <v>10788</v>
      </c>
      <c r="C3604" t="s">
        <v>10788</v>
      </c>
      <c r="D3604" t="str">
        <f>HYPERLINK("https://zfin.org/ZDB-GENE-040426-1240")</f>
        <v>https://zfin.org/ZDB-GENE-040426-1240</v>
      </c>
      <c r="E3604" t="s">
        <v>10789</v>
      </c>
    </row>
    <row r="3605" spans="1:5" x14ac:dyDescent="0.2">
      <c r="A3605" t="s">
        <v>10790</v>
      </c>
      <c r="B3605" t="s">
        <v>10791</v>
      </c>
      <c r="C3605" t="s">
        <v>10791</v>
      </c>
      <c r="D3605" t="str">
        <f>HYPERLINK("https://zfin.org/ZDB-GENE-120703-22")</f>
        <v>https://zfin.org/ZDB-GENE-120703-22</v>
      </c>
      <c r="E3605" t="s">
        <v>10792</v>
      </c>
    </row>
    <row r="3606" spans="1:5" x14ac:dyDescent="0.2">
      <c r="A3606" t="s">
        <v>10793</v>
      </c>
      <c r="B3606" t="s">
        <v>10794</v>
      </c>
      <c r="C3606" t="s">
        <v>10794</v>
      </c>
      <c r="D3606" t="str">
        <f>HYPERLINK("https://zfin.org/ZDB-GENE-040426-811")</f>
        <v>https://zfin.org/ZDB-GENE-040426-811</v>
      </c>
      <c r="E3606" t="s">
        <v>10795</v>
      </c>
    </row>
    <row r="3607" spans="1:5" x14ac:dyDescent="0.2">
      <c r="A3607" t="s">
        <v>10796</v>
      </c>
      <c r="B3607" t="s">
        <v>10797</v>
      </c>
      <c r="C3607" t="s">
        <v>10797</v>
      </c>
      <c r="D3607" t="str">
        <f>HYPERLINK("https://zfin.org/ZDB-GENE-050517-30")</f>
        <v>https://zfin.org/ZDB-GENE-050517-30</v>
      </c>
      <c r="E3607" t="s">
        <v>10798</v>
      </c>
    </row>
    <row r="3608" spans="1:5" x14ac:dyDescent="0.2">
      <c r="A3608" t="s">
        <v>10799</v>
      </c>
      <c r="B3608" t="s">
        <v>10800</v>
      </c>
      <c r="C3608" t="s">
        <v>10800</v>
      </c>
      <c r="D3608" t="str">
        <f>HYPERLINK("https://zfin.org/")</f>
        <v>https://zfin.org/</v>
      </c>
    </row>
    <row r="3609" spans="1:5" x14ac:dyDescent="0.2">
      <c r="A3609" t="s">
        <v>10801</v>
      </c>
      <c r="B3609" t="s">
        <v>10802</v>
      </c>
      <c r="C3609" t="s">
        <v>10802</v>
      </c>
      <c r="D3609" t="str">
        <f>HYPERLINK("https://zfin.org/ZDB-GENE-070912-298")</f>
        <v>https://zfin.org/ZDB-GENE-070912-298</v>
      </c>
      <c r="E3609" t="s">
        <v>10803</v>
      </c>
    </row>
    <row r="3610" spans="1:5" x14ac:dyDescent="0.2">
      <c r="A3610" t="s">
        <v>10804</v>
      </c>
      <c r="B3610" t="s">
        <v>10805</v>
      </c>
      <c r="C3610" t="s">
        <v>10805</v>
      </c>
      <c r="D3610" t="str">
        <f>HYPERLINK("https://zfin.org/ZDB-GENE-041001-210")</f>
        <v>https://zfin.org/ZDB-GENE-041001-210</v>
      </c>
      <c r="E3610" t="s">
        <v>10806</v>
      </c>
    </row>
    <row r="3611" spans="1:5" x14ac:dyDescent="0.2">
      <c r="A3611" t="s">
        <v>10807</v>
      </c>
      <c r="B3611" t="s">
        <v>10808</v>
      </c>
      <c r="C3611" t="s">
        <v>10808</v>
      </c>
      <c r="D3611" t="str">
        <f>HYPERLINK("https://zfin.org/ZDB-GENE-030131-667")</f>
        <v>https://zfin.org/ZDB-GENE-030131-667</v>
      </c>
      <c r="E3611" t="s">
        <v>10809</v>
      </c>
    </row>
    <row r="3612" spans="1:5" x14ac:dyDescent="0.2">
      <c r="A3612" t="s">
        <v>10810</v>
      </c>
      <c r="B3612" t="s">
        <v>10811</v>
      </c>
      <c r="C3612" t="s">
        <v>10811</v>
      </c>
      <c r="D3612" t="str">
        <f>HYPERLINK("https://zfin.org/ZDB-GENE-980605-16")</f>
        <v>https://zfin.org/ZDB-GENE-980605-16</v>
      </c>
      <c r="E3612" t="s">
        <v>10812</v>
      </c>
    </row>
    <row r="3613" spans="1:5" x14ac:dyDescent="0.2">
      <c r="A3613" t="s">
        <v>10813</v>
      </c>
      <c r="B3613" t="s">
        <v>10814</v>
      </c>
      <c r="C3613" t="s">
        <v>10814</v>
      </c>
      <c r="D3613" t="str">
        <f>HYPERLINK("https://zfin.org/ZDB-GENE-040426-1076")</f>
        <v>https://zfin.org/ZDB-GENE-040426-1076</v>
      </c>
      <c r="E3613" t="s">
        <v>10815</v>
      </c>
    </row>
    <row r="3614" spans="1:5" x14ac:dyDescent="0.2">
      <c r="A3614" t="s">
        <v>10816</v>
      </c>
      <c r="B3614" t="s">
        <v>10817</v>
      </c>
      <c r="C3614" t="s">
        <v>10817</v>
      </c>
      <c r="D3614" t="str">
        <f>HYPERLINK("https://zfin.org/ZDB-GENE-041010-200")</f>
        <v>https://zfin.org/ZDB-GENE-041010-200</v>
      </c>
      <c r="E3614" t="s">
        <v>10818</v>
      </c>
    </row>
    <row r="3615" spans="1:5" x14ac:dyDescent="0.2">
      <c r="A3615" t="s">
        <v>10819</v>
      </c>
      <c r="B3615" t="s">
        <v>10820</v>
      </c>
      <c r="C3615" t="s">
        <v>10820</v>
      </c>
      <c r="D3615" t="str">
        <f>HYPERLINK("https://zfin.org/ZDB-GENE-040426-1345")</f>
        <v>https://zfin.org/ZDB-GENE-040426-1345</v>
      </c>
      <c r="E3615" t="s">
        <v>10821</v>
      </c>
    </row>
    <row r="3616" spans="1:5" x14ac:dyDescent="0.2">
      <c r="A3616" t="s">
        <v>10822</v>
      </c>
      <c r="B3616" t="s">
        <v>10823</v>
      </c>
      <c r="C3616" t="s">
        <v>10823</v>
      </c>
      <c r="D3616" t="str">
        <f>HYPERLINK("https://zfin.org/ZDB-GENE-081104-519")</f>
        <v>https://zfin.org/ZDB-GENE-081104-519</v>
      </c>
      <c r="E3616" t="s">
        <v>10824</v>
      </c>
    </row>
    <row r="3617" spans="1:5" x14ac:dyDescent="0.2">
      <c r="A3617" t="s">
        <v>10825</v>
      </c>
      <c r="B3617" t="s">
        <v>10826</v>
      </c>
      <c r="C3617" t="s">
        <v>10826</v>
      </c>
      <c r="D3617" t="str">
        <f>HYPERLINK("https://zfin.org/ZDB-GENE-040426-1737")</f>
        <v>https://zfin.org/ZDB-GENE-040426-1737</v>
      </c>
      <c r="E3617" t="s">
        <v>10827</v>
      </c>
    </row>
    <row r="3618" spans="1:5" x14ac:dyDescent="0.2">
      <c r="A3618" t="s">
        <v>10828</v>
      </c>
      <c r="B3618" t="s">
        <v>10829</v>
      </c>
      <c r="C3618" t="s">
        <v>10829</v>
      </c>
      <c r="D3618" t="str">
        <f>HYPERLINK("https://zfin.org/ZDB-GENE-110411-228")</f>
        <v>https://zfin.org/ZDB-GENE-110411-228</v>
      </c>
      <c r="E3618" t="s">
        <v>10830</v>
      </c>
    </row>
    <row r="3619" spans="1:5" x14ac:dyDescent="0.2">
      <c r="A3619" t="s">
        <v>10831</v>
      </c>
      <c r="B3619" t="s">
        <v>10832</v>
      </c>
      <c r="C3619" t="s">
        <v>10832</v>
      </c>
      <c r="D3619" t="str">
        <f>HYPERLINK("https://zfin.org/ZDB-GENE-041014-72")</f>
        <v>https://zfin.org/ZDB-GENE-041014-72</v>
      </c>
      <c r="E3619" t="s">
        <v>10833</v>
      </c>
    </row>
    <row r="3620" spans="1:5" x14ac:dyDescent="0.2">
      <c r="A3620" t="s">
        <v>10834</v>
      </c>
      <c r="B3620" t="s">
        <v>10773</v>
      </c>
      <c r="C3620" t="s">
        <v>10835</v>
      </c>
      <c r="D3620" t="str">
        <f>HYPERLINK("https://zfin.org/ZDB-GENE-090313-347")</f>
        <v>https://zfin.org/ZDB-GENE-090313-347</v>
      </c>
      <c r="E3620" t="s">
        <v>10774</v>
      </c>
    </row>
    <row r="3621" spans="1:5" x14ac:dyDescent="0.2">
      <c r="A3621" t="s">
        <v>10836</v>
      </c>
      <c r="B3621" t="s">
        <v>10837</v>
      </c>
      <c r="C3621" t="s">
        <v>10837</v>
      </c>
      <c r="D3621" t="str">
        <f>HYPERLINK("https://zfin.org/ZDB-GENE-090313-165")</f>
        <v>https://zfin.org/ZDB-GENE-090313-165</v>
      </c>
      <c r="E3621" t="s">
        <v>10838</v>
      </c>
    </row>
    <row r="3622" spans="1:5" x14ac:dyDescent="0.2">
      <c r="A3622" t="s">
        <v>10839</v>
      </c>
      <c r="B3622" t="s">
        <v>10840</v>
      </c>
      <c r="C3622" t="s">
        <v>10840</v>
      </c>
      <c r="D3622" t="str">
        <f>HYPERLINK("https://zfin.org/ZDB-GENE-070410-43")</f>
        <v>https://zfin.org/ZDB-GENE-070410-43</v>
      </c>
      <c r="E3622" t="s">
        <v>10841</v>
      </c>
    </row>
    <row r="3623" spans="1:5" x14ac:dyDescent="0.2">
      <c r="A3623" t="s">
        <v>10842</v>
      </c>
      <c r="B3623" t="s">
        <v>10843</v>
      </c>
      <c r="C3623" t="s">
        <v>10843</v>
      </c>
      <c r="D3623" t="str">
        <f>HYPERLINK("https://zfin.org/ZDB-GENE-050227-19")</f>
        <v>https://zfin.org/ZDB-GENE-050227-19</v>
      </c>
      <c r="E3623" t="s">
        <v>10844</v>
      </c>
    </row>
    <row r="3624" spans="1:5" x14ac:dyDescent="0.2">
      <c r="A3624" t="s">
        <v>10845</v>
      </c>
      <c r="B3624" t="s">
        <v>10846</v>
      </c>
      <c r="C3624" t="s">
        <v>10846</v>
      </c>
      <c r="D3624" t="str">
        <f>HYPERLINK("https://zfin.org/ZDB-GENE-141212-221")</f>
        <v>https://zfin.org/ZDB-GENE-141212-221</v>
      </c>
      <c r="E3624" t="s">
        <v>10847</v>
      </c>
    </row>
    <row r="3625" spans="1:5" x14ac:dyDescent="0.2">
      <c r="A3625" t="s">
        <v>10848</v>
      </c>
      <c r="B3625" t="s">
        <v>10849</v>
      </c>
      <c r="C3625" t="s">
        <v>10849</v>
      </c>
      <c r="D3625" t="str">
        <f>HYPERLINK("https://zfin.org/ZDB-GENE-080513-1")</f>
        <v>https://zfin.org/ZDB-GENE-080513-1</v>
      </c>
      <c r="E3625" t="s">
        <v>10850</v>
      </c>
    </row>
    <row r="3626" spans="1:5" x14ac:dyDescent="0.2">
      <c r="A3626" t="s">
        <v>10851</v>
      </c>
      <c r="B3626" t="s">
        <v>10852</v>
      </c>
      <c r="C3626" t="s">
        <v>10852</v>
      </c>
      <c r="D3626" t="str">
        <f>HYPERLINK("https://zfin.org/ZDB-GENE-050309-14")</f>
        <v>https://zfin.org/ZDB-GENE-050309-14</v>
      </c>
      <c r="E3626" t="s">
        <v>10853</v>
      </c>
    </row>
    <row r="3627" spans="1:5" x14ac:dyDescent="0.2">
      <c r="A3627" t="s">
        <v>10854</v>
      </c>
      <c r="B3627" t="s">
        <v>10855</v>
      </c>
      <c r="C3627" t="s">
        <v>10855</v>
      </c>
      <c r="D3627" t="str">
        <f>HYPERLINK("https://zfin.org/ZDB-GENE-080204-49")</f>
        <v>https://zfin.org/ZDB-GENE-080204-49</v>
      </c>
      <c r="E3627" t="s">
        <v>10856</v>
      </c>
    </row>
    <row r="3628" spans="1:5" x14ac:dyDescent="0.2">
      <c r="A3628" t="s">
        <v>10857</v>
      </c>
      <c r="B3628" t="s">
        <v>10858</v>
      </c>
      <c r="C3628" t="s">
        <v>10858</v>
      </c>
      <c r="D3628" t="str">
        <f>HYPERLINK("https://zfin.org/ZDB-GENE-030131-4368")</f>
        <v>https://zfin.org/ZDB-GENE-030131-4368</v>
      </c>
      <c r="E3628" t="s">
        <v>10859</v>
      </c>
    </row>
    <row r="3629" spans="1:5" x14ac:dyDescent="0.2">
      <c r="A3629" t="s">
        <v>10860</v>
      </c>
      <c r="B3629" t="s">
        <v>10861</v>
      </c>
      <c r="C3629" t="s">
        <v>10861</v>
      </c>
      <c r="D3629" t="str">
        <f>HYPERLINK("https://zfin.org/ZDB-GENE-030131-7662")</f>
        <v>https://zfin.org/ZDB-GENE-030131-7662</v>
      </c>
      <c r="E3629" t="s">
        <v>10862</v>
      </c>
    </row>
    <row r="3630" spans="1:5" x14ac:dyDescent="0.2">
      <c r="A3630" t="s">
        <v>10863</v>
      </c>
      <c r="B3630" t="s">
        <v>10864</v>
      </c>
      <c r="C3630" t="s">
        <v>10864</v>
      </c>
      <c r="D3630" t="str">
        <f>HYPERLINK("https://zfin.org/ZDB-GENE-030131-9385")</f>
        <v>https://zfin.org/ZDB-GENE-030131-9385</v>
      </c>
      <c r="E3630" t="s">
        <v>10865</v>
      </c>
    </row>
    <row r="3631" spans="1:5" x14ac:dyDescent="0.2">
      <c r="A3631" t="s">
        <v>10866</v>
      </c>
      <c r="B3631" t="s">
        <v>10867</v>
      </c>
      <c r="C3631" t="s">
        <v>10867</v>
      </c>
      <c r="D3631" t="str">
        <f>HYPERLINK("https://zfin.org/ZDB-GENE-030131-8875")</f>
        <v>https://zfin.org/ZDB-GENE-030131-8875</v>
      </c>
      <c r="E3631" t="s">
        <v>10868</v>
      </c>
    </row>
    <row r="3632" spans="1:5" x14ac:dyDescent="0.2">
      <c r="A3632" t="s">
        <v>10869</v>
      </c>
      <c r="B3632" t="s">
        <v>10870</v>
      </c>
      <c r="C3632" t="s">
        <v>10870</v>
      </c>
      <c r="D3632" t="str">
        <f>HYPERLINK("https://zfin.org/ZDB-GENE-060503-121")</f>
        <v>https://zfin.org/ZDB-GENE-060503-121</v>
      </c>
      <c r="E3632" t="s">
        <v>10871</v>
      </c>
    </row>
    <row r="3633" spans="1:5" x14ac:dyDescent="0.2">
      <c r="A3633" t="s">
        <v>10872</v>
      </c>
      <c r="B3633" t="s">
        <v>10873</v>
      </c>
      <c r="C3633" t="s">
        <v>10873</v>
      </c>
      <c r="D3633" t="str">
        <f>HYPERLINK("https://zfin.org/ZDB-GENE-070209-1")</f>
        <v>https://zfin.org/ZDB-GENE-070209-1</v>
      </c>
      <c r="E3633" t="s">
        <v>10874</v>
      </c>
    </row>
    <row r="3634" spans="1:5" x14ac:dyDescent="0.2">
      <c r="A3634" t="s">
        <v>10875</v>
      </c>
      <c r="B3634" t="s">
        <v>10876</v>
      </c>
      <c r="C3634" t="s">
        <v>10876</v>
      </c>
      <c r="D3634" t="str">
        <f>HYPERLINK("https://zfin.org/ZDB-GENE-060526-361")</f>
        <v>https://zfin.org/ZDB-GENE-060526-361</v>
      </c>
      <c r="E3634" t="s">
        <v>10877</v>
      </c>
    </row>
    <row r="3635" spans="1:5" x14ac:dyDescent="0.2">
      <c r="A3635" t="s">
        <v>10878</v>
      </c>
      <c r="B3635" t="s">
        <v>10879</v>
      </c>
      <c r="C3635" t="s">
        <v>10879</v>
      </c>
      <c r="D3635" t="str">
        <f>HYPERLINK("https://zfin.org/ZDB-GENE-050417-42")</f>
        <v>https://zfin.org/ZDB-GENE-050417-42</v>
      </c>
      <c r="E3635" t="s">
        <v>10880</v>
      </c>
    </row>
    <row r="3636" spans="1:5" x14ac:dyDescent="0.2">
      <c r="A3636" t="s">
        <v>10881</v>
      </c>
      <c r="B3636" t="s">
        <v>10882</v>
      </c>
      <c r="C3636" t="s">
        <v>10882</v>
      </c>
      <c r="D3636" t="str">
        <f>HYPERLINK("https://zfin.org/ZDB-GENE-030131-5083")</f>
        <v>https://zfin.org/ZDB-GENE-030131-5083</v>
      </c>
      <c r="E3636" t="s">
        <v>10883</v>
      </c>
    </row>
    <row r="3637" spans="1:5" x14ac:dyDescent="0.2">
      <c r="A3637" t="s">
        <v>10884</v>
      </c>
      <c r="B3637" t="s">
        <v>10885</v>
      </c>
      <c r="C3637" t="s">
        <v>10885</v>
      </c>
      <c r="D3637" t="str">
        <f>HYPERLINK("https://zfin.org/ZDB-GENE-040718-10")</f>
        <v>https://zfin.org/ZDB-GENE-040718-10</v>
      </c>
      <c r="E3637" t="s">
        <v>10886</v>
      </c>
    </row>
    <row r="3638" spans="1:5" x14ac:dyDescent="0.2">
      <c r="A3638" t="s">
        <v>10887</v>
      </c>
      <c r="B3638" t="s">
        <v>10888</v>
      </c>
      <c r="C3638" t="s">
        <v>10888</v>
      </c>
      <c r="D3638" t="str">
        <f>HYPERLINK("https://zfin.org/ZDB-GENE-050522-283")</f>
        <v>https://zfin.org/ZDB-GENE-050522-283</v>
      </c>
      <c r="E3638" t="s">
        <v>10889</v>
      </c>
    </row>
    <row r="3639" spans="1:5" x14ac:dyDescent="0.2">
      <c r="A3639" t="s">
        <v>10890</v>
      </c>
      <c r="B3639" t="s">
        <v>10891</v>
      </c>
      <c r="C3639" t="s">
        <v>10891</v>
      </c>
      <c r="D3639" t="str">
        <f>HYPERLINK("https://zfin.org/ZDB-GENE-040426-1752")</f>
        <v>https://zfin.org/ZDB-GENE-040426-1752</v>
      </c>
      <c r="E3639" t="s">
        <v>10892</v>
      </c>
    </row>
    <row r="3640" spans="1:5" x14ac:dyDescent="0.2">
      <c r="A3640" t="s">
        <v>10893</v>
      </c>
      <c r="B3640" t="s">
        <v>10894</v>
      </c>
      <c r="C3640" t="s">
        <v>10894</v>
      </c>
      <c r="D3640" t="str">
        <f>HYPERLINK("https://zfin.org/ZDB-GENE-041124-3")</f>
        <v>https://zfin.org/ZDB-GENE-041124-3</v>
      </c>
      <c r="E3640" t="s">
        <v>10895</v>
      </c>
    </row>
    <row r="3641" spans="1:5" x14ac:dyDescent="0.2">
      <c r="A3641" t="s">
        <v>10896</v>
      </c>
      <c r="B3641" t="s">
        <v>10897</v>
      </c>
      <c r="C3641" t="s">
        <v>10897</v>
      </c>
      <c r="D3641" t="str">
        <f>HYPERLINK("https://zfin.org/ZDB-GENE-141219-17")</f>
        <v>https://zfin.org/ZDB-GENE-141219-17</v>
      </c>
      <c r="E3641" t="s">
        <v>10898</v>
      </c>
    </row>
    <row r="3642" spans="1:5" x14ac:dyDescent="0.2">
      <c r="A3642" t="s">
        <v>10899</v>
      </c>
      <c r="B3642" t="s">
        <v>10900</v>
      </c>
      <c r="C3642" t="s">
        <v>10900</v>
      </c>
      <c r="D3642" t="str">
        <f>HYPERLINK("https://zfin.org/ZDB-GENE-991110-16")</f>
        <v>https://zfin.org/ZDB-GENE-991110-16</v>
      </c>
      <c r="E3642" t="s">
        <v>10901</v>
      </c>
    </row>
    <row r="3643" spans="1:5" x14ac:dyDescent="0.2">
      <c r="A3643" t="s">
        <v>10902</v>
      </c>
      <c r="B3643" t="s">
        <v>10903</v>
      </c>
      <c r="C3643" t="s">
        <v>10903</v>
      </c>
      <c r="D3643" t="str">
        <f>HYPERLINK("https://zfin.org/ZDB-GENE-030131-6428")</f>
        <v>https://zfin.org/ZDB-GENE-030131-6428</v>
      </c>
      <c r="E3643" t="s">
        <v>10904</v>
      </c>
    </row>
    <row r="3644" spans="1:5" x14ac:dyDescent="0.2">
      <c r="A3644" t="s">
        <v>10905</v>
      </c>
      <c r="B3644" t="s">
        <v>10906</v>
      </c>
      <c r="C3644" t="s">
        <v>10906</v>
      </c>
      <c r="D3644" t="str">
        <f>HYPERLINK("https://zfin.org/ZDB-GENE-050913-21")</f>
        <v>https://zfin.org/ZDB-GENE-050913-21</v>
      </c>
      <c r="E3644" t="s">
        <v>10907</v>
      </c>
    </row>
    <row r="3645" spans="1:5" x14ac:dyDescent="0.2">
      <c r="A3645" t="s">
        <v>10908</v>
      </c>
      <c r="B3645" t="s">
        <v>10909</v>
      </c>
      <c r="C3645" t="s">
        <v>10909</v>
      </c>
      <c r="D3645" t="str">
        <f>HYPERLINK("https://zfin.org/ZDB-GENE-060312-34")</f>
        <v>https://zfin.org/ZDB-GENE-060312-34</v>
      </c>
      <c r="E3645" t="s">
        <v>10910</v>
      </c>
    </row>
    <row r="3646" spans="1:5" x14ac:dyDescent="0.2">
      <c r="A3646" t="s">
        <v>10911</v>
      </c>
      <c r="B3646" t="s">
        <v>10912</v>
      </c>
      <c r="C3646" t="s">
        <v>10912</v>
      </c>
      <c r="D3646" t="str">
        <f>HYPERLINK("https://zfin.org/ZDB-GENE-121214-116")</f>
        <v>https://zfin.org/ZDB-GENE-121214-116</v>
      </c>
      <c r="E3646" t="s">
        <v>10913</v>
      </c>
    </row>
    <row r="3647" spans="1:5" x14ac:dyDescent="0.2">
      <c r="A3647" t="s">
        <v>10914</v>
      </c>
      <c r="B3647" t="s">
        <v>10915</v>
      </c>
      <c r="C3647" t="s">
        <v>10915</v>
      </c>
      <c r="D3647" t="str">
        <f>HYPERLINK("https://zfin.org/ZDB-GENE-040914-55")</f>
        <v>https://zfin.org/ZDB-GENE-040914-55</v>
      </c>
      <c r="E3647" t="s">
        <v>10916</v>
      </c>
    </row>
    <row r="3648" spans="1:5" x14ac:dyDescent="0.2">
      <c r="A3648" t="s">
        <v>10917</v>
      </c>
      <c r="B3648" t="s">
        <v>10918</v>
      </c>
      <c r="C3648" t="s">
        <v>10918</v>
      </c>
      <c r="D3648" t="str">
        <f>HYPERLINK("https://zfin.org/ZDB-GENE-050417-334")</f>
        <v>https://zfin.org/ZDB-GENE-050417-334</v>
      </c>
      <c r="E3648" t="s">
        <v>10919</v>
      </c>
    </row>
    <row r="3649" spans="1:5" x14ac:dyDescent="0.2">
      <c r="A3649" t="s">
        <v>10920</v>
      </c>
      <c r="B3649" t="s">
        <v>10921</v>
      </c>
      <c r="C3649" t="s">
        <v>10921</v>
      </c>
      <c r="D3649" t="str">
        <f>HYPERLINK("https://zfin.org/ZDB-GENE-050522-65")</f>
        <v>https://zfin.org/ZDB-GENE-050522-65</v>
      </c>
      <c r="E3649" t="s">
        <v>10922</v>
      </c>
    </row>
    <row r="3650" spans="1:5" x14ac:dyDescent="0.2">
      <c r="A3650" t="s">
        <v>10923</v>
      </c>
      <c r="B3650" t="s">
        <v>10924</v>
      </c>
      <c r="C3650" t="s">
        <v>10924</v>
      </c>
      <c r="D3650" t="str">
        <f>HYPERLINK("https://zfin.org/ZDB-GENE-990715-1")</f>
        <v>https://zfin.org/ZDB-GENE-990715-1</v>
      </c>
      <c r="E3650" t="s">
        <v>10925</v>
      </c>
    </row>
    <row r="3651" spans="1:5" x14ac:dyDescent="0.2">
      <c r="A3651" t="s">
        <v>10926</v>
      </c>
      <c r="B3651" t="s">
        <v>10927</v>
      </c>
      <c r="C3651" t="s">
        <v>10927</v>
      </c>
      <c r="D3651" t="str">
        <f>HYPERLINK("https://zfin.org/ZDB-GENE-991008-16")</f>
        <v>https://zfin.org/ZDB-GENE-991008-16</v>
      </c>
      <c r="E3651" t="s">
        <v>10928</v>
      </c>
    </row>
    <row r="3652" spans="1:5" x14ac:dyDescent="0.2">
      <c r="A3652" t="s">
        <v>10929</v>
      </c>
      <c r="B3652" t="s">
        <v>10930</v>
      </c>
      <c r="C3652" t="s">
        <v>10930</v>
      </c>
      <c r="D3652" t="str">
        <f>HYPERLINK("https://zfin.org/ZDB-GENE-080219-32")</f>
        <v>https://zfin.org/ZDB-GENE-080219-32</v>
      </c>
      <c r="E3652" t="s">
        <v>10931</v>
      </c>
    </row>
    <row r="3653" spans="1:5" x14ac:dyDescent="0.2">
      <c r="A3653" t="s">
        <v>10932</v>
      </c>
      <c r="B3653" t="s">
        <v>10933</v>
      </c>
      <c r="C3653" t="s">
        <v>10933</v>
      </c>
      <c r="D3653" t="str">
        <f>HYPERLINK("https://zfin.org/ZDB-GENE-081104-48")</f>
        <v>https://zfin.org/ZDB-GENE-081104-48</v>
      </c>
      <c r="E3653" t="s">
        <v>10934</v>
      </c>
    </row>
    <row r="3654" spans="1:5" x14ac:dyDescent="0.2">
      <c r="A3654" t="s">
        <v>10935</v>
      </c>
      <c r="B3654" t="s">
        <v>10936</v>
      </c>
      <c r="C3654" t="s">
        <v>10936</v>
      </c>
      <c r="D3654" t="str">
        <f>HYPERLINK("https://zfin.org/ZDB-GENE-091204-188")</f>
        <v>https://zfin.org/ZDB-GENE-091204-188</v>
      </c>
      <c r="E3654" t="s">
        <v>10937</v>
      </c>
    </row>
    <row r="3655" spans="1:5" x14ac:dyDescent="0.2">
      <c r="A3655" t="s">
        <v>10938</v>
      </c>
      <c r="B3655" t="s">
        <v>10939</v>
      </c>
      <c r="C3655" t="s">
        <v>10939</v>
      </c>
      <c r="D3655" t="str">
        <f>HYPERLINK("https://zfin.org/ZDB-GENE-030131-3671")</f>
        <v>https://zfin.org/ZDB-GENE-030131-3671</v>
      </c>
      <c r="E3655" t="s">
        <v>10940</v>
      </c>
    </row>
    <row r="3656" spans="1:5" x14ac:dyDescent="0.2">
      <c r="A3656" t="s">
        <v>10941</v>
      </c>
      <c r="B3656" t="s">
        <v>10942</v>
      </c>
      <c r="C3656" t="s">
        <v>10942</v>
      </c>
      <c r="D3656" t="str">
        <f>HYPERLINK("https://zfin.org/ZDB-GENE-030131-662")</f>
        <v>https://zfin.org/ZDB-GENE-030131-662</v>
      </c>
      <c r="E3656" t="s">
        <v>10943</v>
      </c>
    </row>
    <row r="3657" spans="1:5" x14ac:dyDescent="0.2">
      <c r="A3657" t="s">
        <v>10944</v>
      </c>
      <c r="B3657" t="s">
        <v>10945</v>
      </c>
      <c r="C3657" t="s">
        <v>10945</v>
      </c>
      <c r="D3657" t="str">
        <f>HYPERLINK("https://zfin.org/ZDB-GENE-070822-23")</f>
        <v>https://zfin.org/ZDB-GENE-070822-23</v>
      </c>
      <c r="E3657" t="s">
        <v>10946</v>
      </c>
    </row>
    <row r="3658" spans="1:5" x14ac:dyDescent="0.2">
      <c r="A3658" t="s">
        <v>10947</v>
      </c>
      <c r="B3658" t="s">
        <v>10948</v>
      </c>
      <c r="C3658" t="s">
        <v>10948</v>
      </c>
      <c r="D3658" t="str">
        <f>HYPERLINK("https://zfin.org/ZDB-GENE-121214-198")</f>
        <v>https://zfin.org/ZDB-GENE-121214-198</v>
      </c>
      <c r="E3658" t="s">
        <v>10949</v>
      </c>
    </row>
    <row r="3659" spans="1:5" x14ac:dyDescent="0.2">
      <c r="A3659" t="s">
        <v>10950</v>
      </c>
      <c r="B3659" t="s">
        <v>10951</v>
      </c>
      <c r="C3659" t="s">
        <v>10951</v>
      </c>
      <c r="D3659" t="str">
        <f>HYPERLINK("https://zfin.org/ZDB-GENE-050913-58")</f>
        <v>https://zfin.org/ZDB-GENE-050913-58</v>
      </c>
      <c r="E3659" t="s">
        <v>10952</v>
      </c>
    </row>
    <row r="3660" spans="1:5" x14ac:dyDescent="0.2">
      <c r="A3660" t="s">
        <v>10953</v>
      </c>
      <c r="B3660" t="s">
        <v>10954</v>
      </c>
      <c r="C3660" t="s">
        <v>10954</v>
      </c>
      <c r="D3660" t="str">
        <f>HYPERLINK("https://zfin.org/ZDB-GENE-000607-82")</f>
        <v>https://zfin.org/ZDB-GENE-000607-82</v>
      </c>
      <c r="E3660" t="s">
        <v>10955</v>
      </c>
    </row>
    <row r="3661" spans="1:5" x14ac:dyDescent="0.2">
      <c r="A3661" t="s">
        <v>10956</v>
      </c>
      <c r="B3661" t="s">
        <v>10957</v>
      </c>
      <c r="C3661" t="s">
        <v>10957</v>
      </c>
      <c r="D3661" t="str">
        <f>HYPERLINK("https://zfin.org/ZDB-GENE-070912-323")</f>
        <v>https://zfin.org/ZDB-GENE-070912-323</v>
      </c>
      <c r="E3661" t="s">
        <v>10958</v>
      </c>
    </row>
    <row r="3662" spans="1:5" x14ac:dyDescent="0.2">
      <c r="A3662" t="s">
        <v>10959</v>
      </c>
      <c r="B3662" t="s">
        <v>10960</v>
      </c>
      <c r="C3662" t="s">
        <v>10960</v>
      </c>
      <c r="D3662" t="str">
        <f>HYPERLINK("https://zfin.org/ZDB-GENE-050419-242")</f>
        <v>https://zfin.org/ZDB-GENE-050419-242</v>
      </c>
      <c r="E3662" t="s">
        <v>10961</v>
      </c>
    </row>
    <row r="3663" spans="1:5" x14ac:dyDescent="0.2">
      <c r="A3663" t="s">
        <v>10962</v>
      </c>
      <c r="B3663" t="s">
        <v>10963</v>
      </c>
      <c r="C3663" t="s">
        <v>10963</v>
      </c>
      <c r="D3663" t="str">
        <f>HYPERLINK("https://zfin.org/ZDB-GENE-030131-9582")</f>
        <v>https://zfin.org/ZDB-GENE-030131-9582</v>
      </c>
      <c r="E3663" t="s">
        <v>10964</v>
      </c>
    </row>
    <row r="3664" spans="1:5" x14ac:dyDescent="0.2">
      <c r="A3664" t="s">
        <v>10965</v>
      </c>
      <c r="B3664" t="s">
        <v>10966</v>
      </c>
      <c r="C3664" t="s">
        <v>10966</v>
      </c>
      <c r="D3664" t="str">
        <f>HYPERLINK("https://zfin.org/ZDB-GENE-030131-6101")</f>
        <v>https://zfin.org/ZDB-GENE-030131-6101</v>
      </c>
      <c r="E3664" t="s">
        <v>10967</v>
      </c>
    </row>
    <row r="3665" spans="1:5" x14ac:dyDescent="0.2">
      <c r="A3665" t="s">
        <v>10968</v>
      </c>
      <c r="B3665" t="s">
        <v>10969</v>
      </c>
      <c r="C3665" t="s">
        <v>10969</v>
      </c>
      <c r="D3665" t="str">
        <f>HYPERLINK("https://zfin.org/ZDB-GENE-080225-43")</f>
        <v>https://zfin.org/ZDB-GENE-080225-43</v>
      </c>
      <c r="E3665" t="s">
        <v>10970</v>
      </c>
    </row>
    <row r="3666" spans="1:5" x14ac:dyDescent="0.2">
      <c r="A3666" t="s">
        <v>10971</v>
      </c>
      <c r="B3666" t="s">
        <v>10972</v>
      </c>
      <c r="C3666" t="s">
        <v>10972</v>
      </c>
      <c r="D3666" t="str">
        <f>HYPERLINK("https://zfin.org/ZDB-GENE-131125-11")</f>
        <v>https://zfin.org/ZDB-GENE-131125-11</v>
      </c>
      <c r="E3666" t="s">
        <v>10973</v>
      </c>
    </row>
    <row r="3667" spans="1:5" x14ac:dyDescent="0.2">
      <c r="A3667" t="s">
        <v>10974</v>
      </c>
      <c r="B3667" t="s">
        <v>10975</v>
      </c>
      <c r="C3667" t="s">
        <v>10975</v>
      </c>
      <c r="D3667" t="str">
        <f>HYPERLINK("https://zfin.org/ZDB-GENE-070912-246")</f>
        <v>https://zfin.org/ZDB-GENE-070912-246</v>
      </c>
      <c r="E3667" t="s">
        <v>10976</v>
      </c>
    </row>
    <row r="3668" spans="1:5" x14ac:dyDescent="0.2">
      <c r="A3668" t="s">
        <v>10977</v>
      </c>
      <c r="B3668" t="s">
        <v>10978</v>
      </c>
      <c r="C3668" t="s">
        <v>10978</v>
      </c>
      <c r="D3668" t="str">
        <f>HYPERLINK("https://zfin.org/ZDB-GENE-030131-717")</f>
        <v>https://zfin.org/ZDB-GENE-030131-717</v>
      </c>
      <c r="E3668" t="s">
        <v>10979</v>
      </c>
    </row>
    <row r="3669" spans="1:5" x14ac:dyDescent="0.2">
      <c r="A3669" t="s">
        <v>10980</v>
      </c>
      <c r="B3669" t="s">
        <v>10981</v>
      </c>
      <c r="C3669" t="s">
        <v>10981</v>
      </c>
      <c r="D3669" t="str">
        <f>HYPERLINK("https://zfin.org/ZDB-GENE-991102-16")</f>
        <v>https://zfin.org/ZDB-GENE-991102-16</v>
      </c>
      <c r="E3669" t="s">
        <v>10982</v>
      </c>
    </row>
    <row r="3670" spans="1:5" x14ac:dyDescent="0.2">
      <c r="A3670" t="s">
        <v>10983</v>
      </c>
      <c r="B3670" t="s">
        <v>10984</v>
      </c>
      <c r="C3670" t="s">
        <v>10984</v>
      </c>
      <c r="D3670" t="str">
        <f>HYPERLINK("https://zfin.org/ZDB-GENE-030131-3200")</f>
        <v>https://zfin.org/ZDB-GENE-030131-3200</v>
      </c>
      <c r="E3670" t="s">
        <v>10985</v>
      </c>
    </row>
    <row r="3671" spans="1:5" x14ac:dyDescent="0.2">
      <c r="A3671" t="s">
        <v>10986</v>
      </c>
      <c r="B3671" t="s">
        <v>10987</v>
      </c>
      <c r="C3671" t="s">
        <v>10987</v>
      </c>
      <c r="D3671" t="str">
        <f>HYPERLINK("https://zfin.org/ZDB-GENE-060727-1")</f>
        <v>https://zfin.org/ZDB-GENE-060727-1</v>
      </c>
      <c r="E3671" t="s">
        <v>10988</v>
      </c>
    </row>
    <row r="3672" spans="1:5" x14ac:dyDescent="0.2">
      <c r="A3672" t="s">
        <v>10989</v>
      </c>
      <c r="B3672" t="s">
        <v>10990</v>
      </c>
      <c r="C3672" t="s">
        <v>10990</v>
      </c>
      <c r="D3672" t="str">
        <f>HYPERLINK("https://zfin.org/ZDB-GENE-121214-197")</f>
        <v>https://zfin.org/ZDB-GENE-121214-197</v>
      </c>
      <c r="E3672" t="s">
        <v>10991</v>
      </c>
    </row>
    <row r="3673" spans="1:5" x14ac:dyDescent="0.2">
      <c r="A3673" t="s">
        <v>10992</v>
      </c>
      <c r="B3673" t="s">
        <v>10993</v>
      </c>
      <c r="C3673" t="s">
        <v>10993</v>
      </c>
      <c r="D3673" t="str">
        <f>HYPERLINK("https://zfin.org/ZDB-GENE-030131-2841")</f>
        <v>https://zfin.org/ZDB-GENE-030131-2841</v>
      </c>
      <c r="E3673" t="s">
        <v>10994</v>
      </c>
    </row>
    <row r="3674" spans="1:5" x14ac:dyDescent="0.2">
      <c r="A3674" t="s">
        <v>10995</v>
      </c>
      <c r="B3674" t="s">
        <v>10996</v>
      </c>
      <c r="C3674" t="s">
        <v>10996</v>
      </c>
      <c r="D3674" t="str">
        <f>HYPERLINK("https://zfin.org/ZDB-GENE-070912-277")</f>
        <v>https://zfin.org/ZDB-GENE-070912-277</v>
      </c>
      <c r="E3674" t="s">
        <v>10997</v>
      </c>
    </row>
    <row r="3675" spans="1:5" x14ac:dyDescent="0.2">
      <c r="A3675" t="s">
        <v>10998</v>
      </c>
      <c r="B3675" t="s">
        <v>10999</v>
      </c>
      <c r="C3675" t="s">
        <v>10999</v>
      </c>
      <c r="D3675" t="str">
        <f>HYPERLINK("https://zfin.org/ZDB-GENE-110609-2")</f>
        <v>https://zfin.org/ZDB-GENE-110609-2</v>
      </c>
      <c r="E3675" t="s">
        <v>11000</v>
      </c>
    </row>
    <row r="3676" spans="1:5" x14ac:dyDescent="0.2">
      <c r="A3676" t="s">
        <v>11001</v>
      </c>
      <c r="B3676" t="s">
        <v>11002</v>
      </c>
      <c r="C3676" t="s">
        <v>11002</v>
      </c>
      <c r="D3676" t="str">
        <f>HYPERLINK("https://zfin.org/ZDB-GENE-081205-4")</f>
        <v>https://zfin.org/ZDB-GENE-081205-4</v>
      </c>
      <c r="E3676" t="s">
        <v>11003</v>
      </c>
    </row>
    <row r="3677" spans="1:5" x14ac:dyDescent="0.2">
      <c r="A3677" t="s">
        <v>11004</v>
      </c>
      <c r="B3677" t="s">
        <v>11005</v>
      </c>
      <c r="C3677" t="s">
        <v>11005</v>
      </c>
      <c r="D3677" t="str">
        <f>HYPERLINK("https://zfin.org/ZDB-GENE-110307-2")</f>
        <v>https://zfin.org/ZDB-GENE-110307-2</v>
      </c>
      <c r="E3677" t="s">
        <v>11006</v>
      </c>
    </row>
    <row r="3678" spans="1:5" x14ac:dyDescent="0.2">
      <c r="A3678" t="s">
        <v>11007</v>
      </c>
      <c r="B3678" t="s">
        <v>11008</v>
      </c>
      <c r="C3678" t="s">
        <v>11008</v>
      </c>
      <c r="D3678" t="str">
        <f>HYPERLINK("https://zfin.org/ZDB-GENE-060526-181")</f>
        <v>https://zfin.org/ZDB-GENE-060526-181</v>
      </c>
      <c r="E3678" t="s">
        <v>11009</v>
      </c>
    </row>
    <row r="3679" spans="1:5" x14ac:dyDescent="0.2">
      <c r="A3679" t="s">
        <v>11010</v>
      </c>
      <c r="B3679" t="s">
        <v>11011</v>
      </c>
      <c r="C3679" t="s">
        <v>11011</v>
      </c>
      <c r="D3679" t="str">
        <f>HYPERLINK("https://zfin.org/ZDB-GENE-061128-1")</f>
        <v>https://zfin.org/ZDB-GENE-061128-1</v>
      </c>
      <c r="E3679" t="s">
        <v>11012</v>
      </c>
    </row>
    <row r="3680" spans="1:5" x14ac:dyDescent="0.2">
      <c r="A3680" t="s">
        <v>11013</v>
      </c>
      <c r="B3680" t="s">
        <v>11014</v>
      </c>
      <c r="C3680" t="s">
        <v>11014</v>
      </c>
      <c r="D3680" t="str">
        <f>HYPERLINK("https://zfin.org/ZDB-GENE-110913-49")</f>
        <v>https://zfin.org/ZDB-GENE-110913-49</v>
      </c>
      <c r="E3680" t="s">
        <v>11015</v>
      </c>
    </row>
    <row r="3681" spans="1:5" x14ac:dyDescent="0.2">
      <c r="A3681" t="s">
        <v>11016</v>
      </c>
      <c r="B3681" t="s">
        <v>11017</v>
      </c>
      <c r="C3681" t="s">
        <v>11017</v>
      </c>
      <c r="D3681" t="str">
        <f>HYPERLINK("https://zfin.org/ZDB-GENE-040718-120")</f>
        <v>https://zfin.org/ZDB-GENE-040718-120</v>
      </c>
      <c r="E3681" t="s">
        <v>11018</v>
      </c>
    </row>
    <row r="3682" spans="1:5" x14ac:dyDescent="0.2">
      <c r="A3682" t="s">
        <v>11019</v>
      </c>
      <c r="B3682" t="s">
        <v>11020</v>
      </c>
      <c r="C3682" t="s">
        <v>11020</v>
      </c>
      <c r="D3682" t="str">
        <f>HYPERLINK("https://zfin.org/ZDB-GENE-030829-3")</f>
        <v>https://zfin.org/ZDB-GENE-030829-3</v>
      </c>
      <c r="E3682" t="s">
        <v>11021</v>
      </c>
    </row>
    <row r="3683" spans="1:5" x14ac:dyDescent="0.2">
      <c r="A3683" t="s">
        <v>11022</v>
      </c>
      <c r="B3683" t="s">
        <v>11023</v>
      </c>
      <c r="C3683" t="s">
        <v>11023</v>
      </c>
      <c r="D3683" t="str">
        <f>HYPERLINK("https://zfin.org/ZDB-GENE-040718-258")</f>
        <v>https://zfin.org/ZDB-GENE-040718-258</v>
      </c>
      <c r="E3683" t="s">
        <v>11024</v>
      </c>
    </row>
    <row r="3684" spans="1:5" x14ac:dyDescent="0.2">
      <c r="A3684" t="s">
        <v>11025</v>
      </c>
      <c r="B3684" t="s">
        <v>11026</v>
      </c>
      <c r="C3684" t="s">
        <v>11026</v>
      </c>
      <c r="D3684" t="str">
        <f>HYPERLINK("https://zfin.org/ZDB-GENE-030131-5186")</f>
        <v>https://zfin.org/ZDB-GENE-030131-5186</v>
      </c>
      <c r="E3684" t="s">
        <v>11027</v>
      </c>
    </row>
    <row r="3685" spans="1:5" x14ac:dyDescent="0.2">
      <c r="A3685" t="s">
        <v>11028</v>
      </c>
      <c r="B3685" t="s">
        <v>11029</v>
      </c>
      <c r="C3685" t="s">
        <v>11029</v>
      </c>
      <c r="D3685" t="str">
        <f>HYPERLINK("https://zfin.org/ZDB-GENE-041010-105")</f>
        <v>https://zfin.org/ZDB-GENE-041010-105</v>
      </c>
      <c r="E3685" t="s">
        <v>11030</v>
      </c>
    </row>
    <row r="3686" spans="1:5" x14ac:dyDescent="0.2">
      <c r="A3686" t="s">
        <v>11031</v>
      </c>
      <c r="B3686" t="s">
        <v>11032</v>
      </c>
      <c r="C3686" t="s">
        <v>11032</v>
      </c>
      <c r="D3686" t="str">
        <f>HYPERLINK("https://zfin.org/ZDB-GENE-030131-693")</f>
        <v>https://zfin.org/ZDB-GENE-030131-693</v>
      </c>
      <c r="E3686" t="s">
        <v>11033</v>
      </c>
    </row>
    <row r="3687" spans="1:5" x14ac:dyDescent="0.2">
      <c r="A3687" t="s">
        <v>11034</v>
      </c>
      <c r="B3687" t="s">
        <v>11035</v>
      </c>
      <c r="C3687" t="s">
        <v>11035</v>
      </c>
      <c r="D3687" t="str">
        <f>HYPERLINK("https://zfin.org/ZDB-GENE-090313-288")</f>
        <v>https://zfin.org/ZDB-GENE-090313-288</v>
      </c>
      <c r="E3687" t="s">
        <v>11036</v>
      </c>
    </row>
    <row r="3688" spans="1:5" x14ac:dyDescent="0.2">
      <c r="A3688" t="s">
        <v>11037</v>
      </c>
      <c r="B3688" t="s">
        <v>11038</v>
      </c>
      <c r="C3688" t="s">
        <v>11038</v>
      </c>
      <c r="D3688" t="str">
        <f>HYPERLINK("https://zfin.org/ZDB-GENE-030131-3586")</f>
        <v>https://zfin.org/ZDB-GENE-030131-3586</v>
      </c>
      <c r="E3688" t="s">
        <v>11039</v>
      </c>
    </row>
    <row r="3689" spans="1:5" x14ac:dyDescent="0.2">
      <c r="A3689" t="s">
        <v>11040</v>
      </c>
      <c r="B3689" t="s">
        <v>11041</v>
      </c>
      <c r="C3689" t="s">
        <v>11041</v>
      </c>
      <c r="D3689" t="str">
        <f>HYPERLINK("https://zfin.org/ZDB-GENE-000210-33")</f>
        <v>https://zfin.org/ZDB-GENE-000210-33</v>
      </c>
      <c r="E3689" t="s">
        <v>11042</v>
      </c>
    </row>
    <row r="3690" spans="1:5" x14ac:dyDescent="0.2">
      <c r="A3690" t="s">
        <v>11043</v>
      </c>
      <c r="B3690" t="s">
        <v>11044</v>
      </c>
      <c r="C3690" t="s">
        <v>11044</v>
      </c>
      <c r="D3690" t="str">
        <f>HYPERLINK("https://zfin.org/ZDB-GENE-070810-2")</f>
        <v>https://zfin.org/ZDB-GENE-070810-2</v>
      </c>
      <c r="E3690" t="s">
        <v>11045</v>
      </c>
    </row>
    <row r="3691" spans="1:5" x14ac:dyDescent="0.2">
      <c r="A3691" t="s">
        <v>11046</v>
      </c>
      <c r="B3691" t="s">
        <v>11047</v>
      </c>
      <c r="C3691" t="s">
        <v>11047</v>
      </c>
      <c r="D3691" t="str">
        <f>HYPERLINK("https://zfin.org/ZDB-GENE-060526-163")</f>
        <v>https://zfin.org/ZDB-GENE-060526-163</v>
      </c>
      <c r="E3691" t="s">
        <v>11048</v>
      </c>
    </row>
    <row r="3692" spans="1:5" x14ac:dyDescent="0.2">
      <c r="A3692" t="s">
        <v>11049</v>
      </c>
      <c r="B3692" t="s">
        <v>11050</v>
      </c>
      <c r="C3692" t="s">
        <v>11050</v>
      </c>
      <c r="D3692" t="str">
        <f>HYPERLINK("https://zfin.org/ZDB-GENE-141212-372")</f>
        <v>https://zfin.org/ZDB-GENE-141212-372</v>
      </c>
      <c r="E3692" t="s">
        <v>11051</v>
      </c>
    </row>
    <row r="3693" spans="1:5" x14ac:dyDescent="0.2">
      <c r="A3693" t="s">
        <v>11052</v>
      </c>
      <c r="B3693" t="s">
        <v>11053</v>
      </c>
      <c r="C3693" t="s">
        <v>11053</v>
      </c>
      <c r="D3693" t="str">
        <f>HYPERLINK("https://zfin.org/ZDB-GENE-030909-13")</f>
        <v>https://zfin.org/ZDB-GENE-030909-13</v>
      </c>
      <c r="E3693" t="s">
        <v>11054</v>
      </c>
    </row>
    <row r="3694" spans="1:5" x14ac:dyDescent="0.2">
      <c r="A3694" t="s">
        <v>11055</v>
      </c>
      <c r="B3694" t="s">
        <v>11056</v>
      </c>
      <c r="C3694" t="s">
        <v>11056</v>
      </c>
      <c r="D3694" t="str">
        <f>HYPERLINK("https://zfin.org/ZDB-GENE-091020-6")</f>
        <v>https://zfin.org/ZDB-GENE-091020-6</v>
      </c>
      <c r="E3694" t="s">
        <v>11057</v>
      </c>
    </row>
    <row r="3695" spans="1:5" x14ac:dyDescent="0.2">
      <c r="A3695" t="s">
        <v>11058</v>
      </c>
      <c r="B3695" t="s">
        <v>2859</v>
      </c>
      <c r="C3695" t="s">
        <v>11059</v>
      </c>
      <c r="D3695" t="str">
        <f>HYPERLINK("https://zfin.org/ZDB-GENE-081105-50")</f>
        <v>https://zfin.org/ZDB-GENE-081105-50</v>
      </c>
      <c r="E3695" t="s">
        <v>11060</v>
      </c>
    </row>
    <row r="3696" spans="1:5" x14ac:dyDescent="0.2">
      <c r="A3696" t="s">
        <v>11061</v>
      </c>
      <c r="B3696" t="s">
        <v>11062</v>
      </c>
      <c r="C3696" t="s">
        <v>11062</v>
      </c>
      <c r="D3696" t="str">
        <f>HYPERLINK("https://zfin.org/ZDB-GENE-040426-1382")</f>
        <v>https://zfin.org/ZDB-GENE-040426-1382</v>
      </c>
      <c r="E3696" t="s">
        <v>11063</v>
      </c>
    </row>
    <row r="3697" spans="1:5" x14ac:dyDescent="0.2">
      <c r="A3697" t="s">
        <v>11064</v>
      </c>
      <c r="B3697" t="s">
        <v>11065</v>
      </c>
      <c r="C3697" t="s">
        <v>11065</v>
      </c>
      <c r="D3697" t="str">
        <f>HYPERLINK("https://zfin.org/ZDB-GENE-030131-5107")</f>
        <v>https://zfin.org/ZDB-GENE-030131-5107</v>
      </c>
      <c r="E3697" t="s">
        <v>11066</v>
      </c>
    </row>
    <row r="3698" spans="1:5" x14ac:dyDescent="0.2">
      <c r="A3698" t="s">
        <v>11067</v>
      </c>
      <c r="B3698" t="s">
        <v>11068</v>
      </c>
      <c r="C3698" t="s">
        <v>11068</v>
      </c>
      <c r="D3698" t="str">
        <f>HYPERLINK("https://zfin.org/ZDB-GENE-050506-1")</f>
        <v>https://zfin.org/ZDB-GENE-050506-1</v>
      </c>
      <c r="E3698" t="s">
        <v>11069</v>
      </c>
    </row>
    <row r="3699" spans="1:5" x14ac:dyDescent="0.2">
      <c r="A3699" t="s">
        <v>11070</v>
      </c>
      <c r="B3699" t="s">
        <v>11071</v>
      </c>
      <c r="C3699" t="s">
        <v>11071</v>
      </c>
      <c r="D3699" t="str">
        <f>HYPERLINK("https://zfin.org/ZDB-GENE-070112-922")</f>
        <v>https://zfin.org/ZDB-GENE-070112-922</v>
      </c>
      <c r="E3699" t="s">
        <v>11072</v>
      </c>
    </row>
    <row r="3700" spans="1:5" x14ac:dyDescent="0.2">
      <c r="A3700" t="s">
        <v>11073</v>
      </c>
      <c r="B3700" t="s">
        <v>11074</v>
      </c>
      <c r="C3700" t="s">
        <v>11074</v>
      </c>
      <c r="D3700" t="str">
        <f>HYPERLINK("https://zfin.org/ZDB-GENE-040718-7")</f>
        <v>https://zfin.org/ZDB-GENE-040718-7</v>
      </c>
      <c r="E3700" t="s">
        <v>11075</v>
      </c>
    </row>
    <row r="3701" spans="1:5" x14ac:dyDescent="0.2">
      <c r="A3701" t="s">
        <v>11076</v>
      </c>
      <c r="B3701" t="s">
        <v>11077</v>
      </c>
      <c r="C3701" t="s">
        <v>11077</v>
      </c>
      <c r="D3701" t="str">
        <f>HYPERLINK("https://zfin.org/ZDB-GENE-030131-848")</f>
        <v>https://zfin.org/ZDB-GENE-030131-848</v>
      </c>
      <c r="E3701" t="s">
        <v>11078</v>
      </c>
    </row>
    <row r="3702" spans="1:5" x14ac:dyDescent="0.2">
      <c r="A3702" t="s">
        <v>11079</v>
      </c>
      <c r="B3702" t="s">
        <v>11080</v>
      </c>
      <c r="C3702" t="s">
        <v>11080</v>
      </c>
      <c r="D3702" t="str">
        <f>HYPERLINK("https://zfin.org/ZDB-GENE-070822-28")</f>
        <v>https://zfin.org/ZDB-GENE-070822-28</v>
      </c>
      <c r="E3702" t="s">
        <v>11081</v>
      </c>
    </row>
    <row r="3703" spans="1:5" x14ac:dyDescent="0.2">
      <c r="A3703" t="s">
        <v>11082</v>
      </c>
      <c r="B3703" t="s">
        <v>11083</v>
      </c>
      <c r="C3703" t="s">
        <v>11083</v>
      </c>
      <c r="D3703" t="str">
        <f>HYPERLINK("https://zfin.org/ZDB-GENE-081105-53")</f>
        <v>https://zfin.org/ZDB-GENE-081105-53</v>
      </c>
      <c r="E3703" t="s">
        <v>11084</v>
      </c>
    </row>
    <row r="3704" spans="1:5" x14ac:dyDescent="0.2">
      <c r="A3704" t="s">
        <v>11085</v>
      </c>
      <c r="B3704" t="s">
        <v>11086</v>
      </c>
      <c r="C3704" t="s">
        <v>11086</v>
      </c>
      <c r="D3704" t="str">
        <f>HYPERLINK("https://zfin.org/ZDB-GENE-050522-88")</f>
        <v>https://zfin.org/ZDB-GENE-050522-88</v>
      </c>
      <c r="E3704" t="s">
        <v>11087</v>
      </c>
    </row>
    <row r="3705" spans="1:5" x14ac:dyDescent="0.2">
      <c r="A3705" t="s">
        <v>11088</v>
      </c>
      <c r="B3705" t="s">
        <v>11089</v>
      </c>
      <c r="C3705" t="s">
        <v>11089</v>
      </c>
      <c r="D3705" t="str">
        <f>HYPERLINK("https://zfin.org/ZDB-GENE-070130-1")</f>
        <v>https://zfin.org/ZDB-GENE-070130-1</v>
      </c>
      <c r="E3705" t="s">
        <v>11090</v>
      </c>
    </row>
    <row r="3706" spans="1:5" x14ac:dyDescent="0.2">
      <c r="A3706" t="s">
        <v>11091</v>
      </c>
      <c r="B3706" t="s">
        <v>11092</v>
      </c>
      <c r="C3706" t="s">
        <v>11092</v>
      </c>
      <c r="D3706" t="str">
        <f>HYPERLINK("https://zfin.org/ZDB-GENE-040426-2519")</f>
        <v>https://zfin.org/ZDB-GENE-040426-2519</v>
      </c>
      <c r="E3706" t="s">
        <v>11093</v>
      </c>
    </row>
    <row r="3707" spans="1:5" x14ac:dyDescent="0.2">
      <c r="A3707" t="s">
        <v>11094</v>
      </c>
      <c r="B3707" t="s">
        <v>11095</v>
      </c>
      <c r="C3707" t="s">
        <v>11095</v>
      </c>
      <c r="D3707" t="str">
        <f>HYPERLINK("https://zfin.org/ZDB-GENE-030131-5810")</f>
        <v>https://zfin.org/ZDB-GENE-030131-5810</v>
      </c>
      <c r="E3707" t="s">
        <v>11096</v>
      </c>
    </row>
    <row r="3708" spans="1:5" x14ac:dyDescent="0.2">
      <c r="A3708" t="s">
        <v>11097</v>
      </c>
      <c r="B3708" t="s">
        <v>11098</v>
      </c>
      <c r="C3708" t="s">
        <v>11098</v>
      </c>
      <c r="D3708" t="str">
        <f>HYPERLINK("https://zfin.org/ZDB-GENE-980526-395")</f>
        <v>https://zfin.org/ZDB-GENE-980526-395</v>
      </c>
      <c r="E3708" t="s">
        <v>11099</v>
      </c>
    </row>
    <row r="3709" spans="1:5" x14ac:dyDescent="0.2">
      <c r="A3709" t="s">
        <v>11100</v>
      </c>
      <c r="B3709" t="s">
        <v>11101</v>
      </c>
      <c r="C3709" t="s">
        <v>11101</v>
      </c>
      <c r="D3709" t="str">
        <f>HYPERLINK("https://zfin.org/ZDB-GENE-040724-244")</f>
        <v>https://zfin.org/ZDB-GENE-040724-244</v>
      </c>
      <c r="E3709" t="s">
        <v>11102</v>
      </c>
    </row>
    <row r="3710" spans="1:5" x14ac:dyDescent="0.2">
      <c r="A3710" t="s">
        <v>11103</v>
      </c>
      <c r="B3710" t="s">
        <v>11104</v>
      </c>
      <c r="C3710" t="s">
        <v>11104</v>
      </c>
      <c r="D3710" t="str">
        <f>HYPERLINK("https://zfin.org/ZDB-GENE-141216-449")</f>
        <v>https://zfin.org/ZDB-GENE-141216-449</v>
      </c>
      <c r="E3710" t="s">
        <v>11105</v>
      </c>
    </row>
    <row r="3711" spans="1:5" x14ac:dyDescent="0.2">
      <c r="A3711" t="s">
        <v>11106</v>
      </c>
      <c r="B3711" t="s">
        <v>11107</v>
      </c>
      <c r="C3711" t="s">
        <v>11107</v>
      </c>
      <c r="D3711" t="str">
        <f>HYPERLINK("https://zfin.org/ZDB-GENE-040728-1")</f>
        <v>https://zfin.org/ZDB-GENE-040728-1</v>
      </c>
      <c r="E3711" t="s">
        <v>11108</v>
      </c>
    </row>
    <row r="3712" spans="1:5" x14ac:dyDescent="0.2">
      <c r="A3712" t="s">
        <v>11109</v>
      </c>
      <c r="B3712" t="s">
        <v>11110</v>
      </c>
      <c r="C3712" t="s">
        <v>11110</v>
      </c>
      <c r="D3712" t="str">
        <f>HYPERLINK("https://zfin.org/ZDB-GENE-990603-5")</f>
        <v>https://zfin.org/ZDB-GENE-990603-5</v>
      </c>
      <c r="E3712" t="s">
        <v>11111</v>
      </c>
    </row>
    <row r="3713" spans="1:5" x14ac:dyDescent="0.2">
      <c r="A3713" t="s">
        <v>11112</v>
      </c>
      <c r="B3713" t="s">
        <v>11113</v>
      </c>
      <c r="C3713" t="s">
        <v>11113</v>
      </c>
      <c r="D3713" t="str">
        <f>HYPERLINK("https://zfin.org/ZDB-GENE-040801-226")</f>
        <v>https://zfin.org/ZDB-GENE-040801-226</v>
      </c>
      <c r="E3713" t="s">
        <v>11114</v>
      </c>
    </row>
    <row r="3714" spans="1:5" x14ac:dyDescent="0.2">
      <c r="A3714" t="s">
        <v>11115</v>
      </c>
      <c r="B3714" t="s">
        <v>11116</v>
      </c>
      <c r="C3714" t="s">
        <v>11116</v>
      </c>
      <c r="D3714" t="str">
        <f>HYPERLINK("https://zfin.org/ZDB-GENE-040426-2188")</f>
        <v>https://zfin.org/ZDB-GENE-040426-2188</v>
      </c>
      <c r="E3714" t="s">
        <v>11117</v>
      </c>
    </row>
    <row r="3715" spans="1:5" x14ac:dyDescent="0.2">
      <c r="A3715" t="s">
        <v>11118</v>
      </c>
      <c r="B3715" t="s">
        <v>11119</v>
      </c>
      <c r="C3715" t="s">
        <v>11119</v>
      </c>
      <c r="D3715" t="str">
        <f>HYPERLINK("https://zfin.org/ZDB-GENE-070705-380")</f>
        <v>https://zfin.org/ZDB-GENE-070705-380</v>
      </c>
      <c r="E3715" t="s">
        <v>11120</v>
      </c>
    </row>
    <row r="3716" spans="1:5" x14ac:dyDescent="0.2">
      <c r="A3716" t="s">
        <v>11121</v>
      </c>
      <c r="B3716" t="s">
        <v>11122</v>
      </c>
      <c r="C3716" t="s">
        <v>11122</v>
      </c>
      <c r="D3716" t="str">
        <f>HYPERLINK("https://zfin.org/ZDB-GENE-030131-3869")</f>
        <v>https://zfin.org/ZDB-GENE-030131-3869</v>
      </c>
      <c r="E3716" t="s">
        <v>11123</v>
      </c>
    </row>
    <row r="3717" spans="1:5" x14ac:dyDescent="0.2">
      <c r="A3717" t="s">
        <v>11124</v>
      </c>
      <c r="B3717" t="s">
        <v>11125</v>
      </c>
      <c r="C3717" t="s">
        <v>11125</v>
      </c>
      <c r="D3717" t="str">
        <f>HYPERLINK("https://zfin.org/ZDB-GENE-070912-247")</f>
        <v>https://zfin.org/ZDB-GENE-070912-247</v>
      </c>
      <c r="E3717" t="s">
        <v>11126</v>
      </c>
    </row>
    <row r="3718" spans="1:5" x14ac:dyDescent="0.2">
      <c r="A3718" t="s">
        <v>11127</v>
      </c>
      <c r="B3718" t="s">
        <v>11128</v>
      </c>
      <c r="C3718" t="s">
        <v>11128</v>
      </c>
      <c r="D3718" t="str">
        <f>HYPERLINK("https://zfin.org/ZDB-GENE-060929-1198")</f>
        <v>https://zfin.org/ZDB-GENE-060929-1198</v>
      </c>
      <c r="E3718" t="s">
        <v>11129</v>
      </c>
    </row>
    <row r="3719" spans="1:5" x14ac:dyDescent="0.2">
      <c r="A3719" t="s">
        <v>11130</v>
      </c>
      <c r="B3719" t="s">
        <v>11131</v>
      </c>
      <c r="C3719" t="s">
        <v>11131</v>
      </c>
      <c r="D3719" t="str">
        <f>HYPERLINK("https://zfin.org/ZDB-GENE-141212-1")</f>
        <v>https://zfin.org/ZDB-GENE-141212-1</v>
      </c>
      <c r="E3719" t="s">
        <v>11132</v>
      </c>
    </row>
    <row r="3720" spans="1:5" x14ac:dyDescent="0.2">
      <c r="A3720" t="s">
        <v>11133</v>
      </c>
      <c r="B3720" t="s">
        <v>11134</v>
      </c>
      <c r="C3720" t="s">
        <v>11134</v>
      </c>
      <c r="D3720" t="str">
        <f>HYPERLINK("https://zfin.org/ZDB-GENE-131121-68")</f>
        <v>https://zfin.org/ZDB-GENE-131121-68</v>
      </c>
      <c r="E3720" t="s">
        <v>11135</v>
      </c>
    </row>
    <row r="3721" spans="1:5" x14ac:dyDescent="0.2">
      <c r="A3721" t="s">
        <v>11136</v>
      </c>
      <c r="B3721" t="s">
        <v>11137</v>
      </c>
      <c r="C3721" t="s">
        <v>11137</v>
      </c>
      <c r="D3721" t="str">
        <f>HYPERLINK("https://zfin.org/ZDB-GENE-050522-99")</f>
        <v>https://zfin.org/ZDB-GENE-050522-99</v>
      </c>
      <c r="E3721" t="s">
        <v>11138</v>
      </c>
    </row>
    <row r="3722" spans="1:5" x14ac:dyDescent="0.2">
      <c r="A3722" t="s">
        <v>11139</v>
      </c>
      <c r="B3722" t="s">
        <v>11140</v>
      </c>
      <c r="C3722" t="s">
        <v>11140</v>
      </c>
      <c r="D3722" t="str">
        <f>HYPERLINK("https://zfin.org/ZDB-GENE-070410-72")</f>
        <v>https://zfin.org/ZDB-GENE-070410-72</v>
      </c>
      <c r="E3722" t="s">
        <v>11141</v>
      </c>
    </row>
    <row r="3723" spans="1:5" x14ac:dyDescent="0.2">
      <c r="A3723" t="s">
        <v>11142</v>
      </c>
      <c r="B3723" t="s">
        <v>11143</v>
      </c>
      <c r="C3723" t="s">
        <v>11143</v>
      </c>
      <c r="D3723" t="str">
        <f>HYPERLINK("https://zfin.org/ZDB-GENE-080225-36")</f>
        <v>https://zfin.org/ZDB-GENE-080225-36</v>
      </c>
      <c r="E3723" t="s">
        <v>11144</v>
      </c>
    </row>
    <row r="3724" spans="1:5" x14ac:dyDescent="0.2">
      <c r="A3724" t="s">
        <v>11145</v>
      </c>
      <c r="B3724" t="s">
        <v>11146</v>
      </c>
      <c r="C3724" t="s">
        <v>11146</v>
      </c>
      <c r="D3724" t="str">
        <f>HYPERLINK("https://zfin.org/ZDB-GENE-070327-1")</f>
        <v>https://zfin.org/ZDB-GENE-070327-1</v>
      </c>
      <c r="E3724" t="s">
        <v>11147</v>
      </c>
    </row>
    <row r="3725" spans="1:5" x14ac:dyDescent="0.2">
      <c r="A3725" t="s">
        <v>11148</v>
      </c>
      <c r="B3725" t="s">
        <v>11149</v>
      </c>
      <c r="C3725" t="s">
        <v>11149</v>
      </c>
      <c r="D3725" t="str">
        <f>HYPERLINK("https://zfin.org/ZDB-GENE-080513-4")</f>
        <v>https://zfin.org/ZDB-GENE-080513-4</v>
      </c>
      <c r="E3725" t="s">
        <v>11150</v>
      </c>
    </row>
    <row r="3726" spans="1:5" x14ac:dyDescent="0.2">
      <c r="A3726" t="s">
        <v>11151</v>
      </c>
      <c r="B3726" t="s">
        <v>11152</v>
      </c>
      <c r="C3726" t="s">
        <v>11152</v>
      </c>
      <c r="D3726" t="str">
        <f>HYPERLINK("https://zfin.org/ZDB-GENE-040724-249")</f>
        <v>https://zfin.org/ZDB-GENE-040724-249</v>
      </c>
      <c r="E3726" t="s">
        <v>11153</v>
      </c>
    </row>
    <row r="3727" spans="1:5" x14ac:dyDescent="0.2">
      <c r="A3727" t="s">
        <v>11154</v>
      </c>
      <c r="B3727" t="s">
        <v>11155</v>
      </c>
      <c r="C3727" t="s">
        <v>11155</v>
      </c>
      <c r="D3727" t="str">
        <f>HYPERLINK("https://zfin.org/ZDB-GENE-051030-81")</f>
        <v>https://zfin.org/ZDB-GENE-051030-81</v>
      </c>
      <c r="E3727" t="s">
        <v>11156</v>
      </c>
    </row>
    <row r="3728" spans="1:5" x14ac:dyDescent="0.2">
      <c r="A3728" t="s">
        <v>11157</v>
      </c>
      <c r="B3728" t="s">
        <v>11158</v>
      </c>
      <c r="C3728" t="s">
        <v>11158</v>
      </c>
      <c r="D3728" t="str">
        <f>HYPERLINK("https://zfin.org/ZDB-GENE-131121-554")</f>
        <v>https://zfin.org/ZDB-GENE-131121-554</v>
      </c>
      <c r="E3728" t="s">
        <v>11159</v>
      </c>
    </row>
    <row r="3729" spans="1:5" x14ac:dyDescent="0.2">
      <c r="A3729" t="s">
        <v>11160</v>
      </c>
      <c r="B3729" t="s">
        <v>11161</v>
      </c>
      <c r="C3729" t="s">
        <v>11161</v>
      </c>
      <c r="D3729" t="str">
        <f>HYPERLINK("https://zfin.org/ZDB-GENE-110623-1")</f>
        <v>https://zfin.org/ZDB-GENE-110623-1</v>
      </c>
      <c r="E3729" t="s">
        <v>11162</v>
      </c>
    </row>
    <row r="3730" spans="1:5" x14ac:dyDescent="0.2">
      <c r="A3730" t="s">
        <v>11163</v>
      </c>
      <c r="B3730" t="s">
        <v>11164</v>
      </c>
      <c r="C3730" t="s">
        <v>11164</v>
      </c>
      <c r="D3730" t="str">
        <f>HYPERLINK("https://zfin.org/ZDB-GENE-060503-319")</f>
        <v>https://zfin.org/ZDB-GENE-060503-319</v>
      </c>
      <c r="E3730" t="s">
        <v>11165</v>
      </c>
    </row>
    <row r="3731" spans="1:5" x14ac:dyDescent="0.2">
      <c r="A3731" t="s">
        <v>11166</v>
      </c>
      <c r="B3731" t="s">
        <v>11167</v>
      </c>
      <c r="C3731" t="s">
        <v>11167</v>
      </c>
      <c r="D3731" t="str">
        <f>HYPERLINK("https://zfin.org/ZDB-GENE-061013-94")</f>
        <v>https://zfin.org/ZDB-GENE-061013-94</v>
      </c>
      <c r="E3731" t="s">
        <v>11168</v>
      </c>
    </row>
    <row r="3732" spans="1:5" x14ac:dyDescent="0.2">
      <c r="A3732" t="s">
        <v>11169</v>
      </c>
      <c r="B3732" t="s">
        <v>11170</v>
      </c>
      <c r="C3732" t="s">
        <v>11170</v>
      </c>
      <c r="D3732" t="str">
        <f>HYPERLINK("https://zfin.org/ZDB-GENE-061215-70")</f>
        <v>https://zfin.org/ZDB-GENE-061215-70</v>
      </c>
      <c r="E3732" t="s">
        <v>11171</v>
      </c>
    </row>
    <row r="3733" spans="1:5" x14ac:dyDescent="0.2">
      <c r="A3733" t="s">
        <v>11172</v>
      </c>
      <c r="B3733" t="s">
        <v>11173</v>
      </c>
      <c r="C3733" t="s">
        <v>11173</v>
      </c>
      <c r="D3733" t="str">
        <f>HYPERLINK("https://zfin.org/ZDB-GENE-040718-147")</f>
        <v>https://zfin.org/ZDB-GENE-040718-147</v>
      </c>
      <c r="E3733" t="s">
        <v>11174</v>
      </c>
    </row>
    <row r="3734" spans="1:5" x14ac:dyDescent="0.2">
      <c r="A3734" t="s">
        <v>11175</v>
      </c>
      <c r="B3734" t="s">
        <v>11176</v>
      </c>
      <c r="C3734" t="s">
        <v>11176</v>
      </c>
      <c r="D3734" t="str">
        <f>HYPERLINK("https://zfin.org/ZDB-GENE-050522-279")</f>
        <v>https://zfin.org/ZDB-GENE-050522-279</v>
      </c>
      <c r="E3734" t="s">
        <v>11177</v>
      </c>
    </row>
    <row r="3735" spans="1:5" x14ac:dyDescent="0.2">
      <c r="A3735" t="s">
        <v>11178</v>
      </c>
      <c r="B3735" t="s">
        <v>11179</v>
      </c>
      <c r="C3735" t="s">
        <v>11179</v>
      </c>
      <c r="D3735" t="str">
        <f>HYPERLINK("https://zfin.org/ZDB-GENE-080204-74")</f>
        <v>https://zfin.org/ZDB-GENE-080204-74</v>
      </c>
      <c r="E3735" t="s">
        <v>11180</v>
      </c>
    </row>
    <row r="3736" spans="1:5" x14ac:dyDescent="0.2">
      <c r="A3736" t="s">
        <v>11181</v>
      </c>
      <c r="B3736" t="s">
        <v>11182</v>
      </c>
      <c r="C3736" t="s">
        <v>11182</v>
      </c>
      <c r="D3736" t="str">
        <f>HYPERLINK("https://zfin.org/ZDB-GENE-050208-570")</f>
        <v>https://zfin.org/ZDB-GENE-050208-570</v>
      </c>
      <c r="E3736" t="s">
        <v>11183</v>
      </c>
    </row>
    <row r="3737" spans="1:5" x14ac:dyDescent="0.2">
      <c r="A3737" t="s">
        <v>11184</v>
      </c>
      <c r="B3737" t="s">
        <v>11185</v>
      </c>
      <c r="C3737" t="s">
        <v>11185</v>
      </c>
      <c r="D3737" t="str">
        <f>HYPERLINK("https://zfin.org/ZDB-GENE-051120-93")</f>
        <v>https://zfin.org/ZDB-GENE-051120-93</v>
      </c>
      <c r="E3737" t="s">
        <v>11186</v>
      </c>
    </row>
    <row r="3738" spans="1:5" x14ac:dyDescent="0.2">
      <c r="A3738" t="s">
        <v>11187</v>
      </c>
      <c r="B3738" t="s">
        <v>11188</v>
      </c>
      <c r="C3738" t="s">
        <v>11188</v>
      </c>
      <c r="D3738" t="str">
        <f>HYPERLINK("https://zfin.org/ZDB-GENE-070912-716")</f>
        <v>https://zfin.org/ZDB-GENE-070912-716</v>
      </c>
      <c r="E3738" t="s">
        <v>11189</v>
      </c>
    </row>
    <row r="3739" spans="1:5" x14ac:dyDescent="0.2">
      <c r="A3739" t="s">
        <v>11190</v>
      </c>
      <c r="B3739" t="s">
        <v>11191</v>
      </c>
      <c r="C3739" t="s">
        <v>11191</v>
      </c>
      <c r="D3739" t="str">
        <f>HYPERLINK("https://zfin.org/ZDB-GENE-070705-203")</f>
        <v>https://zfin.org/ZDB-GENE-070705-203</v>
      </c>
      <c r="E3739" t="s">
        <v>11192</v>
      </c>
    </row>
    <row r="3740" spans="1:5" x14ac:dyDescent="0.2">
      <c r="A3740" t="s">
        <v>11193</v>
      </c>
      <c r="B3740" t="s">
        <v>11194</v>
      </c>
      <c r="C3740" t="s">
        <v>11194</v>
      </c>
      <c r="D3740" t="str">
        <f>HYPERLINK("https://zfin.org/ZDB-GENE-090313-101")</f>
        <v>https://zfin.org/ZDB-GENE-090313-101</v>
      </c>
      <c r="E3740" t="s">
        <v>11195</v>
      </c>
    </row>
    <row r="3741" spans="1:5" x14ac:dyDescent="0.2">
      <c r="A3741" t="s">
        <v>11196</v>
      </c>
      <c r="B3741" t="s">
        <v>11197</v>
      </c>
      <c r="C3741" t="s">
        <v>11197</v>
      </c>
      <c r="D3741" t="str">
        <f>HYPERLINK("https://zfin.org/ZDB-GENE-040808-17")</f>
        <v>https://zfin.org/ZDB-GENE-040808-17</v>
      </c>
      <c r="E3741" t="s">
        <v>11198</v>
      </c>
    </row>
    <row r="3742" spans="1:5" x14ac:dyDescent="0.2">
      <c r="A3742" t="s">
        <v>11199</v>
      </c>
      <c r="B3742" t="s">
        <v>11200</v>
      </c>
      <c r="C3742" t="s">
        <v>11200</v>
      </c>
      <c r="D3742" t="str">
        <f>HYPERLINK("https://zfin.org/ZDB-GENE-040724-144")</f>
        <v>https://zfin.org/ZDB-GENE-040724-144</v>
      </c>
      <c r="E3742" t="s">
        <v>11201</v>
      </c>
    </row>
    <row r="3743" spans="1:5" x14ac:dyDescent="0.2">
      <c r="A3743" t="s">
        <v>11202</v>
      </c>
      <c r="B3743" t="s">
        <v>11203</v>
      </c>
      <c r="C3743" t="s">
        <v>11203</v>
      </c>
      <c r="D3743" t="str">
        <f>HYPERLINK("https://zfin.org/ZDB-GENE-080220-27")</f>
        <v>https://zfin.org/ZDB-GENE-080220-27</v>
      </c>
      <c r="E3743" t="s">
        <v>11204</v>
      </c>
    </row>
    <row r="3744" spans="1:5" x14ac:dyDescent="0.2">
      <c r="A3744" t="s">
        <v>11205</v>
      </c>
      <c r="B3744" t="s">
        <v>11206</v>
      </c>
      <c r="C3744" t="s">
        <v>11206</v>
      </c>
      <c r="D3744" t="str">
        <f>HYPERLINK("https://zfin.org/ZDB-GENE-040426-1273")</f>
        <v>https://zfin.org/ZDB-GENE-040426-1273</v>
      </c>
      <c r="E3744" t="s">
        <v>11207</v>
      </c>
    </row>
    <row r="3745" spans="1:5" x14ac:dyDescent="0.2">
      <c r="A3745" t="s">
        <v>11208</v>
      </c>
      <c r="B3745" t="s">
        <v>11209</v>
      </c>
      <c r="C3745" t="s">
        <v>11209</v>
      </c>
      <c r="D3745" t="str">
        <f>HYPERLINK("https://zfin.org/ZDB-GENE-040426-2766")</f>
        <v>https://zfin.org/ZDB-GENE-040426-2766</v>
      </c>
      <c r="E3745" t="s">
        <v>11210</v>
      </c>
    </row>
    <row r="3746" spans="1:5" x14ac:dyDescent="0.2">
      <c r="A3746" t="s">
        <v>11211</v>
      </c>
      <c r="B3746" t="s">
        <v>11212</v>
      </c>
      <c r="C3746" t="s">
        <v>11212</v>
      </c>
      <c r="D3746" t="str">
        <f>HYPERLINK("https://zfin.org/ZDB-GENE-080917-20")</f>
        <v>https://zfin.org/ZDB-GENE-080917-20</v>
      </c>
      <c r="E3746" t="s">
        <v>11213</v>
      </c>
    </row>
    <row r="3747" spans="1:5" x14ac:dyDescent="0.2">
      <c r="A3747" t="s">
        <v>11214</v>
      </c>
      <c r="B3747" t="s">
        <v>11215</v>
      </c>
      <c r="C3747" t="s">
        <v>11215</v>
      </c>
      <c r="D3747" t="str">
        <f>HYPERLINK("https://zfin.org/ZDB-GENE-030131-8743")</f>
        <v>https://zfin.org/ZDB-GENE-030131-8743</v>
      </c>
      <c r="E3747" t="s">
        <v>11216</v>
      </c>
    </row>
    <row r="3748" spans="1:5" x14ac:dyDescent="0.2">
      <c r="A3748" t="s">
        <v>11217</v>
      </c>
      <c r="B3748" t="s">
        <v>11218</v>
      </c>
      <c r="C3748" t="s">
        <v>11218</v>
      </c>
      <c r="D3748" t="str">
        <f>HYPERLINK("https://zfin.org/ZDB-GENE-070410-65")</f>
        <v>https://zfin.org/ZDB-GENE-070410-65</v>
      </c>
      <c r="E3748" t="s">
        <v>11219</v>
      </c>
    </row>
    <row r="3749" spans="1:5" x14ac:dyDescent="0.2">
      <c r="A3749" t="s">
        <v>11220</v>
      </c>
      <c r="B3749" t="s">
        <v>11221</v>
      </c>
      <c r="C3749" t="s">
        <v>11221</v>
      </c>
      <c r="D3749" t="str">
        <f>HYPERLINK("https://zfin.org/ZDB-GENE-131119-45")</f>
        <v>https://zfin.org/ZDB-GENE-131119-45</v>
      </c>
      <c r="E3749" t="s">
        <v>11222</v>
      </c>
    </row>
    <row r="3750" spans="1:5" x14ac:dyDescent="0.2">
      <c r="A3750" t="s">
        <v>11223</v>
      </c>
      <c r="B3750" t="s">
        <v>11224</v>
      </c>
      <c r="C3750" t="s">
        <v>11224</v>
      </c>
      <c r="D3750" t="str">
        <f>HYPERLINK("https://zfin.org/ZDB-GENE-071004-18")</f>
        <v>https://zfin.org/ZDB-GENE-071004-18</v>
      </c>
      <c r="E3750" t="s">
        <v>11225</v>
      </c>
    </row>
    <row r="3751" spans="1:5" x14ac:dyDescent="0.2">
      <c r="A3751" t="s">
        <v>11226</v>
      </c>
      <c r="B3751" t="s">
        <v>625</v>
      </c>
      <c r="C3751" t="s">
        <v>11227</v>
      </c>
      <c r="D3751" t="str">
        <f>HYPERLINK("https://zfin.org/ZDB-GENE-121214-203")</f>
        <v>https://zfin.org/ZDB-GENE-121214-203</v>
      </c>
      <c r="E3751" t="s">
        <v>11228</v>
      </c>
    </row>
    <row r="3752" spans="1:5" x14ac:dyDescent="0.2">
      <c r="A3752" t="s">
        <v>11229</v>
      </c>
      <c r="B3752" t="s">
        <v>11230</v>
      </c>
      <c r="C3752" t="s">
        <v>11230</v>
      </c>
      <c r="D3752" t="str">
        <f>HYPERLINK("https://zfin.org/ZDB-GENE-030131-2140")</f>
        <v>https://zfin.org/ZDB-GENE-030131-2140</v>
      </c>
      <c r="E3752" t="s">
        <v>11231</v>
      </c>
    </row>
    <row r="3753" spans="1:5" x14ac:dyDescent="0.2">
      <c r="A3753" t="s">
        <v>11232</v>
      </c>
      <c r="B3753" t="s">
        <v>11233</v>
      </c>
      <c r="C3753" t="s">
        <v>11233</v>
      </c>
      <c r="D3753" t="str">
        <f>HYPERLINK("https://zfin.org/ZDB-GENE-040718-480")</f>
        <v>https://zfin.org/ZDB-GENE-040718-480</v>
      </c>
      <c r="E3753" t="s">
        <v>11234</v>
      </c>
    </row>
    <row r="3754" spans="1:5" x14ac:dyDescent="0.2">
      <c r="A3754" t="s">
        <v>11235</v>
      </c>
      <c r="B3754" t="s">
        <v>11236</v>
      </c>
      <c r="C3754" t="s">
        <v>11236</v>
      </c>
      <c r="D3754" t="str">
        <f>HYPERLINK("https://zfin.org/ZDB-GENE-040625-179")</f>
        <v>https://zfin.org/ZDB-GENE-040625-179</v>
      </c>
      <c r="E3754" t="s">
        <v>11237</v>
      </c>
    </row>
    <row r="3755" spans="1:5" x14ac:dyDescent="0.2">
      <c r="A3755" t="s">
        <v>11238</v>
      </c>
      <c r="B3755" t="s">
        <v>11239</v>
      </c>
      <c r="C3755" t="s">
        <v>11239</v>
      </c>
      <c r="D3755" t="str">
        <f>HYPERLINK("https://zfin.org/ZDB-GENE-040426-1911")</f>
        <v>https://zfin.org/ZDB-GENE-040426-1911</v>
      </c>
      <c r="E3755" t="s">
        <v>11240</v>
      </c>
    </row>
    <row r="3756" spans="1:5" x14ac:dyDescent="0.2">
      <c r="A3756" t="s">
        <v>11241</v>
      </c>
      <c r="B3756" t="s">
        <v>11242</v>
      </c>
      <c r="C3756" t="s">
        <v>11242</v>
      </c>
      <c r="D3756" t="str">
        <f>HYPERLINK("https://zfin.org/ZDB-GENE-141216-181")</f>
        <v>https://zfin.org/ZDB-GENE-141216-181</v>
      </c>
      <c r="E3756" t="s">
        <v>11243</v>
      </c>
    </row>
    <row r="3757" spans="1:5" x14ac:dyDescent="0.2">
      <c r="A3757" t="s">
        <v>11244</v>
      </c>
      <c r="B3757" t="s">
        <v>11245</v>
      </c>
      <c r="C3757" t="s">
        <v>11245</v>
      </c>
      <c r="D3757" t="str">
        <f>HYPERLINK("https://zfin.org/ZDB-GENE-040426-1022")</f>
        <v>https://zfin.org/ZDB-GENE-040426-1022</v>
      </c>
      <c r="E3757" t="s">
        <v>11246</v>
      </c>
    </row>
    <row r="3758" spans="1:5" x14ac:dyDescent="0.2">
      <c r="A3758" t="s">
        <v>11247</v>
      </c>
      <c r="B3758" t="s">
        <v>11248</v>
      </c>
      <c r="C3758" t="s">
        <v>11248</v>
      </c>
      <c r="D3758" t="str">
        <f>HYPERLINK("https://zfin.org/ZDB-GENE-070212-3")</f>
        <v>https://zfin.org/ZDB-GENE-070212-3</v>
      </c>
      <c r="E3758" t="s">
        <v>11249</v>
      </c>
    </row>
    <row r="3759" spans="1:5" x14ac:dyDescent="0.2">
      <c r="A3759" t="s">
        <v>11250</v>
      </c>
      <c r="B3759" t="s">
        <v>11251</v>
      </c>
      <c r="C3759" t="s">
        <v>11251</v>
      </c>
      <c r="D3759" t="str">
        <f>HYPERLINK("https://zfin.org/ZDB-GENE-141212-23")</f>
        <v>https://zfin.org/ZDB-GENE-141212-23</v>
      </c>
      <c r="E3759" t="s">
        <v>11252</v>
      </c>
    </row>
    <row r="3760" spans="1:5" x14ac:dyDescent="0.2">
      <c r="A3760" t="s">
        <v>11253</v>
      </c>
      <c r="B3760" t="s">
        <v>11254</v>
      </c>
      <c r="C3760" t="s">
        <v>11254</v>
      </c>
      <c r="D3760" t="str">
        <f>HYPERLINK("https://zfin.org/ZDB-GENE-060503-292")</f>
        <v>https://zfin.org/ZDB-GENE-060503-292</v>
      </c>
      <c r="E3760" t="s">
        <v>11255</v>
      </c>
    </row>
    <row r="3761" spans="1:5" x14ac:dyDescent="0.2">
      <c r="A3761" t="s">
        <v>11256</v>
      </c>
      <c r="B3761" t="s">
        <v>11257</v>
      </c>
      <c r="C3761" t="s">
        <v>11257</v>
      </c>
      <c r="D3761" t="str">
        <f>HYPERLINK("https://zfin.org/ZDB-GENE-040912-82")</f>
        <v>https://zfin.org/ZDB-GENE-040912-82</v>
      </c>
      <c r="E3761" t="s">
        <v>11258</v>
      </c>
    </row>
    <row r="3762" spans="1:5" x14ac:dyDescent="0.2">
      <c r="A3762" t="s">
        <v>11259</v>
      </c>
      <c r="B3762" t="s">
        <v>11260</v>
      </c>
      <c r="C3762" t="s">
        <v>11260</v>
      </c>
      <c r="D3762" t="str">
        <f>HYPERLINK("https://zfin.org/ZDB-GENE-110106-2")</f>
        <v>https://zfin.org/ZDB-GENE-110106-2</v>
      </c>
      <c r="E3762" t="s">
        <v>11261</v>
      </c>
    </row>
    <row r="3763" spans="1:5" x14ac:dyDescent="0.2">
      <c r="A3763" t="s">
        <v>11262</v>
      </c>
      <c r="B3763" t="s">
        <v>11263</v>
      </c>
      <c r="C3763" t="s">
        <v>11263</v>
      </c>
      <c r="D3763" t="str">
        <f>HYPERLINK("https://zfin.org/ZDB-GENE-030131-2455")</f>
        <v>https://zfin.org/ZDB-GENE-030131-2455</v>
      </c>
      <c r="E3763" t="s">
        <v>11264</v>
      </c>
    </row>
    <row r="3764" spans="1:5" x14ac:dyDescent="0.2">
      <c r="A3764" t="s">
        <v>11265</v>
      </c>
      <c r="B3764" t="s">
        <v>11266</v>
      </c>
      <c r="C3764" t="s">
        <v>11266</v>
      </c>
      <c r="D3764" t="str">
        <f>HYPERLINK("https://zfin.org/ZDB-GENE-040426-2906")</f>
        <v>https://zfin.org/ZDB-GENE-040426-2906</v>
      </c>
      <c r="E3764" t="s">
        <v>11267</v>
      </c>
    </row>
    <row r="3765" spans="1:5" x14ac:dyDescent="0.2">
      <c r="A3765" t="s">
        <v>11268</v>
      </c>
      <c r="B3765" t="s">
        <v>11269</v>
      </c>
      <c r="C3765" t="s">
        <v>11269</v>
      </c>
      <c r="D3765" t="str">
        <f>HYPERLINK("https://zfin.org/ZDB-GENE-160113-128")</f>
        <v>https://zfin.org/ZDB-GENE-160113-128</v>
      </c>
      <c r="E3765" t="s">
        <v>11270</v>
      </c>
    </row>
    <row r="3766" spans="1:5" x14ac:dyDescent="0.2">
      <c r="A3766" t="s">
        <v>11271</v>
      </c>
      <c r="B3766" t="s">
        <v>11272</v>
      </c>
      <c r="C3766" t="s">
        <v>11272</v>
      </c>
      <c r="D3766" t="str">
        <f>HYPERLINK("https://zfin.org/ZDB-GENE-080204-120")</f>
        <v>https://zfin.org/ZDB-GENE-080204-120</v>
      </c>
      <c r="E3766" t="s">
        <v>11273</v>
      </c>
    </row>
    <row r="3767" spans="1:5" x14ac:dyDescent="0.2">
      <c r="A3767" t="s">
        <v>11274</v>
      </c>
      <c r="B3767" t="s">
        <v>11275</v>
      </c>
      <c r="C3767" t="s">
        <v>11275</v>
      </c>
      <c r="D3767" t="str">
        <f>HYPERLINK("https://zfin.org/ZDB-GENE-131127-240")</f>
        <v>https://zfin.org/ZDB-GENE-131127-240</v>
      </c>
      <c r="E3767" t="s">
        <v>11276</v>
      </c>
    </row>
    <row r="3768" spans="1:5" x14ac:dyDescent="0.2">
      <c r="A3768" t="s">
        <v>11277</v>
      </c>
      <c r="B3768" t="s">
        <v>11278</v>
      </c>
      <c r="C3768" t="s">
        <v>11278</v>
      </c>
      <c r="D3768" t="str">
        <f>HYPERLINK("https://zfin.org/ZDB-GENE-050522-218")</f>
        <v>https://zfin.org/ZDB-GENE-050522-218</v>
      </c>
      <c r="E3768" t="s">
        <v>11279</v>
      </c>
    </row>
    <row r="3769" spans="1:5" x14ac:dyDescent="0.2">
      <c r="A3769" t="s">
        <v>11280</v>
      </c>
      <c r="B3769" t="s">
        <v>11281</v>
      </c>
      <c r="C3769" t="s">
        <v>11281</v>
      </c>
      <c r="D3769" t="str">
        <f>HYPERLINK("https://zfin.org/ZDB-GENE-061013-39")</f>
        <v>https://zfin.org/ZDB-GENE-061013-39</v>
      </c>
      <c r="E3769" t="s">
        <v>11282</v>
      </c>
    </row>
    <row r="3770" spans="1:5" x14ac:dyDescent="0.2">
      <c r="A3770" t="s">
        <v>11283</v>
      </c>
      <c r="B3770" t="s">
        <v>11284</v>
      </c>
      <c r="C3770" t="s">
        <v>11284</v>
      </c>
      <c r="D3770" t="str">
        <f>HYPERLINK("https://zfin.org/ZDB-GENE-060512-216")</f>
        <v>https://zfin.org/ZDB-GENE-060512-216</v>
      </c>
      <c r="E3770" t="s">
        <v>11285</v>
      </c>
    </row>
    <row r="3771" spans="1:5" x14ac:dyDescent="0.2">
      <c r="A3771" t="s">
        <v>11286</v>
      </c>
      <c r="B3771" t="s">
        <v>11287</v>
      </c>
      <c r="C3771" t="s">
        <v>11287</v>
      </c>
      <c r="D3771" t="str">
        <f>HYPERLINK("https://zfin.org/ZDB-GENE-090601-5")</f>
        <v>https://zfin.org/ZDB-GENE-090601-5</v>
      </c>
      <c r="E3771" t="s">
        <v>11288</v>
      </c>
    </row>
    <row r="3772" spans="1:5" x14ac:dyDescent="0.2">
      <c r="A3772" t="s">
        <v>11289</v>
      </c>
      <c r="B3772" t="s">
        <v>11290</v>
      </c>
      <c r="C3772" t="s">
        <v>11290</v>
      </c>
      <c r="D3772" t="str">
        <f>HYPERLINK("https://zfin.org/ZDB-GENE-081104-397")</f>
        <v>https://zfin.org/ZDB-GENE-081104-397</v>
      </c>
      <c r="E3772" t="s">
        <v>11291</v>
      </c>
    </row>
    <row r="3773" spans="1:5" x14ac:dyDescent="0.2">
      <c r="A3773" t="s">
        <v>11292</v>
      </c>
      <c r="B3773" t="s">
        <v>11293</v>
      </c>
      <c r="C3773" t="s">
        <v>11293</v>
      </c>
      <c r="D3773" t="str">
        <f>HYPERLINK("https://zfin.org/ZDB-GENE-131127-150")</f>
        <v>https://zfin.org/ZDB-GENE-131127-150</v>
      </c>
      <c r="E3773" t="s">
        <v>11294</v>
      </c>
    </row>
    <row r="3774" spans="1:5" x14ac:dyDescent="0.2">
      <c r="A3774" t="s">
        <v>11295</v>
      </c>
      <c r="B3774" t="s">
        <v>11296</v>
      </c>
      <c r="C3774" t="s">
        <v>11296</v>
      </c>
      <c r="D3774" t="str">
        <f>HYPERLINK("https://zfin.org/ZDB-GENE-090313-71")</f>
        <v>https://zfin.org/ZDB-GENE-090313-71</v>
      </c>
      <c r="E3774" t="s">
        <v>11297</v>
      </c>
    </row>
    <row r="3775" spans="1:5" x14ac:dyDescent="0.2">
      <c r="A3775" t="s">
        <v>11298</v>
      </c>
      <c r="B3775" t="s">
        <v>11272</v>
      </c>
      <c r="C3775" t="s">
        <v>11299</v>
      </c>
      <c r="D3775" t="str">
        <f>HYPERLINK("https://zfin.org/")</f>
        <v>https://zfin.org/</v>
      </c>
    </row>
    <row r="3776" spans="1:5" x14ac:dyDescent="0.2">
      <c r="A3776" t="s">
        <v>11300</v>
      </c>
      <c r="B3776" t="s">
        <v>11301</v>
      </c>
      <c r="C3776" t="s">
        <v>11301</v>
      </c>
      <c r="D3776" t="str">
        <f>HYPERLINK("https://zfin.org/ZDB-GENE-041210-70")</f>
        <v>https://zfin.org/ZDB-GENE-041210-70</v>
      </c>
      <c r="E3776" t="s">
        <v>11302</v>
      </c>
    </row>
    <row r="3777" spans="1:5" x14ac:dyDescent="0.2">
      <c r="A3777" t="s">
        <v>11303</v>
      </c>
      <c r="B3777" t="s">
        <v>11304</v>
      </c>
      <c r="C3777" t="s">
        <v>11304</v>
      </c>
      <c r="D3777" t="str">
        <f>HYPERLINK("https://zfin.org/ZDB-GENE-040704-12")</f>
        <v>https://zfin.org/ZDB-GENE-040704-12</v>
      </c>
      <c r="E3777" t="s">
        <v>11305</v>
      </c>
    </row>
    <row r="3778" spans="1:5" x14ac:dyDescent="0.2">
      <c r="A3778" t="s">
        <v>11306</v>
      </c>
      <c r="B3778" t="s">
        <v>11307</v>
      </c>
      <c r="C3778" t="s">
        <v>11307</v>
      </c>
      <c r="D3778" t="str">
        <f>HYPERLINK("https://zfin.org/ZDB-GENE-030515-6")</f>
        <v>https://zfin.org/ZDB-GENE-030515-6</v>
      </c>
      <c r="E3778" t="s">
        <v>11308</v>
      </c>
    </row>
    <row r="3779" spans="1:5" x14ac:dyDescent="0.2">
      <c r="A3779" t="s">
        <v>11309</v>
      </c>
      <c r="B3779" t="s">
        <v>11310</v>
      </c>
      <c r="C3779" t="s">
        <v>11310</v>
      </c>
      <c r="D3779" t="str">
        <f>HYPERLINK("https://zfin.org/ZDB-GENE-080521-2")</f>
        <v>https://zfin.org/ZDB-GENE-080521-2</v>
      </c>
      <c r="E3779" t="s">
        <v>11311</v>
      </c>
    </row>
    <row r="3780" spans="1:5" x14ac:dyDescent="0.2">
      <c r="A3780" t="s">
        <v>11312</v>
      </c>
      <c r="B3780" t="s">
        <v>11313</v>
      </c>
      <c r="C3780" t="s">
        <v>11313</v>
      </c>
      <c r="D3780" t="str">
        <f>HYPERLINK("https://zfin.org/ZDB-GENE-041010-218")</f>
        <v>https://zfin.org/ZDB-GENE-041010-218</v>
      </c>
      <c r="E3780" t="s">
        <v>11314</v>
      </c>
    </row>
    <row r="3781" spans="1:5" x14ac:dyDescent="0.2">
      <c r="A3781" t="s">
        <v>11315</v>
      </c>
      <c r="B3781" t="s">
        <v>11316</v>
      </c>
      <c r="C3781" t="s">
        <v>11316</v>
      </c>
      <c r="D3781" t="str">
        <f>HYPERLINK("https://zfin.org/ZDB-GENE-081105-85")</f>
        <v>https://zfin.org/ZDB-GENE-081105-85</v>
      </c>
      <c r="E3781" t="s">
        <v>11317</v>
      </c>
    </row>
    <row r="3782" spans="1:5" x14ac:dyDescent="0.2">
      <c r="A3782" t="s">
        <v>11318</v>
      </c>
      <c r="B3782" t="s">
        <v>11319</v>
      </c>
      <c r="C3782" t="s">
        <v>11319</v>
      </c>
      <c r="D3782" t="str">
        <f>HYPERLINK("https://zfin.org/ZDB-GENE-040625-104")</f>
        <v>https://zfin.org/ZDB-GENE-040625-104</v>
      </c>
      <c r="E3782" t="s">
        <v>11320</v>
      </c>
    </row>
    <row r="3783" spans="1:5" x14ac:dyDescent="0.2">
      <c r="A3783" t="s">
        <v>11321</v>
      </c>
      <c r="B3783" t="s">
        <v>11322</v>
      </c>
      <c r="C3783" t="s">
        <v>11322</v>
      </c>
      <c r="D3783" t="str">
        <f>HYPERLINK("https://zfin.org/ZDB-GENE-060810-90")</f>
        <v>https://zfin.org/ZDB-GENE-060810-90</v>
      </c>
      <c r="E3783" t="s">
        <v>11323</v>
      </c>
    </row>
    <row r="3784" spans="1:5" x14ac:dyDescent="0.2">
      <c r="A3784" t="s">
        <v>11324</v>
      </c>
      <c r="B3784" t="s">
        <v>11325</v>
      </c>
      <c r="C3784" t="s">
        <v>11325</v>
      </c>
      <c r="D3784" t="str">
        <f>HYPERLINK("https://zfin.org/ZDB-GENE-040912-123")</f>
        <v>https://zfin.org/ZDB-GENE-040912-123</v>
      </c>
      <c r="E3784" t="s">
        <v>11326</v>
      </c>
    </row>
    <row r="3785" spans="1:5" x14ac:dyDescent="0.2">
      <c r="A3785" t="s">
        <v>11327</v>
      </c>
      <c r="B3785" t="s">
        <v>11328</v>
      </c>
      <c r="C3785" t="s">
        <v>11328</v>
      </c>
      <c r="D3785" t="str">
        <f>HYPERLINK("https://zfin.org/ZDB-GENE-050522-412")</f>
        <v>https://zfin.org/ZDB-GENE-050522-412</v>
      </c>
      <c r="E3785" t="s">
        <v>11329</v>
      </c>
    </row>
    <row r="3786" spans="1:5" x14ac:dyDescent="0.2">
      <c r="A3786" t="s">
        <v>11330</v>
      </c>
      <c r="B3786" t="s">
        <v>11331</v>
      </c>
      <c r="C3786" t="s">
        <v>11331</v>
      </c>
      <c r="D3786" t="str">
        <f>HYPERLINK("https://zfin.org/ZDB-GENE-040426-803")</f>
        <v>https://zfin.org/ZDB-GENE-040426-803</v>
      </c>
      <c r="E3786" t="s">
        <v>11332</v>
      </c>
    </row>
    <row r="3787" spans="1:5" x14ac:dyDescent="0.2">
      <c r="A3787" t="s">
        <v>11333</v>
      </c>
      <c r="B3787" t="s">
        <v>11334</v>
      </c>
      <c r="C3787" t="s">
        <v>11334</v>
      </c>
      <c r="D3787" t="str">
        <f>HYPERLINK("https://zfin.org/ZDB-GENE-091116-9")</f>
        <v>https://zfin.org/ZDB-GENE-091116-9</v>
      </c>
      <c r="E3787" t="s">
        <v>11335</v>
      </c>
    </row>
    <row r="3788" spans="1:5" x14ac:dyDescent="0.2">
      <c r="A3788" t="s">
        <v>11336</v>
      </c>
      <c r="B3788" t="s">
        <v>11337</v>
      </c>
      <c r="C3788" t="s">
        <v>11337</v>
      </c>
      <c r="D3788" t="str">
        <f>HYPERLINK("https://zfin.org/ZDB-GENE-050227-17")</f>
        <v>https://zfin.org/ZDB-GENE-050227-17</v>
      </c>
      <c r="E3788" t="s">
        <v>11338</v>
      </c>
    </row>
    <row r="3789" spans="1:5" x14ac:dyDescent="0.2">
      <c r="A3789" t="s">
        <v>11339</v>
      </c>
      <c r="B3789" t="s">
        <v>11340</v>
      </c>
      <c r="C3789" t="s">
        <v>11340</v>
      </c>
      <c r="D3789" t="str">
        <f>HYPERLINK("https://zfin.org/ZDB-GENE-030131-5651")</f>
        <v>https://zfin.org/ZDB-GENE-030131-5651</v>
      </c>
      <c r="E3789" t="s">
        <v>11341</v>
      </c>
    </row>
    <row r="3790" spans="1:5" x14ac:dyDescent="0.2">
      <c r="A3790" t="s">
        <v>11342</v>
      </c>
      <c r="B3790" t="s">
        <v>11343</v>
      </c>
      <c r="C3790" t="s">
        <v>11343</v>
      </c>
      <c r="D3790" t="str">
        <f>HYPERLINK("https://zfin.org/ZDB-GENE-040801-227")</f>
        <v>https://zfin.org/ZDB-GENE-040801-227</v>
      </c>
      <c r="E3790" t="s">
        <v>11344</v>
      </c>
    </row>
    <row r="3791" spans="1:5" x14ac:dyDescent="0.2">
      <c r="A3791" t="s">
        <v>11345</v>
      </c>
      <c r="B3791" t="s">
        <v>11346</v>
      </c>
      <c r="C3791" t="s">
        <v>11346</v>
      </c>
      <c r="D3791" t="str">
        <f>HYPERLINK("https://zfin.org/ZDB-GENE-030131-6583")</f>
        <v>https://zfin.org/ZDB-GENE-030131-6583</v>
      </c>
      <c r="E3791" t="s">
        <v>11347</v>
      </c>
    </row>
    <row r="3792" spans="1:5" x14ac:dyDescent="0.2">
      <c r="A3792" t="s">
        <v>11348</v>
      </c>
      <c r="B3792" t="s">
        <v>11349</v>
      </c>
      <c r="C3792" t="s">
        <v>11349</v>
      </c>
      <c r="D3792" t="str">
        <f>HYPERLINK("https://zfin.org/ZDB-GENE-050522-113")</f>
        <v>https://zfin.org/ZDB-GENE-050522-113</v>
      </c>
      <c r="E3792" t="s">
        <v>11350</v>
      </c>
    </row>
    <row r="3793" spans="1:5" x14ac:dyDescent="0.2">
      <c r="A3793" t="s">
        <v>11351</v>
      </c>
      <c r="B3793" t="s">
        <v>11352</v>
      </c>
      <c r="C3793" t="s">
        <v>11352</v>
      </c>
      <c r="D3793" t="str">
        <f>HYPERLINK("https://zfin.org/ZDB-GENE-081031-45")</f>
        <v>https://zfin.org/ZDB-GENE-081031-45</v>
      </c>
      <c r="E3793" t="s">
        <v>11353</v>
      </c>
    </row>
    <row r="3794" spans="1:5" x14ac:dyDescent="0.2">
      <c r="A3794" t="s">
        <v>11354</v>
      </c>
      <c r="B3794" t="s">
        <v>11355</v>
      </c>
      <c r="C3794" t="s">
        <v>11355</v>
      </c>
      <c r="D3794" t="str">
        <f>HYPERLINK("https://zfin.org/ZDB-GENE-040426-1100")</f>
        <v>https://zfin.org/ZDB-GENE-040426-1100</v>
      </c>
      <c r="E3794" t="s">
        <v>11356</v>
      </c>
    </row>
    <row r="3795" spans="1:5" x14ac:dyDescent="0.2">
      <c r="A3795" t="s">
        <v>11357</v>
      </c>
      <c r="B3795" t="s">
        <v>11358</v>
      </c>
      <c r="C3795" t="s">
        <v>11358</v>
      </c>
      <c r="D3795" t="str">
        <f>HYPERLINK("https://zfin.org/ZDB-GENE-090812-5")</f>
        <v>https://zfin.org/ZDB-GENE-090812-5</v>
      </c>
      <c r="E3795" t="s">
        <v>11359</v>
      </c>
    </row>
    <row r="3796" spans="1:5" x14ac:dyDescent="0.2">
      <c r="A3796" t="s">
        <v>11360</v>
      </c>
      <c r="B3796" t="s">
        <v>11361</v>
      </c>
      <c r="C3796" t="s">
        <v>11361</v>
      </c>
      <c r="D3796" t="str">
        <f>HYPERLINK("https://zfin.org/ZDB-GENE-030131-7824")</f>
        <v>https://zfin.org/ZDB-GENE-030131-7824</v>
      </c>
      <c r="E3796" t="s">
        <v>11362</v>
      </c>
    </row>
    <row r="3797" spans="1:5" x14ac:dyDescent="0.2">
      <c r="A3797" t="s">
        <v>11363</v>
      </c>
      <c r="B3797" t="s">
        <v>11364</v>
      </c>
      <c r="C3797" t="s">
        <v>11364</v>
      </c>
      <c r="D3797" t="str">
        <f>HYPERLINK("https://zfin.org/ZDB-GENE-091204-211")</f>
        <v>https://zfin.org/ZDB-GENE-091204-211</v>
      </c>
      <c r="E3797" t="s">
        <v>11365</v>
      </c>
    </row>
    <row r="3798" spans="1:5" x14ac:dyDescent="0.2">
      <c r="A3798" t="s">
        <v>11366</v>
      </c>
      <c r="B3798" t="s">
        <v>11367</v>
      </c>
      <c r="C3798" t="s">
        <v>11367</v>
      </c>
      <c r="D3798" t="str">
        <f>HYPERLINK("https://zfin.org/ZDB-GENE-060721-2")</f>
        <v>https://zfin.org/ZDB-GENE-060721-2</v>
      </c>
      <c r="E3798" t="s">
        <v>11368</v>
      </c>
    </row>
    <row r="3799" spans="1:5" x14ac:dyDescent="0.2">
      <c r="A3799" t="s">
        <v>11369</v>
      </c>
      <c r="B3799" t="s">
        <v>11370</v>
      </c>
      <c r="C3799" t="s">
        <v>11370</v>
      </c>
      <c r="D3799" t="str">
        <f>HYPERLINK("https://zfin.org/ZDB-GENE-050809-43")</f>
        <v>https://zfin.org/ZDB-GENE-050809-43</v>
      </c>
      <c r="E3799" t="s">
        <v>11371</v>
      </c>
    </row>
    <row r="3800" spans="1:5" x14ac:dyDescent="0.2">
      <c r="A3800" t="s">
        <v>11372</v>
      </c>
      <c r="B3800" t="s">
        <v>11373</v>
      </c>
      <c r="C3800" t="s">
        <v>11373</v>
      </c>
      <c r="D3800" t="str">
        <f>HYPERLINK("https://zfin.org/ZDB-GENE-060512-94")</f>
        <v>https://zfin.org/ZDB-GENE-060512-94</v>
      </c>
      <c r="E3800" t="s">
        <v>11374</v>
      </c>
    </row>
    <row r="3801" spans="1:5" x14ac:dyDescent="0.2">
      <c r="A3801" t="s">
        <v>11375</v>
      </c>
      <c r="B3801" t="s">
        <v>11376</v>
      </c>
      <c r="C3801" t="s">
        <v>11376</v>
      </c>
      <c r="D3801" t="str">
        <f>HYPERLINK("https://zfin.org/ZDB-GENE-160113-73")</f>
        <v>https://zfin.org/ZDB-GENE-160113-73</v>
      </c>
      <c r="E3801" t="s">
        <v>11377</v>
      </c>
    </row>
    <row r="3802" spans="1:5" x14ac:dyDescent="0.2">
      <c r="A3802" t="s">
        <v>11378</v>
      </c>
      <c r="B3802" t="s">
        <v>11379</v>
      </c>
      <c r="C3802" t="s">
        <v>11379</v>
      </c>
      <c r="D3802" t="str">
        <f>HYPERLINK("https://zfin.org/ZDB-GENE-041114-179")</f>
        <v>https://zfin.org/ZDB-GENE-041114-179</v>
      </c>
      <c r="E3802" t="s">
        <v>11380</v>
      </c>
    </row>
    <row r="3803" spans="1:5" x14ac:dyDescent="0.2">
      <c r="A3803" t="s">
        <v>11381</v>
      </c>
      <c r="B3803" t="s">
        <v>11382</v>
      </c>
      <c r="C3803" t="s">
        <v>11382</v>
      </c>
      <c r="D3803" t="str">
        <f>HYPERLINK("https://zfin.org/ZDB-GENE-090313-50")</f>
        <v>https://zfin.org/ZDB-GENE-090313-50</v>
      </c>
      <c r="E3803" t="s">
        <v>11383</v>
      </c>
    </row>
    <row r="3804" spans="1:5" x14ac:dyDescent="0.2">
      <c r="A3804" t="s">
        <v>11384</v>
      </c>
      <c r="B3804" t="s">
        <v>11385</v>
      </c>
      <c r="C3804" t="s">
        <v>11385</v>
      </c>
      <c r="D3804" t="str">
        <f>HYPERLINK("https://zfin.org/ZDB-GENE-081027-6")</f>
        <v>https://zfin.org/ZDB-GENE-081027-6</v>
      </c>
      <c r="E3804" t="s">
        <v>11386</v>
      </c>
    </row>
    <row r="3805" spans="1:5" x14ac:dyDescent="0.2">
      <c r="A3805" t="s">
        <v>11387</v>
      </c>
      <c r="B3805" t="s">
        <v>11388</v>
      </c>
      <c r="C3805" t="s">
        <v>11388</v>
      </c>
      <c r="D3805" t="str">
        <f>HYPERLINK("https://zfin.org/ZDB-GENE-030131-8568")</f>
        <v>https://zfin.org/ZDB-GENE-030131-8568</v>
      </c>
      <c r="E3805" t="s">
        <v>11389</v>
      </c>
    </row>
    <row r="3806" spans="1:5" x14ac:dyDescent="0.2">
      <c r="A3806" t="s">
        <v>11390</v>
      </c>
      <c r="B3806" t="s">
        <v>11391</v>
      </c>
      <c r="C3806" t="s">
        <v>11391</v>
      </c>
      <c r="D3806" t="str">
        <f>HYPERLINK("https://zfin.org/ZDB-GENE-050522-14")</f>
        <v>https://zfin.org/ZDB-GENE-050522-14</v>
      </c>
      <c r="E3806" t="s">
        <v>11392</v>
      </c>
    </row>
    <row r="3807" spans="1:5" x14ac:dyDescent="0.2">
      <c r="A3807" t="s">
        <v>11393</v>
      </c>
      <c r="B3807" t="s">
        <v>11394</v>
      </c>
      <c r="C3807" t="s">
        <v>11394</v>
      </c>
      <c r="D3807" t="str">
        <f>HYPERLINK("https://zfin.org/ZDB-GENE-050506-83")</f>
        <v>https://zfin.org/ZDB-GENE-050506-83</v>
      </c>
      <c r="E3807" t="s">
        <v>11395</v>
      </c>
    </row>
    <row r="3808" spans="1:5" x14ac:dyDescent="0.2">
      <c r="A3808" t="s">
        <v>11396</v>
      </c>
      <c r="B3808" t="s">
        <v>11397</v>
      </c>
      <c r="C3808" t="s">
        <v>11397</v>
      </c>
      <c r="D3808" t="str">
        <f>HYPERLINK("https://zfin.org/ZDB-GENE-030729-16")</f>
        <v>https://zfin.org/ZDB-GENE-030729-16</v>
      </c>
      <c r="E3808" t="s">
        <v>11398</v>
      </c>
    </row>
    <row r="3809" spans="1:5" x14ac:dyDescent="0.2">
      <c r="A3809" t="s">
        <v>11399</v>
      </c>
      <c r="B3809" t="s">
        <v>11400</v>
      </c>
      <c r="C3809" t="s">
        <v>11400</v>
      </c>
      <c r="D3809" t="str">
        <f>HYPERLINK("https://zfin.org/ZDB-GENE-030131-5675")</f>
        <v>https://zfin.org/ZDB-GENE-030131-5675</v>
      </c>
      <c r="E3809" t="s">
        <v>11401</v>
      </c>
    </row>
    <row r="3810" spans="1:5" x14ac:dyDescent="0.2">
      <c r="A3810" t="s">
        <v>11402</v>
      </c>
      <c r="B3810" t="s">
        <v>11403</v>
      </c>
      <c r="C3810" t="s">
        <v>11403</v>
      </c>
      <c r="D3810" t="str">
        <f>HYPERLINK("https://zfin.org/ZDB-GENE-030131-8969")</f>
        <v>https://zfin.org/ZDB-GENE-030131-8969</v>
      </c>
      <c r="E3810" t="s">
        <v>11404</v>
      </c>
    </row>
    <row r="3811" spans="1:5" x14ac:dyDescent="0.2">
      <c r="A3811" t="s">
        <v>11405</v>
      </c>
      <c r="B3811" t="s">
        <v>11406</v>
      </c>
      <c r="C3811" t="s">
        <v>11406</v>
      </c>
      <c r="D3811" t="str">
        <f>HYPERLINK("https://zfin.org/ZDB-GENE-040426-1001")</f>
        <v>https://zfin.org/ZDB-GENE-040426-1001</v>
      </c>
      <c r="E3811" t="s">
        <v>11407</v>
      </c>
    </row>
    <row r="3812" spans="1:5" x14ac:dyDescent="0.2">
      <c r="A3812" t="s">
        <v>11408</v>
      </c>
      <c r="B3812" t="s">
        <v>11409</v>
      </c>
      <c r="C3812" t="s">
        <v>11409</v>
      </c>
      <c r="D3812" t="str">
        <f>HYPERLINK("https://zfin.org/ZDB-GENE-040426-1602")</f>
        <v>https://zfin.org/ZDB-GENE-040426-1602</v>
      </c>
      <c r="E3812" t="s">
        <v>11410</v>
      </c>
    </row>
    <row r="3813" spans="1:5" x14ac:dyDescent="0.2">
      <c r="A3813" t="s">
        <v>11411</v>
      </c>
      <c r="B3813" t="s">
        <v>11412</v>
      </c>
      <c r="C3813" t="s">
        <v>11412</v>
      </c>
      <c r="D3813" t="str">
        <f>HYPERLINK("https://zfin.org/ZDB-GENE-140106-269")</f>
        <v>https://zfin.org/ZDB-GENE-140106-269</v>
      </c>
      <c r="E3813" t="s">
        <v>11413</v>
      </c>
    </row>
    <row r="3814" spans="1:5" x14ac:dyDescent="0.2">
      <c r="A3814" t="s">
        <v>11414</v>
      </c>
      <c r="B3814" t="s">
        <v>11415</v>
      </c>
      <c r="C3814" t="s">
        <v>11415</v>
      </c>
      <c r="D3814" t="str">
        <f>HYPERLINK("https://zfin.org/ZDB-GENE-070502-5")</f>
        <v>https://zfin.org/ZDB-GENE-070502-5</v>
      </c>
      <c r="E3814" t="s">
        <v>11416</v>
      </c>
    </row>
    <row r="3815" spans="1:5" x14ac:dyDescent="0.2">
      <c r="A3815" t="s">
        <v>11417</v>
      </c>
      <c r="B3815" t="s">
        <v>11418</v>
      </c>
      <c r="C3815" t="s">
        <v>11418</v>
      </c>
      <c r="D3815" t="str">
        <f>HYPERLINK("https://zfin.org/ZDB-GENE-040426-2740")</f>
        <v>https://zfin.org/ZDB-GENE-040426-2740</v>
      </c>
      <c r="E3815" t="s">
        <v>11419</v>
      </c>
    </row>
    <row r="3816" spans="1:5" x14ac:dyDescent="0.2">
      <c r="A3816" t="s">
        <v>11420</v>
      </c>
      <c r="B3816" t="s">
        <v>11421</v>
      </c>
      <c r="C3816" t="s">
        <v>11421</v>
      </c>
      <c r="D3816" t="str">
        <f>HYPERLINK("https://zfin.org/ZDB-GENE-991208-8")</f>
        <v>https://zfin.org/ZDB-GENE-991208-8</v>
      </c>
      <c r="E3816" t="s">
        <v>11422</v>
      </c>
    </row>
    <row r="3817" spans="1:5" x14ac:dyDescent="0.2">
      <c r="A3817" t="s">
        <v>11423</v>
      </c>
      <c r="B3817" t="s">
        <v>11424</v>
      </c>
      <c r="C3817" t="s">
        <v>11424</v>
      </c>
      <c r="D3817" t="str">
        <f>HYPERLINK("https://zfin.org/ZDB-GENE-040831-1")</f>
        <v>https://zfin.org/ZDB-GENE-040831-1</v>
      </c>
      <c r="E3817" t="s">
        <v>11425</v>
      </c>
    </row>
    <row r="3818" spans="1:5" x14ac:dyDescent="0.2">
      <c r="A3818" t="s">
        <v>11426</v>
      </c>
      <c r="B3818" t="s">
        <v>11427</v>
      </c>
      <c r="C3818" t="s">
        <v>11427</v>
      </c>
      <c r="D3818" t="str">
        <f>HYPERLINK("https://zfin.org/ZDB-GENE-081104-76")</f>
        <v>https://zfin.org/ZDB-GENE-081104-76</v>
      </c>
      <c r="E3818" t="s">
        <v>11428</v>
      </c>
    </row>
    <row r="3819" spans="1:5" x14ac:dyDescent="0.2">
      <c r="A3819" t="s">
        <v>11429</v>
      </c>
      <c r="B3819" t="s">
        <v>11430</v>
      </c>
      <c r="C3819" t="s">
        <v>11430</v>
      </c>
      <c r="D3819" t="str">
        <f>HYPERLINK("https://zfin.org/ZDB-GENE-041222-1")</f>
        <v>https://zfin.org/ZDB-GENE-041222-1</v>
      </c>
      <c r="E3819" t="s">
        <v>11431</v>
      </c>
    </row>
    <row r="3820" spans="1:5" x14ac:dyDescent="0.2">
      <c r="A3820" t="s">
        <v>11432</v>
      </c>
      <c r="B3820" t="s">
        <v>11433</v>
      </c>
      <c r="C3820" t="s">
        <v>11433</v>
      </c>
      <c r="D3820" t="str">
        <f>HYPERLINK("https://zfin.org/ZDB-GENE-041014-28")</f>
        <v>https://zfin.org/ZDB-GENE-041014-28</v>
      </c>
      <c r="E3820" t="s">
        <v>11434</v>
      </c>
    </row>
    <row r="3821" spans="1:5" x14ac:dyDescent="0.2">
      <c r="A3821" t="s">
        <v>11435</v>
      </c>
      <c r="B3821" t="s">
        <v>11436</v>
      </c>
      <c r="C3821" t="s">
        <v>11436</v>
      </c>
      <c r="D3821" t="str">
        <f>HYPERLINK("https://zfin.org/ZDB-GENE-090313-66")</f>
        <v>https://zfin.org/ZDB-GENE-090313-66</v>
      </c>
      <c r="E3821" t="s">
        <v>11437</v>
      </c>
    </row>
    <row r="3822" spans="1:5" x14ac:dyDescent="0.2">
      <c r="A3822" t="s">
        <v>11438</v>
      </c>
      <c r="B3822" t="s">
        <v>11439</v>
      </c>
      <c r="C3822" t="s">
        <v>11439</v>
      </c>
      <c r="D3822" t="str">
        <f>HYPERLINK("https://zfin.org/ZDB-GENE-040718-137")</f>
        <v>https://zfin.org/ZDB-GENE-040718-137</v>
      </c>
      <c r="E3822" t="s">
        <v>11440</v>
      </c>
    </row>
    <row r="3823" spans="1:5" x14ac:dyDescent="0.2">
      <c r="A3823" t="s">
        <v>11441</v>
      </c>
      <c r="B3823" t="s">
        <v>11442</v>
      </c>
      <c r="C3823" t="s">
        <v>11442</v>
      </c>
      <c r="D3823" t="str">
        <f>HYPERLINK("https://zfin.org/ZDB-GENE-060929-204")</f>
        <v>https://zfin.org/ZDB-GENE-060929-204</v>
      </c>
      <c r="E3823" t="s">
        <v>11443</v>
      </c>
    </row>
    <row r="3824" spans="1:5" x14ac:dyDescent="0.2">
      <c r="A3824" t="s">
        <v>11444</v>
      </c>
      <c r="B3824" t="s">
        <v>11445</v>
      </c>
      <c r="C3824" t="s">
        <v>11445</v>
      </c>
      <c r="D3824" t="str">
        <f>HYPERLINK("https://zfin.org/ZDB-GENE-040914-58")</f>
        <v>https://zfin.org/ZDB-GENE-040914-58</v>
      </c>
      <c r="E3824" t="s">
        <v>11446</v>
      </c>
    </row>
    <row r="3825" spans="1:5" x14ac:dyDescent="0.2">
      <c r="A3825" t="s">
        <v>11447</v>
      </c>
      <c r="B3825" t="s">
        <v>11448</v>
      </c>
      <c r="C3825" t="s">
        <v>11448</v>
      </c>
      <c r="D3825" t="str">
        <f>HYPERLINK("https://zfin.org/ZDB-GENE-030131-6505")</f>
        <v>https://zfin.org/ZDB-GENE-030131-6505</v>
      </c>
      <c r="E3825" t="s">
        <v>11449</v>
      </c>
    </row>
    <row r="3826" spans="1:5" x14ac:dyDescent="0.2">
      <c r="A3826" t="s">
        <v>11450</v>
      </c>
      <c r="B3826" t="s">
        <v>11451</v>
      </c>
      <c r="C3826" t="s">
        <v>11451</v>
      </c>
      <c r="D3826" t="str">
        <f>HYPERLINK("https://zfin.org/ZDB-GENE-040426-2836")</f>
        <v>https://zfin.org/ZDB-GENE-040426-2836</v>
      </c>
      <c r="E3826" t="s">
        <v>11452</v>
      </c>
    </row>
    <row r="3827" spans="1:5" x14ac:dyDescent="0.2">
      <c r="A3827" t="s">
        <v>11453</v>
      </c>
      <c r="B3827" t="s">
        <v>11454</v>
      </c>
      <c r="C3827" t="s">
        <v>11454</v>
      </c>
      <c r="D3827" t="str">
        <f>HYPERLINK("https://zfin.org/ZDB-GENE-000510-1")</f>
        <v>https://zfin.org/ZDB-GENE-000510-1</v>
      </c>
      <c r="E3827" t="s">
        <v>11455</v>
      </c>
    </row>
    <row r="3828" spans="1:5" x14ac:dyDescent="0.2">
      <c r="A3828" t="s">
        <v>11456</v>
      </c>
      <c r="B3828" t="s">
        <v>11457</v>
      </c>
      <c r="C3828" t="s">
        <v>11457</v>
      </c>
      <c r="D3828" t="str">
        <f>HYPERLINK("https://zfin.org/ZDB-GENE-010724-18")</f>
        <v>https://zfin.org/ZDB-GENE-010724-18</v>
      </c>
      <c r="E3828" t="s">
        <v>11458</v>
      </c>
    </row>
    <row r="3829" spans="1:5" x14ac:dyDescent="0.2">
      <c r="A3829" t="s">
        <v>11459</v>
      </c>
      <c r="B3829" t="s">
        <v>11460</v>
      </c>
      <c r="C3829" t="s">
        <v>11460</v>
      </c>
      <c r="D3829" t="str">
        <f>HYPERLINK("https://zfin.org/ZDB-GENE-061013-124")</f>
        <v>https://zfin.org/ZDB-GENE-061013-124</v>
      </c>
      <c r="E3829" t="s">
        <v>11461</v>
      </c>
    </row>
    <row r="3830" spans="1:5" x14ac:dyDescent="0.2">
      <c r="A3830" t="s">
        <v>11462</v>
      </c>
      <c r="B3830" t="s">
        <v>11463</v>
      </c>
      <c r="C3830" t="s">
        <v>11463</v>
      </c>
      <c r="D3830" t="str">
        <f>HYPERLINK("https://zfin.org/ZDB-GENE-050208-621")</f>
        <v>https://zfin.org/ZDB-GENE-050208-621</v>
      </c>
      <c r="E3830" t="s">
        <v>11464</v>
      </c>
    </row>
    <row r="3831" spans="1:5" x14ac:dyDescent="0.2">
      <c r="A3831" t="s">
        <v>11465</v>
      </c>
      <c r="B3831" t="s">
        <v>11466</v>
      </c>
      <c r="C3831" t="s">
        <v>11466</v>
      </c>
      <c r="D3831" t="str">
        <f>HYPERLINK("https://zfin.org/ZDB-GENE-030912-10")</f>
        <v>https://zfin.org/ZDB-GENE-030912-10</v>
      </c>
      <c r="E3831" t="s">
        <v>11467</v>
      </c>
    </row>
    <row r="3832" spans="1:5" x14ac:dyDescent="0.2">
      <c r="A3832" t="s">
        <v>11468</v>
      </c>
      <c r="B3832" t="s">
        <v>11469</v>
      </c>
      <c r="C3832" t="s">
        <v>11469</v>
      </c>
      <c r="D3832" t="str">
        <f>HYPERLINK("https://zfin.org/ZDB-GENE-131120-159")</f>
        <v>https://zfin.org/ZDB-GENE-131120-159</v>
      </c>
      <c r="E3832" t="s">
        <v>11470</v>
      </c>
    </row>
    <row r="3833" spans="1:5" x14ac:dyDescent="0.2">
      <c r="A3833" t="s">
        <v>11471</v>
      </c>
      <c r="B3833" t="s">
        <v>467</v>
      </c>
      <c r="C3833" t="s">
        <v>11472</v>
      </c>
      <c r="D3833" t="str">
        <f>HYPERLINK("https://zfin.org/ZDB-GENE-050327-87")</f>
        <v>https://zfin.org/ZDB-GENE-050327-87</v>
      </c>
      <c r="E3833" t="s">
        <v>11473</v>
      </c>
    </row>
    <row r="3834" spans="1:5" x14ac:dyDescent="0.2">
      <c r="A3834" t="s">
        <v>11474</v>
      </c>
      <c r="B3834" t="s">
        <v>11475</v>
      </c>
      <c r="C3834" t="s">
        <v>11475</v>
      </c>
      <c r="D3834" t="str">
        <f>HYPERLINK("https://zfin.org/ZDB-GENE-060825-7")</f>
        <v>https://zfin.org/ZDB-GENE-060825-7</v>
      </c>
      <c r="E3834" t="s">
        <v>11476</v>
      </c>
    </row>
    <row r="3835" spans="1:5" x14ac:dyDescent="0.2">
      <c r="A3835" t="s">
        <v>11477</v>
      </c>
      <c r="B3835" t="s">
        <v>11478</v>
      </c>
      <c r="C3835" t="s">
        <v>11478</v>
      </c>
      <c r="D3835" t="str">
        <f>HYPERLINK("https://zfin.org/ZDB-GENE-040426-2401")</f>
        <v>https://zfin.org/ZDB-GENE-040426-2401</v>
      </c>
      <c r="E3835" t="s">
        <v>11479</v>
      </c>
    </row>
    <row r="3836" spans="1:5" x14ac:dyDescent="0.2">
      <c r="A3836" t="s">
        <v>11480</v>
      </c>
      <c r="B3836" t="s">
        <v>11481</v>
      </c>
      <c r="C3836" t="s">
        <v>11481</v>
      </c>
      <c r="D3836" t="str">
        <f>HYPERLINK("https://zfin.org/ZDB-GENE-030131-8984")</f>
        <v>https://zfin.org/ZDB-GENE-030131-8984</v>
      </c>
      <c r="E3836" t="s">
        <v>11482</v>
      </c>
    </row>
    <row r="3837" spans="1:5" x14ac:dyDescent="0.2">
      <c r="A3837" t="s">
        <v>11483</v>
      </c>
      <c r="B3837" t="s">
        <v>11484</v>
      </c>
      <c r="C3837" t="s">
        <v>11484</v>
      </c>
      <c r="D3837" t="str">
        <f>HYPERLINK("https://zfin.org/ZDB-GENE-070928-43")</f>
        <v>https://zfin.org/ZDB-GENE-070928-43</v>
      </c>
      <c r="E3837" t="s">
        <v>11485</v>
      </c>
    </row>
    <row r="3838" spans="1:5" x14ac:dyDescent="0.2">
      <c r="A3838" t="s">
        <v>11486</v>
      </c>
      <c r="B3838" t="s">
        <v>11487</v>
      </c>
      <c r="C3838" t="s">
        <v>11487</v>
      </c>
      <c r="D3838" t="str">
        <f>HYPERLINK("https://zfin.org/ZDB-GENE-030131-1819")</f>
        <v>https://zfin.org/ZDB-GENE-030131-1819</v>
      </c>
      <c r="E3838" t="s">
        <v>11488</v>
      </c>
    </row>
    <row r="3839" spans="1:5" x14ac:dyDescent="0.2">
      <c r="A3839" t="s">
        <v>11489</v>
      </c>
      <c r="B3839" t="s">
        <v>11490</v>
      </c>
      <c r="C3839" t="s">
        <v>11490</v>
      </c>
      <c r="D3839" t="str">
        <f>HYPERLINK("https://zfin.org/ZDB-GENE-050913-145")</f>
        <v>https://zfin.org/ZDB-GENE-050913-145</v>
      </c>
      <c r="E3839" t="s">
        <v>11491</v>
      </c>
    </row>
    <row r="3840" spans="1:5" x14ac:dyDescent="0.2">
      <c r="A3840" t="s">
        <v>11492</v>
      </c>
      <c r="B3840" t="s">
        <v>11493</v>
      </c>
      <c r="C3840" t="s">
        <v>11493</v>
      </c>
      <c r="D3840" t="str">
        <f>HYPERLINK("https://zfin.org/ZDB-GENE-120927-1")</f>
        <v>https://zfin.org/ZDB-GENE-120927-1</v>
      </c>
      <c r="E3840" t="s">
        <v>11494</v>
      </c>
    </row>
    <row r="3841" spans="1:5" x14ac:dyDescent="0.2">
      <c r="A3841" t="s">
        <v>11495</v>
      </c>
      <c r="B3841" t="s">
        <v>11496</v>
      </c>
      <c r="C3841" t="s">
        <v>11496</v>
      </c>
      <c r="D3841" t="str">
        <f>HYPERLINK("https://zfin.org/ZDB-GENE-060503-925")</f>
        <v>https://zfin.org/ZDB-GENE-060503-925</v>
      </c>
      <c r="E3841" t="s">
        <v>11497</v>
      </c>
    </row>
    <row r="3842" spans="1:5" x14ac:dyDescent="0.2">
      <c r="A3842" t="s">
        <v>11498</v>
      </c>
      <c r="B3842" t="s">
        <v>11499</v>
      </c>
      <c r="C3842" t="s">
        <v>11499</v>
      </c>
      <c r="D3842" t="str">
        <f>HYPERLINK("https://zfin.org/ZDB-GENE-030131-1825")</f>
        <v>https://zfin.org/ZDB-GENE-030131-1825</v>
      </c>
      <c r="E3842" t="s">
        <v>11500</v>
      </c>
    </row>
    <row r="3843" spans="1:5" x14ac:dyDescent="0.2">
      <c r="A3843" t="s">
        <v>11501</v>
      </c>
      <c r="B3843" t="s">
        <v>11502</v>
      </c>
      <c r="C3843" t="s">
        <v>11502</v>
      </c>
      <c r="D3843" t="str">
        <f>HYPERLINK("https://zfin.org/ZDB-GENE-990415-164")</f>
        <v>https://zfin.org/ZDB-GENE-990415-164</v>
      </c>
      <c r="E3843" t="s">
        <v>11503</v>
      </c>
    </row>
    <row r="3844" spans="1:5" x14ac:dyDescent="0.2">
      <c r="A3844" t="s">
        <v>11504</v>
      </c>
      <c r="B3844" t="s">
        <v>11505</v>
      </c>
      <c r="C3844" t="s">
        <v>11505</v>
      </c>
      <c r="D3844" t="str">
        <f>HYPERLINK("https://zfin.org/ZDB-GENE-070705-535")</f>
        <v>https://zfin.org/ZDB-GENE-070705-535</v>
      </c>
      <c r="E3844" t="s">
        <v>11506</v>
      </c>
    </row>
    <row r="3845" spans="1:5" x14ac:dyDescent="0.2">
      <c r="A3845" t="s">
        <v>11507</v>
      </c>
      <c r="B3845" t="s">
        <v>11508</v>
      </c>
      <c r="C3845" t="s">
        <v>11508</v>
      </c>
      <c r="D3845" t="str">
        <f>HYPERLINK("https://zfin.org/ZDB-GENE-030131-2836")</f>
        <v>https://zfin.org/ZDB-GENE-030131-2836</v>
      </c>
      <c r="E3845" t="s">
        <v>11509</v>
      </c>
    </row>
    <row r="3846" spans="1:5" x14ac:dyDescent="0.2">
      <c r="A3846" t="s">
        <v>11510</v>
      </c>
      <c r="B3846" t="s">
        <v>11511</v>
      </c>
      <c r="C3846" t="s">
        <v>11511</v>
      </c>
      <c r="D3846" t="str">
        <f>HYPERLINK("https://zfin.org/ZDB-GENE-080402-9")</f>
        <v>https://zfin.org/ZDB-GENE-080402-9</v>
      </c>
      <c r="E3846" t="s">
        <v>11512</v>
      </c>
    </row>
    <row r="3847" spans="1:5" x14ac:dyDescent="0.2">
      <c r="A3847" t="s">
        <v>11513</v>
      </c>
      <c r="B3847" t="s">
        <v>11514</v>
      </c>
      <c r="C3847" t="s">
        <v>11514</v>
      </c>
      <c r="D3847" t="str">
        <f>HYPERLINK("https://zfin.org/ZDB-GENE-050419-103")</f>
        <v>https://zfin.org/ZDB-GENE-050419-103</v>
      </c>
      <c r="E3847" t="s">
        <v>11515</v>
      </c>
    </row>
    <row r="3848" spans="1:5" x14ac:dyDescent="0.2">
      <c r="A3848" t="s">
        <v>11516</v>
      </c>
      <c r="B3848" t="s">
        <v>11517</v>
      </c>
      <c r="C3848" t="s">
        <v>11517</v>
      </c>
      <c r="D3848" t="str">
        <f>HYPERLINK("https://zfin.org/ZDB-GENE-040426-1895")</f>
        <v>https://zfin.org/ZDB-GENE-040426-1895</v>
      </c>
      <c r="E3848" t="s">
        <v>11518</v>
      </c>
    </row>
    <row r="3849" spans="1:5" x14ac:dyDescent="0.2">
      <c r="A3849" t="s">
        <v>11519</v>
      </c>
      <c r="B3849" t="s">
        <v>11520</v>
      </c>
      <c r="C3849" t="s">
        <v>11520</v>
      </c>
      <c r="D3849" t="str">
        <f>HYPERLINK("https://zfin.org/ZDB-GENE-040912-57")</f>
        <v>https://zfin.org/ZDB-GENE-040912-57</v>
      </c>
      <c r="E3849" t="s">
        <v>11521</v>
      </c>
    </row>
    <row r="3850" spans="1:5" x14ac:dyDescent="0.2">
      <c r="A3850" t="s">
        <v>11522</v>
      </c>
      <c r="B3850" t="s">
        <v>11523</v>
      </c>
      <c r="C3850" t="s">
        <v>11523</v>
      </c>
      <c r="D3850" t="str">
        <f>HYPERLINK("https://zfin.org/ZDB-GENE-060929-508")</f>
        <v>https://zfin.org/ZDB-GENE-060929-508</v>
      </c>
      <c r="E3850" t="s">
        <v>11524</v>
      </c>
    </row>
    <row r="3851" spans="1:5" x14ac:dyDescent="0.2">
      <c r="A3851" t="s">
        <v>11525</v>
      </c>
      <c r="B3851" t="s">
        <v>11526</v>
      </c>
      <c r="C3851" t="s">
        <v>11526</v>
      </c>
      <c r="D3851" t="str">
        <f>HYPERLINK("https://zfin.org/ZDB-GENE-061215-23")</f>
        <v>https://zfin.org/ZDB-GENE-061215-23</v>
      </c>
      <c r="E3851" t="s">
        <v>11527</v>
      </c>
    </row>
    <row r="3852" spans="1:5" x14ac:dyDescent="0.2">
      <c r="A3852" t="s">
        <v>11528</v>
      </c>
      <c r="B3852" t="s">
        <v>11529</v>
      </c>
      <c r="C3852" t="s">
        <v>11529</v>
      </c>
      <c r="D3852" t="str">
        <f>HYPERLINK("https://zfin.org/ZDB-GENE-120508-1")</f>
        <v>https://zfin.org/ZDB-GENE-120508-1</v>
      </c>
      <c r="E3852" t="s">
        <v>11530</v>
      </c>
    </row>
    <row r="3853" spans="1:5" x14ac:dyDescent="0.2">
      <c r="A3853" t="s">
        <v>11531</v>
      </c>
      <c r="B3853" t="s">
        <v>11532</v>
      </c>
      <c r="C3853" t="s">
        <v>11532</v>
      </c>
      <c r="D3853" t="str">
        <f>HYPERLINK("https://zfin.org/ZDB-GENE-030131-2401")</f>
        <v>https://zfin.org/ZDB-GENE-030131-2401</v>
      </c>
      <c r="E3853" t="s">
        <v>11533</v>
      </c>
    </row>
    <row r="3854" spans="1:5" x14ac:dyDescent="0.2">
      <c r="A3854" t="s">
        <v>11534</v>
      </c>
      <c r="B3854" t="s">
        <v>11535</v>
      </c>
      <c r="C3854" t="s">
        <v>11535</v>
      </c>
      <c r="D3854" t="str">
        <f>HYPERLINK("https://zfin.org/ZDB-GENE-030421-3")</f>
        <v>https://zfin.org/ZDB-GENE-030421-3</v>
      </c>
      <c r="E3854" t="s">
        <v>11536</v>
      </c>
    </row>
    <row r="3855" spans="1:5" x14ac:dyDescent="0.2">
      <c r="A3855" t="s">
        <v>11537</v>
      </c>
      <c r="B3855" t="s">
        <v>11538</v>
      </c>
      <c r="C3855" t="s">
        <v>11538</v>
      </c>
      <c r="D3855" t="str">
        <f>HYPERLINK("https://zfin.org/ZDB-GENE-030219-130")</f>
        <v>https://zfin.org/ZDB-GENE-030219-130</v>
      </c>
      <c r="E3855" t="s">
        <v>11539</v>
      </c>
    </row>
    <row r="3856" spans="1:5" x14ac:dyDescent="0.2">
      <c r="A3856" t="s">
        <v>11540</v>
      </c>
      <c r="B3856" t="s">
        <v>11541</v>
      </c>
      <c r="C3856" t="s">
        <v>11541</v>
      </c>
      <c r="D3856" t="str">
        <f>HYPERLINK("https://zfin.org/ZDB-GENE-990706-2")</f>
        <v>https://zfin.org/ZDB-GENE-990706-2</v>
      </c>
      <c r="E3856" t="s">
        <v>11542</v>
      </c>
    </row>
    <row r="3857" spans="1:5" x14ac:dyDescent="0.2">
      <c r="A3857" t="s">
        <v>11543</v>
      </c>
      <c r="B3857" t="s">
        <v>11544</v>
      </c>
      <c r="C3857" t="s">
        <v>11544</v>
      </c>
      <c r="D3857" t="str">
        <f>HYPERLINK("https://zfin.org/ZDB-GENE-030131-4258")</f>
        <v>https://zfin.org/ZDB-GENE-030131-4258</v>
      </c>
      <c r="E3857" t="s">
        <v>11545</v>
      </c>
    </row>
    <row r="3858" spans="1:5" x14ac:dyDescent="0.2">
      <c r="A3858" t="s">
        <v>11546</v>
      </c>
      <c r="B3858" t="s">
        <v>11547</v>
      </c>
      <c r="C3858" t="s">
        <v>11547</v>
      </c>
      <c r="D3858" t="str">
        <f>HYPERLINK("https://zfin.org/ZDB-GENE-121214-291")</f>
        <v>https://zfin.org/ZDB-GENE-121214-291</v>
      </c>
      <c r="E3858" t="s">
        <v>11548</v>
      </c>
    </row>
    <row r="3859" spans="1:5" x14ac:dyDescent="0.2">
      <c r="A3859" t="s">
        <v>11549</v>
      </c>
      <c r="B3859" t="s">
        <v>11550</v>
      </c>
      <c r="C3859" t="s">
        <v>11550</v>
      </c>
      <c r="D3859" t="str">
        <f>HYPERLINK("https://zfin.org/ZDB-GENE-030826-32")</f>
        <v>https://zfin.org/ZDB-GENE-030826-32</v>
      </c>
      <c r="E3859" t="s">
        <v>11551</v>
      </c>
    </row>
    <row r="3860" spans="1:5" x14ac:dyDescent="0.2">
      <c r="A3860" t="s">
        <v>11552</v>
      </c>
      <c r="B3860" t="s">
        <v>11553</v>
      </c>
      <c r="C3860" t="s">
        <v>11553</v>
      </c>
      <c r="D3860" t="str">
        <f>HYPERLINK("https://zfin.org/ZDB-GENE-030131-8195")</f>
        <v>https://zfin.org/ZDB-GENE-030131-8195</v>
      </c>
      <c r="E3860" t="s">
        <v>11554</v>
      </c>
    </row>
    <row r="3861" spans="1:5" x14ac:dyDescent="0.2">
      <c r="A3861" t="s">
        <v>11555</v>
      </c>
      <c r="B3861" t="s">
        <v>11556</v>
      </c>
      <c r="C3861" t="s">
        <v>11556</v>
      </c>
      <c r="D3861" t="str">
        <f>HYPERLINK("https://zfin.org/ZDB-GENE-060929-1030")</f>
        <v>https://zfin.org/ZDB-GENE-060929-1030</v>
      </c>
      <c r="E3861" t="s">
        <v>11557</v>
      </c>
    </row>
    <row r="3862" spans="1:5" x14ac:dyDescent="0.2">
      <c r="A3862" t="s">
        <v>11558</v>
      </c>
      <c r="B3862" t="s">
        <v>11559</v>
      </c>
      <c r="C3862" t="s">
        <v>11559</v>
      </c>
      <c r="D3862" t="str">
        <f>HYPERLINK("https://zfin.org/ZDB-GENE-030131-8015")</f>
        <v>https://zfin.org/ZDB-GENE-030131-8015</v>
      </c>
      <c r="E3862" t="s">
        <v>11560</v>
      </c>
    </row>
    <row r="3863" spans="1:5" x14ac:dyDescent="0.2">
      <c r="A3863" t="s">
        <v>11561</v>
      </c>
      <c r="B3863" t="s">
        <v>11562</v>
      </c>
      <c r="C3863" t="s">
        <v>11562</v>
      </c>
      <c r="D3863" t="str">
        <f>HYPERLINK("https://zfin.org/ZDB-GENE-040426-1165")</f>
        <v>https://zfin.org/ZDB-GENE-040426-1165</v>
      </c>
      <c r="E3863" t="s">
        <v>11563</v>
      </c>
    </row>
    <row r="3864" spans="1:5" x14ac:dyDescent="0.2">
      <c r="A3864" t="s">
        <v>11564</v>
      </c>
      <c r="B3864" t="s">
        <v>11565</v>
      </c>
      <c r="C3864" t="s">
        <v>11565</v>
      </c>
      <c r="D3864" t="str">
        <f>HYPERLINK("https://zfin.org/ZDB-GENE-131127-353")</f>
        <v>https://zfin.org/ZDB-GENE-131127-353</v>
      </c>
      <c r="E3864" t="s">
        <v>11566</v>
      </c>
    </row>
    <row r="3865" spans="1:5" x14ac:dyDescent="0.2">
      <c r="A3865" t="s">
        <v>11567</v>
      </c>
      <c r="B3865" t="s">
        <v>11568</v>
      </c>
      <c r="C3865" t="s">
        <v>11568</v>
      </c>
      <c r="D3865" t="str">
        <f>HYPERLINK("https://zfin.org/ZDB-GENE-030131-5980")</f>
        <v>https://zfin.org/ZDB-GENE-030131-5980</v>
      </c>
      <c r="E3865" t="s">
        <v>11569</v>
      </c>
    </row>
    <row r="3866" spans="1:5" x14ac:dyDescent="0.2">
      <c r="A3866" t="s">
        <v>11570</v>
      </c>
      <c r="B3866" t="s">
        <v>11571</v>
      </c>
      <c r="C3866" t="s">
        <v>11571</v>
      </c>
      <c r="D3866" t="str">
        <f>HYPERLINK("https://zfin.org/ZDB-GENE-030131-5261")</f>
        <v>https://zfin.org/ZDB-GENE-030131-5261</v>
      </c>
      <c r="E3866" t="s">
        <v>11572</v>
      </c>
    </row>
    <row r="3867" spans="1:5" x14ac:dyDescent="0.2">
      <c r="A3867" t="s">
        <v>11573</v>
      </c>
      <c r="B3867" t="s">
        <v>11574</v>
      </c>
      <c r="C3867" t="s">
        <v>11574</v>
      </c>
      <c r="D3867" t="str">
        <f>HYPERLINK("https://zfin.org/ZDB-GENE-050417-20")</f>
        <v>https://zfin.org/ZDB-GENE-050417-20</v>
      </c>
      <c r="E3867" t="s">
        <v>11575</v>
      </c>
    </row>
    <row r="3868" spans="1:5" x14ac:dyDescent="0.2">
      <c r="A3868" t="s">
        <v>11576</v>
      </c>
      <c r="B3868" t="s">
        <v>11577</v>
      </c>
      <c r="C3868" t="s">
        <v>11577</v>
      </c>
      <c r="D3868" t="str">
        <f>HYPERLINK("https://zfin.org/ZDB-GENE-100422-1")</f>
        <v>https://zfin.org/ZDB-GENE-100422-1</v>
      </c>
      <c r="E3868" t="s">
        <v>11578</v>
      </c>
    </row>
    <row r="3869" spans="1:5" x14ac:dyDescent="0.2">
      <c r="A3869" t="s">
        <v>11579</v>
      </c>
      <c r="B3869" t="s">
        <v>11580</v>
      </c>
      <c r="C3869" t="s">
        <v>11580</v>
      </c>
      <c r="D3869" t="str">
        <f>HYPERLINK("https://zfin.org/ZDB-GENE-060503-511")</f>
        <v>https://zfin.org/ZDB-GENE-060503-511</v>
      </c>
      <c r="E3869" t="s">
        <v>11581</v>
      </c>
    </row>
    <row r="3870" spans="1:5" x14ac:dyDescent="0.2">
      <c r="A3870" t="s">
        <v>11582</v>
      </c>
      <c r="B3870" t="s">
        <v>11583</v>
      </c>
      <c r="C3870" t="s">
        <v>11583</v>
      </c>
      <c r="D3870" t="str">
        <f>HYPERLINK("https://zfin.org/ZDB-GENE-040426-2780")</f>
        <v>https://zfin.org/ZDB-GENE-040426-2780</v>
      </c>
      <c r="E3870" t="s">
        <v>11584</v>
      </c>
    </row>
    <row r="3871" spans="1:5" x14ac:dyDescent="0.2">
      <c r="A3871" t="s">
        <v>11585</v>
      </c>
      <c r="B3871" t="s">
        <v>11586</v>
      </c>
      <c r="C3871" t="s">
        <v>11586</v>
      </c>
      <c r="D3871" t="str">
        <f>HYPERLINK("https://zfin.org/ZDB-GENE-040426-1354")</f>
        <v>https://zfin.org/ZDB-GENE-040426-1354</v>
      </c>
      <c r="E3871" t="s">
        <v>11587</v>
      </c>
    </row>
    <row r="3872" spans="1:5" x14ac:dyDescent="0.2">
      <c r="A3872" t="s">
        <v>11588</v>
      </c>
      <c r="B3872" t="s">
        <v>11589</v>
      </c>
      <c r="C3872" t="s">
        <v>11589</v>
      </c>
      <c r="D3872" t="str">
        <f>HYPERLINK("https://zfin.org/ZDB-GENE-121214-152")</f>
        <v>https://zfin.org/ZDB-GENE-121214-152</v>
      </c>
      <c r="E3872" t="s">
        <v>11590</v>
      </c>
    </row>
    <row r="3873" spans="1:5" x14ac:dyDescent="0.2">
      <c r="A3873" t="s">
        <v>11591</v>
      </c>
      <c r="B3873" t="s">
        <v>11592</v>
      </c>
      <c r="C3873" t="s">
        <v>11592</v>
      </c>
      <c r="D3873" t="str">
        <f>HYPERLINK("https://zfin.org/ZDB-GENE-081105-187")</f>
        <v>https://zfin.org/ZDB-GENE-081105-187</v>
      </c>
      <c r="E3873" t="s">
        <v>11593</v>
      </c>
    </row>
    <row r="3874" spans="1:5" x14ac:dyDescent="0.2">
      <c r="A3874" t="s">
        <v>11594</v>
      </c>
      <c r="B3874" t="s">
        <v>11595</v>
      </c>
      <c r="C3874" t="s">
        <v>11595</v>
      </c>
      <c r="D3874" t="str">
        <f>HYPERLINK("https://zfin.org/ZDB-GENE-040426-2509")</f>
        <v>https://zfin.org/ZDB-GENE-040426-2509</v>
      </c>
      <c r="E3874" t="s">
        <v>11596</v>
      </c>
    </row>
    <row r="3875" spans="1:5" x14ac:dyDescent="0.2">
      <c r="A3875" t="s">
        <v>11597</v>
      </c>
      <c r="B3875" t="s">
        <v>11598</v>
      </c>
      <c r="C3875" t="s">
        <v>11598</v>
      </c>
      <c r="D3875" t="str">
        <f>HYPERLINK("https://zfin.org/ZDB-GENE-121214-122")</f>
        <v>https://zfin.org/ZDB-GENE-121214-122</v>
      </c>
      <c r="E3875" t="s">
        <v>11599</v>
      </c>
    </row>
    <row r="3876" spans="1:5" x14ac:dyDescent="0.2">
      <c r="A3876" t="s">
        <v>11600</v>
      </c>
      <c r="B3876" t="s">
        <v>11601</v>
      </c>
      <c r="C3876" t="s">
        <v>11601</v>
      </c>
      <c r="D3876" t="str">
        <f>HYPERLINK("https://zfin.org/ZDB-GENE-100921-43")</f>
        <v>https://zfin.org/ZDB-GENE-100921-43</v>
      </c>
      <c r="E3876" t="s">
        <v>11602</v>
      </c>
    </row>
    <row r="3877" spans="1:5" x14ac:dyDescent="0.2">
      <c r="A3877" t="s">
        <v>11603</v>
      </c>
      <c r="B3877" t="s">
        <v>11604</v>
      </c>
      <c r="C3877" t="s">
        <v>11604</v>
      </c>
      <c r="D3877" t="str">
        <f>HYPERLINK("https://zfin.org/ZDB-GENE-051023-7")</f>
        <v>https://zfin.org/ZDB-GENE-051023-7</v>
      </c>
      <c r="E3877" t="s">
        <v>11605</v>
      </c>
    </row>
    <row r="3878" spans="1:5" x14ac:dyDescent="0.2">
      <c r="A3878" t="s">
        <v>11606</v>
      </c>
      <c r="B3878" t="s">
        <v>11607</v>
      </c>
      <c r="C3878" t="s">
        <v>11607</v>
      </c>
      <c r="D3878" t="str">
        <f>HYPERLINK("https://zfin.org/ZDB-GENE-041010-107")</f>
        <v>https://zfin.org/ZDB-GENE-041010-107</v>
      </c>
      <c r="E3878" t="s">
        <v>11608</v>
      </c>
    </row>
    <row r="3879" spans="1:5" x14ac:dyDescent="0.2">
      <c r="A3879" t="s">
        <v>11609</v>
      </c>
      <c r="B3879" t="s">
        <v>11610</v>
      </c>
      <c r="C3879" t="s">
        <v>11610</v>
      </c>
      <c r="D3879" t="str">
        <f>HYPERLINK("https://zfin.org/ZDB-GENE-050419-24")</f>
        <v>https://zfin.org/ZDB-GENE-050419-24</v>
      </c>
      <c r="E3879" t="s">
        <v>11611</v>
      </c>
    </row>
    <row r="3880" spans="1:5" x14ac:dyDescent="0.2">
      <c r="A3880" t="s">
        <v>11612</v>
      </c>
      <c r="B3880" t="s">
        <v>11613</v>
      </c>
      <c r="C3880" t="s">
        <v>11613</v>
      </c>
      <c r="D3880" t="str">
        <f>HYPERLINK("https://zfin.org/ZDB-GENE-070424-90")</f>
        <v>https://zfin.org/ZDB-GENE-070424-90</v>
      </c>
      <c r="E3880" t="s">
        <v>11614</v>
      </c>
    </row>
    <row r="3881" spans="1:5" x14ac:dyDescent="0.2">
      <c r="A3881" t="s">
        <v>11615</v>
      </c>
      <c r="B3881" t="s">
        <v>11616</v>
      </c>
      <c r="C3881" t="s">
        <v>11616</v>
      </c>
      <c r="D3881" t="str">
        <f>HYPERLINK("https://zfin.org/ZDB-GENE-090306-3")</f>
        <v>https://zfin.org/ZDB-GENE-090306-3</v>
      </c>
      <c r="E3881" t="s">
        <v>11617</v>
      </c>
    </row>
    <row r="3882" spans="1:5" x14ac:dyDescent="0.2">
      <c r="A3882" t="s">
        <v>11618</v>
      </c>
      <c r="B3882" t="s">
        <v>11619</v>
      </c>
      <c r="C3882" t="s">
        <v>11619</v>
      </c>
      <c r="D3882" t="str">
        <f>HYPERLINK("https://zfin.org/ZDB-GENE-030131-1699")</f>
        <v>https://zfin.org/ZDB-GENE-030131-1699</v>
      </c>
      <c r="E3882" t="s">
        <v>11620</v>
      </c>
    </row>
    <row r="3883" spans="1:5" x14ac:dyDescent="0.2">
      <c r="A3883" t="s">
        <v>11621</v>
      </c>
      <c r="B3883" t="s">
        <v>11622</v>
      </c>
      <c r="C3883" t="s">
        <v>11623</v>
      </c>
      <c r="D3883" t="str">
        <f>HYPERLINK("https://zfin.org/ZDB-GENE-110408-61")</f>
        <v>https://zfin.org/ZDB-GENE-110408-61</v>
      </c>
      <c r="E3883" t="s">
        <v>11624</v>
      </c>
    </row>
    <row r="3884" spans="1:5" x14ac:dyDescent="0.2">
      <c r="A3884" t="s">
        <v>11625</v>
      </c>
      <c r="B3884" t="s">
        <v>11626</v>
      </c>
      <c r="C3884" t="s">
        <v>11626</v>
      </c>
      <c r="D3884" t="str">
        <f>HYPERLINK("https://zfin.org/ZDB-GENE-040426-994")</f>
        <v>https://zfin.org/ZDB-GENE-040426-994</v>
      </c>
      <c r="E3884" t="s">
        <v>11627</v>
      </c>
    </row>
    <row r="3885" spans="1:5" x14ac:dyDescent="0.2">
      <c r="A3885" t="s">
        <v>11628</v>
      </c>
      <c r="B3885" t="s">
        <v>11629</v>
      </c>
      <c r="C3885" t="s">
        <v>11629</v>
      </c>
      <c r="D3885" t="str">
        <f>HYPERLINK("https://zfin.org/ZDB-GENE-030131-5390")</f>
        <v>https://zfin.org/ZDB-GENE-030131-5390</v>
      </c>
      <c r="E3885" t="s">
        <v>11630</v>
      </c>
    </row>
    <row r="3886" spans="1:5" x14ac:dyDescent="0.2">
      <c r="A3886" t="s">
        <v>11631</v>
      </c>
      <c r="B3886" t="s">
        <v>11632</v>
      </c>
      <c r="C3886" t="s">
        <v>11632</v>
      </c>
      <c r="D3886" t="str">
        <f>HYPERLINK("https://zfin.org/ZDB-GENE-040426-1810")</f>
        <v>https://zfin.org/ZDB-GENE-040426-1810</v>
      </c>
      <c r="E3886" t="s">
        <v>11633</v>
      </c>
    </row>
    <row r="3887" spans="1:5" x14ac:dyDescent="0.2">
      <c r="A3887" t="s">
        <v>11634</v>
      </c>
      <c r="B3887" t="s">
        <v>11635</v>
      </c>
      <c r="C3887" t="s">
        <v>11635</v>
      </c>
      <c r="D3887" t="str">
        <f>HYPERLINK("https://zfin.org/ZDB-GENE-040426-1674")</f>
        <v>https://zfin.org/ZDB-GENE-040426-1674</v>
      </c>
      <c r="E3887" t="s">
        <v>11636</v>
      </c>
    </row>
    <row r="3888" spans="1:5" x14ac:dyDescent="0.2">
      <c r="A3888" t="s">
        <v>11637</v>
      </c>
      <c r="B3888" t="s">
        <v>11638</v>
      </c>
      <c r="C3888" t="s">
        <v>11638</v>
      </c>
      <c r="D3888" t="str">
        <f>HYPERLINK("https://zfin.org/ZDB-GENE-040912-159")</f>
        <v>https://zfin.org/ZDB-GENE-040912-159</v>
      </c>
      <c r="E3888" t="s">
        <v>11639</v>
      </c>
    </row>
    <row r="3889" spans="1:5" x14ac:dyDescent="0.2">
      <c r="A3889" t="s">
        <v>11640</v>
      </c>
      <c r="B3889" t="s">
        <v>11641</v>
      </c>
      <c r="C3889" t="s">
        <v>11641</v>
      </c>
      <c r="D3889" t="str">
        <f>HYPERLINK("https://zfin.org/ZDB-GENE-070912-83")</f>
        <v>https://zfin.org/ZDB-GENE-070912-83</v>
      </c>
      <c r="E3889" t="s">
        <v>11642</v>
      </c>
    </row>
    <row r="3890" spans="1:5" x14ac:dyDescent="0.2">
      <c r="A3890" t="s">
        <v>11643</v>
      </c>
      <c r="B3890" t="s">
        <v>11644</v>
      </c>
      <c r="C3890" t="s">
        <v>11644</v>
      </c>
      <c r="D3890" t="str">
        <f>HYPERLINK("https://zfin.org/ZDB-GENE-070705-374")</f>
        <v>https://zfin.org/ZDB-GENE-070705-374</v>
      </c>
      <c r="E3890" t="s">
        <v>11645</v>
      </c>
    </row>
    <row r="3891" spans="1:5" x14ac:dyDescent="0.2">
      <c r="A3891" t="s">
        <v>11646</v>
      </c>
      <c r="B3891" t="s">
        <v>11647</v>
      </c>
      <c r="C3891" t="s">
        <v>11647</v>
      </c>
      <c r="D3891" t="str">
        <f>HYPERLINK("https://zfin.org/ZDB-GENE-040426-1802")</f>
        <v>https://zfin.org/ZDB-GENE-040426-1802</v>
      </c>
      <c r="E3891" t="s">
        <v>11648</v>
      </c>
    </row>
    <row r="3892" spans="1:5" x14ac:dyDescent="0.2">
      <c r="A3892" t="s">
        <v>11649</v>
      </c>
      <c r="B3892" t="s">
        <v>11650</v>
      </c>
      <c r="C3892" t="s">
        <v>11650</v>
      </c>
      <c r="D3892" t="str">
        <f>HYPERLINK("https://zfin.org/ZDB-GENE-060118-2")</f>
        <v>https://zfin.org/ZDB-GENE-060118-2</v>
      </c>
      <c r="E3892" t="s">
        <v>11651</v>
      </c>
    </row>
    <row r="3893" spans="1:5" x14ac:dyDescent="0.2">
      <c r="A3893" t="s">
        <v>11652</v>
      </c>
      <c r="B3893" t="s">
        <v>11653</v>
      </c>
      <c r="C3893" t="s">
        <v>11653</v>
      </c>
      <c r="D3893" t="str">
        <f>HYPERLINK("https://zfin.org/ZDB-GENE-110411-269")</f>
        <v>https://zfin.org/ZDB-GENE-110411-269</v>
      </c>
      <c r="E3893" t="s">
        <v>11654</v>
      </c>
    </row>
    <row r="3894" spans="1:5" x14ac:dyDescent="0.2">
      <c r="A3894" t="s">
        <v>11655</v>
      </c>
      <c r="B3894" t="s">
        <v>11656</v>
      </c>
      <c r="C3894" t="s">
        <v>11656</v>
      </c>
      <c r="D3894" t="str">
        <f>HYPERLINK("https://zfin.org/ZDB-GENE-060825-198")</f>
        <v>https://zfin.org/ZDB-GENE-060825-198</v>
      </c>
      <c r="E3894" t="s">
        <v>11657</v>
      </c>
    </row>
    <row r="3895" spans="1:5" x14ac:dyDescent="0.2">
      <c r="A3895" t="s">
        <v>11658</v>
      </c>
      <c r="B3895" t="s">
        <v>11659</v>
      </c>
      <c r="C3895" t="s">
        <v>11659</v>
      </c>
      <c r="D3895" t="str">
        <f>HYPERLINK("https://zfin.org/ZDB-GENE-020530-1")</f>
        <v>https://zfin.org/ZDB-GENE-020530-1</v>
      </c>
      <c r="E3895" t="s">
        <v>11660</v>
      </c>
    </row>
    <row r="3896" spans="1:5" x14ac:dyDescent="0.2">
      <c r="A3896" t="s">
        <v>11661</v>
      </c>
      <c r="B3896" t="s">
        <v>11662</v>
      </c>
      <c r="C3896" t="s">
        <v>11662</v>
      </c>
      <c r="D3896" t="str">
        <f>HYPERLINK("https://zfin.org/ZDB-GENE-030328-41")</f>
        <v>https://zfin.org/ZDB-GENE-030328-41</v>
      </c>
      <c r="E3896" t="s">
        <v>11663</v>
      </c>
    </row>
    <row r="3897" spans="1:5" x14ac:dyDescent="0.2">
      <c r="A3897" t="s">
        <v>11664</v>
      </c>
      <c r="B3897" t="s">
        <v>11665</v>
      </c>
      <c r="C3897" t="s">
        <v>11665</v>
      </c>
      <c r="D3897" t="str">
        <f>HYPERLINK("https://zfin.org/ZDB-GENE-050522-222")</f>
        <v>https://zfin.org/ZDB-GENE-050522-222</v>
      </c>
      <c r="E3897" t="s">
        <v>11666</v>
      </c>
    </row>
    <row r="3898" spans="1:5" x14ac:dyDescent="0.2">
      <c r="A3898" t="s">
        <v>11667</v>
      </c>
      <c r="B3898" t="s">
        <v>11668</v>
      </c>
      <c r="C3898" t="s">
        <v>11668</v>
      </c>
      <c r="D3898" t="str">
        <f>HYPERLINK("https://zfin.org/ZDB-GENE-100922-206")</f>
        <v>https://zfin.org/ZDB-GENE-100922-206</v>
      </c>
      <c r="E3898" t="s">
        <v>11669</v>
      </c>
    </row>
    <row r="3899" spans="1:5" x14ac:dyDescent="0.2">
      <c r="A3899" t="s">
        <v>11670</v>
      </c>
      <c r="B3899" t="s">
        <v>11671</v>
      </c>
      <c r="C3899" t="s">
        <v>11671</v>
      </c>
      <c r="D3899" t="str">
        <f>HYPERLINK("https://zfin.org/ZDB-GENE-040718-344")</f>
        <v>https://zfin.org/ZDB-GENE-040718-344</v>
      </c>
      <c r="E3899" t="s">
        <v>11672</v>
      </c>
    </row>
    <row r="3900" spans="1:5" x14ac:dyDescent="0.2">
      <c r="A3900" t="s">
        <v>11673</v>
      </c>
      <c r="B3900" t="s">
        <v>11674</v>
      </c>
      <c r="C3900" t="s">
        <v>11674</v>
      </c>
      <c r="D3900" t="str">
        <f>HYPERLINK("https://zfin.org/ZDB-GENE-041010-181")</f>
        <v>https://zfin.org/ZDB-GENE-041010-181</v>
      </c>
      <c r="E3900" t="s">
        <v>11675</v>
      </c>
    </row>
    <row r="3901" spans="1:5" x14ac:dyDescent="0.2">
      <c r="A3901" t="s">
        <v>11676</v>
      </c>
      <c r="B3901" t="s">
        <v>11677</v>
      </c>
      <c r="C3901" t="s">
        <v>11677</v>
      </c>
      <c r="D3901" t="str">
        <f>HYPERLINK("https://zfin.org/ZDB-GENE-041010-165")</f>
        <v>https://zfin.org/ZDB-GENE-041010-165</v>
      </c>
      <c r="E3901" t="s">
        <v>11678</v>
      </c>
    </row>
    <row r="3902" spans="1:5" x14ac:dyDescent="0.2">
      <c r="A3902" t="s">
        <v>11679</v>
      </c>
      <c r="B3902" t="s">
        <v>11680</v>
      </c>
      <c r="C3902" t="s">
        <v>11680</v>
      </c>
      <c r="D3902" t="str">
        <f>HYPERLINK("https://zfin.org/ZDB-GENE-040801-148")</f>
        <v>https://zfin.org/ZDB-GENE-040801-148</v>
      </c>
      <c r="E3902" t="s">
        <v>11681</v>
      </c>
    </row>
    <row r="3903" spans="1:5" x14ac:dyDescent="0.2">
      <c r="A3903" t="s">
        <v>11682</v>
      </c>
      <c r="B3903" t="s">
        <v>11683</v>
      </c>
      <c r="C3903" t="s">
        <v>11683</v>
      </c>
      <c r="D3903" t="str">
        <f>HYPERLINK("https://zfin.org/ZDB-GENE-030131-5590")</f>
        <v>https://zfin.org/ZDB-GENE-030131-5590</v>
      </c>
      <c r="E3903" t="s">
        <v>11684</v>
      </c>
    </row>
    <row r="3904" spans="1:5" x14ac:dyDescent="0.2">
      <c r="A3904" t="s">
        <v>11685</v>
      </c>
      <c r="B3904" t="s">
        <v>11686</v>
      </c>
      <c r="C3904" t="s">
        <v>11686</v>
      </c>
      <c r="D3904" t="str">
        <f>HYPERLINK("https://zfin.org/ZDB-GENE-081104-511")</f>
        <v>https://zfin.org/ZDB-GENE-081104-511</v>
      </c>
      <c r="E3904" t="s">
        <v>11687</v>
      </c>
    </row>
    <row r="3905" spans="1:5" x14ac:dyDescent="0.2">
      <c r="A3905" t="s">
        <v>11688</v>
      </c>
      <c r="B3905" t="s">
        <v>11689</v>
      </c>
      <c r="C3905" t="s">
        <v>11689</v>
      </c>
      <c r="D3905" t="str">
        <f>HYPERLINK("https://zfin.org/ZDB-GENE-021115-9")</f>
        <v>https://zfin.org/ZDB-GENE-021115-9</v>
      </c>
      <c r="E3905" t="s">
        <v>11690</v>
      </c>
    </row>
    <row r="3906" spans="1:5" x14ac:dyDescent="0.2">
      <c r="A3906" t="s">
        <v>11691</v>
      </c>
      <c r="B3906" t="s">
        <v>625</v>
      </c>
      <c r="C3906" t="s">
        <v>11692</v>
      </c>
      <c r="D3906" t="str">
        <f>HYPERLINK("https://zfin.org/ZDB-GENE-121214-199")</f>
        <v>https://zfin.org/ZDB-GENE-121214-199</v>
      </c>
      <c r="E3906" t="s">
        <v>11693</v>
      </c>
    </row>
    <row r="3907" spans="1:5" x14ac:dyDescent="0.2">
      <c r="A3907" t="s">
        <v>11694</v>
      </c>
      <c r="B3907" t="s">
        <v>11695</v>
      </c>
      <c r="C3907" t="s">
        <v>11695</v>
      </c>
      <c r="D3907" t="str">
        <f>HYPERLINK("https://zfin.org/ZDB-GENE-081105-118")</f>
        <v>https://zfin.org/ZDB-GENE-081105-118</v>
      </c>
      <c r="E3907" t="s">
        <v>11696</v>
      </c>
    </row>
    <row r="3908" spans="1:5" x14ac:dyDescent="0.2">
      <c r="A3908" t="s">
        <v>11697</v>
      </c>
      <c r="B3908" t="s">
        <v>11698</v>
      </c>
      <c r="C3908" t="s">
        <v>11698</v>
      </c>
      <c r="D3908" t="str">
        <f>HYPERLINK("https://zfin.org/ZDB-GENE-030131-6399")</f>
        <v>https://zfin.org/ZDB-GENE-030131-6399</v>
      </c>
      <c r="E3908" t="s">
        <v>11699</v>
      </c>
    </row>
    <row r="3909" spans="1:5" x14ac:dyDescent="0.2">
      <c r="A3909" t="s">
        <v>11700</v>
      </c>
      <c r="B3909" t="s">
        <v>11701</v>
      </c>
      <c r="C3909" t="s">
        <v>11701</v>
      </c>
      <c r="D3909" t="str">
        <f>HYPERLINK("https://zfin.org/ZDB-GENE-030131-5126")</f>
        <v>https://zfin.org/ZDB-GENE-030131-5126</v>
      </c>
      <c r="E3909" t="s">
        <v>11702</v>
      </c>
    </row>
    <row r="3910" spans="1:5" x14ac:dyDescent="0.2">
      <c r="A3910" t="s">
        <v>11703</v>
      </c>
      <c r="B3910" t="s">
        <v>11704</v>
      </c>
      <c r="C3910" t="s">
        <v>11704</v>
      </c>
      <c r="D3910" t="str">
        <f>HYPERLINK("https://zfin.org/ZDB-GENE-090313-233")</f>
        <v>https://zfin.org/ZDB-GENE-090313-233</v>
      </c>
      <c r="E3910" t="s">
        <v>11705</v>
      </c>
    </row>
    <row r="3911" spans="1:5" x14ac:dyDescent="0.2">
      <c r="A3911" t="s">
        <v>11706</v>
      </c>
      <c r="B3911" t="s">
        <v>11707</v>
      </c>
      <c r="C3911" t="s">
        <v>11707</v>
      </c>
      <c r="D3911" t="str">
        <f>HYPERLINK("https://zfin.org/ZDB-GENE-071115-2")</f>
        <v>https://zfin.org/ZDB-GENE-071115-2</v>
      </c>
      <c r="E3911" t="s">
        <v>11708</v>
      </c>
    </row>
    <row r="3912" spans="1:5" x14ac:dyDescent="0.2">
      <c r="A3912" t="s">
        <v>11709</v>
      </c>
      <c r="B3912" t="s">
        <v>11710</v>
      </c>
      <c r="C3912" t="s">
        <v>11710</v>
      </c>
      <c r="D3912" t="str">
        <f>HYPERLINK("https://zfin.org/ZDB-GENE-030131-1833")</f>
        <v>https://zfin.org/ZDB-GENE-030131-1833</v>
      </c>
      <c r="E3912" t="s">
        <v>11711</v>
      </c>
    </row>
    <row r="3913" spans="1:5" x14ac:dyDescent="0.2">
      <c r="A3913" t="s">
        <v>11712</v>
      </c>
      <c r="B3913" t="s">
        <v>11713</v>
      </c>
      <c r="C3913" t="s">
        <v>11713</v>
      </c>
      <c r="D3913" t="str">
        <f>HYPERLINK("https://zfin.org/ZDB-GENE-120813-1")</f>
        <v>https://zfin.org/ZDB-GENE-120813-1</v>
      </c>
      <c r="E3913" t="s">
        <v>11714</v>
      </c>
    </row>
    <row r="3914" spans="1:5" x14ac:dyDescent="0.2">
      <c r="A3914" t="s">
        <v>11715</v>
      </c>
      <c r="B3914" t="s">
        <v>11716</v>
      </c>
      <c r="C3914" t="s">
        <v>11716</v>
      </c>
      <c r="D3914" t="str">
        <f>HYPERLINK("https://zfin.org/ZDB-GENE-040426-1285")</f>
        <v>https://zfin.org/ZDB-GENE-040426-1285</v>
      </c>
      <c r="E3914" t="s">
        <v>11717</v>
      </c>
    </row>
    <row r="3915" spans="1:5" x14ac:dyDescent="0.2">
      <c r="A3915" t="s">
        <v>11718</v>
      </c>
      <c r="B3915" t="s">
        <v>11719</v>
      </c>
      <c r="C3915" t="s">
        <v>11719</v>
      </c>
      <c r="D3915" t="str">
        <f>HYPERLINK("https://zfin.org/ZDB-GENE-000210-19")</f>
        <v>https://zfin.org/ZDB-GENE-000210-19</v>
      </c>
      <c r="E3915" t="s">
        <v>11720</v>
      </c>
    </row>
    <row r="3916" spans="1:5" x14ac:dyDescent="0.2">
      <c r="A3916" t="s">
        <v>11721</v>
      </c>
      <c r="B3916" t="s">
        <v>11722</v>
      </c>
      <c r="C3916" t="s">
        <v>11722</v>
      </c>
      <c r="D3916" t="str">
        <f>HYPERLINK("https://zfin.org/ZDB-GENE-050320-116")</f>
        <v>https://zfin.org/ZDB-GENE-050320-116</v>
      </c>
      <c r="E3916" t="s">
        <v>11723</v>
      </c>
    </row>
    <row r="3917" spans="1:5" x14ac:dyDescent="0.2">
      <c r="A3917" t="s">
        <v>11724</v>
      </c>
      <c r="B3917" t="s">
        <v>11725</v>
      </c>
      <c r="C3917" t="s">
        <v>11725</v>
      </c>
      <c r="D3917" t="str">
        <f>HYPERLINK("https://zfin.org/ZDB-GENE-030131-9014")</f>
        <v>https://zfin.org/ZDB-GENE-030131-9014</v>
      </c>
      <c r="E3917" t="s">
        <v>11726</v>
      </c>
    </row>
    <row r="3918" spans="1:5" x14ac:dyDescent="0.2">
      <c r="A3918" t="s">
        <v>11727</v>
      </c>
      <c r="B3918" t="s">
        <v>11728</v>
      </c>
      <c r="C3918" t="s">
        <v>11728</v>
      </c>
      <c r="D3918" t="str">
        <f>HYPERLINK("https://zfin.org/ZDB-GENE-050417-27")</f>
        <v>https://zfin.org/ZDB-GENE-050417-27</v>
      </c>
      <c r="E3918" t="s">
        <v>11729</v>
      </c>
    </row>
    <row r="3919" spans="1:5" x14ac:dyDescent="0.2">
      <c r="A3919" t="s">
        <v>11730</v>
      </c>
      <c r="B3919" t="s">
        <v>11731</v>
      </c>
      <c r="C3919" t="s">
        <v>11731</v>
      </c>
      <c r="D3919" t="str">
        <f>HYPERLINK("https://zfin.org/ZDB-GENE-040718-209")</f>
        <v>https://zfin.org/ZDB-GENE-040718-209</v>
      </c>
      <c r="E3919" t="s">
        <v>11732</v>
      </c>
    </row>
    <row r="3920" spans="1:5" x14ac:dyDescent="0.2">
      <c r="A3920" t="s">
        <v>11733</v>
      </c>
      <c r="B3920" t="s">
        <v>11734</v>
      </c>
      <c r="C3920" t="s">
        <v>11734</v>
      </c>
      <c r="D3920" t="str">
        <f>HYPERLINK("https://zfin.org/ZDB-GENE-030131-7282")</f>
        <v>https://zfin.org/ZDB-GENE-030131-7282</v>
      </c>
      <c r="E3920" t="s">
        <v>11735</v>
      </c>
    </row>
    <row r="3921" spans="1:5" x14ac:dyDescent="0.2">
      <c r="A3921" t="s">
        <v>11736</v>
      </c>
      <c r="B3921" t="s">
        <v>11737</v>
      </c>
      <c r="C3921" t="s">
        <v>11737</v>
      </c>
      <c r="D3921" t="str">
        <f>HYPERLINK("https://zfin.org/ZDB-GENE-990415-68")</f>
        <v>https://zfin.org/ZDB-GENE-990415-68</v>
      </c>
      <c r="E3921" t="s">
        <v>11738</v>
      </c>
    </row>
    <row r="3922" spans="1:5" x14ac:dyDescent="0.2">
      <c r="A3922" t="s">
        <v>11739</v>
      </c>
      <c r="B3922" t="s">
        <v>11740</v>
      </c>
      <c r="C3922" t="s">
        <v>11740</v>
      </c>
      <c r="D3922" t="str">
        <f>HYPERLINK("https://zfin.org/ZDB-GENE-110913-172")</f>
        <v>https://zfin.org/ZDB-GENE-110913-172</v>
      </c>
      <c r="E3922" t="s">
        <v>11741</v>
      </c>
    </row>
    <row r="3923" spans="1:5" x14ac:dyDescent="0.2">
      <c r="A3923" t="s">
        <v>11742</v>
      </c>
      <c r="B3923" t="s">
        <v>11743</v>
      </c>
      <c r="C3923" t="s">
        <v>11743</v>
      </c>
      <c r="D3923" t="str">
        <f>HYPERLINK("https://zfin.org/ZDB-GENE-141212-410")</f>
        <v>https://zfin.org/ZDB-GENE-141212-410</v>
      </c>
      <c r="E3923" t="s">
        <v>11744</v>
      </c>
    </row>
    <row r="3924" spans="1:5" x14ac:dyDescent="0.2">
      <c r="A3924" t="s">
        <v>11745</v>
      </c>
      <c r="B3924" t="s">
        <v>11746</v>
      </c>
      <c r="C3924" t="s">
        <v>11746</v>
      </c>
      <c r="D3924" t="str">
        <f>HYPERLINK("https://zfin.org/ZDB-GENE-040426-1069")</f>
        <v>https://zfin.org/ZDB-GENE-040426-1069</v>
      </c>
      <c r="E3924" t="s">
        <v>11747</v>
      </c>
    </row>
    <row r="3925" spans="1:5" x14ac:dyDescent="0.2">
      <c r="A3925" t="s">
        <v>11748</v>
      </c>
      <c r="B3925" t="s">
        <v>11749</v>
      </c>
      <c r="C3925" t="s">
        <v>11749</v>
      </c>
      <c r="D3925" t="str">
        <f>HYPERLINK("https://zfin.org/ZDB-GENE-040426-2576")</f>
        <v>https://zfin.org/ZDB-GENE-040426-2576</v>
      </c>
      <c r="E3925" t="s">
        <v>11750</v>
      </c>
    </row>
    <row r="3926" spans="1:5" x14ac:dyDescent="0.2">
      <c r="A3926" t="s">
        <v>11751</v>
      </c>
      <c r="B3926" t="s">
        <v>11752</v>
      </c>
      <c r="C3926" t="s">
        <v>11752</v>
      </c>
      <c r="D3926" t="str">
        <f>HYPERLINK("https://zfin.org/ZDB-GENE-070410-110")</f>
        <v>https://zfin.org/ZDB-GENE-070410-110</v>
      </c>
      <c r="E3926" t="s">
        <v>11753</v>
      </c>
    </row>
    <row r="3927" spans="1:5" x14ac:dyDescent="0.2">
      <c r="A3927" t="s">
        <v>11754</v>
      </c>
      <c r="B3927" t="s">
        <v>11755</v>
      </c>
      <c r="C3927" t="s">
        <v>11755</v>
      </c>
      <c r="D3927" t="str">
        <f>HYPERLINK("https://zfin.org/ZDB-GENE-031118-123")</f>
        <v>https://zfin.org/ZDB-GENE-031118-123</v>
      </c>
      <c r="E3927" t="s">
        <v>11756</v>
      </c>
    </row>
    <row r="3928" spans="1:5" x14ac:dyDescent="0.2">
      <c r="A3928" t="s">
        <v>11757</v>
      </c>
      <c r="B3928" t="s">
        <v>11758</v>
      </c>
      <c r="C3928" t="s">
        <v>11758</v>
      </c>
      <c r="D3928" t="str">
        <f>HYPERLINK("https://zfin.org/ZDB-GENE-040801-110")</f>
        <v>https://zfin.org/ZDB-GENE-040801-110</v>
      </c>
      <c r="E3928" t="s">
        <v>11759</v>
      </c>
    </row>
    <row r="3929" spans="1:5" x14ac:dyDescent="0.2">
      <c r="A3929" t="s">
        <v>11760</v>
      </c>
      <c r="B3929" t="s">
        <v>11761</v>
      </c>
      <c r="C3929" t="s">
        <v>11761</v>
      </c>
      <c r="D3929" t="str">
        <f>HYPERLINK("https://zfin.org/ZDB-GENE-040801-238")</f>
        <v>https://zfin.org/ZDB-GENE-040801-238</v>
      </c>
      <c r="E3929" t="s">
        <v>11762</v>
      </c>
    </row>
    <row r="3930" spans="1:5" x14ac:dyDescent="0.2">
      <c r="A3930" t="s">
        <v>11763</v>
      </c>
      <c r="B3930" t="s">
        <v>11764</v>
      </c>
      <c r="C3930" t="s">
        <v>11764</v>
      </c>
      <c r="D3930" t="str">
        <f>HYPERLINK("https://zfin.org/ZDB-GENE-060526-262")</f>
        <v>https://zfin.org/ZDB-GENE-060526-262</v>
      </c>
      <c r="E3930" t="s">
        <v>11765</v>
      </c>
    </row>
    <row r="3931" spans="1:5" x14ac:dyDescent="0.2">
      <c r="A3931" t="s">
        <v>11766</v>
      </c>
      <c r="B3931" t="s">
        <v>11767</v>
      </c>
      <c r="C3931" t="s">
        <v>11767</v>
      </c>
      <c r="D3931" t="str">
        <f>HYPERLINK("https://zfin.org/ZDB-GENE-141216-493")</f>
        <v>https://zfin.org/ZDB-GENE-141216-493</v>
      </c>
      <c r="E3931" t="s">
        <v>11768</v>
      </c>
    </row>
    <row r="3932" spans="1:5" x14ac:dyDescent="0.2">
      <c r="A3932" t="s">
        <v>11769</v>
      </c>
      <c r="B3932" t="s">
        <v>11770</v>
      </c>
      <c r="C3932" t="s">
        <v>11770</v>
      </c>
      <c r="D3932" t="str">
        <f>HYPERLINK("https://zfin.org/ZDB-GENE-030711-3")</f>
        <v>https://zfin.org/ZDB-GENE-030711-3</v>
      </c>
      <c r="E3932" t="s">
        <v>11771</v>
      </c>
    </row>
    <row r="3933" spans="1:5" x14ac:dyDescent="0.2">
      <c r="A3933" t="s">
        <v>11772</v>
      </c>
      <c r="B3933" t="s">
        <v>11773</v>
      </c>
      <c r="C3933" t="s">
        <v>11773</v>
      </c>
      <c r="D3933" t="str">
        <f>HYPERLINK("https://zfin.org/ZDB-GENE-030131-9878")</f>
        <v>https://zfin.org/ZDB-GENE-030131-9878</v>
      </c>
      <c r="E3933" t="s">
        <v>11774</v>
      </c>
    </row>
    <row r="3934" spans="1:5" x14ac:dyDescent="0.2">
      <c r="A3934" t="s">
        <v>11775</v>
      </c>
      <c r="B3934" t="s">
        <v>11776</v>
      </c>
      <c r="C3934" t="s">
        <v>11776</v>
      </c>
      <c r="D3934" t="str">
        <f>HYPERLINK("https://zfin.org/ZDB-GENE-060519-13")</f>
        <v>https://zfin.org/ZDB-GENE-060519-13</v>
      </c>
      <c r="E3934" t="s">
        <v>11777</v>
      </c>
    </row>
    <row r="3935" spans="1:5" x14ac:dyDescent="0.2">
      <c r="A3935" t="s">
        <v>11778</v>
      </c>
      <c r="B3935" t="s">
        <v>11779</v>
      </c>
      <c r="C3935" t="s">
        <v>11779</v>
      </c>
      <c r="D3935" t="str">
        <f>HYPERLINK("https://zfin.org/ZDB-GENE-041212-15")</f>
        <v>https://zfin.org/ZDB-GENE-041212-15</v>
      </c>
      <c r="E3935" t="s">
        <v>11780</v>
      </c>
    </row>
    <row r="3936" spans="1:5" x14ac:dyDescent="0.2">
      <c r="A3936" t="s">
        <v>11781</v>
      </c>
      <c r="B3936" t="s">
        <v>11782</v>
      </c>
      <c r="C3936" t="s">
        <v>11782</v>
      </c>
      <c r="D3936" t="str">
        <f>HYPERLINK("https://zfin.org/ZDB-GENE-051120-165")</f>
        <v>https://zfin.org/ZDB-GENE-051120-165</v>
      </c>
      <c r="E3936" t="s">
        <v>11783</v>
      </c>
    </row>
    <row r="3937" spans="1:5" x14ac:dyDescent="0.2">
      <c r="A3937" t="s">
        <v>11784</v>
      </c>
      <c r="B3937" t="s">
        <v>11785</v>
      </c>
      <c r="C3937" t="s">
        <v>11785</v>
      </c>
      <c r="D3937" t="str">
        <f>HYPERLINK("https://zfin.org/ZDB-GENE-061103-142")</f>
        <v>https://zfin.org/ZDB-GENE-061103-142</v>
      </c>
      <c r="E3937" t="s">
        <v>11786</v>
      </c>
    </row>
    <row r="3938" spans="1:5" x14ac:dyDescent="0.2">
      <c r="A3938" t="s">
        <v>11787</v>
      </c>
      <c r="B3938" t="s">
        <v>11788</v>
      </c>
      <c r="C3938" t="s">
        <v>11788</v>
      </c>
      <c r="D3938" t="str">
        <f>HYPERLINK("https://zfin.org/ZDB-GENE-110310-1")</f>
        <v>https://zfin.org/ZDB-GENE-110310-1</v>
      </c>
      <c r="E3938" t="s">
        <v>11789</v>
      </c>
    </row>
    <row r="3939" spans="1:5" x14ac:dyDescent="0.2">
      <c r="A3939" t="s">
        <v>11790</v>
      </c>
      <c r="B3939" t="s">
        <v>11791</v>
      </c>
      <c r="C3939" t="s">
        <v>11791</v>
      </c>
      <c r="D3939" t="str">
        <f>HYPERLINK("https://zfin.org/ZDB-GENE-030131-5768")</f>
        <v>https://zfin.org/ZDB-GENE-030131-5768</v>
      </c>
      <c r="E3939" t="s">
        <v>11792</v>
      </c>
    </row>
    <row r="3940" spans="1:5" x14ac:dyDescent="0.2">
      <c r="A3940" t="s">
        <v>11793</v>
      </c>
      <c r="B3940" t="s">
        <v>11794</v>
      </c>
      <c r="C3940" t="s">
        <v>11794</v>
      </c>
      <c r="D3940" t="str">
        <f>HYPERLINK("https://zfin.org/ZDB-GENE-070424-111")</f>
        <v>https://zfin.org/ZDB-GENE-070424-111</v>
      </c>
      <c r="E3940" t="s">
        <v>11795</v>
      </c>
    </row>
    <row r="3941" spans="1:5" x14ac:dyDescent="0.2">
      <c r="A3941" t="s">
        <v>11796</v>
      </c>
      <c r="B3941" t="s">
        <v>11797</v>
      </c>
      <c r="C3941" t="s">
        <v>11797</v>
      </c>
      <c r="D3941" t="str">
        <f>HYPERLINK("https://zfin.org/ZDB-GENE-100316-7")</f>
        <v>https://zfin.org/ZDB-GENE-100316-7</v>
      </c>
      <c r="E3941" t="s">
        <v>11798</v>
      </c>
    </row>
    <row r="3942" spans="1:5" x14ac:dyDescent="0.2">
      <c r="A3942" t="s">
        <v>11799</v>
      </c>
      <c r="B3942" t="s">
        <v>11800</v>
      </c>
      <c r="C3942" t="s">
        <v>11800</v>
      </c>
      <c r="D3942" t="str">
        <f>HYPERLINK("https://zfin.org/ZDB-GENE-000210-20")</f>
        <v>https://zfin.org/ZDB-GENE-000210-20</v>
      </c>
      <c r="E3942" t="s">
        <v>11801</v>
      </c>
    </row>
    <row r="3943" spans="1:5" x14ac:dyDescent="0.2">
      <c r="A3943" t="s">
        <v>11802</v>
      </c>
      <c r="B3943" t="s">
        <v>11803</v>
      </c>
      <c r="C3943" t="s">
        <v>11803</v>
      </c>
      <c r="D3943" t="str">
        <f>HYPERLINK("https://zfin.org/ZDB-GENE-051120-174")</f>
        <v>https://zfin.org/ZDB-GENE-051120-174</v>
      </c>
      <c r="E3943" t="s">
        <v>11804</v>
      </c>
    </row>
    <row r="3944" spans="1:5" x14ac:dyDescent="0.2">
      <c r="A3944" t="s">
        <v>11805</v>
      </c>
      <c r="B3944" t="s">
        <v>11806</v>
      </c>
      <c r="C3944" t="s">
        <v>11806</v>
      </c>
      <c r="D3944" t="str">
        <f>HYPERLINK("https://zfin.org/ZDB-GENE-980526-221")</f>
        <v>https://zfin.org/ZDB-GENE-980526-221</v>
      </c>
      <c r="E3944" t="s">
        <v>11807</v>
      </c>
    </row>
    <row r="3945" spans="1:5" x14ac:dyDescent="0.2">
      <c r="A3945" t="s">
        <v>11808</v>
      </c>
      <c r="B3945" t="s">
        <v>11809</v>
      </c>
      <c r="C3945" t="s">
        <v>11809</v>
      </c>
      <c r="D3945" t="str">
        <f>HYPERLINK("https://zfin.org/ZDB-GENE-050522-238")</f>
        <v>https://zfin.org/ZDB-GENE-050522-238</v>
      </c>
      <c r="E3945" t="s">
        <v>11810</v>
      </c>
    </row>
    <row r="3946" spans="1:5" x14ac:dyDescent="0.2">
      <c r="A3946" t="s">
        <v>11811</v>
      </c>
      <c r="B3946" t="s">
        <v>11812</v>
      </c>
      <c r="C3946" t="s">
        <v>11812</v>
      </c>
      <c r="D3946" t="str">
        <f>HYPERLINK("https://zfin.org/ZDB-GENE-040128-7")</f>
        <v>https://zfin.org/ZDB-GENE-040128-7</v>
      </c>
      <c r="E3946" t="s">
        <v>11813</v>
      </c>
    </row>
    <row r="3947" spans="1:5" x14ac:dyDescent="0.2">
      <c r="A3947" t="s">
        <v>11814</v>
      </c>
      <c r="B3947" t="s">
        <v>11815</v>
      </c>
      <c r="C3947" t="s">
        <v>11815</v>
      </c>
      <c r="D3947" t="str">
        <f>HYPERLINK("https://zfin.org/ZDB-GENE-131127-634")</f>
        <v>https://zfin.org/ZDB-GENE-131127-634</v>
      </c>
      <c r="E3947" t="s">
        <v>11816</v>
      </c>
    </row>
    <row r="3948" spans="1:5" x14ac:dyDescent="0.2">
      <c r="A3948" t="s">
        <v>11817</v>
      </c>
      <c r="B3948" t="s">
        <v>11818</v>
      </c>
      <c r="C3948" t="s">
        <v>11818</v>
      </c>
      <c r="D3948" t="str">
        <f>HYPERLINK("https://zfin.org/ZDB-GENE-070410-15")</f>
        <v>https://zfin.org/ZDB-GENE-070410-15</v>
      </c>
      <c r="E3948" t="s">
        <v>11819</v>
      </c>
    </row>
    <row r="3949" spans="1:5" x14ac:dyDescent="0.2">
      <c r="A3949" t="s">
        <v>11820</v>
      </c>
      <c r="B3949" t="s">
        <v>11821</v>
      </c>
      <c r="C3949" t="s">
        <v>11821</v>
      </c>
      <c r="D3949" t="str">
        <f>HYPERLINK("https://zfin.org/ZDB-GENE-120215-89")</f>
        <v>https://zfin.org/ZDB-GENE-120215-89</v>
      </c>
      <c r="E3949" t="s">
        <v>11822</v>
      </c>
    </row>
    <row r="3950" spans="1:5" x14ac:dyDescent="0.2">
      <c r="A3950" t="s">
        <v>11823</v>
      </c>
      <c r="B3950" t="s">
        <v>11824</v>
      </c>
      <c r="C3950" t="s">
        <v>11824</v>
      </c>
      <c r="D3950" t="str">
        <f>HYPERLINK("https://zfin.org/ZDB-GENE-050314-4")</f>
        <v>https://zfin.org/ZDB-GENE-050314-4</v>
      </c>
      <c r="E3950" t="s">
        <v>11825</v>
      </c>
    </row>
    <row r="3951" spans="1:5" x14ac:dyDescent="0.2">
      <c r="A3951" t="s">
        <v>11826</v>
      </c>
      <c r="B3951" t="s">
        <v>11827</v>
      </c>
      <c r="C3951" t="s">
        <v>11827</v>
      </c>
      <c r="D3951" t="str">
        <f>HYPERLINK("https://zfin.org/ZDB-GENE-121019-1")</f>
        <v>https://zfin.org/ZDB-GENE-121019-1</v>
      </c>
      <c r="E3951" t="s">
        <v>11828</v>
      </c>
    </row>
    <row r="3952" spans="1:5" x14ac:dyDescent="0.2">
      <c r="A3952" t="s">
        <v>11829</v>
      </c>
      <c r="B3952" t="s">
        <v>11830</v>
      </c>
      <c r="C3952" t="s">
        <v>11830</v>
      </c>
      <c r="D3952" t="str">
        <f>HYPERLINK("https://zfin.org/ZDB-GENE-110214-1")</f>
        <v>https://zfin.org/ZDB-GENE-110214-1</v>
      </c>
      <c r="E3952" t="s">
        <v>11831</v>
      </c>
    </row>
    <row r="3953" spans="1:5" x14ac:dyDescent="0.2">
      <c r="A3953" t="s">
        <v>11832</v>
      </c>
      <c r="B3953" t="s">
        <v>11833</v>
      </c>
      <c r="C3953" t="s">
        <v>11833</v>
      </c>
      <c r="D3953" t="str">
        <f>HYPERLINK("https://zfin.org/ZDB-GENE-041010-75")</f>
        <v>https://zfin.org/ZDB-GENE-041010-75</v>
      </c>
      <c r="E3953" t="s">
        <v>11834</v>
      </c>
    </row>
    <row r="3954" spans="1:5" x14ac:dyDescent="0.2">
      <c r="A3954" t="s">
        <v>11835</v>
      </c>
      <c r="B3954" t="s">
        <v>11836</v>
      </c>
      <c r="C3954" t="s">
        <v>11836</v>
      </c>
      <c r="D3954" t="str">
        <f>HYPERLINK("https://zfin.org/ZDB-GENE-050309-79")</f>
        <v>https://zfin.org/ZDB-GENE-050309-79</v>
      </c>
      <c r="E3954" t="s">
        <v>11837</v>
      </c>
    </row>
    <row r="3955" spans="1:5" x14ac:dyDescent="0.2">
      <c r="A3955" t="s">
        <v>11838</v>
      </c>
      <c r="B3955" t="s">
        <v>11839</v>
      </c>
      <c r="C3955" t="s">
        <v>11839</v>
      </c>
      <c r="D3955" t="str">
        <f>HYPERLINK("https://zfin.org/ZDB-GENE-030131-9")</f>
        <v>https://zfin.org/ZDB-GENE-030131-9</v>
      </c>
      <c r="E3955" t="s">
        <v>11840</v>
      </c>
    </row>
    <row r="3956" spans="1:5" x14ac:dyDescent="0.2">
      <c r="A3956" t="s">
        <v>11841</v>
      </c>
      <c r="B3956" t="s">
        <v>11842</v>
      </c>
      <c r="C3956" t="s">
        <v>11842</v>
      </c>
      <c r="D3956" t="str">
        <f>HYPERLINK("https://zfin.org/ZDB-GENE-040426-2767")</f>
        <v>https://zfin.org/ZDB-GENE-040426-2767</v>
      </c>
      <c r="E3956" t="s">
        <v>11843</v>
      </c>
    </row>
    <row r="3957" spans="1:5" x14ac:dyDescent="0.2">
      <c r="A3957" t="s">
        <v>11844</v>
      </c>
      <c r="B3957" t="s">
        <v>11845</v>
      </c>
      <c r="C3957" t="s">
        <v>11845</v>
      </c>
      <c r="D3957" t="str">
        <f>HYPERLINK("https://zfin.org/ZDB-GENE-050809-39")</f>
        <v>https://zfin.org/ZDB-GENE-050809-39</v>
      </c>
      <c r="E3957" t="s">
        <v>11846</v>
      </c>
    </row>
    <row r="3958" spans="1:5" x14ac:dyDescent="0.2">
      <c r="A3958" t="s">
        <v>11847</v>
      </c>
      <c r="B3958" t="s">
        <v>11848</v>
      </c>
      <c r="C3958" t="s">
        <v>11848</v>
      </c>
      <c r="D3958" t="str">
        <f>HYPERLINK("https://zfin.org/ZDB-GENE-050517-22")</f>
        <v>https://zfin.org/ZDB-GENE-050517-22</v>
      </c>
      <c r="E3958" t="s">
        <v>11849</v>
      </c>
    </row>
    <row r="3959" spans="1:5" x14ac:dyDescent="0.2">
      <c r="A3959" t="s">
        <v>11850</v>
      </c>
      <c r="B3959" t="s">
        <v>11851</v>
      </c>
      <c r="C3959" t="s">
        <v>11851</v>
      </c>
      <c r="D3959" t="str">
        <f>HYPERLINK("https://zfin.org/ZDB-GENE-040912-35")</f>
        <v>https://zfin.org/ZDB-GENE-040912-35</v>
      </c>
      <c r="E3959" t="s">
        <v>11852</v>
      </c>
    </row>
    <row r="3960" spans="1:5" x14ac:dyDescent="0.2">
      <c r="A3960" t="s">
        <v>11853</v>
      </c>
      <c r="B3960" t="s">
        <v>11854</v>
      </c>
      <c r="C3960" t="s">
        <v>11854</v>
      </c>
      <c r="D3960" t="str">
        <f>HYPERLINK("https://zfin.org/ZDB-GENE-030131-66")</f>
        <v>https://zfin.org/ZDB-GENE-030131-66</v>
      </c>
      <c r="E3960" t="s">
        <v>11855</v>
      </c>
    </row>
    <row r="3961" spans="1:5" x14ac:dyDescent="0.2">
      <c r="A3961" t="s">
        <v>11856</v>
      </c>
      <c r="B3961" t="s">
        <v>11857</v>
      </c>
      <c r="C3961" t="s">
        <v>11857</v>
      </c>
      <c r="D3961" t="str">
        <f>HYPERLINK("https://zfin.org/ZDB-GENE-110713-1")</f>
        <v>https://zfin.org/ZDB-GENE-110713-1</v>
      </c>
      <c r="E3961" t="s">
        <v>11858</v>
      </c>
    </row>
    <row r="3962" spans="1:5" x14ac:dyDescent="0.2">
      <c r="A3962" t="s">
        <v>11859</v>
      </c>
      <c r="B3962" t="s">
        <v>11860</v>
      </c>
      <c r="C3962" t="s">
        <v>11860</v>
      </c>
      <c r="D3962" t="str">
        <f>HYPERLINK("https://zfin.org/ZDB-GENE-060616-143")</f>
        <v>https://zfin.org/ZDB-GENE-060616-143</v>
      </c>
      <c r="E3962" t="s">
        <v>11861</v>
      </c>
    </row>
    <row r="3963" spans="1:5" x14ac:dyDescent="0.2">
      <c r="A3963" t="s">
        <v>11862</v>
      </c>
      <c r="B3963" t="s">
        <v>11863</v>
      </c>
      <c r="C3963" t="s">
        <v>11863</v>
      </c>
      <c r="D3963" t="str">
        <f>HYPERLINK("https://zfin.org/ZDB-GENE-010308-10")</f>
        <v>https://zfin.org/ZDB-GENE-010308-10</v>
      </c>
      <c r="E3963" t="s">
        <v>11864</v>
      </c>
    </row>
    <row r="3964" spans="1:5" x14ac:dyDescent="0.2">
      <c r="A3964" t="s">
        <v>11865</v>
      </c>
      <c r="B3964" t="s">
        <v>11866</v>
      </c>
      <c r="C3964" t="s">
        <v>11866</v>
      </c>
      <c r="D3964" t="str">
        <f>HYPERLINK("https://zfin.org/ZDB-GENE-050327-5")</f>
        <v>https://zfin.org/ZDB-GENE-050327-5</v>
      </c>
      <c r="E3964" t="s">
        <v>11867</v>
      </c>
    </row>
    <row r="3965" spans="1:5" x14ac:dyDescent="0.2">
      <c r="A3965" t="s">
        <v>11868</v>
      </c>
      <c r="B3965" t="s">
        <v>11869</v>
      </c>
      <c r="C3965" t="s">
        <v>11869</v>
      </c>
      <c r="D3965" t="str">
        <f>HYPERLINK("https://zfin.org/ZDB-GENE-080723-30")</f>
        <v>https://zfin.org/ZDB-GENE-080723-30</v>
      </c>
      <c r="E3965" t="s">
        <v>11870</v>
      </c>
    </row>
    <row r="3966" spans="1:5" x14ac:dyDescent="0.2">
      <c r="A3966" t="s">
        <v>11871</v>
      </c>
      <c r="B3966" t="s">
        <v>11872</v>
      </c>
      <c r="C3966" t="s">
        <v>11872</v>
      </c>
      <c r="D3966" t="str">
        <f>HYPERLINK("https://zfin.org/ZDB-GENE-030131-6735")</f>
        <v>https://zfin.org/ZDB-GENE-030131-6735</v>
      </c>
      <c r="E3966" t="s">
        <v>11873</v>
      </c>
    </row>
    <row r="3967" spans="1:5" x14ac:dyDescent="0.2">
      <c r="A3967" t="s">
        <v>11874</v>
      </c>
      <c r="B3967" t="s">
        <v>11875</v>
      </c>
      <c r="C3967" t="s">
        <v>11875</v>
      </c>
      <c r="D3967" t="str">
        <f>HYPERLINK("https://zfin.org/ZDB-GENE-090312-78")</f>
        <v>https://zfin.org/ZDB-GENE-090312-78</v>
      </c>
      <c r="E3967" t="s">
        <v>11876</v>
      </c>
    </row>
    <row r="3968" spans="1:5" x14ac:dyDescent="0.2">
      <c r="A3968" t="s">
        <v>11877</v>
      </c>
      <c r="B3968" t="s">
        <v>11878</v>
      </c>
      <c r="C3968" t="s">
        <v>11878</v>
      </c>
      <c r="D3968" t="str">
        <f>HYPERLINK("https://zfin.org/ZDB-GENE-110405-1")</f>
        <v>https://zfin.org/ZDB-GENE-110405-1</v>
      </c>
      <c r="E3968" t="s">
        <v>11879</v>
      </c>
    </row>
    <row r="3969" spans="1:5" x14ac:dyDescent="0.2">
      <c r="A3969" t="s">
        <v>11880</v>
      </c>
      <c r="B3969" t="s">
        <v>11881</v>
      </c>
      <c r="C3969" t="s">
        <v>11881</v>
      </c>
      <c r="D3969" t="str">
        <f>HYPERLINK("https://zfin.org/ZDB-GENE-070410-101")</f>
        <v>https://zfin.org/ZDB-GENE-070410-101</v>
      </c>
      <c r="E3969" t="s">
        <v>11882</v>
      </c>
    </row>
    <row r="3970" spans="1:5" x14ac:dyDescent="0.2">
      <c r="A3970" t="s">
        <v>11883</v>
      </c>
      <c r="B3970" t="s">
        <v>11884</v>
      </c>
      <c r="C3970" t="s">
        <v>11884</v>
      </c>
      <c r="D3970" t="str">
        <f>HYPERLINK("https://zfin.org/ZDB-GENE-050302-9")</f>
        <v>https://zfin.org/ZDB-GENE-050302-9</v>
      </c>
      <c r="E3970" t="s">
        <v>11885</v>
      </c>
    </row>
    <row r="3971" spans="1:5" x14ac:dyDescent="0.2">
      <c r="A3971" t="s">
        <v>11886</v>
      </c>
      <c r="B3971" t="s">
        <v>11887</v>
      </c>
      <c r="C3971" t="s">
        <v>11887</v>
      </c>
      <c r="D3971" t="str">
        <f>HYPERLINK("https://zfin.org/ZDB-GENE-050419-109")</f>
        <v>https://zfin.org/ZDB-GENE-050419-109</v>
      </c>
      <c r="E3971" t="s">
        <v>11888</v>
      </c>
    </row>
    <row r="3972" spans="1:5" x14ac:dyDescent="0.2">
      <c r="A3972" t="s">
        <v>11889</v>
      </c>
      <c r="B3972" t="s">
        <v>11890</v>
      </c>
      <c r="C3972" t="s">
        <v>11890</v>
      </c>
      <c r="D3972" t="str">
        <f>HYPERLINK("https://zfin.org/ZDB-GENE-070822-2")</f>
        <v>https://zfin.org/ZDB-GENE-070822-2</v>
      </c>
      <c r="E3972" t="s">
        <v>11891</v>
      </c>
    </row>
    <row r="3973" spans="1:5" x14ac:dyDescent="0.2">
      <c r="A3973" t="s">
        <v>11892</v>
      </c>
      <c r="B3973" t="s">
        <v>11893</v>
      </c>
      <c r="C3973" t="s">
        <v>11893</v>
      </c>
      <c r="D3973" t="str">
        <f>HYPERLINK("https://zfin.org/ZDB-GENE-081104-436")</f>
        <v>https://zfin.org/ZDB-GENE-081104-436</v>
      </c>
      <c r="E3973" t="s">
        <v>11894</v>
      </c>
    </row>
    <row r="3974" spans="1:5" x14ac:dyDescent="0.2">
      <c r="A3974" t="s">
        <v>11895</v>
      </c>
      <c r="B3974" t="s">
        <v>11896</v>
      </c>
      <c r="C3974" t="s">
        <v>11896</v>
      </c>
      <c r="D3974" t="str">
        <f>HYPERLINK("https://zfin.org/ZDB-GENE-030131-1060")</f>
        <v>https://zfin.org/ZDB-GENE-030131-1060</v>
      </c>
      <c r="E3974" t="s">
        <v>11897</v>
      </c>
    </row>
    <row r="3975" spans="1:5" x14ac:dyDescent="0.2">
      <c r="A3975" t="s">
        <v>11898</v>
      </c>
      <c r="B3975" t="s">
        <v>11899</v>
      </c>
      <c r="C3975" t="s">
        <v>11899</v>
      </c>
      <c r="D3975" t="str">
        <f>HYPERLINK("https://zfin.org/ZDB-GENE-980526-73")</f>
        <v>https://zfin.org/ZDB-GENE-980526-73</v>
      </c>
      <c r="E3975" t="s">
        <v>11900</v>
      </c>
    </row>
    <row r="3976" spans="1:5" x14ac:dyDescent="0.2">
      <c r="A3976" t="s">
        <v>11901</v>
      </c>
      <c r="B3976" t="s">
        <v>11902</v>
      </c>
      <c r="C3976" t="s">
        <v>11902</v>
      </c>
      <c r="D3976" t="str">
        <f>HYPERLINK("https://zfin.org/ZDB-GENE-030131-4420")</f>
        <v>https://zfin.org/ZDB-GENE-030131-4420</v>
      </c>
      <c r="E3976" t="s">
        <v>11903</v>
      </c>
    </row>
    <row r="3977" spans="1:5" x14ac:dyDescent="0.2">
      <c r="A3977" t="s">
        <v>11904</v>
      </c>
      <c r="B3977" t="s">
        <v>11905</v>
      </c>
      <c r="C3977" t="s">
        <v>11905</v>
      </c>
      <c r="D3977" t="str">
        <f>HYPERLINK("https://zfin.org/ZDB-GENE-030131-4083")</f>
        <v>https://zfin.org/ZDB-GENE-030131-4083</v>
      </c>
      <c r="E3977" t="s">
        <v>11906</v>
      </c>
    </row>
    <row r="3978" spans="1:5" x14ac:dyDescent="0.2">
      <c r="A3978" t="s">
        <v>11907</v>
      </c>
      <c r="B3978" t="s">
        <v>11908</v>
      </c>
      <c r="C3978" t="s">
        <v>11908</v>
      </c>
      <c r="D3978" t="str">
        <f>HYPERLINK("https://zfin.org/ZDB-GENE-040718-84")</f>
        <v>https://zfin.org/ZDB-GENE-040718-84</v>
      </c>
      <c r="E3978" t="s">
        <v>11909</v>
      </c>
    </row>
    <row r="3979" spans="1:5" x14ac:dyDescent="0.2">
      <c r="A3979" t="s">
        <v>11910</v>
      </c>
      <c r="B3979" t="s">
        <v>11911</v>
      </c>
      <c r="C3979" t="s">
        <v>11911</v>
      </c>
      <c r="D3979" t="str">
        <f>HYPERLINK("https://zfin.org/ZDB-GENE-990415-91")</f>
        <v>https://zfin.org/ZDB-GENE-990415-91</v>
      </c>
      <c r="E3979" t="s">
        <v>11912</v>
      </c>
    </row>
    <row r="3980" spans="1:5" x14ac:dyDescent="0.2">
      <c r="A3980" t="s">
        <v>11913</v>
      </c>
      <c r="B3980" t="s">
        <v>11914</v>
      </c>
      <c r="C3980" t="s">
        <v>11914</v>
      </c>
      <c r="D3980" t="str">
        <f>HYPERLINK("https://zfin.org/ZDB-GENE-040120-5")</f>
        <v>https://zfin.org/ZDB-GENE-040120-5</v>
      </c>
      <c r="E3980" t="s">
        <v>11915</v>
      </c>
    </row>
    <row r="3981" spans="1:5" x14ac:dyDescent="0.2">
      <c r="A3981" t="s">
        <v>11916</v>
      </c>
      <c r="B3981" t="s">
        <v>11917</v>
      </c>
      <c r="C3981" t="s">
        <v>11917</v>
      </c>
      <c r="D3981" t="str">
        <f>HYPERLINK("https://zfin.org/ZDB-GENE-070615-34")</f>
        <v>https://zfin.org/ZDB-GENE-070615-34</v>
      </c>
      <c r="E3981" t="s">
        <v>11918</v>
      </c>
    </row>
    <row r="3982" spans="1:5" x14ac:dyDescent="0.2">
      <c r="A3982" t="s">
        <v>11919</v>
      </c>
      <c r="B3982" t="s">
        <v>11920</v>
      </c>
      <c r="C3982" t="s">
        <v>11920</v>
      </c>
      <c r="D3982" t="str">
        <f>HYPERLINK("https://zfin.org/ZDB-GENE-041010-95")</f>
        <v>https://zfin.org/ZDB-GENE-041010-95</v>
      </c>
      <c r="E3982" t="s">
        <v>11921</v>
      </c>
    </row>
    <row r="3983" spans="1:5" x14ac:dyDescent="0.2">
      <c r="A3983" t="s">
        <v>11922</v>
      </c>
      <c r="B3983" t="s">
        <v>11923</v>
      </c>
      <c r="C3983" t="s">
        <v>11923</v>
      </c>
      <c r="D3983" t="str">
        <f>HYPERLINK("https://zfin.org/ZDB-GENE-030616-116")</f>
        <v>https://zfin.org/ZDB-GENE-030616-116</v>
      </c>
      <c r="E3983" t="s">
        <v>11924</v>
      </c>
    </row>
    <row r="3984" spans="1:5" x14ac:dyDescent="0.2">
      <c r="A3984" t="s">
        <v>11925</v>
      </c>
      <c r="B3984" t="s">
        <v>11926</v>
      </c>
      <c r="C3984" t="s">
        <v>11926</v>
      </c>
      <c r="D3984" t="str">
        <f>HYPERLINK("https://zfin.org/ZDB-GENE-070912-571")</f>
        <v>https://zfin.org/ZDB-GENE-070912-571</v>
      </c>
      <c r="E3984" t="s">
        <v>11927</v>
      </c>
    </row>
    <row r="3985" spans="1:5" x14ac:dyDescent="0.2">
      <c r="A3985" t="s">
        <v>11928</v>
      </c>
      <c r="B3985" t="s">
        <v>11929</v>
      </c>
      <c r="C3985" t="s">
        <v>11929</v>
      </c>
      <c r="D3985" t="str">
        <f>HYPERLINK("https://zfin.org/ZDB-GENE-030131-514")</f>
        <v>https://zfin.org/ZDB-GENE-030131-514</v>
      </c>
      <c r="E3985" t="s">
        <v>11930</v>
      </c>
    </row>
    <row r="3986" spans="1:5" x14ac:dyDescent="0.2">
      <c r="A3986" t="s">
        <v>11931</v>
      </c>
      <c r="B3986" t="s">
        <v>11932</v>
      </c>
      <c r="C3986" t="s">
        <v>11932</v>
      </c>
      <c r="D3986" t="str">
        <f>HYPERLINK("https://zfin.org/ZDB-GENE-060929-548")</f>
        <v>https://zfin.org/ZDB-GENE-060929-548</v>
      </c>
      <c r="E3986" t="s">
        <v>11933</v>
      </c>
    </row>
    <row r="3987" spans="1:5" x14ac:dyDescent="0.2">
      <c r="A3987" t="s">
        <v>11934</v>
      </c>
      <c r="B3987" t="s">
        <v>11935</v>
      </c>
      <c r="C3987" t="s">
        <v>11935</v>
      </c>
      <c r="D3987" t="str">
        <f>HYPERLINK("https://zfin.org/ZDB-GENE-060601-3")</f>
        <v>https://zfin.org/ZDB-GENE-060601-3</v>
      </c>
      <c r="E3987" t="s">
        <v>11936</v>
      </c>
    </row>
    <row r="3988" spans="1:5" x14ac:dyDescent="0.2">
      <c r="A3988" t="s">
        <v>11937</v>
      </c>
      <c r="B3988" t="s">
        <v>11938</v>
      </c>
      <c r="C3988" t="s">
        <v>11938</v>
      </c>
      <c r="D3988" t="str">
        <f>HYPERLINK("https://zfin.org/ZDB-GENE-030131-5921")</f>
        <v>https://zfin.org/ZDB-GENE-030131-5921</v>
      </c>
      <c r="E3988" t="s">
        <v>11939</v>
      </c>
    </row>
    <row r="3989" spans="1:5" x14ac:dyDescent="0.2">
      <c r="A3989" t="s">
        <v>11940</v>
      </c>
      <c r="B3989" t="s">
        <v>11941</v>
      </c>
      <c r="C3989" t="s">
        <v>11941</v>
      </c>
      <c r="D3989" t="str">
        <f>HYPERLINK("https://zfin.org/ZDB-GENE-031002-9")</f>
        <v>https://zfin.org/ZDB-GENE-031002-9</v>
      </c>
      <c r="E3989" t="s">
        <v>11942</v>
      </c>
    </row>
    <row r="3990" spans="1:5" x14ac:dyDescent="0.2">
      <c r="A3990" t="s">
        <v>11943</v>
      </c>
      <c r="B3990" t="s">
        <v>11944</v>
      </c>
      <c r="C3990" t="s">
        <v>11944</v>
      </c>
      <c r="D3990" t="str">
        <f>HYPERLINK("https://zfin.org/ZDB-GENE-110411-73")</f>
        <v>https://zfin.org/ZDB-GENE-110411-73</v>
      </c>
      <c r="E3990" t="s">
        <v>11945</v>
      </c>
    </row>
    <row r="3991" spans="1:5" x14ac:dyDescent="0.2">
      <c r="A3991" t="s">
        <v>11946</v>
      </c>
      <c r="B3991" t="s">
        <v>11947</v>
      </c>
      <c r="C3991" t="s">
        <v>11947</v>
      </c>
      <c r="D3991" t="str">
        <f>HYPERLINK("https://zfin.org/ZDB-GENE-030131-274")</f>
        <v>https://zfin.org/ZDB-GENE-030131-274</v>
      </c>
      <c r="E3991" t="s">
        <v>11948</v>
      </c>
    </row>
    <row r="3992" spans="1:5" x14ac:dyDescent="0.2">
      <c r="A3992" t="s">
        <v>11949</v>
      </c>
      <c r="B3992" t="s">
        <v>11950</v>
      </c>
      <c r="C3992" t="s">
        <v>11950</v>
      </c>
      <c r="D3992" t="str">
        <f>HYPERLINK("https://zfin.org/ZDB-GENE-090313-357")</f>
        <v>https://zfin.org/ZDB-GENE-090313-357</v>
      </c>
      <c r="E3992" t="s">
        <v>11951</v>
      </c>
    </row>
    <row r="3993" spans="1:5" x14ac:dyDescent="0.2">
      <c r="A3993" t="s">
        <v>11952</v>
      </c>
      <c r="B3993" t="s">
        <v>11953</v>
      </c>
      <c r="C3993" t="s">
        <v>11953</v>
      </c>
      <c r="D3993" t="str">
        <f>HYPERLINK("https://zfin.org/ZDB-GENE-050720-4")</f>
        <v>https://zfin.org/ZDB-GENE-050720-4</v>
      </c>
      <c r="E3993" t="s">
        <v>11954</v>
      </c>
    </row>
    <row r="3994" spans="1:5" x14ac:dyDescent="0.2">
      <c r="A3994" t="s">
        <v>11955</v>
      </c>
      <c r="B3994" t="s">
        <v>11956</v>
      </c>
      <c r="C3994" t="s">
        <v>11956</v>
      </c>
      <c r="D3994" t="str">
        <f>HYPERLINK("https://zfin.org/ZDB-GENE-040426-2707")</f>
        <v>https://zfin.org/ZDB-GENE-040426-2707</v>
      </c>
      <c r="E3994" t="s">
        <v>11957</v>
      </c>
    </row>
    <row r="3995" spans="1:5" x14ac:dyDescent="0.2">
      <c r="A3995" t="s">
        <v>11958</v>
      </c>
      <c r="B3995" t="s">
        <v>11959</v>
      </c>
      <c r="C3995" t="s">
        <v>11960</v>
      </c>
      <c r="D3995" t="str">
        <f>HYPERLINK("https://zfin.org/ZDB-GENE-030131-5217")</f>
        <v>https://zfin.org/ZDB-GENE-030131-5217</v>
      </c>
      <c r="E3995" t="s">
        <v>11961</v>
      </c>
    </row>
    <row r="3996" spans="1:5" x14ac:dyDescent="0.2">
      <c r="A3996" t="s">
        <v>11962</v>
      </c>
      <c r="B3996" t="s">
        <v>11963</v>
      </c>
      <c r="C3996" t="s">
        <v>11963</v>
      </c>
      <c r="D3996" t="str">
        <f>HYPERLINK("https://zfin.org/ZDB-GENE-070410-36")</f>
        <v>https://zfin.org/ZDB-GENE-070410-36</v>
      </c>
      <c r="E3996" t="s">
        <v>11964</v>
      </c>
    </row>
    <row r="3997" spans="1:5" x14ac:dyDescent="0.2">
      <c r="A3997" t="s">
        <v>11965</v>
      </c>
      <c r="B3997" t="s">
        <v>11966</v>
      </c>
      <c r="C3997" t="s">
        <v>11966</v>
      </c>
      <c r="D3997" t="str">
        <f>HYPERLINK("https://zfin.org/ZDB-GENE-030131-4287")</f>
        <v>https://zfin.org/ZDB-GENE-030131-4287</v>
      </c>
      <c r="E3997" t="s">
        <v>11967</v>
      </c>
    </row>
    <row r="3998" spans="1:5" x14ac:dyDescent="0.2">
      <c r="A3998" t="s">
        <v>11968</v>
      </c>
      <c r="B3998" t="s">
        <v>11969</v>
      </c>
      <c r="C3998" t="s">
        <v>11969</v>
      </c>
      <c r="D3998" t="str">
        <f>HYPERLINK("https://zfin.org/ZDB-GENE-081022-73")</f>
        <v>https://zfin.org/ZDB-GENE-081022-73</v>
      </c>
      <c r="E3998" t="s">
        <v>11970</v>
      </c>
    </row>
    <row r="3999" spans="1:5" x14ac:dyDescent="0.2">
      <c r="A3999" t="s">
        <v>11971</v>
      </c>
      <c r="B3999" t="s">
        <v>11972</v>
      </c>
      <c r="C3999" t="s">
        <v>11972</v>
      </c>
      <c r="D3999" t="str">
        <f>HYPERLINK("https://zfin.org/ZDB-GENE-050517-29")</f>
        <v>https://zfin.org/ZDB-GENE-050517-29</v>
      </c>
      <c r="E3999" t="s">
        <v>11973</v>
      </c>
    </row>
    <row r="4000" spans="1:5" x14ac:dyDescent="0.2">
      <c r="A4000" t="s">
        <v>11974</v>
      </c>
      <c r="B4000" t="s">
        <v>11975</v>
      </c>
      <c r="C4000" t="s">
        <v>11975</v>
      </c>
      <c r="D4000" t="str">
        <f>HYPERLINK("https://zfin.org/ZDB-GENE-100422-9")</f>
        <v>https://zfin.org/ZDB-GENE-100422-9</v>
      </c>
      <c r="E4000" t="s">
        <v>11976</v>
      </c>
    </row>
    <row r="4001" spans="1:5" x14ac:dyDescent="0.2">
      <c r="A4001" t="s">
        <v>11977</v>
      </c>
      <c r="B4001" t="s">
        <v>11978</v>
      </c>
      <c r="C4001" t="s">
        <v>11978</v>
      </c>
      <c r="D4001" t="str">
        <f>HYPERLINK("https://zfin.org/ZDB-GENE-081105-15")</f>
        <v>https://zfin.org/ZDB-GENE-081105-15</v>
      </c>
      <c r="E4001" t="s">
        <v>11979</v>
      </c>
    </row>
    <row r="4002" spans="1:5" x14ac:dyDescent="0.2">
      <c r="A4002" t="s">
        <v>11980</v>
      </c>
      <c r="B4002" t="s">
        <v>11981</v>
      </c>
      <c r="C4002" t="s">
        <v>11981</v>
      </c>
      <c r="D4002" t="str">
        <f>HYPERLINK("https://zfin.org/ZDB-GENE-091116-98")</f>
        <v>https://zfin.org/ZDB-GENE-091116-98</v>
      </c>
      <c r="E4002" t="s">
        <v>11982</v>
      </c>
    </row>
    <row r="4003" spans="1:5" x14ac:dyDescent="0.2">
      <c r="A4003" t="s">
        <v>11983</v>
      </c>
      <c r="B4003" t="s">
        <v>11984</v>
      </c>
      <c r="C4003" t="s">
        <v>11984</v>
      </c>
      <c r="D4003" t="str">
        <f>HYPERLINK("https://zfin.org/ZDB-GENE-040426-1734")</f>
        <v>https://zfin.org/ZDB-GENE-040426-1734</v>
      </c>
      <c r="E4003" t="s">
        <v>11985</v>
      </c>
    </row>
    <row r="4004" spans="1:5" x14ac:dyDescent="0.2">
      <c r="A4004" t="s">
        <v>11986</v>
      </c>
      <c r="B4004" t="s">
        <v>11987</v>
      </c>
      <c r="C4004" t="s">
        <v>11987</v>
      </c>
      <c r="D4004" t="str">
        <f>HYPERLINK("https://zfin.org/ZDB-GENE-080724-8")</f>
        <v>https://zfin.org/ZDB-GENE-080724-8</v>
      </c>
      <c r="E4004" t="s">
        <v>11988</v>
      </c>
    </row>
    <row r="4005" spans="1:5" x14ac:dyDescent="0.2">
      <c r="A4005" t="s">
        <v>11989</v>
      </c>
      <c r="B4005" t="s">
        <v>11990</v>
      </c>
      <c r="C4005" t="s">
        <v>11990</v>
      </c>
      <c r="D4005" t="str">
        <f>HYPERLINK("https://zfin.org/ZDB-GENE-030131-3058")</f>
        <v>https://zfin.org/ZDB-GENE-030131-3058</v>
      </c>
      <c r="E4005" t="s">
        <v>11991</v>
      </c>
    </row>
    <row r="4006" spans="1:5" x14ac:dyDescent="0.2">
      <c r="A4006" t="s">
        <v>11992</v>
      </c>
      <c r="B4006" t="s">
        <v>11993</v>
      </c>
      <c r="C4006" t="s">
        <v>11993</v>
      </c>
      <c r="D4006" t="str">
        <f>HYPERLINK("https://zfin.org/ZDB-GENE-130530-573")</f>
        <v>https://zfin.org/ZDB-GENE-130530-573</v>
      </c>
      <c r="E4006" t="s">
        <v>11994</v>
      </c>
    </row>
    <row r="4007" spans="1:5" x14ac:dyDescent="0.2">
      <c r="A4007" t="s">
        <v>11995</v>
      </c>
      <c r="B4007" t="s">
        <v>11996</v>
      </c>
      <c r="C4007" t="s">
        <v>11996</v>
      </c>
      <c r="D4007" t="str">
        <f>HYPERLINK("https://zfin.org/ZDB-GENE-141219-26")</f>
        <v>https://zfin.org/ZDB-GENE-141219-26</v>
      </c>
      <c r="E4007" t="s">
        <v>11997</v>
      </c>
    </row>
    <row r="4008" spans="1:5" x14ac:dyDescent="0.2">
      <c r="A4008" t="s">
        <v>11998</v>
      </c>
      <c r="B4008" t="s">
        <v>11999</v>
      </c>
      <c r="C4008" t="s">
        <v>11999</v>
      </c>
      <c r="D4008" t="str">
        <f>HYPERLINK("https://zfin.org/ZDB-GENE-030131-955")</f>
        <v>https://zfin.org/ZDB-GENE-030131-955</v>
      </c>
      <c r="E4008" t="s">
        <v>12000</v>
      </c>
    </row>
    <row r="4009" spans="1:5" x14ac:dyDescent="0.2">
      <c r="A4009" t="s">
        <v>12001</v>
      </c>
      <c r="B4009" t="s">
        <v>12002</v>
      </c>
      <c r="C4009" t="s">
        <v>12002</v>
      </c>
      <c r="D4009" t="str">
        <f>HYPERLINK("https://zfin.org/ZDB-GENE-030131-7887")</f>
        <v>https://zfin.org/ZDB-GENE-030131-7887</v>
      </c>
      <c r="E4009" t="s">
        <v>12003</v>
      </c>
    </row>
    <row r="4010" spans="1:5" x14ac:dyDescent="0.2">
      <c r="A4010" t="s">
        <v>12004</v>
      </c>
      <c r="B4010" t="s">
        <v>12005</v>
      </c>
      <c r="C4010" t="s">
        <v>12005</v>
      </c>
      <c r="D4010" t="str">
        <f>HYPERLINK("https://zfin.org/ZDB-GENE-030131-4044")</f>
        <v>https://zfin.org/ZDB-GENE-030131-4044</v>
      </c>
      <c r="E4010" t="s">
        <v>12006</v>
      </c>
    </row>
    <row r="4011" spans="1:5" x14ac:dyDescent="0.2">
      <c r="A4011" t="s">
        <v>12007</v>
      </c>
      <c r="B4011" t="s">
        <v>12008</v>
      </c>
      <c r="C4011" t="s">
        <v>12008</v>
      </c>
      <c r="D4011" t="str">
        <f>HYPERLINK("https://zfin.org/ZDB-GENE-131127-402")</f>
        <v>https://zfin.org/ZDB-GENE-131127-402</v>
      </c>
      <c r="E4011" t="s">
        <v>12009</v>
      </c>
    </row>
    <row r="4012" spans="1:5" x14ac:dyDescent="0.2">
      <c r="A4012" t="s">
        <v>12010</v>
      </c>
      <c r="B4012" t="s">
        <v>12011</v>
      </c>
      <c r="C4012" t="s">
        <v>12011</v>
      </c>
      <c r="D4012" t="str">
        <f>HYPERLINK("https://zfin.org/ZDB-GENE-041121-1")</f>
        <v>https://zfin.org/ZDB-GENE-041121-1</v>
      </c>
      <c r="E4012" t="s">
        <v>12012</v>
      </c>
    </row>
    <row r="4013" spans="1:5" x14ac:dyDescent="0.2">
      <c r="A4013" t="s">
        <v>12013</v>
      </c>
      <c r="B4013" t="s">
        <v>12014</v>
      </c>
      <c r="C4013" t="s">
        <v>12014</v>
      </c>
      <c r="D4013" t="str">
        <f>HYPERLINK("https://zfin.org/ZDB-GENE-030131-3885")</f>
        <v>https://zfin.org/ZDB-GENE-030131-3885</v>
      </c>
      <c r="E4013" t="s">
        <v>12015</v>
      </c>
    </row>
    <row r="4014" spans="1:5" x14ac:dyDescent="0.2">
      <c r="A4014" t="s">
        <v>12016</v>
      </c>
      <c r="B4014" t="s">
        <v>12017</v>
      </c>
      <c r="C4014" t="s">
        <v>12017</v>
      </c>
      <c r="D4014" t="str">
        <f>HYPERLINK("https://zfin.org/ZDB-GENE-040426-1670")</f>
        <v>https://zfin.org/ZDB-GENE-040426-1670</v>
      </c>
      <c r="E4014" t="s">
        <v>12018</v>
      </c>
    </row>
    <row r="4015" spans="1:5" x14ac:dyDescent="0.2">
      <c r="A4015" t="s">
        <v>12019</v>
      </c>
      <c r="B4015" t="s">
        <v>12020</v>
      </c>
      <c r="C4015" t="s">
        <v>12020</v>
      </c>
      <c r="D4015" t="str">
        <f>HYPERLINK("https://zfin.org/ZDB-GENE-050223-1")</f>
        <v>https://zfin.org/ZDB-GENE-050223-1</v>
      </c>
      <c r="E4015" t="s">
        <v>12021</v>
      </c>
    </row>
    <row r="4016" spans="1:5" x14ac:dyDescent="0.2">
      <c r="A4016" t="s">
        <v>12022</v>
      </c>
      <c r="B4016" t="s">
        <v>12023</v>
      </c>
      <c r="C4016" t="s">
        <v>12023</v>
      </c>
      <c r="D4016" t="str">
        <f>HYPERLINK("https://zfin.org/ZDB-GENE-041001-160")</f>
        <v>https://zfin.org/ZDB-GENE-041001-160</v>
      </c>
      <c r="E4016" t="s">
        <v>12024</v>
      </c>
    </row>
    <row r="4017" spans="1:5" x14ac:dyDescent="0.2">
      <c r="A4017" t="s">
        <v>12025</v>
      </c>
      <c r="B4017" t="s">
        <v>12026</v>
      </c>
      <c r="C4017" t="s">
        <v>12026</v>
      </c>
      <c r="D4017" t="str">
        <f>HYPERLINK("https://zfin.org/ZDB-GENE-040426-2230")</f>
        <v>https://zfin.org/ZDB-GENE-040426-2230</v>
      </c>
      <c r="E4017" t="s">
        <v>12027</v>
      </c>
    </row>
    <row r="4018" spans="1:5" x14ac:dyDescent="0.2">
      <c r="A4018" t="s">
        <v>12028</v>
      </c>
      <c r="B4018" t="s">
        <v>12029</v>
      </c>
      <c r="C4018" t="s">
        <v>12029</v>
      </c>
      <c r="D4018" t="str">
        <f>HYPERLINK("https://zfin.org/ZDB-GENE-040724-173")</f>
        <v>https://zfin.org/ZDB-GENE-040724-173</v>
      </c>
      <c r="E4018" t="s">
        <v>12030</v>
      </c>
    </row>
    <row r="4019" spans="1:5" x14ac:dyDescent="0.2">
      <c r="A4019" t="s">
        <v>12031</v>
      </c>
      <c r="B4019" t="s">
        <v>12032</v>
      </c>
      <c r="C4019" t="s">
        <v>12032</v>
      </c>
      <c r="D4019" t="str">
        <f>HYPERLINK("https://zfin.org/ZDB-GENE-050522-200")</f>
        <v>https://zfin.org/ZDB-GENE-050522-200</v>
      </c>
      <c r="E4019" t="s">
        <v>12033</v>
      </c>
    </row>
    <row r="4020" spans="1:5" x14ac:dyDescent="0.2">
      <c r="A4020" t="s">
        <v>12034</v>
      </c>
      <c r="B4020" t="s">
        <v>12035</v>
      </c>
      <c r="C4020" t="s">
        <v>12035</v>
      </c>
      <c r="D4020" t="str">
        <f>HYPERLINK("https://zfin.org/ZDB-GENE-061013-428")</f>
        <v>https://zfin.org/ZDB-GENE-061013-428</v>
      </c>
      <c r="E4020" t="s">
        <v>12036</v>
      </c>
    </row>
    <row r="4021" spans="1:5" x14ac:dyDescent="0.2">
      <c r="A4021" t="s">
        <v>12037</v>
      </c>
      <c r="B4021" t="s">
        <v>12038</v>
      </c>
      <c r="C4021" t="s">
        <v>12038</v>
      </c>
      <c r="D4021" t="str">
        <f>HYPERLINK("https://zfin.org/ZDB-GENE-030131-5228")</f>
        <v>https://zfin.org/ZDB-GENE-030131-5228</v>
      </c>
      <c r="E4021" t="s">
        <v>12039</v>
      </c>
    </row>
    <row r="4022" spans="1:5" x14ac:dyDescent="0.2">
      <c r="A4022" t="s">
        <v>12040</v>
      </c>
      <c r="B4022" t="s">
        <v>12041</v>
      </c>
      <c r="C4022" t="s">
        <v>12041</v>
      </c>
      <c r="D4022" t="str">
        <f>HYPERLINK("https://zfin.org/ZDB-GENE-040426-1596")</f>
        <v>https://zfin.org/ZDB-GENE-040426-1596</v>
      </c>
      <c r="E4022" t="s">
        <v>12042</v>
      </c>
    </row>
    <row r="4023" spans="1:5" x14ac:dyDescent="0.2">
      <c r="A4023" t="s">
        <v>12043</v>
      </c>
      <c r="B4023" t="s">
        <v>12044</v>
      </c>
      <c r="C4023" t="s">
        <v>12044</v>
      </c>
      <c r="D4023" t="str">
        <f>HYPERLINK("https://zfin.org/ZDB-GENE-040426-1247")</f>
        <v>https://zfin.org/ZDB-GENE-040426-1247</v>
      </c>
      <c r="E4023" t="s">
        <v>12045</v>
      </c>
    </row>
    <row r="4024" spans="1:5" x14ac:dyDescent="0.2">
      <c r="A4024" t="s">
        <v>12046</v>
      </c>
      <c r="B4024" t="s">
        <v>12047</v>
      </c>
      <c r="C4024" t="s">
        <v>12047</v>
      </c>
      <c r="D4024" t="str">
        <f>HYPERLINK("https://zfin.org/ZDB-GENE-050522-202")</f>
        <v>https://zfin.org/ZDB-GENE-050522-202</v>
      </c>
      <c r="E4024" t="s">
        <v>12048</v>
      </c>
    </row>
    <row r="4025" spans="1:5" x14ac:dyDescent="0.2">
      <c r="A4025" t="s">
        <v>12049</v>
      </c>
      <c r="B4025" t="s">
        <v>12050</v>
      </c>
      <c r="C4025" t="s">
        <v>12050</v>
      </c>
      <c r="D4025" t="str">
        <f>HYPERLINK("https://zfin.org/ZDB-GENE-050522-39")</f>
        <v>https://zfin.org/ZDB-GENE-050522-39</v>
      </c>
      <c r="E4025" t="s">
        <v>12051</v>
      </c>
    </row>
    <row r="4026" spans="1:5" x14ac:dyDescent="0.2">
      <c r="A4026" t="s">
        <v>12052</v>
      </c>
      <c r="B4026" t="s">
        <v>12053</v>
      </c>
      <c r="C4026" t="s">
        <v>12053</v>
      </c>
      <c r="D4026" t="str">
        <f>HYPERLINK("https://zfin.org/ZDB-GENE-030131-6228")</f>
        <v>https://zfin.org/ZDB-GENE-030131-6228</v>
      </c>
      <c r="E4026" t="s">
        <v>12054</v>
      </c>
    </row>
    <row r="4027" spans="1:5" x14ac:dyDescent="0.2">
      <c r="A4027" t="s">
        <v>12055</v>
      </c>
      <c r="B4027" t="s">
        <v>12056</v>
      </c>
      <c r="C4027" t="s">
        <v>12056</v>
      </c>
      <c r="D4027" t="str">
        <f>HYPERLINK("https://zfin.org/ZDB-GENE-041001-159")</f>
        <v>https://zfin.org/ZDB-GENE-041001-159</v>
      </c>
      <c r="E4027" t="s">
        <v>12057</v>
      </c>
    </row>
    <row r="4028" spans="1:5" x14ac:dyDescent="0.2">
      <c r="A4028" t="s">
        <v>12058</v>
      </c>
      <c r="B4028" t="s">
        <v>12059</v>
      </c>
      <c r="C4028" t="s">
        <v>12059</v>
      </c>
      <c r="D4028" t="str">
        <f>HYPERLINK("https://zfin.org/ZDB-GENE-030131-5426")</f>
        <v>https://zfin.org/ZDB-GENE-030131-5426</v>
      </c>
      <c r="E4028" t="s">
        <v>12060</v>
      </c>
    </row>
    <row r="4029" spans="1:5" x14ac:dyDescent="0.2">
      <c r="A4029" t="s">
        <v>12061</v>
      </c>
      <c r="B4029" t="s">
        <v>12062</v>
      </c>
      <c r="C4029" t="s">
        <v>12062</v>
      </c>
      <c r="D4029" t="str">
        <f>HYPERLINK("https://zfin.org/ZDB-GENE-000125-4")</f>
        <v>https://zfin.org/ZDB-GENE-000125-4</v>
      </c>
      <c r="E4029" t="s">
        <v>12063</v>
      </c>
    </row>
    <row r="4030" spans="1:5" x14ac:dyDescent="0.2">
      <c r="A4030" t="s">
        <v>12064</v>
      </c>
      <c r="B4030" t="s">
        <v>12065</v>
      </c>
      <c r="C4030" t="s">
        <v>12065</v>
      </c>
      <c r="D4030" t="str">
        <f>HYPERLINK("https://zfin.org/ZDB-GENE-040912-77")</f>
        <v>https://zfin.org/ZDB-GENE-040912-77</v>
      </c>
      <c r="E4030" t="s">
        <v>12066</v>
      </c>
    </row>
    <row r="4031" spans="1:5" x14ac:dyDescent="0.2">
      <c r="A4031" t="s">
        <v>12067</v>
      </c>
      <c r="B4031" t="s">
        <v>12068</v>
      </c>
      <c r="C4031" t="s">
        <v>12068</v>
      </c>
      <c r="D4031" t="str">
        <f>HYPERLINK("https://zfin.org/ZDB-GENE-121214-166")</f>
        <v>https://zfin.org/ZDB-GENE-121214-166</v>
      </c>
      <c r="E4031" t="s">
        <v>12069</v>
      </c>
    </row>
    <row r="4032" spans="1:5" x14ac:dyDescent="0.2">
      <c r="A4032" t="s">
        <v>12070</v>
      </c>
      <c r="B4032" t="s">
        <v>12071</v>
      </c>
      <c r="C4032" t="s">
        <v>12071</v>
      </c>
      <c r="D4032" t="str">
        <f>HYPERLINK("https://zfin.org/ZDB-GENE-030826-14")</f>
        <v>https://zfin.org/ZDB-GENE-030826-14</v>
      </c>
      <c r="E4032" t="s">
        <v>12072</v>
      </c>
    </row>
    <row r="4033" spans="1:5" x14ac:dyDescent="0.2">
      <c r="A4033" t="s">
        <v>12073</v>
      </c>
      <c r="B4033" t="s">
        <v>12074</v>
      </c>
      <c r="C4033" t="s">
        <v>12074</v>
      </c>
      <c r="D4033" t="str">
        <f>HYPERLINK("https://zfin.org/ZDB-GENE-040715-8")</f>
        <v>https://zfin.org/ZDB-GENE-040715-8</v>
      </c>
      <c r="E4033" t="s">
        <v>12075</v>
      </c>
    </row>
    <row r="4034" spans="1:5" x14ac:dyDescent="0.2">
      <c r="A4034" t="s">
        <v>12076</v>
      </c>
      <c r="B4034" t="s">
        <v>12077</v>
      </c>
      <c r="C4034" t="s">
        <v>12077</v>
      </c>
      <c r="D4034" t="str">
        <f>HYPERLINK("https://zfin.org/ZDB-GENE-020419-33")</f>
        <v>https://zfin.org/ZDB-GENE-020419-33</v>
      </c>
      <c r="E4034" t="s">
        <v>12078</v>
      </c>
    </row>
    <row r="4035" spans="1:5" x14ac:dyDescent="0.2">
      <c r="A4035" t="s">
        <v>12079</v>
      </c>
      <c r="B4035" t="s">
        <v>12080</v>
      </c>
      <c r="C4035" t="s">
        <v>12080</v>
      </c>
      <c r="D4035" t="str">
        <f>HYPERLINK("https://zfin.org/ZDB-GENE-080917-52")</f>
        <v>https://zfin.org/ZDB-GENE-080917-52</v>
      </c>
      <c r="E4035" t="s">
        <v>12081</v>
      </c>
    </row>
    <row r="4036" spans="1:5" x14ac:dyDescent="0.2">
      <c r="A4036" t="s">
        <v>12082</v>
      </c>
      <c r="B4036" t="s">
        <v>12083</v>
      </c>
      <c r="C4036" t="s">
        <v>12083</v>
      </c>
      <c r="D4036" t="str">
        <f>HYPERLINK("https://zfin.org/ZDB-GENE-030131-2681")</f>
        <v>https://zfin.org/ZDB-GENE-030131-2681</v>
      </c>
      <c r="E4036" t="s">
        <v>12084</v>
      </c>
    </row>
    <row r="4037" spans="1:5" x14ac:dyDescent="0.2">
      <c r="A4037" t="s">
        <v>12085</v>
      </c>
      <c r="B4037" t="s">
        <v>12086</v>
      </c>
      <c r="C4037" t="s">
        <v>12086</v>
      </c>
      <c r="D4037" t="str">
        <f>HYPERLINK("https://zfin.org/ZDB-GENE-100922-283")</f>
        <v>https://zfin.org/ZDB-GENE-100922-283</v>
      </c>
      <c r="E4037" t="s">
        <v>12087</v>
      </c>
    </row>
    <row r="4038" spans="1:5" x14ac:dyDescent="0.2">
      <c r="A4038" t="s">
        <v>12088</v>
      </c>
      <c r="B4038" t="s">
        <v>12089</v>
      </c>
      <c r="C4038" t="s">
        <v>12089</v>
      </c>
      <c r="D4038" t="str">
        <f>HYPERLINK("https://zfin.org/ZDB-GENE-041114-154")</f>
        <v>https://zfin.org/ZDB-GENE-041114-154</v>
      </c>
      <c r="E4038" t="s">
        <v>12090</v>
      </c>
    </row>
    <row r="4039" spans="1:5" x14ac:dyDescent="0.2">
      <c r="A4039" t="s">
        <v>12091</v>
      </c>
      <c r="B4039" t="s">
        <v>12092</v>
      </c>
      <c r="C4039" t="s">
        <v>12092</v>
      </c>
      <c r="D4039" t="str">
        <f>HYPERLINK("https://zfin.org/ZDB-GENE-070822-8")</f>
        <v>https://zfin.org/ZDB-GENE-070822-8</v>
      </c>
      <c r="E4039" t="s">
        <v>12093</v>
      </c>
    </row>
    <row r="4040" spans="1:5" x14ac:dyDescent="0.2">
      <c r="A4040" t="s">
        <v>12094</v>
      </c>
      <c r="B4040" t="s">
        <v>12095</v>
      </c>
      <c r="C4040" t="s">
        <v>12095</v>
      </c>
      <c r="D4040" t="str">
        <f>HYPERLINK("https://zfin.org/ZDB-GENE-081107-54")</f>
        <v>https://zfin.org/ZDB-GENE-081107-54</v>
      </c>
      <c r="E4040" t="s">
        <v>12096</v>
      </c>
    </row>
    <row r="4041" spans="1:5" x14ac:dyDescent="0.2">
      <c r="A4041" t="s">
        <v>12097</v>
      </c>
      <c r="B4041" t="s">
        <v>12098</v>
      </c>
      <c r="C4041" t="s">
        <v>12098</v>
      </c>
      <c r="D4041" t="str">
        <f>HYPERLINK("https://zfin.org/ZDB-GENE-030131-6312")</f>
        <v>https://zfin.org/ZDB-GENE-030131-6312</v>
      </c>
      <c r="E4041" t="s">
        <v>12099</v>
      </c>
    </row>
    <row r="4042" spans="1:5" x14ac:dyDescent="0.2">
      <c r="A4042" t="s">
        <v>12100</v>
      </c>
      <c r="B4042" t="s">
        <v>12101</v>
      </c>
      <c r="C4042" t="s">
        <v>12101</v>
      </c>
      <c r="D4042" t="str">
        <f>HYPERLINK("https://zfin.org/ZDB-GENE-040718-417")</f>
        <v>https://zfin.org/ZDB-GENE-040718-417</v>
      </c>
      <c r="E4042" t="s">
        <v>12102</v>
      </c>
    </row>
    <row r="4043" spans="1:5" x14ac:dyDescent="0.2">
      <c r="A4043" t="s">
        <v>12103</v>
      </c>
      <c r="B4043" t="s">
        <v>12104</v>
      </c>
      <c r="C4043" t="s">
        <v>12104</v>
      </c>
      <c r="D4043" t="str">
        <f>HYPERLINK("https://zfin.org/ZDB-GENE-141216-443")</f>
        <v>https://zfin.org/ZDB-GENE-141216-443</v>
      </c>
      <c r="E4043" t="s">
        <v>12105</v>
      </c>
    </row>
    <row r="4044" spans="1:5" x14ac:dyDescent="0.2">
      <c r="A4044" t="s">
        <v>12106</v>
      </c>
      <c r="B4044" t="s">
        <v>12107</v>
      </c>
      <c r="C4044" t="s">
        <v>12107</v>
      </c>
      <c r="D4044" t="str">
        <f>HYPERLINK("https://zfin.org/ZDB-GENE-121105-1")</f>
        <v>https://zfin.org/ZDB-GENE-121105-1</v>
      </c>
      <c r="E4044" t="s">
        <v>12108</v>
      </c>
    </row>
    <row r="4045" spans="1:5" x14ac:dyDescent="0.2">
      <c r="A4045" t="s">
        <v>12109</v>
      </c>
      <c r="B4045" t="s">
        <v>12110</v>
      </c>
      <c r="C4045" t="s">
        <v>12110</v>
      </c>
      <c r="D4045" t="str">
        <f>HYPERLINK("https://zfin.org/ZDB-GENE-141216-161")</f>
        <v>https://zfin.org/ZDB-GENE-141216-161</v>
      </c>
      <c r="E4045" t="s">
        <v>12111</v>
      </c>
    </row>
    <row r="4046" spans="1:5" x14ac:dyDescent="0.2">
      <c r="A4046" t="s">
        <v>12112</v>
      </c>
      <c r="B4046" t="s">
        <v>12113</v>
      </c>
      <c r="C4046" t="s">
        <v>12113</v>
      </c>
      <c r="D4046" t="str">
        <f>HYPERLINK("https://zfin.org/ZDB-GENE-990415-263")</f>
        <v>https://zfin.org/ZDB-GENE-990415-263</v>
      </c>
      <c r="E4046" t="s">
        <v>12114</v>
      </c>
    </row>
    <row r="4047" spans="1:5" x14ac:dyDescent="0.2">
      <c r="A4047" t="s">
        <v>12115</v>
      </c>
      <c r="B4047" t="s">
        <v>12116</v>
      </c>
      <c r="C4047" t="s">
        <v>12116</v>
      </c>
      <c r="D4047" t="str">
        <f>HYPERLINK("https://zfin.org/ZDB-GENE-980526-26")</f>
        <v>https://zfin.org/ZDB-GENE-980526-26</v>
      </c>
      <c r="E4047" t="s">
        <v>12117</v>
      </c>
    </row>
    <row r="4048" spans="1:5" x14ac:dyDescent="0.2">
      <c r="A4048" t="s">
        <v>12118</v>
      </c>
      <c r="B4048" t="s">
        <v>12119</v>
      </c>
      <c r="C4048" t="s">
        <v>12119</v>
      </c>
      <c r="D4048" t="str">
        <f>HYPERLINK("https://zfin.org/ZDB-GENE-040426-1086")</f>
        <v>https://zfin.org/ZDB-GENE-040426-1086</v>
      </c>
      <c r="E4048" t="s">
        <v>12120</v>
      </c>
    </row>
    <row r="4049" spans="1:5" x14ac:dyDescent="0.2">
      <c r="A4049" t="s">
        <v>12121</v>
      </c>
      <c r="B4049" t="s">
        <v>12122</v>
      </c>
      <c r="C4049" t="s">
        <v>12122</v>
      </c>
      <c r="D4049" t="str">
        <f>HYPERLINK("https://zfin.org/ZDB-GENE-040724-150")</f>
        <v>https://zfin.org/ZDB-GENE-040724-150</v>
      </c>
      <c r="E4049" t="s">
        <v>12123</v>
      </c>
    </row>
    <row r="4050" spans="1:5" x14ac:dyDescent="0.2">
      <c r="A4050" t="s">
        <v>12124</v>
      </c>
      <c r="B4050" t="s">
        <v>12125</v>
      </c>
      <c r="C4050" t="s">
        <v>12125</v>
      </c>
      <c r="D4050" t="str">
        <f>HYPERLINK("https://zfin.org/ZDB-GENE-030131-993")</f>
        <v>https://zfin.org/ZDB-GENE-030131-993</v>
      </c>
      <c r="E4050" t="s">
        <v>12126</v>
      </c>
    </row>
    <row r="4051" spans="1:5" x14ac:dyDescent="0.2">
      <c r="A4051" t="s">
        <v>12127</v>
      </c>
      <c r="B4051" t="s">
        <v>12128</v>
      </c>
      <c r="C4051" t="s">
        <v>12128</v>
      </c>
      <c r="D4051" t="str">
        <f>HYPERLINK("https://zfin.org/ZDB-GENE-080225-33")</f>
        <v>https://zfin.org/ZDB-GENE-080225-33</v>
      </c>
      <c r="E4051" t="s">
        <v>12129</v>
      </c>
    </row>
    <row r="4052" spans="1:5" x14ac:dyDescent="0.2">
      <c r="A4052" t="s">
        <v>12130</v>
      </c>
      <c r="B4052" t="s">
        <v>12131</v>
      </c>
      <c r="C4052" t="s">
        <v>12131</v>
      </c>
      <c r="D4052" t="str">
        <f>HYPERLINK("https://zfin.org/ZDB-GENE-091204-349")</f>
        <v>https://zfin.org/ZDB-GENE-091204-349</v>
      </c>
      <c r="E4052" t="s">
        <v>12132</v>
      </c>
    </row>
    <row r="4053" spans="1:5" x14ac:dyDescent="0.2">
      <c r="A4053" t="s">
        <v>12133</v>
      </c>
      <c r="B4053" t="s">
        <v>12134</v>
      </c>
      <c r="C4053" t="s">
        <v>12134</v>
      </c>
      <c r="D4053" t="str">
        <f>HYPERLINK("https://zfin.org/ZDB-GENE-060825-285")</f>
        <v>https://zfin.org/ZDB-GENE-060825-285</v>
      </c>
      <c r="E4053" t="s">
        <v>12135</v>
      </c>
    </row>
    <row r="4054" spans="1:5" x14ac:dyDescent="0.2">
      <c r="A4054" t="s">
        <v>12136</v>
      </c>
      <c r="B4054" t="s">
        <v>12137</v>
      </c>
      <c r="C4054" t="s">
        <v>12137</v>
      </c>
      <c r="D4054" t="str">
        <f>HYPERLINK("https://zfin.org/ZDB-GENE-081104-413")</f>
        <v>https://zfin.org/ZDB-GENE-081104-413</v>
      </c>
      <c r="E4054" t="s">
        <v>12138</v>
      </c>
    </row>
    <row r="4055" spans="1:5" x14ac:dyDescent="0.2">
      <c r="A4055" t="s">
        <v>12139</v>
      </c>
      <c r="B4055" t="s">
        <v>12140</v>
      </c>
      <c r="C4055" t="s">
        <v>12140</v>
      </c>
      <c r="D4055" t="str">
        <f>HYPERLINK("https://zfin.org/ZDB-GENE-050522-321")</f>
        <v>https://zfin.org/ZDB-GENE-050522-321</v>
      </c>
      <c r="E4055" t="s">
        <v>12141</v>
      </c>
    </row>
    <row r="4056" spans="1:5" x14ac:dyDescent="0.2">
      <c r="A4056" t="s">
        <v>12142</v>
      </c>
      <c r="B4056" t="s">
        <v>12143</v>
      </c>
      <c r="C4056" t="s">
        <v>12143</v>
      </c>
      <c r="D4056" t="str">
        <f>HYPERLINK("https://zfin.org/ZDB-GENE-021206-11")</f>
        <v>https://zfin.org/ZDB-GENE-021206-11</v>
      </c>
      <c r="E4056" t="s">
        <v>12144</v>
      </c>
    </row>
    <row r="4057" spans="1:5" x14ac:dyDescent="0.2">
      <c r="A4057" t="s">
        <v>12145</v>
      </c>
      <c r="B4057" t="s">
        <v>12146</v>
      </c>
      <c r="C4057" t="s">
        <v>12146</v>
      </c>
      <c r="D4057" t="str">
        <f>HYPERLINK("https://zfin.org/ZDB-GENE-070705-206")</f>
        <v>https://zfin.org/ZDB-GENE-070705-206</v>
      </c>
      <c r="E4057" t="s">
        <v>12147</v>
      </c>
    </row>
    <row r="4058" spans="1:5" x14ac:dyDescent="0.2">
      <c r="A4058" t="s">
        <v>12148</v>
      </c>
      <c r="B4058" t="s">
        <v>12149</v>
      </c>
      <c r="C4058" t="s">
        <v>12149</v>
      </c>
      <c r="D4058" t="str">
        <f>HYPERLINK("https://zfin.org/ZDB-GENE-050803-1")</f>
        <v>https://zfin.org/ZDB-GENE-050803-1</v>
      </c>
      <c r="E4058" t="s">
        <v>12150</v>
      </c>
    </row>
    <row r="4059" spans="1:5" x14ac:dyDescent="0.2">
      <c r="A4059" t="s">
        <v>12151</v>
      </c>
      <c r="B4059" t="s">
        <v>12152</v>
      </c>
      <c r="C4059" t="s">
        <v>12152</v>
      </c>
      <c r="D4059" t="str">
        <f>HYPERLINK("https://zfin.org/ZDB-GENE-050306-13")</f>
        <v>https://zfin.org/ZDB-GENE-050306-13</v>
      </c>
      <c r="E4059" t="s">
        <v>12153</v>
      </c>
    </row>
    <row r="4060" spans="1:5" x14ac:dyDescent="0.2">
      <c r="A4060" t="s">
        <v>12154</v>
      </c>
      <c r="B4060" t="s">
        <v>12155</v>
      </c>
      <c r="C4060" t="s">
        <v>12155</v>
      </c>
      <c r="D4060" t="str">
        <f>HYPERLINK("https://zfin.org/ZDB-GENE-041111-80")</f>
        <v>https://zfin.org/ZDB-GENE-041111-80</v>
      </c>
      <c r="E4060" t="s">
        <v>12156</v>
      </c>
    </row>
    <row r="4061" spans="1:5" x14ac:dyDescent="0.2">
      <c r="A4061" t="s">
        <v>12157</v>
      </c>
      <c r="B4061" t="s">
        <v>12158</v>
      </c>
      <c r="C4061" t="s">
        <v>12158</v>
      </c>
      <c r="D4061" t="str">
        <f>HYPERLINK("https://zfin.org/ZDB-GENE-040426-1927")</f>
        <v>https://zfin.org/ZDB-GENE-040426-1927</v>
      </c>
      <c r="E4061" t="s">
        <v>12159</v>
      </c>
    </row>
    <row r="4062" spans="1:5" x14ac:dyDescent="0.2">
      <c r="A4062" t="s">
        <v>12160</v>
      </c>
      <c r="B4062" t="s">
        <v>12161</v>
      </c>
      <c r="C4062" t="s">
        <v>12161</v>
      </c>
      <c r="D4062" t="str">
        <f>HYPERLINK("https://zfin.org/ZDB-GENE-041010-162")</f>
        <v>https://zfin.org/ZDB-GENE-041010-162</v>
      </c>
      <c r="E4062" t="s">
        <v>12162</v>
      </c>
    </row>
    <row r="4063" spans="1:5" x14ac:dyDescent="0.2">
      <c r="A4063" t="s">
        <v>12163</v>
      </c>
      <c r="B4063" t="s">
        <v>12164</v>
      </c>
      <c r="C4063" t="s">
        <v>12164</v>
      </c>
      <c r="D4063" t="str">
        <f>HYPERLINK("https://zfin.org/ZDB-GENE-041111-310")</f>
        <v>https://zfin.org/ZDB-GENE-041111-310</v>
      </c>
      <c r="E4063" t="s">
        <v>12165</v>
      </c>
    </row>
    <row r="4064" spans="1:5" x14ac:dyDescent="0.2">
      <c r="A4064" t="s">
        <v>12166</v>
      </c>
      <c r="B4064" t="s">
        <v>12167</v>
      </c>
      <c r="C4064" t="s">
        <v>12167</v>
      </c>
      <c r="D4064" t="str">
        <f>HYPERLINK("https://zfin.org/ZDB-GENE-030131-9498")</f>
        <v>https://zfin.org/ZDB-GENE-030131-9498</v>
      </c>
      <c r="E4064" t="s">
        <v>12168</v>
      </c>
    </row>
    <row r="4065" spans="1:5" x14ac:dyDescent="0.2">
      <c r="A4065" t="s">
        <v>12169</v>
      </c>
      <c r="B4065" t="s">
        <v>12170</v>
      </c>
      <c r="C4065" t="s">
        <v>12170</v>
      </c>
      <c r="D4065" t="str">
        <f>HYPERLINK("https://zfin.org/ZDB-GENE-131127-429")</f>
        <v>https://zfin.org/ZDB-GENE-131127-429</v>
      </c>
      <c r="E4065" t="s">
        <v>12171</v>
      </c>
    </row>
    <row r="4066" spans="1:5" x14ac:dyDescent="0.2">
      <c r="A4066" t="s">
        <v>12172</v>
      </c>
      <c r="B4066" t="s">
        <v>12173</v>
      </c>
      <c r="C4066" t="s">
        <v>12173</v>
      </c>
      <c r="D4066" t="str">
        <f>HYPERLINK("https://zfin.org/ZDB-GENE-060421-4286")</f>
        <v>https://zfin.org/ZDB-GENE-060421-4286</v>
      </c>
      <c r="E4066" t="s">
        <v>12174</v>
      </c>
    </row>
    <row r="4067" spans="1:5" x14ac:dyDescent="0.2">
      <c r="A4067" t="s">
        <v>12175</v>
      </c>
      <c r="B4067" t="s">
        <v>12176</v>
      </c>
      <c r="C4067" t="s">
        <v>12176</v>
      </c>
      <c r="D4067" t="str">
        <f>HYPERLINK("https://zfin.org/ZDB-GENE-041114-159")</f>
        <v>https://zfin.org/ZDB-GENE-041114-159</v>
      </c>
      <c r="E4067" t="s">
        <v>12177</v>
      </c>
    </row>
    <row r="4068" spans="1:5" x14ac:dyDescent="0.2">
      <c r="A4068" t="s">
        <v>12178</v>
      </c>
      <c r="B4068" t="s">
        <v>12179</v>
      </c>
      <c r="C4068" t="s">
        <v>12179</v>
      </c>
      <c r="D4068" t="str">
        <f>HYPERLINK("https://zfin.org/ZDB-GENE-050327-34")</f>
        <v>https://zfin.org/ZDB-GENE-050327-34</v>
      </c>
      <c r="E4068" t="s">
        <v>12180</v>
      </c>
    </row>
    <row r="4069" spans="1:5" x14ac:dyDescent="0.2">
      <c r="A4069" t="s">
        <v>12181</v>
      </c>
      <c r="B4069" t="s">
        <v>12182</v>
      </c>
      <c r="C4069" t="s">
        <v>12182</v>
      </c>
      <c r="D4069" t="str">
        <f>HYPERLINK("https://zfin.org/ZDB-GENE-030131-2184")</f>
        <v>https://zfin.org/ZDB-GENE-030131-2184</v>
      </c>
      <c r="E4069" t="s">
        <v>12183</v>
      </c>
    </row>
    <row r="4070" spans="1:5" x14ac:dyDescent="0.2">
      <c r="A4070" t="s">
        <v>12184</v>
      </c>
      <c r="B4070" t="s">
        <v>12185</v>
      </c>
      <c r="C4070" t="s">
        <v>12185</v>
      </c>
      <c r="D4070" t="str">
        <f>HYPERLINK("https://zfin.org/ZDB-GENE-041008-138")</f>
        <v>https://zfin.org/ZDB-GENE-041008-138</v>
      </c>
      <c r="E4070" t="s">
        <v>12186</v>
      </c>
    </row>
    <row r="4071" spans="1:5" x14ac:dyDescent="0.2">
      <c r="A4071" t="s">
        <v>12187</v>
      </c>
      <c r="B4071" t="s">
        <v>12188</v>
      </c>
      <c r="C4071" t="s">
        <v>12188</v>
      </c>
      <c r="D4071" t="str">
        <f>HYPERLINK("https://zfin.org/ZDB-GENE-101026-1")</f>
        <v>https://zfin.org/ZDB-GENE-101026-1</v>
      </c>
      <c r="E4071" t="s">
        <v>12189</v>
      </c>
    </row>
    <row r="4072" spans="1:5" x14ac:dyDescent="0.2">
      <c r="A4072" t="s">
        <v>12190</v>
      </c>
      <c r="B4072" t="s">
        <v>12191</v>
      </c>
      <c r="C4072" t="s">
        <v>12191</v>
      </c>
      <c r="D4072" t="str">
        <f>HYPERLINK("https://zfin.org/ZDB-GENE-990714-15")</f>
        <v>https://zfin.org/ZDB-GENE-990714-15</v>
      </c>
      <c r="E4072" t="s">
        <v>12192</v>
      </c>
    </row>
    <row r="4073" spans="1:5" x14ac:dyDescent="0.2">
      <c r="A4073" t="s">
        <v>12193</v>
      </c>
      <c r="B4073" t="s">
        <v>12194</v>
      </c>
      <c r="C4073" t="s">
        <v>12194</v>
      </c>
      <c r="D4073" t="str">
        <f>HYPERLINK("https://zfin.org/ZDB-GENE-060405-1")</f>
        <v>https://zfin.org/ZDB-GENE-060405-1</v>
      </c>
      <c r="E4073" t="s">
        <v>12195</v>
      </c>
    </row>
    <row r="4074" spans="1:5" x14ac:dyDescent="0.2">
      <c r="A4074" t="s">
        <v>12196</v>
      </c>
      <c r="B4074" t="s">
        <v>12197</v>
      </c>
      <c r="C4074" t="s">
        <v>12197</v>
      </c>
      <c r="D4074" t="str">
        <f>HYPERLINK("https://zfin.org/ZDB-GENE-091204-62")</f>
        <v>https://zfin.org/ZDB-GENE-091204-62</v>
      </c>
      <c r="E4074" t="s">
        <v>12198</v>
      </c>
    </row>
    <row r="4075" spans="1:5" x14ac:dyDescent="0.2">
      <c r="A4075" t="s">
        <v>12199</v>
      </c>
      <c r="B4075" t="s">
        <v>12200</v>
      </c>
      <c r="C4075" t="s">
        <v>12200</v>
      </c>
      <c r="D4075" t="str">
        <f>HYPERLINK("https://zfin.org/ZDB-GENE-080219-33")</f>
        <v>https://zfin.org/ZDB-GENE-080219-33</v>
      </c>
      <c r="E4075" t="s">
        <v>12201</v>
      </c>
    </row>
    <row r="4076" spans="1:5" x14ac:dyDescent="0.2">
      <c r="A4076" t="s">
        <v>12202</v>
      </c>
      <c r="B4076" t="s">
        <v>12203</v>
      </c>
      <c r="C4076" t="s">
        <v>12203</v>
      </c>
      <c r="D4076" t="str">
        <f>HYPERLINK("https://zfin.org/ZDB-GENE-030131-2057")</f>
        <v>https://zfin.org/ZDB-GENE-030131-2057</v>
      </c>
      <c r="E4076" t="s">
        <v>12204</v>
      </c>
    </row>
    <row r="4077" spans="1:5" x14ac:dyDescent="0.2">
      <c r="A4077" t="s">
        <v>12205</v>
      </c>
      <c r="B4077" t="s">
        <v>12206</v>
      </c>
      <c r="C4077" t="s">
        <v>12206</v>
      </c>
      <c r="D4077" t="str">
        <f>HYPERLINK("https://zfin.org/ZDB-GENE-120215-22")</f>
        <v>https://zfin.org/ZDB-GENE-120215-22</v>
      </c>
      <c r="E4077" t="s">
        <v>12207</v>
      </c>
    </row>
    <row r="4078" spans="1:5" x14ac:dyDescent="0.2">
      <c r="A4078" t="s">
        <v>12208</v>
      </c>
      <c r="B4078" t="s">
        <v>12209</v>
      </c>
      <c r="C4078" t="s">
        <v>12210</v>
      </c>
      <c r="D4078" t="str">
        <f>HYPERLINK("https://zfin.org/ZDB-GENE-090505-4")</f>
        <v>https://zfin.org/ZDB-GENE-090505-4</v>
      </c>
      <c r="E4078" t="s">
        <v>12211</v>
      </c>
    </row>
    <row r="4079" spans="1:5" x14ac:dyDescent="0.2">
      <c r="A4079" t="s">
        <v>12212</v>
      </c>
      <c r="B4079" t="s">
        <v>12213</v>
      </c>
      <c r="C4079" t="s">
        <v>12213</v>
      </c>
      <c r="D4079" t="str">
        <f>HYPERLINK("https://zfin.org/ZDB-GENE-040426-1975")</f>
        <v>https://zfin.org/ZDB-GENE-040426-1975</v>
      </c>
      <c r="E4079" t="s">
        <v>12214</v>
      </c>
    </row>
    <row r="4080" spans="1:5" x14ac:dyDescent="0.2">
      <c r="A4080" t="s">
        <v>12215</v>
      </c>
      <c r="B4080" t="s">
        <v>12216</v>
      </c>
      <c r="C4080" t="s">
        <v>12216</v>
      </c>
      <c r="D4080" t="str">
        <f>HYPERLINK("https://zfin.org/ZDB-GENE-040718-35")</f>
        <v>https://zfin.org/ZDB-GENE-040718-35</v>
      </c>
      <c r="E4080" t="s">
        <v>12217</v>
      </c>
    </row>
    <row r="4081" spans="1:5" x14ac:dyDescent="0.2">
      <c r="A4081" t="s">
        <v>12218</v>
      </c>
      <c r="B4081" t="s">
        <v>12219</v>
      </c>
      <c r="C4081" t="s">
        <v>12219</v>
      </c>
      <c r="D4081" t="str">
        <f>HYPERLINK("https://zfin.org/ZDB-GENE-080204-83")</f>
        <v>https://zfin.org/ZDB-GENE-080204-83</v>
      </c>
      <c r="E4081" t="s">
        <v>12220</v>
      </c>
    </row>
    <row r="4082" spans="1:5" x14ac:dyDescent="0.2">
      <c r="A4082" t="s">
        <v>12221</v>
      </c>
      <c r="B4082" t="s">
        <v>12222</v>
      </c>
      <c r="C4082" t="s">
        <v>12222</v>
      </c>
      <c r="D4082" t="str">
        <f>HYPERLINK("https://zfin.org/ZDB-GENE-131126-55")</f>
        <v>https://zfin.org/ZDB-GENE-131126-55</v>
      </c>
      <c r="E4082" t="s">
        <v>12223</v>
      </c>
    </row>
    <row r="4083" spans="1:5" x14ac:dyDescent="0.2">
      <c r="A4083" t="s">
        <v>12224</v>
      </c>
      <c r="B4083" t="s">
        <v>12225</v>
      </c>
      <c r="C4083" t="s">
        <v>12225</v>
      </c>
      <c r="D4083" t="str">
        <f>HYPERLINK("https://zfin.org/ZDB-GENE-040426-2220")</f>
        <v>https://zfin.org/ZDB-GENE-040426-2220</v>
      </c>
      <c r="E4083" t="s">
        <v>12226</v>
      </c>
    </row>
    <row r="4084" spans="1:5" x14ac:dyDescent="0.2">
      <c r="A4084" t="s">
        <v>12227</v>
      </c>
      <c r="B4084" t="s">
        <v>12228</v>
      </c>
      <c r="C4084" t="s">
        <v>12228</v>
      </c>
      <c r="D4084" t="str">
        <f>HYPERLINK("https://zfin.org/ZDB-GENE-040426-1575")</f>
        <v>https://zfin.org/ZDB-GENE-040426-1575</v>
      </c>
      <c r="E4084" t="s">
        <v>12229</v>
      </c>
    </row>
    <row r="4085" spans="1:5" x14ac:dyDescent="0.2">
      <c r="A4085" t="s">
        <v>12230</v>
      </c>
      <c r="B4085" t="s">
        <v>12231</v>
      </c>
      <c r="C4085" t="s">
        <v>12231</v>
      </c>
      <c r="D4085" t="str">
        <f>HYPERLINK("https://zfin.org/ZDB-GENE-050411-59")</f>
        <v>https://zfin.org/ZDB-GENE-050411-59</v>
      </c>
      <c r="E4085" t="s">
        <v>12232</v>
      </c>
    </row>
    <row r="4086" spans="1:5" x14ac:dyDescent="0.2">
      <c r="A4086" t="s">
        <v>12233</v>
      </c>
      <c r="B4086" t="s">
        <v>12234</v>
      </c>
      <c r="C4086" t="s">
        <v>12234</v>
      </c>
      <c r="D4086" t="str">
        <f>HYPERLINK("https://zfin.org/ZDB-GENE-040426-2931")</f>
        <v>https://zfin.org/ZDB-GENE-040426-2931</v>
      </c>
      <c r="E4086" t="s">
        <v>12235</v>
      </c>
    </row>
    <row r="4087" spans="1:5" x14ac:dyDescent="0.2">
      <c r="A4087" t="s">
        <v>12236</v>
      </c>
      <c r="B4087" t="s">
        <v>12237</v>
      </c>
      <c r="C4087" t="s">
        <v>12237</v>
      </c>
      <c r="D4087" t="str">
        <f>HYPERLINK("https://zfin.org/ZDB-GENE-131125-34")</f>
        <v>https://zfin.org/ZDB-GENE-131125-34</v>
      </c>
      <c r="E4087" t="s">
        <v>12238</v>
      </c>
    </row>
    <row r="4088" spans="1:5" x14ac:dyDescent="0.2">
      <c r="A4088" t="s">
        <v>12239</v>
      </c>
      <c r="B4088" t="s">
        <v>12240</v>
      </c>
      <c r="C4088" t="s">
        <v>12240</v>
      </c>
      <c r="D4088" t="str">
        <f>HYPERLINK("https://zfin.org/ZDB-GENE-050506-109")</f>
        <v>https://zfin.org/ZDB-GENE-050506-109</v>
      </c>
      <c r="E4088" t="s">
        <v>12241</v>
      </c>
    </row>
    <row r="4089" spans="1:5" x14ac:dyDescent="0.2">
      <c r="A4089" t="s">
        <v>12242</v>
      </c>
      <c r="B4089" t="s">
        <v>12243</v>
      </c>
      <c r="C4089" t="s">
        <v>12243</v>
      </c>
      <c r="D4089" t="str">
        <f>HYPERLINK("https://zfin.org/ZDB-GENE-110719-2")</f>
        <v>https://zfin.org/ZDB-GENE-110719-2</v>
      </c>
      <c r="E4089" t="s">
        <v>12244</v>
      </c>
    </row>
    <row r="4090" spans="1:5" x14ac:dyDescent="0.2">
      <c r="A4090" t="s">
        <v>12245</v>
      </c>
      <c r="B4090" t="s">
        <v>12246</v>
      </c>
      <c r="C4090" t="s">
        <v>12246</v>
      </c>
      <c r="D4090" t="str">
        <f>HYPERLINK("https://zfin.org/ZDB-GENE-050417-406")</f>
        <v>https://zfin.org/ZDB-GENE-050417-406</v>
      </c>
      <c r="E4090" t="s">
        <v>12247</v>
      </c>
    </row>
    <row r="4091" spans="1:5" x14ac:dyDescent="0.2">
      <c r="A4091" t="s">
        <v>12248</v>
      </c>
      <c r="B4091" t="s">
        <v>12249</v>
      </c>
      <c r="C4091" t="s">
        <v>12249</v>
      </c>
      <c r="D4091" t="str">
        <f>HYPERLINK("https://zfin.org/ZDB-GENE-041114-85")</f>
        <v>https://zfin.org/ZDB-GENE-041114-85</v>
      </c>
      <c r="E4091" t="s">
        <v>12250</v>
      </c>
    </row>
    <row r="4092" spans="1:5" x14ac:dyDescent="0.2">
      <c r="A4092" t="s">
        <v>12251</v>
      </c>
      <c r="B4092" t="s">
        <v>12252</v>
      </c>
      <c r="C4092" t="s">
        <v>12252</v>
      </c>
      <c r="D4092" t="str">
        <f>HYPERLINK("https://zfin.org/ZDB-GENE-050913-108")</f>
        <v>https://zfin.org/ZDB-GENE-050913-108</v>
      </c>
      <c r="E4092" t="s">
        <v>12253</v>
      </c>
    </row>
    <row r="4093" spans="1:5" x14ac:dyDescent="0.2">
      <c r="A4093" t="s">
        <v>12254</v>
      </c>
      <c r="B4093" t="s">
        <v>12255</v>
      </c>
      <c r="C4093" t="s">
        <v>12255</v>
      </c>
      <c r="D4093" t="str">
        <f>HYPERLINK("https://zfin.org/ZDB-GENE-070410-64")</f>
        <v>https://zfin.org/ZDB-GENE-070410-64</v>
      </c>
      <c r="E4093" t="s">
        <v>12256</v>
      </c>
    </row>
    <row r="4094" spans="1:5" x14ac:dyDescent="0.2">
      <c r="A4094" t="s">
        <v>12257</v>
      </c>
      <c r="B4094" t="s">
        <v>12258</v>
      </c>
      <c r="C4094" t="s">
        <v>12258</v>
      </c>
      <c r="D4094" t="str">
        <f>HYPERLINK("https://zfin.org/ZDB-GENE-011212-3")</f>
        <v>https://zfin.org/ZDB-GENE-011212-3</v>
      </c>
      <c r="E4094" t="s">
        <v>12259</v>
      </c>
    </row>
    <row r="4095" spans="1:5" x14ac:dyDescent="0.2">
      <c r="A4095" t="s">
        <v>12260</v>
      </c>
      <c r="B4095" t="s">
        <v>12261</v>
      </c>
      <c r="C4095" t="s">
        <v>12261</v>
      </c>
      <c r="D4095" t="str">
        <f>HYPERLINK("https://zfin.org/ZDB-GENE-081104-331")</f>
        <v>https://zfin.org/ZDB-GENE-081104-331</v>
      </c>
      <c r="E4095" t="s">
        <v>12262</v>
      </c>
    </row>
    <row r="4096" spans="1:5" x14ac:dyDescent="0.2">
      <c r="A4096" t="s">
        <v>12263</v>
      </c>
      <c r="B4096" t="s">
        <v>12264</v>
      </c>
      <c r="C4096" t="s">
        <v>12264</v>
      </c>
      <c r="D4096" t="str">
        <f>HYPERLINK("https://zfin.org/ZDB-GENE-041114-187")</f>
        <v>https://zfin.org/ZDB-GENE-041114-187</v>
      </c>
      <c r="E4096" t="s">
        <v>12265</v>
      </c>
    </row>
    <row r="4097" spans="1:5" x14ac:dyDescent="0.2">
      <c r="A4097" t="s">
        <v>12266</v>
      </c>
      <c r="B4097" t="s">
        <v>12267</v>
      </c>
      <c r="C4097" t="s">
        <v>12267</v>
      </c>
      <c r="D4097" t="str">
        <f>HYPERLINK("https://zfin.org/ZDB-GENE-050913-150")</f>
        <v>https://zfin.org/ZDB-GENE-050913-150</v>
      </c>
      <c r="E4097" t="s">
        <v>12268</v>
      </c>
    </row>
    <row r="4098" spans="1:5" x14ac:dyDescent="0.2">
      <c r="A4098" t="s">
        <v>12269</v>
      </c>
      <c r="B4098" t="s">
        <v>12270</v>
      </c>
      <c r="C4098" t="s">
        <v>12270</v>
      </c>
      <c r="D4098" t="str">
        <f>HYPERLINK("https://zfin.org/ZDB-GENE-050309-89")</f>
        <v>https://zfin.org/ZDB-GENE-050309-89</v>
      </c>
      <c r="E4098" t="s">
        <v>12271</v>
      </c>
    </row>
    <row r="4099" spans="1:5" x14ac:dyDescent="0.2">
      <c r="A4099" t="s">
        <v>12272</v>
      </c>
      <c r="B4099" t="s">
        <v>12273</v>
      </c>
      <c r="C4099" t="s">
        <v>12273</v>
      </c>
      <c r="D4099" t="str">
        <f>HYPERLINK("https://zfin.org/ZDB-GENE-041111-271")</f>
        <v>https://zfin.org/ZDB-GENE-041111-271</v>
      </c>
      <c r="E4099" t="s">
        <v>12274</v>
      </c>
    </row>
    <row r="4100" spans="1:5" x14ac:dyDescent="0.2">
      <c r="A4100" t="s">
        <v>12275</v>
      </c>
      <c r="B4100" t="s">
        <v>12276</v>
      </c>
      <c r="C4100" t="s">
        <v>12276</v>
      </c>
      <c r="D4100" t="str">
        <f>HYPERLINK("https://zfin.org/ZDB-GENE-030616-67")</f>
        <v>https://zfin.org/ZDB-GENE-030616-67</v>
      </c>
      <c r="E4100" t="s">
        <v>12277</v>
      </c>
    </row>
    <row r="4101" spans="1:5" x14ac:dyDescent="0.2">
      <c r="A4101" t="s">
        <v>12278</v>
      </c>
      <c r="B4101" t="s">
        <v>12279</v>
      </c>
      <c r="C4101" t="s">
        <v>12279</v>
      </c>
      <c r="D4101" t="str">
        <f>HYPERLINK("https://zfin.org/ZDB-GENE-030131-6067")</f>
        <v>https://zfin.org/ZDB-GENE-030131-6067</v>
      </c>
      <c r="E4101" t="s">
        <v>12280</v>
      </c>
    </row>
    <row r="4102" spans="1:5" x14ac:dyDescent="0.2">
      <c r="A4102" t="s">
        <v>12281</v>
      </c>
      <c r="B4102" t="s">
        <v>12282</v>
      </c>
      <c r="C4102" t="s">
        <v>12282</v>
      </c>
      <c r="D4102" t="str">
        <f>HYPERLINK("https://zfin.org/ZDB-GENE-130530-696")</f>
        <v>https://zfin.org/ZDB-GENE-130530-696</v>
      </c>
      <c r="E4102" t="s">
        <v>12283</v>
      </c>
    </row>
    <row r="4103" spans="1:5" x14ac:dyDescent="0.2">
      <c r="A4103" t="s">
        <v>12284</v>
      </c>
      <c r="B4103" t="s">
        <v>12285</v>
      </c>
      <c r="C4103" t="s">
        <v>12285</v>
      </c>
      <c r="D4103" t="str">
        <f>HYPERLINK("https://zfin.org/ZDB-GENE-040908-1")</f>
        <v>https://zfin.org/ZDB-GENE-040908-1</v>
      </c>
      <c r="E4103" t="s">
        <v>12286</v>
      </c>
    </row>
    <row r="4104" spans="1:5" x14ac:dyDescent="0.2">
      <c r="A4104" t="s">
        <v>12287</v>
      </c>
      <c r="B4104" t="s">
        <v>12288</v>
      </c>
      <c r="C4104" t="s">
        <v>12288</v>
      </c>
      <c r="D4104" t="str">
        <f>HYPERLINK("https://zfin.org/ZDB-GENE-030131-1902")</f>
        <v>https://zfin.org/ZDB-GENE-030131-1902</v>
      </c>
      <c r="E4104" t="s">
        <v>12289</v>
      </c>
    </row>
    <row r="4105" spans="1:5" x14ac:dyDescent="0.2">
      <c r="A4105" t="s">
        <v>12290</v>
      </c>
      <c r="B4105" t="s">
        <v>12291</v>
      </c>
      <c r="C4105" t="s">
        <v>12291</v>
      </c>
      <c r="D4105" t="str">
        <f>HYPERLINK("https://zfin.org/ZDB-GENE-030131-779")</f>
        <v>https://zfin.org/ZDB-GENE-030131-779</v>
      </c>
      <c r="E4105" t="s">
        <v>12292</v>
      </c>
    </row>
    <row r="4106" spans="1:5" x14ac:dyDescent="0.2">
      <c r="A4106" t="s">
        <v>12293</v>
      </c>
      <c r="B4106" t="s">
        <v>12294</v>
      </c>
      <c r="C4106" t="s">
        <v>12294</v>
      </c>
      <c r="D4106" t="str">
        <f>HYPERLINK("https://zfin.org/ZDB-GENE-060610-3")</f>
        <v>https://zfin.org/ZDB-GENE-060610-3</v>
      </c>
      <c r="E4106" t="s">
        <v>12295</v>
      </c>
    </row>
    <row r="4107" spans="1:5" x14ac:dyDescent="0.2">
      <c r="A4107" t="s">
        <v>12296</v>
      </c>
      <c r="B4107" t="s">
        <v>12297</v>
      </c>
      <c r="C4107" t="s">
        <v>12297</v>
      </c>
      <c r="D4107" t="str">
        <f>HYPERLINK("https://zfin.org/ZDB-GENE-980526-365")</f>
        <v>https://zfin.org/ZDB-GENE-980526-365</v>
      </c>
      <c r="E4107" t="s">
        <v>12298</v>
      </c>
    </row>
    <row r="4108" spans="1:5" x14ac:dyDescent="0.2">
      <c r="A4108" t="s">
        <v>12299</v>
      </c>
      <c r="B4108" t="s">
        <v>12300</v>
      </c>
      <c r="C4108" t="s">
        <v>12300</v>
      </c>
      <c r="D4108" t="str">
        <f>HYPERLINK("https://zfin.org/ZDB-GENE-040426-1599")</f>
        <v>https://zfin.org/ZDB-GENE-040426-1599</v>
      </c>
      <c r="E4108" t="s">
        <v>12301</v>
      </c>
    </row>
    <row r="4109" spans="1:5" x14ac:dyDescent="0.2">
      <c r="A4109" t="s">
        <v>12302</v>
      </c>
      <c r="B4109" t="s">
        <v>12303</v>
      </c>
      <c r="C4109" t="s">
        <v>12303</v>
      </c>
      <c r="D4109" t="str">
        <f>HYPERLINK("https://zfin.org/ZDB-GENE-040912-52")</f>
        <v>https://zfin.org/ZDB-GENE-040912-52</v>
      </c>
      <c r="E4109" t="s">
        <v>12304</v>
      </c>
    </row>
    <row r="4110" spans="1:5" x14ac:dyDescent="0.2">
      <c r="A4110" t="s">
        <v>12305</v>
      </c>
      <c r="B4110" t="s">
        <v>12306</v>
      </c>
      <c r="C4110" t="s">
        <v>12306</v>
      </c>
      <c r="D4110" t="str">
        <f>HYPERLINK("https://zfin.org/ZDB-GENE-061013-363")</f>
        <v>https://zfin.org/ZDB-GENE-061013-363</v>
      </c>
      <c r="E4110" t="s">
        <v>12307</v>
      </c>
    </row>
    <row r="4111" spans="1:5" x14ac:dyDescent="0.2">
      <c r="A4111" t="s">
        <v>12308</v>
      </c>
      <c r="B4111" t="s">
        <v>12309</v>
      </c>
      <c r="C4111" t="s">
        <v>12309</v>
      </c>
      <c r="D4111" t="str">
        <f>HYPERLINK("https://zfin.org/ZDB-GENE-070705-261")</f>
        <v>https://zfin.org/ZDB-GENE-070705-261</v>
      </c>
      <c r="E4111" t="s">
        <v>12310</v>
      </c>
    </row>
    <row r="4112" spans="1:5" x14ac:dyDescent="0.2">
      <c r="A4112" t="s">
        <v>12311</v>
      </c>
      <c r="B4112" t="s">
        <v>12312</v>
      </c>
      <c r="C4112" t="s">
        <v>12312</v>
      </c>
      <c r="D4112" t="str">
        <f>HYPERLINK("https://zfin.org/ZDB-GENE-080204-36")</f>
        <v>https://zfin.org/ZDB-GENE-080204-36</v>
      </c>
      <c r="E4112" t="s">
        <v>12313</v>
      </c>
    </row>
    <row r="4113" spans="1:5" x14ac:dyDescent="0.2">
      <c r="A4113" t="s">
        <v>12314</v>
      </c>
      <c r="B4113" t="s">
        <v>12315</v>
      </c>
      <c r="C4113" t="s">
        <v>12315</v>
      </c>
      <c r="D4113" t="str">
        <f>HYPERLINK("https://zfin.org/ZDB-GENE-060526-221")</f>
        <v>https://zfin.org/ZDB-GENE-060526-221</v>
      </c>
      <c r="E4113" t="s">
        <v>12316</v>
      </c>
    </row>
    <row r="4114" spans="1:5" x14ac:dyDescent="0.2">
      <c r="A4114" t="s">
        <v>12317</v>
      </c>
      <c r="B4114" t="s">
        <v>12318</v>
      </c>
      <c r="C4114" t="s">
        <v>12318</v>
      </c>
      <c r="D4114" t="str">
        <f>HYPERLINK("https://zfin.org/ZDB-GENE-040426-1582")</f>
        <v>https://zfin.org/ZDB-GENE-040426-1582</v>
      </c>
      <c r="E4114" t="s">
        <v>12319</v>
      </c>
    </row>
    <row r="4115" spans="1:5" x14ac:dyDescent="0.2">
      <c r="A4115" t="s">
        <v>12320</v>
      </c>
      <c r="B4115" t="s">
        <v>12321</v>
      </c>
      <c r="C4115" t="s">
        <v>12321</v>
      </c>
      <c r="D4115" t="str">
        <f>HYPERLINK("https://zfin.org/ZDB-GENE-120206-4")</f>
        <v>https://zfin.org/ZDB-GENE-120206-4</v>
      </c>
      <c r="E4115" t="s">
        <v>12322</v>
      </c>
    </row>
    <row r="4116" spans="1:5" x14ac:dyDescent="0.2">
      <c r="A4116" t="s">
        <v>12323</v>
      </c>
      <c r="B4116" t="s">
        <v>12324</v>
      </c>
      <c r="C4116" t="s">
        <v>12324</v>
      </c>
      <c r="D4116" t="str">
        <f>HYPERLINK("https://zfin.org/ZDB-GENE-090312-153")</f>
        <v>https://zfin.org/ZDB-GENE-090312-153</v>
      </c>
      <c r="E4116" t="s">
        <v>12325</v>
      </c>
    </row>
    <row r="4117" spans="1:5" x14ac:dyDescent="0.2">
      <c r="A4117" t="s">
        <v>12326</v>
      </c>
      <c r="B4117" t="s">
        <v>12327</v>
      </c>
      <c r="C4117" t="s">
        <v>12327</v>
      </c>
      <c r="D4117" t="str">
        <f>HYPERLINK("https://zfin.org/ZDB-GENE-030131-9028")</f>
        <v>https://zfin.org/ZDB-GENE-030131-9028</v>
      </c>
      <c r="E4117" t="s">
        <v>12328</v>
      </c>
    </row>
    <row r="4118" spans="1:5" x14ac:dyDescent="0.2">
      <c r="A4118" t="s">
        <v>12329</v>
      </c>
      <c r="B4118" t="s">
        <v>12330</v>
      </c>
      <c r="C4118" t="s">
        <v>12330</v>
      </c>
      <c r="D4118" t="str">
        <f>HYPERLINK("https://zfin.org/ZDB-GENE-050208-485")</f>
        <v>https://zfin.org/ZDB-GENE-050208-485</v>
      </c>
      <c r="E4118" t="s">
        <v>12331</v>
      </c>
    </row>
    <row r="4119" spans="1:5" x14ac:dyDescent="0.2">
      <c r="A4119" t="s">
        <v>12332</v>
      </c>
      <c r="B4119" t="s">
        <v>12333</v>
      </c>
      <c r="C4119" t="s">
        <v>12333</v>
      </c>
      <c r="D4119" t="str">
        <f>HYPERLINK("https://zfin.org/ZDB-GENE-060825-315")</f>
        <v>https://zfin.org/ZDB-GENE-060825-315</v>
      </c>
      <c r="E4119" t="s">
        <v>12334</v>
      </c>
    </row>
    <row r="4120" spans="1:5" x14ac:dyDescent="0.2">
      <c r="A4120" t="s">
        <v>12335</v>
      </c>
      <c r="B4120" t="s">
        <v>12336</v>
      </c>
      <c r="C4120" t="s">
        <v>12336</v>
      </c>
      <c r="D4120" t="str">
        <f>HYPERLINK("https://zfin.org/ZDB-GENE-091116-32")</f>
        <v>https://zfin.org/ZDB-GENE-091116-32</v>
      </c>
      <c r="E4120" t="s">
        <v>12337</v>
      </c>
    </row>
    <row r="4121" spans="1:5" x14ac:dyDescent="0.2">
      <c r="A4121" t="s">
        <v>12338</v>
      </c>
      <c r="B4121" t="s">
        <v>12339</v>
      </c>
      <c r="C4121" t="s">
        <v>12339</v>
      </c>
      <c r="D4121" t="str">
        <f>HYPERLINK("https://zfin.org/ZDB-GENE-070410-124")</f>
        <v>https://zfin.org/ZDB-GENE-070410-124</v>
      </c>
      <c r="E4121" t="s">
        <v>12340</v>
      </c>
    </row>
    <row r="4122" spans="1:5" x14ac:dyDescent="0.2">
      <c r="A4122" t="s">
        <v>12341</v>
      </c>
      <c r="B4122" t="s">
        <v>12342</v>
      </c>
      <c r="C4122" t="s">
        <v>12342</v>
      </c>
      <c r="D4122" t="str">
        <f>HYPERLINK("https://zfin.org/ZDB-GENE-030131-8713")</f>
        <v>https://zfin.org/ZDB-GENE-030131-8713</v>
      </c>
      <c r="E4122" t="s">
        <v>12343</v>
      </c>
    </row>
    <row r="4123" spans="1:5" x14ac:dyDescent="0.2">
      <c r="A4123" t="s">
        <v>12344</v>
      </c>
      <c r="B4123" t="s">
        <v>12345</v>
      </c>
      <c r="C4123" t="s">
        <v>12345</v>
      </c>
      <c r="D4123" t="str">
        <f>HYPERLINK("https://zfin.org/ZDB-GENE-030131-5161")</f>
        <v>https://zfin.org/ZDB-GENE-030131-5161</v>
      </c>
      <c r="E4123" t="s">
        <v>12346</v>
      </c>
    </row>
    <row r="4124" spans="1:5" x14ac:dyDescent="0.2">
      <c r="A4124" t="s">
        <v>12347</v>
      </c>
      <c r="B4124" t="s">
        <v>12348</v>
      </c>
      <c r="C4124" t="s">
        <v>12348</v>
      </c>
      <c r="D4124" t="str">
        <f>HYPERLINK("https://zfin.org/ZDB-GENE-041010-88")</f>
        <v>https://zfin.org/ZDB-GENE-041010-88</v>
      </c>
      <c r="E4124" t="s">
        <v>12349</v>
      </c>
    </row>
    <row r="4125" spans="1:5" x14ac:dyDescent="0.2">
      <c r="A4125" t="s">
        <v>12350</v>
      </c>
      <c r="B4125" t="s">
        <v>12351</v>
      </c>
      <c r="C4125" t="s">
        <v>12351</v>
      </c>
      <c r="D4125" t="str">
        <f>HYPERLINK("https://zfin.org/ZDB-GENE-040426-950")</f>
        <v>https://zfin.org/ZDB-GENE-040426-950</v>
      </c>
      <c r="E4125" t="s">
        <v>12352</v>
      </c>
    </row>
    <row r="4126" spans="1:5" x14ac:dyDescent="0.2">
      <c r="A4126" t="s">
        <v>12353</v>
      </c>
      <c r="B4126" t="s">
        <v>12354</v>
      </c>
      <c r="C4126" t="s">
        <v>12354</v>
      </c>
      <c r="D4126" t="str">
        <f>HYPERLINK("https://zfin.org/ZDB-GENE-050208-583")</f>
        <v>https://zfin.org/ZDB-GENE-050208-583</v>
      </c>
      <c r="E4126" t="s">
        <v>12355</v>
      </c>
    </row>
    <row r="4127" spans="1:5" x14ac:dyDescent="0.2">
      <c r="A4127" t="s">
        <v>12356</v>
      </c>
      <c r="B4127" t="s">
        <v>12357</v>
      </c>
      <c r="C4127" t="s">
        <v>12357</v>
      </c>
      <c r="D4127" t="str">
        <f>HYPERLINK("https://zfin.org/ZDB-GENE-040912-84")</f>
        <v>https://zfin.org/ZDB-GENE-040912-84</v>
      </c>
      <c r="E4127" t="s">
        <v>12358</v>
      </c>
    </row>
    <row r="4128" spans="1:5" x14ac:dyDescent="0.2">
      <c r="A4128" t="s">
        <v>12359</v>
      </c>
      <c r="B4128" t="s">
        <v>12360</v>
      </c>
      <c r="C4128" t="s">
        <v>12360</v>
      </c>
      <c r="D4128" t="str">
        <f>HYPERLINK("https://zfin.org/ZDB-GENE-030131-1725")</f>
        <v>https://zfin.org/ZDB-GENE-030131-1725</v>
      </c>
      <c r="E4128" t="s">
        <v>12361</v>
      </c>
    </row>
    <row r="4129" spans="1:5" x14ac:dyDescent="0.2">
      <c r="A4129" t="s">
        <v>12362</v>
      </c>
      <c r="B4129" t="s">
        <v>12363</v>
      </c>
      <c r="C4129" t="s">
        <v>12363</v>
      </c>
      <c r="D4129" t="str">
        <f>HYPERLINK("https://zfin.org/ZDB-GENE-030131-4487")</f>
        <v>https://zfin.org/ZDB-GENE-030131-4487</v>
      </c>
      <c r="E4129" t="s">
        <v>12364</v>
      </c>
    </row>
    <row r="4130" spans="1:5" x14ac:dyDescent="0.2">
      <c r="A4130" t="s">
        <v>12365</v>
      </c>
      <c r="B4130" t="s">
        <v>12366</v>
      </c>
      <c r="C4130" t="s">
        <v>12366</v>
      </c>
      <c r="D4130" t="str">
        <f>HYPERLINK("https://zfin.org/ZDB-GENE-040426-1212")</f>
        <v>https://zfin.org/ZDB-GENE-040426-1212</v>
      </c>
      <c r="E4130" t="s">
        <v>12367</v>
      </c>
    </row>
    <row r="4131" spans="1:5" x14ac:dyDescent="0.2">
      <c r="A4131" t="s">
        <v>12368</v>
      </c>
      <c r="B4131" t="s">
        <v>12369</v>
      </c>
      <c r="C4131" t="s">
        <v>12369</v>
      </c>
      <c r="D4131" t="str">
        <f>HYPERLINK("https://zfin.org/ZDB-GENE-030131-9824")</f>
        <v>https://zfin.org/ZDB-GENE-030131-9824</v>
      </c>
      <c r="E4131" t="s">
        <v>12370</v>
      </c>
    </row>
    <row r="4132" spans="1:5" x14ac:dyDescent="0.2">
      <c r="A4132" t="s">
        <v>12371</v>
      </c>
      <c r="B4132" t="s">
        <v>12372</v>
      </c>
      <c r="C4132" t="s">
        <v>12372</v>
      </c>
      <c r="D4132" t="str">
        <f>HYPERLINK("https://zfin.org/ZDB-GENE-080225-27")</f>
        <v>https://zfin.org/ZDB-GENE-080225-27</v>
      </c>
      <c r="E4132" t="s">
        <v>12373</v>
      </c>
    </row>
    <row r="4133" spans="1:5" x14ac:dyDescent="0.2">
      <c r="A4133" t="s">
        <v>12374</v>
      </c>
      <c r="B4133" t="s">
        <v>12375</v>
      </c>
      <c r="C4133" t="s">
        <v>12375</v>
      </c>
      <c r="D4133" t="str">
        <f>HYPERLINK("https://zfin.org/ZDB-GENE-030131-15")</f>
        <v>https://zfin.org/ZDB-GENE-030131-15</v>
      </c>
      <c r="E4133" t="s">
        <v>12376</v>
      </c>
    </row>
    <row r="4134" spans="1:5" x14ac:dyDescent="0.2">
      <c r="A4134" t="s">
        <v>12377</v>
      </c>
      <c r="B4134" t="s">
        <v>12378</v>
      </c>
      <c r="C4134" t="s">
        <v>12378</v>
      </c>
      <c r="D4134" t="str">
        <f>HYPERLINK("https://zfin.org/ZDB-GENE-060503-604")</f>
        <v>https://zfin.org/ZDB-GENE-060503-604</v>
      </c>
      <c r="E4134" t="s">
        <v>12379</v>
      </c>
    </row>
    <row r="4135" spans="1:5" x14ac:dyDescent="0.2">
      <c r="A4135" t="s">
        <v>12380</v>
      </c>
      <c r="B4135" t="s">
        <v>12381</v>
      </c>
      <c r="C4135" t="s">
        <v>12381</v>
      </c>
      <c r="D4135" t="str">
        <f>HYPERLINK("https://zfin.org/ZDB-GENE-030131-928")</f>
        <v>https://zfin.org/ZDB-GENE-030131-928</v>
      </c>
      <c r="E4135" t="s">
        <v>12382</v>
      </c>
    </row>
    <row r="4136" spans="1:5" x14ac:dyDescent="0.2">
      <c r="A4136" t="s">
        <v>12383</v>
      </c>
      <c r="B4136" t="s">
        <v>12384</v>
      </c>
      <c r="C4136" t="s">
        <v>12384</v>
      </c>
      <c r="D4136" t="str">
        <f>HYPERLINK("https://zfin.org/ZDB-GENE-050327-6")</f>
        <v>https://zfin.org/ZDB-GENE-050327-6</v>
      </c>
      <c r="E4136" t="s">
        <v>12385</v>
      </c>
    </row>
    <row r="4137" spans="1:5" x14ac:dyDescent="0.2">
      <c r="A4137" t="s">
        <v>12386</v>
      </c>
      <c r="B4137" t="s">
        <v>12387</v>
      </c>
      <c r="C4137" t="s">
        <v>12387</v>
      </c>
      <c r="D4137" t="str">
        <f>HYPERLINK("https://zfin.org/ZDB-GENE-040426-743")</f>
        <v>https://zfin.org/ZDB-GENE-040426-743</v>
      </c>
      <c r="E4137" t="s">
        <v>12388</v>
      </c>
    </row>
    <row r="4138" spans="1:5" x14ac:dyDescent="0.2">
      <c r="A4138" t="s">
        <v>12389</v>
      </c>
      <c r="B4138" t="s">
        <v>12390</v>
      </c>
      <c r="C4138" t="s">
        <v>12390</v>
      </c>
      <c r="D4138" t="str">
        <f>HYPERLINK("https://zfin.org/ZDB-GENE-061207-18")</f>
        <v>https://zfin.org/ZDB-GENE-061207-18</v>
      </c>
      <c r="E4138" t="s">
        <v>12391</v>
      </c>
    </row>
    <row r="4139" spans="1:5" x14ac:dyDescent="0.2">
      <c r="A4139" t="s">
        <v>12392</v>
      </c>
      <c r="B4139" t="s">
        <v>12393</v>
      </c>
      <c r="C4139" t="s">
        <v>12393</v>
      </c>
      <c r="D4139" t="str">
        <f>HYPERLINK("https://zfin.org/ZDB-GENE-990415-215")</f>
        <v>https://zfin.org/ZDB-GENE-990415-215</v>
      </c>
      <c r="E4139" t="s">
        <v>12394</v>
      </c>
    </row>
    <row r="4140" spans="1:5" x14ac:dyDescent="0.2">
      <c r="A4140" t="s">
        <v>12395</v>
      </c>
      <c r="B4140" t="s">
        <v>12396</v>
      </c>
      <c r="C4140" t="s">
        <v>12396</v>
      </c>
      <c r="D4140" t="str">
        <f>HYPERLINK("https://zfin.org/ZDB-GENE-031002-10")</f>
        <v>https://zfin.org/ZDB-GENE-031002-10</v>
      </c>
      <c r="E4140" t="s">
        <v>12397</v>
      </c>
    </row>
    <row r="4141" spans="1:5" x14ac:dyDescent="0.2">
      <c r="A4141" t="s">
        <v>12398</v>
      </c>
      <c r="B4141" t="s">
        <v>12399</v>
      </c>
      <c r="C4141" t="s">
        <v>12399</v>
      </c>
      <c r="D4141" t="str">
        <f>HYPERLINK("https://zfin.org/ZDB-GENE-030131-82")</f>
        <v>https://zfin.org/ZDB-GENE-030131-82</v>
      </c>
      <c r="E4141" t="s">
        <v>12400</v>
      </c>
    </row>
    <row r="4142" spans="1:5" x14ac:dyDescent="0.2">
      <c r="A4142" t="s">
        <v>12401</v>
      </c>
      <c r="B4142" t="s">
        <v>12402</v>
      </c>
      <c r="C4142" t="s">
        <v>12402</v>
      </c>
      <c r="D4142" t="str">
        <f>HYPERLINK("https://zfin.org/ZDB-GENE-030131-475")</f>
        <v>https://zfin.org/ZDB-GENE-030131-475</v>
      </c>
      <c r="E4142" t="s">
        <v>12403</v>
      </c>
    </row>
    <row r="4143" spans="1:5" x14ac:dyDescent="0.2">
      <c r="A4143" t="s">
        <v>12404</v>
      </c>
      <c r="B4143" t="s">
        <v>12405</v>
      </c>
      <c r="C4143" t="s">
        <v>12405</v>
      </c>
      <c r="D4143" t="str">
        <f>HYPERLINK("https://zfin.org/ZDB-GENE-050601-1")</f>
        <v>https://zfin.org/ZDB-GENE-050601-1</v>
      </c>
      <c r="E4143" t="s">
        <v>12406</v>
      </c>
    </row>
    <row r="4144" spans="1:5" x14ac:dyDescent="0.2">
      <c r="A4144" t="s">
        <v>12407</v>
      </c>
      <c r="B4144" t="s">
        <v>12408</v>
      </c>
      <c r="C4144" t="s">
        <v>12408</v>
      </c>
      <c r="D4144" t="str">
        <f>HYPERLINK("https://zfin.org/ZDB-GENE-020326-1")</f>
        <v>https://zfin.org/ZDB-GENE-020326-1</v>
      </c>
      <c r="E4144" t="s">
        <v>12409</v>
      </c>
    </row>
    <row r="4145" spans="1:5" x14ac:dyDescent="0.2">
      <c r="A4145" t="s">
        <v>12410</v>
      </c>
      <c r="B4145" t="s">
        <v>12411</v>
      </c>
      <c r="C4145" t="s">
        <v>12411</v>
      </c>
      <c r="D4145" t="str">
        <f>HYPERLINK("https://zfin.org/ZDB-GENE-030616-438")</f>
        <v>https://zfin.org/ZDB-GENE-030616-438</v>
      </c>
      <c r="E4145" t="s">
        <v>12412</v>
      </c>
    </row>
    <row r="4146" spans="1:5" x14ac:dyDescent="0.2">
      <c r="A4146" t="s">
        <v>12413</v>
      </c>
      <c r="B4146" t="s">
        <v>12414</v>
      </c>
      <c r="C4146" t="s">
        <v>12414</v>
      </c>
      <c r="D4146" t="str">
        <f>HYPERLINK("https://zfin.org/ZDB-GENE-090427-2")</f>
        <v>https://zfin.org/ZDB-GENE-090427-2</v>
      </c>
      <c r="E4146" t="s">
        <v>12415</v>
      </c>
    </row>
    <row r="4147" spans="1:5" x14ac:dyDescent="0.2">
      <c r="A4147" t="s">
        <v>12416</v>
      </c>
      <c r="B4147" t="s">
        <v>12417</v>
      </c>
      <c r="C4147" t="s">
        <v>12417</v>
      </c>
      <c r="D4147" t="str">
        <f>HYPERLINK("https://zfin.org/ZDB-GENE-040426-1683")</f>
        <v>https://zfin.org/ZDB-GENE-040426-1683</v>
      </c>
      <c r="E4147" t="s">
        <v>12418</v>
      </c>
    </row>
    <row r="4148" spans="1:5" x14ac:dyDescent="0.2">
      <c r="A4148" t="s">
        <v>12419</v>
      </c>
      <c r="B4148" t="s">
        <v>12420</v>
      </c>
      <c r="C4148" t="s">
        <v>12420</v>
      </c>
      <c r="D4148" t="str">
        <f>HYPERLINK("https://zfin.org/ZDB-GENE-040426-2454")</f>
        <v>https://zfin.org/ZDB-GENE-040426-2454</v>
      </c>
      <c r="E4148" t="s">
        <v>12421</v>
      </c>
    </row>
    <row r="4149" spans="1:5" x14ac:dyDescent="0.2">
      <c r="A4149" t="s">
        <v>12422</v>
      </c>
      <c r="B4149" t="s">
        <v>12423</v>
      </c>
      <c r="C4149" t="s">
        <v>12423</v>
      </c>
      <c r="D4149" t="str">
        <f>HYPERLINK("https://zfin.org/ZDB-GENE-060825-263")</f>
        <v>https://zfin.org/ZDB-GENE-060825-263</v>
      </c>
      <c r="E4149" t="s">
        <v>12424</v>
      </c>
    </row>
    <row r="4150" spans="1:5" x14ac:dyDescent="0.2">
      <c r="A4150" t="s">
        <v>12425</v>
      </c>
      <c r="B4150" t="s">
        <v>12426</v>
      </c>
      <c r="C4150" t="s">
        <v>12426</v>
      </c>
      <c r="D4150" t="str">
        <f>HYPERLINK("https://zfin.org/ZDB-GENE-081105-28")</f>
        <v>https://zfin.org/ZDB-GENE-081105-28</v>
      </c>
      <c r="E4150" t="s">
        <v>12427</v>
      </c>
    </row>
    <row r="4151" spans="1:5" x14ac:dyDescent="0.2">
      <c r="A4151" t="s">
        <v>12428</v>
      </c>
      <c r="B4151" t="s">
        <v>12429</v>
      </c>
      <c r="C4151" t="s">
        <v>12429</v>
      </c>
      <c r="D4151" t="str">
        <f>HYPERLINK("https://zfin.org/ZDB-GENE-040426-1401")</f>
        <v>https://zfin.org/ZDB-GENE-040426-1401</v>
      </c>
      <c r="E4151" t="s">
        <v>12430</v>
      </c>
    </row>
    <row r="4152" spans="1:5" x14ac:dyDescent="0.2">
      <c r="A4152" t="s">
        <v>12431</v>
      </c>
      <c r="B4152" t="s">
        <v>12432</v>
      </c>
      <c r="C4152" t="s">
        <v>12432</v>
      </c>
      <c r="D4152" t="str">
        <f>HYPERLINK("https://zfin.org/ZDB-GENE-040912-113")</f>
        <v>https://zfin.org/ZDB-GENE-040912-113</v>
      </c>
      <c r="E4152" t="s">
        <v>12433</v>
      </c>
    </row>
    <row r="4153" spans="1:5" x14ac:dyDescent="0.2">
      <c r="A4153" t="s">
        <v>12434</v>
      </c>
      <c r="B4153" t="s">
        <v>12435</v>
      </c>
      <c r="C4153" t="s">
        <v>12435</v>
      </c>
      <c r="D4153" t="str">
        <f>HYPERLINK("https://zfin.org/ZDB-GENE-041014-367")</f>
        <v>https://zfin.org/ZDB-GENE-041014-367</v>
      </c>
      <c r="E4153" t="s">
        <v>12436</v>
      </c>
    </row>
    <row r="4154" spans="1:5" x14ac:dyDescent="0.2">
      <c r="A4154" t="s">
        <v>12437</v>
      </c>
      <c r="B4154" t="s">
        <v>12438</v>
      </c>
      <c r="C4154" t="s">
        <v>12438</v>
      </c>
      <c r="D4154" t="str">
        <f>HYPERLINK("https://zfin.org/ZDB-GENE-031114-4")</f>
        <v>https://zfin.org/ZDB-GENE-031114-4</v>
      </c>
      <c r="E4154" t="s">
        <v>12439</v>
      </c>
    </row>
    <row r="4155" spans="1:5" x14ac:dyDescent="0.2">
      <c r="A4155" t="s">
        <v>12440</v>
      </c>
      <c r="B4155" t="s">
        <v>12441</v>
      </c>
      <c r="C4155" t="s">
        <v>12441</v>
      </c>
      <c r="D4155" t="str">
        <f>HYPERLINK("https://zfin.org/ZDB-GENE-030131-9636")</f>
        <v>https://zfin.org/ZDB-GENE-030131-9636</v>
      </c>
      <c r="E4155" t="s">
        <v>12442</v>
      </c>
    </row>
    <row r="4156" spans="1:5" x14ac:dyDescent="0.2">
      <c r="A4156" t="s">
        <v>12443</v>
      </c>
      <c r="B4156" t="s">
        <v>12444</v>
      </c>
      <c r="C4156" t="s">
        <v>12444</v>
      </c>
      <c r="D4156" t="str">
        <f>HYPERLINK("https://zfin.org/ZDB-GENE-030131-1414")</f>
        <v>https://zfin.org/ZDB-GENE-030131-1414</v>
      </c>
      <c r="E4156" t="s">
        <v>12445</v>
      </c>
    </row>
    <row r="4157" spans="1:5" x14ac:dyDescent="0.2">
      <c r="A4157" t="s">
        <v>12446</v>
      </c>
      <c r="B4157" t="s">
        <v>12447</v>
      </c>
      <c r="C4157" t="s">
        <v>12447</v>
      </c>
      <c r="D4157" t="str">
        <f>HYPERLINK("https://zfin.org/ZDB-GENE-140106-224")</f>
        <v>https://zfin.org/ZDB-GENE-140106-224</v>
      </c>
      <c r="E4157" t="s">
        <v>12448</v>
      </c>
    </row>
    <row r="4158" spans="1:5" x14ac:dyDescent="0.2">
      <c r="A4158" t="s">
        <v>12449</v>
      </c>
      <c r="B4158" t="s">
        <v>12450</v>
      </c>
      <c r="C4158" t="s">
        <v>12450</v>
      </c>
      <c r="D4158" t="str">
        <f>HYPERLINK("https://zfin.org/ZDB-GENE-050306-51")</f>
        <v>https://zfin.org/ZDB-GENE-050306-51</v>
      </c>
      <c r="E4158" t="s">
        <v>12451</v>
      </c>
    </row>
    <row r="4159" spans="1:5" x14ac:dyDescent="0.2">
      <c r="A4159" t="s">
        <v>12452</v>
      </c>
      <c r="B4159" t="s">
        <v>12453</v>
      </c>
      <c r="C4159" t="s">
        <v>12453</v>
      </c>
      <c r="D4159" t="str">
        <f>HYPERLINK("https://zfin.org/ZDB-GENE-030131-1269")</f>
        <v>https://zfin.org/ZDB-GENE-030131-1269</v>
      </c>
      <c r="E4159" t="s">
        <v>12454</v>
      </c>
    </row>
    <row r="4160" spans="1:5" x14ac:dyDescent="0.2">
      <c r="A4160" t="s">
        <v>12455</v>
      </c>
      <c r="B4160" t="s">
        <v>12456</v>
      </c>
      <c r="C4160" t="s">
        <v>12456</v>
      </c>
      <c r="D4160" t="str">
        <f>HYPERLINK("https://zfin.org/ZDB-GENE-110721-1")</f>
        <v>https://zfin.org/ZDB-GENE-110721-1</v>
      </c>
      <c r="E4160" t="s">
        <v>12457</v>
      </c>
    </row>
    <row r="4161" spans="1:5" x14ac:dyDescent="0.2">
      <c r="A4161" t="s">
        <v>12458</v>
      </c>
      <c r="B4161" t="s">
        <v>12459</v>
      </c>
      <c r="C4161" t="s">
        <v>12459</v>
      </c>
      <c r="D4161" t="str">
        <f>HYPERLINK("https://zfin.org/ZDB-GENE-060616-312")</f>
        <v>https://zfin.org/ZDB-GENE-060616-312</v>
      </c>
      <c r="E4161" t="s">
        <v>12460</v>
      </c>
    </row>
    <row r="4162" spans="1:5" x14ac:dyDescent="0.2">
      <c r="A4162" t="s">
        <v>12461</v>
      </c>
      <c r="B4162" t="s">
        <v>12462</v>
      </c>
      <c r="C4162" t="s">
        <v>12462</v>
      </c>
      <c r="D4162" t="str">
        <f>HYPERLINK("https://zfin.org/ZDB-GENE-040325-1")</f>
        <v>https://zfin.org/ZDB-GENE-040325-1</v>
      </c>
      <c r="E4162" t="s">
        <v>12463</v>
      </c>
    </row>
    <row r="4163" spans="1:5" x14ac:dyDescent="0.2">
      <c r="A4163" t="s">
        <v>12464</v>
      </c>
      <c r="B4163" t="s">
        <v>12465</v>
      </c>
      <c r="C4163" t="s">
        <v>12465</v>
      </c>
      <c r="D4163" t="str">
        <f>HYPERLINK("https://zfin.org/ZDB-GENE-030131-2585")</f>
        <v>https://zfin.org/ZDB-GENE-030131-2585</v>
      </c>
      <c r="E4163" t="s">
        <v>12466</v>
      </c>
    </row>
    <row r="4164" spans="1:5" x14ac:dyDescent="0.2">
      <c r="A4164" t="s">
        <v>12467</v>
      </c>
      <c r="B4164" t="s">
        <v>12468</v>
      </c>
      <c r="C4164" t="s">
        <v>12468</v>
      </c>
      <c r="D4164" t="str">
        <f>HYPERLINK("https://zfin.org/ZDB-GENE-060929-512")</f>
        <v>https://zfin.org/ZDB-GENE-060929-512</v>
      </c>
      <c r="E4164" t="s">
        <v>12469</v>
      </c>
    </row>
    <row r="4165" spans="1:5" x14ac:dyDescent="0.2">
      <c r="A4165" t="s">
        <v>12470</v>
      </c>
      <c r="B4165" t="s">
        <v>12471</v>
      </c>
      <c r="C4165" t="s">
        <v>12471</v>
      </c>
      <c r="D4165" t="str">
        <f>HYPERLINK("https://zfin.org/ZDB-GENE-141216-6")</f>
        <v>https://zfin.org/ZDB-GENE-141216-6</v>
      </c>
      <c r="E4165" t="s">
        <v>12472</v>
      </c>
    </row>
    <row r="4166" spans="1:5" x14ac:dyDescent="0.2">
      <c r="A4166" t="s">
        <v>12473</v>
      </c>
      <c r="B4166" t="s">
        <v>12474</v>
      </c>
      <c r="C4166" t="s">
        <v>12474</v>
      </c>
      <c r="D4166" t="str">
        <f>HYPERLINK("https://zfin.org/ZDB-GENE-070112-2262")</f>
        <v>https://zfin.org/ZDB-GENE-070112-2262</v>
      </c>
      <c r="E4166" t="s">
        <v>12475</v>
      </c>
    </row>
    <row r="4167" spans="1:5" x14ac:dyDescent="0.2">
      <c r="A4167" t="s">
        <v>12476</v>
      </c>
      <c r="B4167" t="s">
        <v>12477</v>
      </c>
      <c r="C4167" t="s">
        <v>12477</v>
      </c>
      <c r="D4167" t="str">
        <f>HYPERLINK("https://zfin.org/ZDB-GENE-990714-16")</f>
        <v>https://zfin.org/ZDB-GENE-990714-16</v>
      </c>
      <c r="E4167" t="s">
        <v>12478</v>
      </c>
    </row>
    <row r="4168" spans="1:5" x14ac:dyDescent="0.2">
      <c r="A4168" t="s">
        <v>12479</v>
      </c>
      <c r="B4168" t="s">
        <v>12480</v>
      </c>
      <c r="C4168" t="s">
        <v>12480</v>
      </c>
      <c r="D4168" t="str">
        <f>HYPERLINK("https://zfin.org/ZDB-GENE-030131-6008")</f>
        <v>https://zfin.org/ZDB-GENE-030131-6008</v>
      </c>
      <c r="E4168" t="s">
        <v>12481</v>
      </c>
    </row>
    <row r="4169" spans="1:5" x14ac:dyDescent="0.2">
      <c r="A4169" t="s">
        <v>12482</v>
      </c>
      <c r="B4169" t="s">
        <v>12483</v>
      </c>
      <c r="C4169" t="s">
        <v>12483</v>
      </c>
      <c r="D4169" t="str">
        <f>HYPERLINK("https://zfin.org/ZDB-GENE-030616-612")</f>
        <v>https://zfin.org/ZDB-GENE-030616-612</v>
      </c>
      <c r="E4169" t="s">
        <v>12484</v>
      </c>
    </row>
    <row r="4170" spans="1:5" x14ac:dyDescent="0.2">
      <c r="A4170" t="s">
        <v>12485</v>
      </c>
      <c r="B4170" t="s">
        <v>12486</v>
      </c>
      <c r="C4170" t="s">
        <v>12486</v>
      </c>
      <c r="D4170" t="str">
        <f>HYPERLINK("https://zfin.org/ZDB-GENE-120709-108")</f>
        <v>https://zfin.org/ZDB-GENE-120709-108</v>
      </c>
      <c r="E4170" t="s">
        <v>12487</v>
      </c>
    </row>
    <row r="4171" spans="1:5" x14ac:dyDescent="0.2">
      <c r="A4171" t="s">
        <v>12488</v>
      </c>
      <c r="B4171" t="s">
        <v>12489</v>
      </c>
      <c r="C4171" t="s">
        <v>12489</v>
      </c>
      <c r="D4171" t="str">
        <f>HYPERLINK("https://zfin.org/ZDB-GENE-070912-10")</f>
        <v>https://zfin.org/ZDB-GENE-070912-10</v>
      </c>
      <c r="E4171" t="s">
        <v>12490</v>
      </c>
    </row>
    <row r="4172" spans="1:5" x14ac:dyDescent="0.2">
      <c r="A4172" t="s">
        <v>12491</v>
      </c>
      <c r="B4172" t="s">
        <v>12492</v>
      </c>
      <c r="C4172" t="s">
        <v>12492</v>
      </c>
      <c r="D4172" t="str">
        <f>HYPERLINK("https://zfin.org/ZDB-GENE-101007-2")</f>
        <v>https://zfin.org/ZDB-GENE-101007-2</v>
      </c>
      <c r="E4172" t="s">
        <v>12493</v>
      </c>
    </row>
    <row r="4173" spans="1:5" x14ac:dyDescent="0.2">
      <c r="A4173" t="s">
        <v>12494</v>
      </c>
      <c r="B4173" t="s">
        <v>12495</v>
      </c>
      <c r="C4173" t="s">
        <v>12495</v>
      </c>
      <c r="D4173" t="str">
        <f>HYPERLINK("https://zfin.org/ZDB-GENE-040426-1861")</f>
        <v>https://zfin.org/ZDB-GENE-040426-1861</v>
      </c>
      <c r="E4173" t="s">
        <v>12496</v>
      </c>
    </row>
    <row r="4174" spans="1:5" x14ac:dyDescent="0.2">
      <c r="A4174" t="s">
        <v>12497</v>
      </c>
      <c r="B4174" t="s">
        <v>12498</v>
      </c>
      <c r="C4174" t="s">
        <v>12498</v>
      </c>
      <c r="D4174" t="str">
        <f>HYPERLINK("https://zfin.org/ZDB-GENE-030131-1565")</f>
        <v>https://zfin.org/ZDB-GENE-030131-1565</v>
      </c>
      <c r="E4174" t="s">
        <v>12499</v>
      </c>
    </row>
    <row r="4175" spans="1:5" x14ac:dyDescent="0.2">
      <c r="A4175" t="s">
        <v>12500</v>
      </c>
      <c r="B4175" t="s">
        <v>12501</v>
      </c>
      <c r="C4175" t="s">
        <v>12501</v>
      </c>
      <c r="D4175" t="str">
        <f>HYPERLINK("https://zfin.org/ZDB-GENE-060526-261")</f>
        <v>https://zfin.org/ZDB-GENE-060526-261</v>
      </c>
      <c r="E4175" t="s">
        <v>12502</v>
      </c>
    </row>
    <row r="4176" spans="1:5" x14ac:dyDescent="0.2">
      <c r="A4176" t="s">
        <v>12503</v>
      </c>
      <c r="B4176" t="s">
        <v>12504</v>
      </c>
      <c r="C4176" t="s">
        <v>12504</v>
      </c>
      <c r="D4176" t="str">
        <f>HYPERLINK("https://zfin.org/ZDB-GENE-030131-2872")</f>
        <v>https://zfin.org/ZDB-GENE-030131-2872</v>
      </c>
      <c r="E4176" t="s">
        <v>12505</v>
      </c>
    </row>
    <row r="4177" spans="1:5" x14ac:dyDescent="0.2">
      <c r="A4177" t="s">
        <v>12506</v>
      </c>
      <c r="B4177" t="s">
        <v>12507</v>
      </c>
      <c r="C4177" t="s">
        <v>12507</v>
      </c>
      <c r="D4177" t="str">
        <f>HYPERLINK("https://zfin.org/ZDB-GENE-041008-216")</f>
        <v>https://zfin.org/ZDB-GENE-041008-216</v>
      </c>
      <c r="E4177" t="s">
        <v>12508</v>
      </c>
    </row>
    <row r="4178" spans="1:5" x14ac:dyDescent="0.2">
      <c r="A4178" t="s">
        <v>12509</v>
      </c>
      <c r="B4178" t="s">
        <v>12510</v>
      </c>
      <c r="C4178" t="s">
        <v>12510</v>
      </c>
      <c r="D4178" t="str">
        <f>HYPERLINK("https://zfin.org/ZDB-GENE-030131-4497")</f>
        <v>https://zfin.org/ZDB-GENE-030131-4497</v>
      </c>
      <c r="E4178" t="s">
        <v>12511</v>
      </c>
    </row>
    <row r="4179" spans="1:5" x14ac:dyDescent="0.2">
      <c r="A4179" t="s">
        <v>12512</v>
      </c>
      <c r="B4179" t="s">
        <v>12513</v>
      </c>
      <c r="C4179" t="s">
        <v>12513</v>
      </c>
      <c r="D4179" t="str">
        <f>HYPERLINK("https://zfin.org/ZDB-GENE-000210-21")</f>
        <v>https://zfin.org/ZDB-GENE-000210-21</v>
      </c>
      <c r="E4179" t="s">
        <v>12514</v>
      </c>
    </row>
    <row r="4180" spans="1:5" x14ac:dyDescent="0.2">
      <c r="A4180" t="s">
        <v>12515</v>
      </c>
      <c r="B4180" t="s">
        <v>12516</v>
      </c>
      <c r="C4180" t="s">
        <v>12516</v>
      </c>
      <c r="D4180" t="str">
        <f>HYPERLINK("https://zfin.org/ZDB-GENE-050208-263")</f>
        <v>https://zfin.org/ZDB-GENE-050208-263</v>
      </c>
      <c r="E4180" t="s">
        <v>12517</v>
      </c>
    </row>
    <row r="4181" spans="1:5" x14ac:dyDescent="0.2">
      <c r="A4181" t="s">
        <v>12518</v>
      </c>
      <c r="B4181" t="s">
        <v>12519</v>
      </c>
      <c r="C4181" t="s">
        <v>12519</v>
      </c>
      <c r="D4181" t="str">
        <f>HYPERLINK("https://zfin.org/ZDB-GENE-071004-1")</f>
        <v>https://zfin.org/ZDB-GENE-071004-1</v>
      </c>
      <c r="E4181" t="s">
        <v>12520</v>
      </c>
    </row>
    <row r="4182" spans="1:5" x14ac:dyDescent="0.2">
      <c r="A4182" t="s">
        <v>12521</v>
      </c>
      <c r="B4182" t="s">
        <v>12522</v>
      </c>
      <c r="C4182" t="s">
        <v>12522</v>
      </c>
      <c r="D4182" t="str">
        <f>HYPERLINK("https://zfin.org/ZDB-GENE-040930-7")</f>
        <v>https://zfin.org/ZDB-GENE-040930-7</v>
      </c>
      <c r="E4182" t="s">
        <v>12523</v>
      </c>
    </row>
    <row r="4183" spans="1:5" x14ac:dyDescent="0.2">
      <c r="A4183" t="s">
        <v>12524</v>
      </c>
      <c r="B4183" t="s">
        <v>12525</v>
      </c>
      <c r="C4183" t="s">
        <v>12525</v>
      </c>
      <c r="D4183" t="str">
        <f>HYPERLINK("https://zfin.org/ZDB-GENE-131127-286")</f>
        <v>https://zfin.org/ZDB-GENE-131127-286</v>
      </c>
      <c r="E4183" t="s">
        <v>12526</v>
      </c>
    </row>
    <row r="4184" spans="1:5" x14ac:dyDescent="0.2">
      <c r="A4184" t="s">
        <v>12527</v>
      </c>
      <c r="B4184" t="s">
        <v>12528</v>
      </c>
      <c r="C4184" t="s">
        <v>12528</v>
      </c>
      <c r="D4184" t="str">
        <f>HYPERLINK("https://zfin.org/ZDB-GENE-061218-1")</f>
        <v>https://zfin.org/ZDB-GENE-061218-1</v>
      </c>
      <c r="E4184" t="s">
        <v>12529</v>
      </c>
    </row>
    <row r="4185" spans="1:5" x14ac:dyDescent="0.2">
      <c r="A4185" t="s">
        <v>12530</v>
      </c>
      <c r="B4185" t="s">
        <v>12531</v>
      </c>
      <c r="C4185" t="s">
        <v>12531</v>
      </c>
      <c r="D4185" t="str">
        <f>HYPERLINK("https://zfin.org/ZDB-GENE-040912-157")</f>
        <v>https://zfin.org/ZDB-GENE-040912-157</v>
      </c>
      <c r="E4185" t="s">
        <v>12532</v>
      </c>
    </row>
    <row r="4186" spans="1:5" x14ac:dyDescent="0.2">
      <c r="A4186" t="s">
        <v>12533</v>
      </c>
      <c r="B4186" t="s">
        <v>12534</v>
      </c>
      <c r="C4186" t="s">
        <v>12534</v>
      </c>
      <c r="D4186" t="str">
        <f>HYPERLINK("https://zfin.org/ZDB-GENE-040718-66")</f>
        <v>https://zfin.org/ZDB-GENE-040718-66</v>
      </c>
      <c r="E4186" t="s">
        <v>12535</v>
      </c>
    </row>
    <row r="4187" spans="1:5" x14ac:dyDescent="0.2">
      <c r="A4187" t="s">
        <v>12536</v>
      </c>
      <c r="B4187" t="s">
        <v>12537</v>
      </c>
      <c r="C4187" t="s">
        <v>12537</v>
      </c>
      <c r="D4187" t="str">
        <f>HYPERLINK("https://zfin.org/ZDB-GENE-160114-14")</f>
        <v>https://zfin.org/ZDB-GENE-160114-14</v>
      </c>
      <c r="E4187" t="s">
        <v>12538</v>
      </c>
    </row>
    <row r="4188" spans="1:5" x14ac:dyDescent="0.2">
      <c r="A4188" t="s">
        <v>12539</v>
      </c>
      <c r="B4188" t="s">
        <v>12540</v>
      </c>
      <c r="C4188" t="s">
        <v>12540</v>
      </c>
      <c r="D4188" t="str">
        <f>HYPERLINK("https://zfin.org/ZDB-GENE-060929-368")</f>
        <v>https://zfin.org/ZDB-GENE-060929-368</v>
      </c>
      <c r="E4188" t="s">
        <v>12541</v>
      </c>
    </row>
    <row r="4189" spans="1:5" x14ac:dyDescent="0.2">
      <c r="A4189" t="s">
        <v>12542</v>
      </c>
      <c r="B4189" t="s">
        <v>12543</v>
      </c>
      <c r="C4189" t="s">
        <v>12543</v>
      </c>
      <c r="D4189" t="str">
        <f>HYPERLINK("https://zfin.org/ZDB-GENE-031107-1")</f>
        <v>https://zfin.org/ZDB-GENE-031107-1</v>
      </c>
      <c r="E4189" t="s">
        <v>12544</v>
      </c>
    </row>
    <row r="4190" spans="1:5" x14ac:dyDescent="0.2">
      <c r="A4190" t="s">
        <v>12545</v>
      </c>
      <c r="B4190" t="s">
        <v>12546</v>
      </c>
      <c r="C4190" t="s">
        <v>12546</v>
      </c>
      <c r="D4190" t="str">
        <f>HYPERLINK("https://zfin.org/ZDB-GENE-040426-1618")</f>
        <v>https://zfin.org/ZDB-GENE-040426-1618</v>
      </c>
      <c r="E4190" t="s">
        <v>12547</v>
      </c>
    </row>
    <row r="4191" spans="1:5" x14ac:dyDescent="0.2">
      <c r="A4191" t="s">
        <v>12548</v>
      </c>
      <c r="B4191" t="s">
        <v>12549</v>
      </c>
      <c r="C4191" t="s">
        <v>12549</v>
      </c>
      <c r="D4191" t="str">
        <f>HYPERLINK("https://zfin.org/ZDB-GENE-120928-3")</f>
        <v>https://zfin.org/ZDB-GENE-120928-3</v>
      </c>
      <c r="E4191" t="s">
        <v>12550</v>
      </c>
    </row>
    <row r="4192" spans="1:5" x14ac:dyDescent="0.2">
      <c r="A4192" t="s">
        <v>12551</v>
      </c>
      <c r="B4192" t="s">
        <v>12552</v>
      </c>
      <c r="C4192" t="s">
        <v>12552</v>
      </c>
      <c r="D4192" t="str">
        <f>HYPERLINK("https://zfin.org/ZDB-GENE-050320-56")</f>
        <v>https://zfin.org/ZDB-GENE-050320-56</v>
      </c>
      <c r="E4192" t="s">
        <v>12553</v>
      </c>
    </row>
    <row r="4193" spans="1:5" x14ac:dyDescent="0.2">
      <c r="A4193" t="s">
        <v>12554</v>
      </c>
      <c r="B4193" t="s">
        <v>12555</v>
      </c>
      <c r="C4193" t="s">
        <v>12555</v>
      </c>
      <c r="D4193" t="str">
        <f>HYPERLINK("https://zfin.org/ZDB-GENE-980526-486")</f>
        <v>https://zfin.org/ZDB-GENE-980526-486</v>
      </c>
      <c r="E4193" t="s">
        <v>12556</v>
      </c>
    </row>
    <row r="4194" spans="1:5" x14ac:dyDescent="0.2">
      <c r="A4194" t="s">
        <v>12557</v>
      </c>
      <c r="B4194" t="s">
        <v>12558</v>
      </c>
      <c r="C4194" t="s">
        <v>12558</v>
      </c>
      <c r="D4194" t="str">
        <f>HYPERLINK("https://zfin.org/ZDB-GENE-040718-93")</f>
        <v>https://zfin.org/ZDB-GENE-040718-93</v>
      </c>
      <c r="E4194" t="s">
        <v>12559</v>
      </c>
    </row>
    <row r="4195" spans="1:5" x14ac:dyDescent="0.2">
      <c r="A4195" t="s">
        <v>12560</v>
      </c>
      <c r="B4195" t="s">
        <v>12561</v>
      </c>
      <c r="C4195" t="s">
        <v>12561</v>
      </c>
      <c r="D4195" t="str">
        <f>HYPERLINK("https://zfin.org/ZDB-GENE-030131-2649")</f>
        <v>https://zfin.org/ZDB-GENE-030131-2649</v>
      </c>
      <c r="E4195" t="s">
        <v>12562</v>
      </c>
    </row>
    <row r="4196" spans="1:5" x14ac:dyDescent="0.2">
      <c r="A4196" t="s">
        <v>12563</v>
      </c>
      <c r="B4196" t="s">
        <v>12564</v>
      </c>
      <c r="C4196" t="s">
        <v>12564</v>
      </c>
      <c r="D4196" t="str">
        <f>HYPERLINK("https://zfin.org/ZDB-GENE-041114-109")</f>
        <v>https://zfin.org/ZDB-GENE-041114-109</v>
      </c>
      <c r="E4196" t="s">
        <v>12565</v>
      </c>
    </row>
    <row r="4197" spans="1:5" x14ac:dyDescent="0.2">
      <c r="A4197" t="s">
        <v>12566</v>
      </c>
      <c r="B4197" t="s">
        <v>12567</v>
      </c>
      <c r="C4197" t="s">
        <v>12567</v>
      </c>
      <c r="D4197" t="str">
        <f>HYPERLINK("https://zfin.org/ZDB-GENE-070720-11")</f>
        <v>https://zfin.org/ZDB-GENE-070720-11</v>
      </c>
      <c r="E4197" t="s">
        <v>12568</v>
      </c>
    </row>
    <row r="4198" spans="1:5" x14ac:dyDescent="0.2">
      <c r="A4198" t="s">
        <v>12569</v>
      </c>
      <c r="B4198" t="s">
        <v>12570</v>
      </c>
      <c r="C4198" t="s">
        <v>12570</v>
      </c>
      <c r="D4198" t="str">
        <f>HYPERLINK("https://zfin.org/ZDB-GENE-040718-350")</f>
        <v>https://zfin.org/ZDB-GENE-040718-350</v>
      </c>
      <c r="E4198" t="s">
        <v>12571</v>
      </c>
    </row>
    <row r="4199" spans="1:5" x14ac:dyDescent="0.2">
      <c r="A4199" t="s">
        <v>12572</v>
      </c>
      <c r="B4199" t="s">
        <v>12573</v>
      </c>
      <c r="C4199" t="s">
        <v>12573</v>
      </c>
      <c r="D4199" t="str">
        <f>HYPERLINK("https://zfin.org/ZDB-GENE-060526-279")</f>
        <v>https://zfin.org/ZDB-GENE-060526-279</v>
      </c>
      <c r="E4199" t="s">
        <v>12574</v>
      </c>
    </row>
    <row r="4200" spans="1:5" x14ac:dyDescent="0.2">
      <c r="A4200" t="s">
        <v>12575</v>
      </c>
      <c r="B4200" t="s">
        <v>12576</v>
      </c>
      <c r="C4200" t="s">
        <v>12576</v>
      </c>
      <c r="D4200" t="str">
        <f>HYPERLINK("https://zfin.org/ZDB-GENE-051113-132")</f>
        <v>https://zfin.org/ZDB-GENE-051113-132</v>
      </c>
      <c r="E4200" t="s">
        <v>12577</v>
      </c>
    </row>
    <row r="4201" spans="1:5" x14ac:dyDescent="0.2">
      <c r="A4201" t="s">
        <v>12578</v>
      </c>
      <c r="B4201" t="s">
        <v>12579</v>
      </c>
      <c r="C4201" t="s">
        <v>12579</v>
      </c>
      <c r="D4201" t="str">
        <f>HYPERLINK("https://zfin.org/ZDB-GENE-050417-148")</f>
        <v>https://zfin.org/ZDB-GENE-050417-148</v>
      </c>
      <c r="E4201" t="s">
        <v>12580</v>
      </c>
    </row>
    <row r="4202" spans="1:5" x14ac:dyDescent="0.2">
      <c r="A4202" t="s">
        <v>12581</v>
      </c>
      <c r="B4202" t="s">
        <v>12582</v>
      </c>
      <c r="C4202" t="s">
        <v>12582</v>
      </c>
      <c r="D4202" t="str">
        <f>HYPERLINK("https://zfin.org/ZDB-GENE-040718-336")</f>
        <v>https://zfin.org/ZDB-GENE-040718-336</v>
      </c>
      <c r="E4202" t="s">
        <v>12583</v>
      </c>
    </row>
    <row r="4203" spans="1:5" x14ac:dyDescent="0.2">
      <c r="A4203" t="s">
        <v>12584</v>
      </c>
      <c r="B4203" t="s">
        <v>12585</v>
      </c>
      <c r="C4203" t="s">
        <v>12585</v>
      </c>
      <c r="D4203" t="str">
        <f>HYPERLINK("https://zfin.org/ZDB-GENE-040426-1094")</f>
        <v>https://zfin.org/ZDB-GENE-040426-1094</v>
      </c>
      <c r="E4203" t="s">
        <v>12586</v>
      </c>
    </row>
    <row r="4204" spans="1:5" x14ac:dyDescent="0.2">
      <c r="A4204" t="s">
        <v>12587</v>
      </c>
      <c r="B4204" t="s">
        <v>12588</v>
      </c>
      <c r="C4204" t="s">
        <v>12588</v>
      </c>
      <c r="D4204" t="str">
        <f>HYPERLINK("https://zfin.org/ZDB-GENE-030131-215")</f>
        <v>https://zfin.org/ZDB-GENE-030131-215</v>
      </c>
      <c r="E4204" t="s">
        <v>12589</v>
      </c>
    </row>
    <row r="4205" spans="1:5" x14ac:dyDescent="0.2">
      <c r="A4205" t="s">
        <v>12590</v>
      </c>
      <c r="B4205" t="s">
        <v>12591</v>
      </c>
      <c r="C4205" t="s">
        <v>12591</v>
      </c>
      <c r="D4205" t="str">
        <f>HYPERLINK("https://zfin.org/ZDB-GENE-040715-5")</f>
        <v>https://zfin.org/ZDB-GENE-040715-5</v>
      </c>
      <c r="E4205" t="s">
        <v>12592</v>
      </c>
    </row>
    <row r="4206" spans="1:5" x14ac:dyDescent="0.2">
      <c r="A4206" t="s">
        <v>12593</v>
      </c>
      <c r="B4206" t="s">
        <v>12594</v>
      </c>
      <c r="C4206" t="s">
        <v>12594</v>
      </c>
      <c r="D4206" t="str">
        <f>HYPERLINK("https://zfin.org/ZDB-GENE-030131-6098")</f>
        <v>https://zfin.org/ZDB-GENE-030131-6098</v>
      </c>
      <c r="E4206" t="s">
        <v>12595</v>
      </c>
    </row>
    <row r="4207" spans="1:5" x14ac:dyDescent="0.2">
      <c r="A4207" t="s">
        <v>12596</v>
      </c>
      <c r="B4207" t="s">
        <v>12597</v>
      </c>
      <c r="C4207" t="s">
        <v>12597</v>
      </c>
      <c r="D4207" t="str">
        <f>HYPERLINK("https://zfin.org/ZDB-GENE-061214-4")</f>
        <v>https://zfin.org/ZDB-GENE-061214-4</v>
      </c>
      <c r="E4207" t="s">
        <v>12598</v>
      </c>
    </row>
    <row r="4208" spans="1:5" x14ac:dyDescent="0.2">
      <c r="A4208" t="s">
        <v>12599</v>
      </c>
      <c r="B4208" t="s">
        <v>12600</v>
      </c>
      <c r="C4208" t="s">
        <v>12600</v>
      </c>
      <c r="D4208" t="str">
        <f>HYPERLINK("https://zfin.org/ZDB-GENE-131120-140")</f>
        <v>https://zfin.org/ZDB-GENE-131120-140</v>
      </c>
      <c r="E4208" t="s">
        <v>12601</v>
      </c>
    </row>
    <row r="4209" spans="1:5" x14ac:dyDescent="0.2">
      <c r="A4209" t="s">
        <v>12602</v>
      </c>
      <c r="B4209" t="s">
        <v>12603</v>
      </c>
      <c r="C4209" t="s">
        <v>12603</v>
      </c>
      <c r="D4209" t="str">
        <f>HYPERLINK("https://zfin.org/ZDB-GENE-120215-214")</f>
        <v>https://zfin.org/ZDB-GENE-120215-214</v>
      </c>
      <c r="E4209" t="s">
        <v>12604</v>
      </c>
    </row>
    <row r="4210" spans="1:5" x14ac:dyDescent="0.2">
      <c r="A4210" t="s">
        <v>12605</v>
      </c>
      <c r="B4210" t="s">
        <v>12606</v>
      </c>
      <c r="C4210" t="s">
        <v>12606</v>
      </c>
      <c r="D4210" t="str">
        <f>HYPERLINK("https://zfin.org/ZDB-GENE-050522-453")</f>
        <v>https://zfin.org/ZDB-GENE-050522-453</v>
      </c>
      <c r="E4210" t="s">
        <v>12607</v>
      </c>
    </row>
    <row r="4211" spans="1:5" x14ac:dyDescent="0.2">
      <c r="A4211" t="s">
        <v>12608</v>
      </c>
      <c r="B4211" t="s">
        <v>12609</v>
      </c>
      <c r="C4211" t="s">
        <v>12609</v>
      </c>
      <c r="D4211" t="str">
        <f>HYPERLINK("https://zfin.org/ZDB-GENE-040426-1386")</f>
        <v>https://zfin.org/ZDB-GENE-040426-1386</v>
      </c>
      <c r="E4211" t="s">
        <v>12610</v>
      </c>
    </row>
    <row r="4212" spans="1:5" x14ac:dyDescent="0.2">
      <c r="A4212" t="s">
        <v>12611</v>
      </c>
      <c r="B4212" t="s">
        <v>12612</v>
      </c>
      <c r="C4212" t="s">
        <v>12612</v>
      </c>
      <c r="D4212" t="str">
        <f>HYPERLINK("https://zfin.org/ZDB-GENE-081104-208")</f>
        <v>https://zfin.org/ZDB-GENE-081104-208</v>
      </c>
      <c r="E4212" t="s">
        <v>12613</v>
      </c>
    </row>
    <row r="4213" spans="1:5" x14ac:dyDescent="0.2">
      <c r="A4213" t="s">
        <v>12614</v>
      </c>
      <c r="B4213" t="s">
        <v>12615</v>
      </c>
      <c r="C4213" t="s">
        <v>12615</v>
      </c>
      <c r="D4213" t="str">
        <f>HYPERLINK("https://zfin.org/ZDB-GENE-040516-12")</f>
        <v>https://zfin.org/ZDB-GENE-040516-12</v>
      </c>
      <c r="E4213" t="s">
        <v>12616</v>
      </c>
    </row>
    <row r="4214" spans="1:5" x14ac:dyDescent="0.2">
      <c r="A4214" t="s">
        <v>12617</v>
      </c>
      <c r="B4214" t="s">
        <v>12618</v>
      </c>
      <c r="C4214" t="s">
        <v>12618</v>
      </c>
      <c r="D4214" t="str">
        <f>HYPERLINK("https://zfin.org/ZDB-GENE-990415-98")</f>
        <v>https://zfin.org/ZDB-GENE-990415-98</v>
      </c>
      <c r="E4214" t="s">
        <v>12619</v>
      </c>
    </row>
    <row r="4215" spans="1:5" x14ac:dyDescent="0.2">
      <c r="A4215" t="s">
        <v>12620</v>
      </c>
      <c r="B4215" t="s">
        <v>12621</v>
      </c>
      <c r="C4215" t="s">
        <v>12621</v>
      </c>
      <c r="D4215" t="str">
        <f>HYPERLINK("https://zfin.org/ZDB-GENE-070112-1542")</f>
        <v>https://zfin.org/ZDB-GENE-070112-1542</v>
      </c>
      <c r="E4215" t="s">
        <v>12622</v>
      </c>
    </row>
    <row r="4216" spans="1:5" x14ac:dyDescent="0.2">
      <c r="A4216" t="s">
        <v>12623</v>
      </c>
      <c r="B4216" t="s">
        <v>12624</v>
      </c>
      <c r="C4216" t="s">
        <v>12624</v>
      </c>
      <c r="D4216" t="str">
        <f>HYPERLINK("https://zfin.org/ZDB-GENE-030131-5650")</f>
        <v>https://zfin.org/ZDB-GENE-030131-5650</v>
      </c>
      <c r="E4216" t="s">
        <v>12625</v>
      </c>
    </row>
    <row r="4217" spans="1:5" x14ac:dyDescent="0.2">
      <c r="A4217" t="s">
        <v>12626</v>
      </c>
      <c r="B4217" t="s">
        <v>12627</v>
      </c>
      <c r="C4217" t="s">
        <v>12627</v>
      </c>
      <c r="D4217" t="str">
        <f>HYPERLINK("https://zfin.org/ZDB-GENE-131121-54")</f>
        <v>https://zfin.org/ZDB-GENE-131121-54</v>
      </c>
      <c r="E4217" t="s">
        <v>12628</v>
      </c>
    </row>
    <row r="4218" spans="1:5" x14ac:dyDescent="0.2">
      <c r="A4218" t="s">
        <v>12629</v>
      </c>
      <c r="B4218" t="s">
        <v>12630</v>
      </c>
      <c r="C4218" t="s">
        <v>12630</v>
      </c>
      <c r="D4218" t="str">
        <f>HYPERLINK("https://zfin.org/ZDB-GENE-131127-445")</f>
        <v>https://zfin.org/ZDB-GENE-131127-445</v>
      </c>
      <c r="E4218" t="s">
        <v>12631</v>
      </c>
    </row>
    <row r="4219" spans="1:5" x14ac:dyDescent="0.2">
      <c r="A4219" t="s">
        <v>12632</v>
      </c>
      <c r="B4219" t="s">
        <v>12633</v>
      </c>
      <c r="C4219" t="s">
        <v>12633</v>
      </c>
      <c r="D4219" t="str">
        <f>HYPERLINK("https://zfin.org/ZDB-GENE-060616-122")</f>
        <v>https://zfin.org/ZDB-GENE-060616-122</v>
      </c>
      <c r="E4219" t="s">
        <v>12634</v>
      </c>
    </row>
    <row r="4220" spans="1:5" x14ac:dyDescent="0.2">
      <c r="A4220" t="s">
        <v>12635</v>
      </c>
      <c r="B4220" t="s">
        <v>12636</v>
      </c>
      <c r="C4220" t="s">
        <v>12636</v>
      </c>
      <c r="D4220" t="str">
        <f>HYPERLINK("https://zfin.org/ZDB-GENE-110913-21")</f>
        <v>https://zfin.org/ZDB-GENE-110913-21</v>
      </c>
      <c r="E4220" t="s">
        <v>12637</v>
      </c>
    </row>
    <row r="4221" spans="1:5" x14ac:dyDescent="0.2">
      <c r="A4221" t="s">
        <v>12638</v>
      </c>
      <c r="B4221" t="s">
        <v>12639</v>
      </c>
      <c r="C4221" t="s">
        <v>12639</v>
      </c>
      <c r="D4221" t="str">
        <f>HYPERLINK("https://zfin.org/ZDB-GENE-120214-23")</f>
        <v>https://zfin.org/ZDB-GENE-120214-23</v>
      </c>
      <c r="E4221" t="s">
        <v>12640</v>
      </c>
    </row>
    <row r="4222" spans="1:5" x14ac:dyDescent="0.2">
      <c r="A4222" t="s">
        <v>12641</v>
      </c>
      <c r="B4222" t="s">
        <v>12642</v>
      </c>
      <c r="C4222" t="s">
        <v>12642</v>
      </c>
      <c r="D4222" t="str">
        <f>HYPERLINK("https://zfin.org/ZDB-GENE-040927-29")</f>
        <v>https://zfin.org/ZDB-GENE-040927-29</v>
      </c>
      <c r="E4222" t="s">
        <v>12643</v>
      </c>
    </row>
    <row r="4223" spans="1:5" x14ac:dyDescent="0.2">
      <c r="A4223" t="s">
        <v>12644</v>
      </c>
      <c r="B4223" t="s">
        <v>12645</v>
      </c>
      <c r="C4223" t="s">
        <v>12645</v>
      </c>
      <c r="D4223" t="str">
        <f>HYPERLINK("https://zfin.org/ZDB-GENE-071004-64")</f>
        <v>https://zfin.org/ZDB-GENE-071004-64</v>
      </c>
      <c r="E4223" t="s">
        <v>12646</v>
      </c>
    </row>
    <row r="4224" spans="1:5" x14ac:dyDescent="0.2">
      <c r="A4224" t="s">
        <v>12647</v>
      </c>
      <c r="B4224" t="s">
        <v>12648</v>
      </c>
      <c r="C4224" t="s">
        <v>12648</v>
      </c>
      <c r="D4224" t="str">
        <f>HYPERLINK("https://zfin.org/ZDB-GENE-030131-2081")</f>
        <v>https://zfin.org/ZDB-GENE-030131-2081</v>
      </c>
      <c r="E4224" t="s">
        <v>12649</v>
      </c>
    </row>
    <row r="4225" spans="1:5" x14ac:dyDescent="0.2">
      <c r="A4225" t="s">
        <v>12650</v>
      </c>
      <c r="B4225" t="s">
        <v>12651</v>
      </c>
      <c r="C4225" t="s">
        <v>12651</v>
      </c>
      <c r="D4225" t="str">
        <f>HYPERLINK("https://zfin.org/ZDB-GENE-070410-57")</f>
        <v>https://zfin.org/ZDB-GENE-070410-57</v>
      </c>
      <c r="E4225" t="s">
        <v>12652</v>
      </c>
    </row>
    <row r="4226" spans="1:5" x14ac:dyDescent="0.2">
      <c r="A4226" t="s">
        <v>12653</v>
      </c>
      <c r="B4226" t="s">
        <v>12654</v>
      </c>
      <c r="C4226" t="s">
        <v>12654</v>
      </c>
      <c r="D4226" t="str">
        <f>HYPERLINK("https://zfin.org/ZDB-GENE-040426-758")</f>
        <v>https://zfin.org/ZDB-GENE-040426-758</v>
      </c>
      <c r="E4226" t="s">
        <v>12655</v>
      </c>
    </row>
    <row r="4227" spans="1:5" x14ac:dyDescent="0.2">
      <c r="A4227" t="s">
        <v>12656</v>
      </c>
      <c r="B4227" t="s">
        <v>12657</v>
      </c>
      <c r="C4227" t="s">
        <v>12657</v>
      </c>
      <c r="D4227" t="str">
        <f>HYPERLINK("https://zfin.org/ZDB-GENE-030131-5376")</f>
        <v>https://zfin.org/ZDB-GENE-030131-5376</v>
      </c>
      <c r="E4227" t="s">
        <v>12658</v>
      </c>
    </row>
    <row r="4228" spans="1:5" x14ac:dyDescent="0.2">
      <c r="A4228" t="s">
        <v>12659</v>
      </c>
      <c r="B4228" t="s">
        <v>12660</v>
      </c>
      <c r="C4228" t="s">
        <v>12660</v>
      </c>
      <c r="D4228" t="str">
        <f>HYPERLINK("https://zfin.org/ZDB-GENE-100211-1")</f>
        <v>https://zfin.org/ZDB-GENE-100211-1</v>
      </c>
      <c r="E4228" t="s">
        <v>12661</v>
      </c>
    </row>
    <row r="4229" spans="1:5" x14ac:dyDescent="0.2">
      <c r="A4229" t="s">
        <v>12662</v>
      </c>
      <c r="B4229" t="s">
        <v>12663</v>
      </c>
      <c r="C4229" t="s">
        <v>12663</v>
      </c>
      <c r="D4229" t="str">
        <f>HYPERLINK("https://zfin.org/ZDB-GENE-120703-37")</f>
        <v>https://zfin.org/ZDB-GENE-120703-37</v>
      </c>
      <c r="E4229" t="s">
        <v>12664</v>
      </c>
    </row>
    <row r="4230" spans="1:5" x14ac:dyDescent="0.2">
      <c r="A4230" t="s">
        <v>12665</v>
      </c>
      <c r="B4230" t="s">
        <v>12666</v>
      </c>
      <c r="C4230" t="s">
        <v>12666</v>
      </c>
      <c r="D4230" t="str">
        <f>HYPERLINK("https://zfin.org/ZDB-GENE-050506-148")</f>
        <v>https://zfin.org/ZDB-GENE-050506-148</v>
      </c>
      <c r="E4230" t="s">
        <v>12667</v>
      </c>
    </row>
    <row r="4231" spans="1:5" x14ac:dyDescent="0.2">
      <c r="A4231" t="s">
        <v>12668</v>
      </c>
      <c r="B4231" t="s">
        <v>12669</v>
      </c>
      <c r="C4231" t="s">
        <v>12669</v>
      </c>
      <c r="D4231" t="str">
        <f>HYPERLINK("https://zfin.org/ZDB-GENE-040625-112")</f>
        <v>https://zfin.org/ZDB-GENE-040625-112</v>
      </c>
      <c r="E4231" t="s">
        <v>12670</v>
      </c>
    </row>
    <row r="4232" spans="1:5" x14ac:dyDescent="0.2">
      <c r="A4232" t="s">
        <v>12671</v>
      </c>
      <c r="B4232" t="s">
        <v>12672</v>
      </c>
      <c r="C4232" t="s">
        <v>12672</v>
      </c>
      <c r="D4232" t="str">
        <f>HYPERLINK("https://zfin.org/ZDB-GENE-040426-1893")</f>
        <v>https://zfin.org/ZDB-GENE-040426-1893</v>
      </c>
      <c r="E4232" t="s">
        <v>12673</v>
      </c>
    </row>
    <row r="4233" spans="1:5" x14ac:dyDescent="0.2">
      <c r="A4233" t="s">
        <v>12674</v>
      </c>
      <c r="B4233" t="s">
        <v>12675</v>
      </c>
      <c r="C4233" t="s">
        <v>12675</v>
      </c>
      <c r="D4233" t="str">
        <f>HYPERLINK("https://zfin.org/ZDB-GENE-131121-459")</f>
        <v>https://zfin.org/ZDB-GENE-131121-459</v>
      </c>
      <c r="E4233" t="s">
        <v>12676</v>
      </c>
    </row>
    <row r="4234" spans="1:5" x14ac:dyDescent="0.2">
      <c r="A4234" t="s">
        <v>12677</v>
      </c>
      <c r="B4234" t="s">
        <v>12678</v>
      </c>
      <c r="C4234" t="s">
        <v>12678</v>
      </c>
      <c r="D4234" t="str">
        <f>HYPERLINK("https://zfin.org/ZDB-GENE-030131-7169")</f>
        <v>https://zfin.org/ZDB-GENE-030131-7169</v>
      </c>
      <c r="E4234" t="s">
        <v>12679</v>
      </c>
    </row>
    <row r="4235" spans="1:5" x14ac:dyDescent="0.2">
      <c r="A4235" t="s">
        <v>12680</v>
      </c>
      <c r="B4235" t="s">
        <v>12681</v>
      </c>
      <c r="C4235" t="s">
        <v>12681</v>
      </c>
      <c r="D4235" t="str">
        <f>HYPERLINK("https://zfin.org/ZDB-GENE-060929-520")</f>
        <v>https://zfin.org/ZDB-GENE-060929-520</v>
      </c>
      <c r="E4235" t="s">
        <v>12682</v>
      </c>
    </row>
    <row r="4236" spans="1:5" x14ac:dyDescent="0.2">
      <c r="A4236" t="s">
        <v>12683</v>
      </c>
      <c r="B4236" t="s">
        <v>12684</v>
      </c>
      <c r="C4236" t="s">
        <v>12684</v>
      </c>
      <c r="D4236" t="str">
        <f>HYPERLINK("https://zfin.org/ZDB-GENE-070912-555")</f>
        <v>https://zfin.org/ZDB-GENE-070912-555</v>
      </c>
      <c r="E4236" t="s">
        <v>12685</v>
      </c>
    </row>
    <row r="4237" spans="1:5" x14ac:dyDescent="0.2">
      <c r="A4237" t="s">
        <v>12686</v>
      </c>
      <c r="B4237" t="s">
        <v>12687</v>
      </c>
      <c r="C4237" t="s">
        <v>12687</v>
      </c>
      <c r="D4237" t="str">
        <f>HYPERLINK("https://zfin.org/ZDB-GENE-000328-4")</f>
        <v>https://zfin.org/ZDB-GENE-000328-4</v>
      </c>
      <c r="E4237" t="s">
        <v>12688</v>
      </c>
    </row>
    <row r="4238" spans="1:5" x14ac:dyDescent="0.2">
      <c r="A4238" t="s">
        <v>12689</v>
      </c>
      <c r="B4238" t="s">
        <v>12690</v>
      </c>
      <c r="C4238" t="s">
        <v>12690</v>
      </c>
      <c r="D4238" t="str">
        <f>HYPERLINK("https://zfin.org/ZDB-GENE-030131-6121")</f>
        <v>https://zfin.org/ZDB-GENE-030131-6121</v>
      </c>
      <c r="E4238" t="s">
        <v>12691</v>
      </c>
    </row>
    <row r="4239" spans="1:5" x14ac:dyDescent="0.2">
      <c r="A4239" t="s">
        <v>12692</v>
      </c>
      <c r="B4239" t="s">
        <v>12693</v>
      </c>
      <c r="C4239" t="s">
        <v>12693</v>
      </c>
      <c r="D4239" t="str">
        <f>HYPERLINK("https://zfin.org/ZDB-GENE-030131-5496")</f>
        <v>https://zfin.org/ZDB-GENE-030131-5496</v>
      </c>
      <c r="E4239" t="s">
        <v>12694</v>
      </c>
    </row>
    <row r="4240" spans="1:5" x14ac:dyDescent="0.2">
      <c r="A4240" t="s">
        <v>12695</v>
      </c>
      <c r="B4240" t="s">
        <v>12696</v>
      </c>
      <c r="C4240" t="s">
        <v>12696</v>
      </c>
      <c r="D4240" t="str">
        <f>HYPERLINK("https://zfin.org/ZDB-GENE-091116-62")</f>
        <v>https://zfin.org/ZDB-GENE-091116-62</v>
      </c>
      <c r="E4240" t="s">
        <v>12697</v>
      </c>
    </row>
    <row r="4241" spans="1:5" x14ac:dyDescent="0.2">
      <c r="A4241" t="s">
        <v>12698</v>
      </c>
      <c r="B4241" t="s">
        <v>12699</v>
      </c>
      <c r="C4241" t="s">
        <v>12699</v>
      </c>
      <c r="D4241" t="str">
        <f>HYPERLINK("https://zfin.org/ZDB-GENE-050221-3")</f>
        <v>https://zfin.org/ZDB-GENE-050221-3</v>
      </c>
      <c r="E4241" t="s">
        <v>12700</v>
      </c>
    </row>
    <row r="4242" spans="1:5" x14ac:dyDescent="0.2">
      <c r="A4242" t="s">
        <v>12701</v>
      </c>
      <c r="B4242" t="s">
        <v>12702</v>
      </c>
      <c r="C4242" t="s">
        <v>12702</v>
      </c>
      <c r="D4242" t="str">
        <f>HYPERLINK("https://zfin.org/ZDB-GENE-050506-113")</f>
        <v>https://zfin.org/ZDB-GENE-050506-113</v>
      </c>
      <c r="E4242" t="s">
        <v>12703</v>
      </c>
    </row>
    <row r="4243" spans="1:5" x14ac:dyDescent="0.2">
      <c r="A4243" t="s">
        <v>12704</v>
      </c>
      <c r="B4243" t="s">
        <v>12705</v>
      </c>
      <c r="C4243" t="s">
        <v>12705</v>
      </c>
      <c r="D4243" t="str">
        <f>HYPERLINK("https://zfin.org/ZDB-GENE-030131-2206")</f>
        <v>https://zfin.org/ZDB-GENE-030131-2206</v>
      </c>
      <c r="E4243" t="s">
        <v>12706</v>
      </c>
    </row>
    <row r="4244" spans="1:5" x14ac:dyDescent="0.2">
      <c r="A4244" t="s">
        <v>12707</v>
      </c>
      <c r="B4244" t="s">
        <v>12708</v>
      </c>
      <c r="C4244" t="s">
        <v>12708</v>
      </c>
      <c r="D4244" t="str">
        <f>HYPERLINK("https://zfin.org/ZDB-GENE-070209-238")</f>
        <v>https://zfin.org/ZDB-GENE-070209-238</v>
      </c>
      <c r="E4244" t="s">
        <v>12709</v>
      </c>
    </row>
    <row r="4245" spans="1:5" x14ac:dyDescent="0.2">
      <c r="A4245" t="s">
        <v>12710</v>
      </c>
      <c r="B4245" t="s">
        <v>12711</v>
      </c>
      <c r="C4245" t="s">
        <v>12711</v>
      </c>
      <c r="D4245" t="str">
        <f>HYPERLINK("https://zfin.org/ZDB-GENE-060526-121")</f>
        <v>https://zfin.org/ZDB-GENE-060526-121</v>
      </c>
      <c r="E4245" t="s">
        <v>12712</v>
      </c>
    </row>
    <row r="4246" spans="1:5" x14ac:dyDescent="0.2">
      <c r="A4246" t="s">
        <v>12713</v>
      </c>
      <c r="B4246" t="s">
        <v>12714</v>
      </c>
      <c r="C4246" t="s">
        <v>12714</v>
      </c>
      <c r="D4246" t="str">
        <f>HYPERLINK("https://zfin.org/ZDB-GENE-040718-486")</f>
        <v>https://zfin.org/ZDB-GENE-040718-486</v>
      </c>
      <c r="E4246" t="s">
        <v>12715</v>
      </c>
    </row>
    <row r="4247" spans="1:5" x14ac:dyDescent="0.2">
      <c r="A4247" t="s">
        <v>12716</v>
      </c>
      <c r="B4247" t="s">
        <v>12717</v>
      </c>
      <c r="C4247" t="s">
        <v>12717</v>
      </c>
      <c r="D4247" t="str">
        <f>HYPERLINK("https://zfin.org/ZDB-GENE-051120-33")</f>
        <v>https://zfin.org/ZDB-GENE-051120-33</v>
      </c>
      <c r="E4247" t="s">
        <v>12718</v>
      </c>
    </row>
    <row r="4248" spans="1:5" x14ac:dyDescent="0.2">
      <c r="A4248" t="s">
        <v>12719</v>
      </c>
      <c r="B4248" t="s">
        <v>12720</v>
      </c>
      <c r="C4248" t="s">
        <v>12720</v>
      </c>
      <c r="D4248" t="str">
        <f>HYPERLINK("https://zfin.org/ZDB-GENE-030131-5906")</f>
        <v>https://zfin.org/ZDB-GENE-030131-5906</v>
      </c>
      <c r="E4248" t="s">
        <v>12721</v>
      </c>
    </row>
    <row r="4249" spans="1:5" x14ac:dyDescent="0.2">
      <c r="A4249" t="s">
        <v>12722</v>
      </c>
      <c r="B4249" t="s">
        <v>12723</v>
      </c>
      <c r="C4249" t="s">
        <v>12723</v>
      </c>
      <c r="D4249" t="str">
        <f>HYPERLINK("https://zfin.org/ZDB-GENE-130424-2")</f>
        <v>https://zfin.org/ZDB-GENE-130424-2</v>
      </c>
      <c r="E4249" t="s">
        <v>12724</v>
      </c>
    </row>
    <row r="4250" spans="1:5" x14ac:dyDescent="0.2">
      <c r="A4250" t="s">
        <v>12725</v>
      </c>
      <c r="B4250" t="s">
        <v>12726</v>
      </c>
      <c r="C4250" t="s">
        <v>12726</v>
      </c>
      <c r="D4250" t="str">
        <f>HYPERLINK("https://zfin.org/ZDB-GENE-070313-1")</f>
        <v>https://zfin.org/ZDB-GENE-070313-1</v>
      </c>
      <c r="E4250" t="s">
        <v>12727</v>
      </c>
    </row>
    <row r="4251" spans="1:5" x14ac:dyDescent="0.2">
      <c r="A4251" t="s">
        <v>12728</v>
      </c>
      <c r="B4251" t="s">
        <v>12729</v>
      </c>
      <c r="C4251" t="s">
        <v>12729</v>
      </c>
      <c r="D4251" t="str">
        <f>HYPERLINK("https://zfin.org/ZDB-GENE-060503-710")</f>
        <v>https://zfin.org/ZDB-GENE-060503-710</v>
      </c>
      <c r="E4251" t="s">
        <v>12730</v>
      </c>
    </row>
    <row r="4252" spans="1:5" x14ac:dyDescent="0.2">
      <c r="A4252" t="s">
        <v>12731</v>
      </c>
      <c r="B4252" t="s">
        <v>12732</v>
      </c>
      <c r="C4252" t="s">
        <v>12732</v>
      </c>
      <c r="D4252" t="str">
        <f>HYPERLINK("https://zfin.org/ZDB-GENE-041111-75")</f>
        <v>https://zfin.org/ZDB-GENE-041111-75</v>
      </c>
      <c r="E4252" t="s">
        <v>12733</v>
      </c>
    </row>
    <row r="4253" spans="1:5" x14ac:dyDescent="0.2">
      <c r="A4253" t="s">
        <v>12734</v>
      </c>
      <c r="B4253" t="s">
        <v>12735</v>
      </c>
      <c r="C4253" t="s">
        <v>12735</v>
      </c>
      <c r="D4253" t="str">
        <f>HYPERLINK("https://zfin.org/ZDB-GENE-081112-2")</f>
        <v>https://zfin.org/ZDB-GENE-081112-2</v>
      </c>
      <c r="E4253" t="s">
        <v>12736</v>
      </c>
    </row>
    <row r="4254" spans="1:5" x14ac:dyDescent="0.2">
      <c r="A4254" t="s">
        <v>12737</v>
      </c>
      <c r="B4254" t="s">
        <v>12738</v>
      </c>
      <c r="C4254" t="s">
        <v>12738</v>
      </c>
      <c r="D4254" t="str">
        <f>HYPERLINK("https://zfin.org/ZDB-GENE-030131-9149")</f>
        <v>https://zfin.org/ZDB-GENE-030131-9149</v>
      </c>
      <c r="E4254" t="s">
        <v>12739</v>
      </c>
    </row>
    <row r="4255" spans="1:5" x14ac:dyDescent="0.2">
      <c r="A4255" t="s">
        <v>12740</v>
      </c>
      <c r="B4255" t="s">
        <v>12741</v>
      </c>
      <c r="C4255" t="s">
        <v>12741</v>
      </c>
      <c r="D4255" t="str">
        <f>HYPERLINK("https://zfin.org/ZDB-GENE-040704-7")</f>
        <v>https://zfin.org/ZDB-GENE-040704-7</v>
      </c>
      <c r="E4255" t="s">
        <v>12742</v>
      </c>
    </row>
    <row r="4256" spans="1:5" x14ac:dyDescent="0.2">
      <c r="A4256" t="s">
        <v>12743</v>
      </c>
      <c r="B4256" t="s">
        <v>12744</v>
      </c>
      <c r="C4256" t="s">
        <v>12744</v>
      </c>
      <c r="D4256" t="str">
        <f>HYPERLINK("https://zfin.org/ZDB-GENE-040625-30")</f>
        <v>https://zfin.org/ZDB-GENE-040625-30</v>
      </c>
      <c r="E4256" t="s">
        <v>12745</v>
      </c>
    </row>
    <row r="4257" spans="1:5" x14ac:dyDescent="0.2">
      <c r="A4257" t="s">
        <v>12746</v>
      </c>
      <c r="B4257" t="s">
        <v>12747</v>
      </c>
      <c r="C4257" t="s">
        <v>12747</v>
      </c>
      <c r="D4257" t="str">
        <f>HYPERLINK("https://zfin.org/ZDB-GENE-030131-2390")</f>
        <v>https://zfin.org/ZDB-GENE-030131-2390</v>
      </c>
      <c r="E4257" t="s">
        <v>12748</v>
      </c>
    </row>
    <row r="4258" spans="1:5" x14ac:dyDescent="0.2">
      <c r="A4258" t="s">
        <v>12749</v>
      </c>
      <c r="B4258" t="s">
        <v>12750</v>
      </c>
      <c r="C4258" t="s">
        <v>12750</v>
      </c>
      <c r="D4258" t="str">
        <f>HYPERLINK("https://zfin.org/ZDB-GENE-030131-1704")</f>
        <v>https://zfin.org/ZDB-GENE-030131-1704</v>
      </c>
      <c r="E4258" t="s">
        <v>12751</v>
      </c>
    </row>
    <row r="4259" spans="1:5" x14ac:dyDescent="0.2">
      <c r="A4259" t="s">
        <v>12752</v>
      </c>
      <c r="B4259" t="s">
        <v>12753</v>
      </c>
      <c r="C4259" t="s">
        <v>12753</v>
      </c>
      <c r="D4259" t="str">
        <f>HYPERLINK("https://zfin.org/ZDB-GENE-050208-261")</f>
        <v>https://zfin.org/ZDB-GENE-050208-261</v>
      </c>
      <c r="E4259" t="s">
        <v>12754</v>
      </c>
    </row>
    <row r="4260" spans="1:5" x14ac:dyDescent="0.2">
      <c r="A4260" t="s">
        <v>12755</v>
      </c>
      <c r="B4260" t="s">
        <v>12756</v>
      </c>
      <c r="C4260" t="s">
        <v>12756</v>
      </c>
      <c r="D4260" t="str">
        <f>HYPERLINK("https://zfin.org/ZDB-GENE-050420-390")</f>
        <v>https://zfin.org/ZDB-GENE-050420-390</v>
      </c>
      <c r="E4260" t="s">
        <v>12757</v>
      </c>
    </row>
    <row r="4261" spans="1:5" x14ac:dyDescent="0.2">
      <c r="A4261" t="s">
        <v>12758</v>
      </c>
      <c r="B4261" t="s">
        <v>12759</v>
      </c>
      <c r="C4261" t="s">
        <v>12759</v>
      </c>
      <c r="D4261" t="str">
        <f>HYPERLINK("https://zfin.org/ZDB-GENE-060312-33")</f>
        <v>https://zfin.org/ZDB-GENE-060312-33</v>
      </c>
      <c r="E4261" t="s">
        <v>12760</v>
      </c>
    </row>
    <row r="4262" spans="1:5" x14ac:dyDescent="0.2">
      <c r="A4262" t="s">
        <v>12761</v>
      </c>
      <c r="B4262" t="s">
        <v>12762</v>
      </c>
      <c r="C4262" t="s">
        <v>12762</v>
      </c>
      <c r="D4262" t="str">
        <f>HYPERLINK("https://zfin.org/ZDB-GENE-040718-293")</f>
        <v>https://zfin.org/ZDB-GENE-040718-293</v>
      </c>
      <c r="E4262" t="s">
        <v>12763</v>
      </c>
    </row>
    <row r="4263" spans="1:5" x14ac:dyDescent="0.2">
      <c r="A4263" t="s">
        <v>12764</v>
      </c>
      <c r="B4263" t="s">
        <v>12765</v>
      </c>
      <c r="C4263" t="s">
        <v>12765</v>
      </c>
      <c r="D4263" t="str">
        <f>HYPERLINK("https://zfin.org/ZDB-GENE-091204-440")</f>
        <v>https://zfin.org/ZDB-GENE-091204-440</v>
      </c>
      <c r="E4263" t="s">
        <v>12766</v>
      </c>
    </row>
    <row r="4264" spans="1:5" x14ac:dyDescent="0.2">
      <c r="A4264" t="s">
        <v>12767</v>
      </c>
      <c r="B4264" t="s">
        <v>12768</v>
      </c>
      <c r="C4264" t="s">
        <v>12768</v>
      </c>
      <c r="D4264" t="str">
        <f>HYPERLINK("https://zfin.org/ZDB-GENE-040801-116")</f>
        <v>https://zfin.org/ZDB-GENE-040801-116</v>
      </c>
      <c r="E4264" t="s">
        <v>12769</v>
      </c>
    </row>
    <row r="4265" spans="1:5" x14ac:dyDescent="0.2">
      <c r="A4265" t="s">
        <v>12770</v>
      </c>
      <c r="B4265" t="s">
        <v>12771</v>
      </c>
      <c r="C4265" t="s">
        <v>12771</v>
      </c>
      <c r="D4265" t="str">
        <f>HYPERLINK("https://zfin.org/ZDB-GENE-020802-5")</f>
        <v>https://zfin.org/ZDB-GENE-020802-5</v>
      </c>
      <c r="E4265" t="s">
        <v>12772</v>
      </c>
    </row>
    <row r="4266" spans="1:5" x14ac:dyDescent="0.2">
      <c r="A4266" t="s">
        <v>12773</v>
      </c>
      <c r="B4266" t="s">
        <v>12774</v>
      </c>
      <c r="C4266" t="s">
        <v>12774</v>
      </c>
      <c r="D4266" t="str">
        <f>HYPERLINK("https://zfin.org/ZDB-GENE-070410-130")</f>
        <v>https://zfin.org/ZDB-GENE-070410-130</v>
      </c>
      <c r="E4266" t="s">
        <v>12775</v>
      </c>
    </row>
    <row r="4267" spans="1:5" x14ac:dyDescent="0.2">
      <c r="A4267" t="s">
        <v>12776</v>
      </c>
      <c r="B4267" t="s">
        <v>12777</v>
      </c>
      <c r="C4267" t="s">
        <v>12777</v>
      </c>
      <c r="D4267" t="str">
        <f>HYPERLINK("https://zfin.org/ZDB-GENE-030131-6122")</f>
        <v>https://zfin.org/ZDB-GENE-030131-6122</v>
      </c>
      <c r="E4267" t="s">
        <v>12778</v>
      </c>
    </row>
    <row r="4268" spans="1:5" x14ac:dyDescent="0.2">
      <c r="A4268" t="s">
        <v>12779</v>
      </c>
      <c r="B4268" t="s">
        <v>12780</v>
      </c>
      <c r="C4268" t="s">
        <v>12780</v>
      </c>
      <c r="D4268" t="str">
        <f>HYPERLINK("https://zfin.org/ZDB-GENE-070629-5")</f>
        <v>https://zfin.org/ZDB-GENE-070629-5</v>
      </c>
      <c r="E4268" t="s">
        <v>12781</v>
      </c>
    </row>
    <row r="4269" spans="1:5" x14ac:dyDescent="0.2">
      <c r="A4269" t="s">
        <v>12782</v>
      </c>
      <c r="B4269" t="s">
        <v>12783</v>
      </c>
      <c r="C4269" t="s">
        <v>12783</v>
      </c>
      <c r="D4269" t="str">
        <f>HYPERLINK("https://zfin.org/ZDB-GENE-040426-2704")</f>
        <v>https://zfin.org/ZDB-GENE-040426-2704</v>
      </c>
      <c r="E4269" t="s">
        <v>12784</v>
      </c>
    </row>
    <row r="4270" spans="1:5" x14ac:dyDescent="0.2">
      <c r="A4270" t="s">
        <v>12785</v>
      </c>
      <c r="B4270" t="s">
        <v>12786</v>
      </c>
      <c r="C4270" t="s">
        <v>12786</v>
      </c>
      <c r="D4270" t="str">
        <f>HYPERLINK("https://zfin.org/ZDB-GENE-070424-163")</f>
        <v>https://zfin.org/ZDB-GENE-070424-163</v>
      </c>
      <c r="E4270" t="s">
        <v>12787</v>
      </c>
    </row>
    <row r="4271" spans="1:5" x14ac:dyDescent="0.2">
      <c r="A4271" t="s">
        <v>12788</v>
      </c>
      <c r="B4271" t="s">
        <v>12789</v>
      </c>
      <c r="C4271" t="s">
        <v>12789</v>
      </c>
      <c r="D4271" t="str">
        <f>HYPERLINK("https://zfin.org/ZDB-GENE-041010-210")</f>
        <v>https://zfin.org/ZDB-GENE-041010-210</v>
      </c>
      <c r="E4271" t="s">
        <v>12790</v>
      </c>
    </row>
    <row r="4272" spans="1:5" x14ac:dyDescent="0.2">
      <c r="A4272" t="s">
        <v>12791</v>
      </c>
      <c r="B4272" t="s">
        <v>12792</v>
      </c>
      <c r="C4272" t="s">
        <v>12792</v>
      </c>
      <c r="D4272" t="str">
        <f>HYPERLINK("https://zfin.org/ZDB-GENE-091118-25")</f>
        <v>https://zfin.org/ZDB-GENE-091118-25</v>
      </c>
      <c r="E4272" t="s">
        <v>12793</v>
      </c>
    </row>
    <row r="4273" spans="1:5" x14ac:dyDescent="0.2">
      <c r="A4273" t="s">
        <v>12794</v>
      </c>
      <c r="B4273" t="s">
        <v>12795</v>
      </c>
      <c r="C4273" t="s">
        <v>12795</v>
      </c>
      <c r="D4273" t="str">
        <f>HYPERLINK("https://zfin.org/ZDB-GENE-081105-40")</f>
        <v>https://zfin.org/ZDB-GENE-081105-40</v>
      </c>
      <c r="E4273" t="s">
        <v>12796</v>
      </c>
    </row>
    <row r="4274" spans="1:5" x14ac:dyDescent="0.2">
      <c r="A4274" t="s">
        <v>12797</v>
      </c>
      <c r="B4274" t="s">
        <v>12798</v>
      </c>
      <c r="C4274" t="s">
        <v>12798</v>
      </c>
      <c r="D4274" t="str">
        <f>HYPERLINK("https://zfin.org/ZDB-GENE-040426-2874")</f>
        <v>https://zfin.org/ZDB-GENE-040426-2874</v>
      </c>
      <c r="E4274" t="s">
        <v>12799</v>
      </c>
    </row>
    <row r="4275" spans="1:5" x14ac:dyDescent="0.2">
      <c r="A4275" t="s">
        <v>12800</v>
      </c>
      <c r="B4275" t="s">
        <v>12801</v>
      </c>
      <c r="C4275" t="s">
        <v>12801</v>
      </c>
      <c r="D4275" t="str">
        <f>HYPERLINK("https://zfin.org/ZDB-GENE-040426-2556")</f>
        <v>https://zfin.org/ZDB-GENE-040426-2556</v>
      </c>
      <c r="E4275" t="s">
        <v>12802</v>
      </c>
    </row>
    <row r="4276" spans="1:5" x14ac:dyDescent="0.2">
      <c r="A4276" t="s">
        <v>12803</v>
      </c>
      <c r="B4276" t="s">
        <v>12804</v>
      </c>
      <c r="C4276" t="s">
        <v>12804</v>
      </c>
      <c r="D4276" t="str">
        <f>HYPERLINK("https://zfin.org/ZDB-GENE-050913-18")</f>
        <v>https://zfin.org/ZDB-GENE-050913-18</v>
      </c>
      <c r="E4276" t="s">
        <v>12805</v>
      </c>
    </row>
    <row r="4277" spans="1:5" x14ac:dyDescent="0.2">
      <c r="A4277" t="s">
        <v>12806</v>
      </c>
      <c r="B4277" t="s">
        <v>12807</v>
      </c>
      <c r="C4277" t="s">
        <v>12807</v>
      </c>
      <c r="D4277" t="str">
        <f>HYPERLINK("https://zfin.org/ZDB-GENE-050522-179")</f>
        <v>https://zfin.org/ZDB-GENE-050522-179</v>
      </c>
      <c r="E4277" t="s">
        <v>12808</v>
      </c>
    </row>
    <row r="4278" spans="1:5" x14ac:dyDescent="0.2">
      <c r="A4278" t="s">
        <v>12809</v>
      </c>
      <c r="B4278" t="s">
        <v>12810</v>
      </c>
      <c r="C4278" t="s">
        <v>12810</v>
      </c>
      <c r="D4278" t="str">
        <f>HYPERLINK("https://zfin.org/ZDB-GENE-141222-87")</f>
        <v>https://zfin.org/ZDB-GENE-141222-87</v>
      </c>
      <c r="E4278" t="s">
        <v>12811</v>
      </c>
    </row>
    <row r="4279" spans="1:5" x14ac:dyDescent="0.2">
      <c r="A4279" t="s">
        <v>12812</v>
      </c>
      <c r="B4279" t="s">
        <v>12813</v>
      </c>
      <c r="C4279" t="s">
        <v>12813</v>
      </c>
      <c r="D4279" t="str">
        <f>HYPERLINK("https://zfin.org/ZDB-GENE-030131-4992")</f>
        <v>https://zfin.org/ZDB-GENE-030131-4992</v>
      </c>
      <c r="E4279" t="s">
        <v>12814</v>
      </c>
    </row>
    <row r="4280" spans="1:5" x14ac:dyDescent="0.2">
      <c r="A4280" t="s">
        <v>12815</v>
      </c>
      <c r="B4280" t="s">
        <v>12816</v>
      </c>
      <c r="C4280" t="s">
        <v>12816</v>
      </c>
      <c r="D4280" t="str">
        <f>HYPERLINK("https://zfin.org/ZDB-GENE-120524-2")</f>
        <v>https://zfin.org/ZDB-GENE-120524-2</v>
      </c>
      <c r="E4280" t="s">
        <v>12817</v>
      </c>
    </row>
    <row r="4281" spans="1:5" x14ac:dyDescent="0.2">
      <c r="A4281" t="s">
        <v>12818</v>
      </c>
      <c r="B4281" t="s">
        <v>12819</v>
      </c>
      <c r="C4281" t="s">
        <v>12819</v>
      </c>
      <c r="D4281" t="str">
        <f>HYPERLINK("https://zfin.org/ZDB-GENE-060308-2")</f>
        <v>https://zfin.org/ZDB-GENE-060308-2</v>
      </c>
      <c r="E4281" t="s">
        <v>12820</v>
      </c>
    </row>
    <row r="4282" spans="1:5" x14ac:dyDescent="0.2">
      <c r="A4282" t="s">
        <v>12821</v>
      </c>
      <c r="B4282" t="s">
        <v>12822</v>
      </c>
      <c r="C4282" t="s">
        <v>12822</v>
      </c>
      <c r="D4282" t="str">
        <f>HYPERLINK("https://zfin.org/ZDB-GENE-010619-1")</f>
        <v>https://zfin.org/ZDB-GENE-010619-1</v>
      </c>
      <c r="E4282" t="s">
        <v>12823</v>
      </c>
    </row>
    <row r="4283" spans="1:5" x14ac:dyDescent="0.2">
      <c r="A4283" t="s">
        <v>12824</v>
      </c>
      <c r="B4283" t="s">
        <v>12825</v>
      </c>
      <c r="C4283" t="s">
        <v>12825</v>
      </c>
      <c r="D4283" t="str">
        <f>HYPERLINK("https://zfin.org/ZDB-GENE-131121-45")</f>
        <v>https://zfin.org/ZDB-GENE-131121-45</v>
      </c>
      <c r="E4283" t="s">
        <v>12826</v>
      </c>
    </row>
    <row r="4284" spans="1:5" x14ac:dyDescent="0.2">
      <c r="A4284" t="s">
        <v>12827</v>
      </c>
      <c r="B4284" t="s">
        <v>12828</v>
      </c>
      <c r="C4284" t="s">
        <v>12828</v>
      </c>
      <c r="D4284" t="str">
        <f>HYPERLINK("https://zfin.org/ZDB-GENE-021007-1")</f>
        <v>https://zfin.org/ZDB-GENE-021007-1</v>
      </c>
      <c r="E4284" t="s">
        <v>12829</v>
      </c>
    </row>
    <row r="4285" spans="1:5" x14ac:dyDescent="0.2">
      <c r="A4285" t="s">
        <v>12830</v>
      </c>
      <c r="B4285" t="s">
        <v>12831</v>
      </c>
      <c r="C4285" t="s">
        <v>12831</v>
      </c>
      <c r="D4285" t="str">
        <f>HYPERLINK("https://zfin.org/ZDB-GENE-110208-9")</f>
        <v>https://zfin.org/ZDB-GENE-110208-9</v>
      </c>
      <c r="E4285" t="s">
        <v>12832</v>
      </c>
    </row>
    <row r="4286" spans="1:5" x14ac:dyDescent="0.2">
      <c r="A4286" t="s">
        <v>12833</v>
      </c>
      <c r="B4286" t="s">
        <v>12834</v>
      </c>
      <c r="C4286" t="s">
        <v>12834</v>
      </c>
      <c r="D4286" t="str">
        <f>HYPERLINK("https://zfin.org/ZDB-GENE-040426-1421")</f>
        <v>https://zfin.org/ZDB-GENE-040426-1421</v>
      </c>
      <c r="E4286" t="s">
        <v>12835</v>
      </c>
    </row>
    <row r="4287" spans="1:5" x14ac:dyDescent="0.2">
      <c r="A4287" t="s">
        <v>12836</v>
      </c>
      <c r="B4287" t="s">
        <v>12837</v>
      </c>
      <c r="C4287" t="s">
        <v>12837</v>
      </c>
      <c r="D4287" t="str">
        <f>HYPERLINK("https://zfin.org/ZDB-GENE-041010-153")</f>
        <v>https://zfin.org/ZDB-GENE-041010-153</v>
      </c>
      <c r="E4287" t="s">
        <v>12838</v>
      </c>
    </row>
    <row r="4288" spans="1:5" x14ac:dyDescent="0.2">
      <c r="A4288" t="s">
        <v>12839</v>
      </c>
      <c r="B4288" t="s">
        <v>12840</v>
      </c>
      <c r="C4288" t="s">
        <v>12840</v>
      </c>
      <c r="D4288" t="str">
        <f>HYPERLINK("https://zfin.org/ZDB-GENE-040426-2904")</f>
        <v>https://zfin.org/ZDB-GENE-040426-2904</v>
      </c>
      <c r="E4288" t="s">
        <v>12841</v>
      </c>
    </row>
    <row r="4289" spans="1:5" x14ac:dyDescent="0.2">
      <c r="A4289" t="s">
        <v>12842</v>
      </c>
      <c r="B4289" t="s">
        <v>12843</v>
      </c>
      <c r="C4289" t="s">
        <v>12843</v>
      </c>
      <c r="D4289" t="str">
        <f>HYPERLINK("https://zfin.org/ZDB-GENE-030131-5541")</f>
        <v>https://zfin.org/ZDB-GENE-030131-5541</v>
      </c>
      <c r="E4289" t="s">
        <v>12844</v>
      </c>
    </row>
    <row r="4290" spans="1:5" x14ac:dyDescent="0.2">
      <c r="A4290" t="s">
        <v>12845</v>
      </c>
      <c r="B4290" t="s">
        <v>12846</v>
      </c>
      <c r="C4290" t="s">
        <v>12846</v>
      </c>
      <c r="D4290" t="str">
        <f>HYPERLINK("https://zfin.org/ZDB-GENE-040930-2")</f>
        <v>https://zfin.org/ZDB-GENE-040930-2</v>
      </c>
      <c r="E4290" t="s">
        <v>12847</v>
      </c>
    </row>
    <row r="4291" spans="1:5" x14ac:dyDescent="0.2">
      <c r="A4291" t="s">
        <v>12848</v>
      </c>
      <c r="B4291" t="s">
        <v>12849</v>
      </c>
      <c r="C4291" t="s">
        <v>12849</v>
      </c>
      <c r="D4291" t="str">
        <f>HYPERLINK("https://zfin.org/ZDB-GENE-060810-74")</f>
        <v>https://zfin.org/ZDB-GENE-060810-74</v>
      </c>
      <c r="E4291" t="s">
        <v>12850</v>
      </c>
    </row>
    <row r="4292" spans="1:5" x14ac:dyDescent="0.2">
      <c r="A4292" t="s">
        <v>12851</v>
      </c>
      <c r="B4292" t="s">
        <v>12852</v>
      </c>
      <c r="C4292" t="s">
        <v>12852</v>
      </c>
      <c r="D4292" t="str">
        <f>HYPERLINK("https://zfin.org/ZDB-GENE-050208-620")</f>
        <v>https://zfin.org/ZDB-GENE-050208-620</v>
      </c>
      <c r="E4292" t="s">
        <v>12853</v>
      </c>
    </row>
    <row r="4293" spans="1:5" x14ac:dyDescent="0.2">
      <c r="A4293" t="s">
        <v>12854</v>
      </c>
      <c r="B4293" t="s">
        <v>12855</v>
      </c>
      <c r="C4293" t="s">
        <v>12855</v>
      </c>
      <c r="D4293" t="str">
        <f>HYPERLINK("https://zfin.org/ZDB-GENE-050522-146")</f>
        <v>https://zfin.org/ZDB-GENE-050522-146</v>
      </c>
      <c r="E4293" t="s">
        <v>12856</v>
      </c>
    </row>
    <row r="4294" spans="1:5" x14ac:dyDescent="0.2">
      <c r="A4294" t="s">
        <v>12857</v>
      </c>
      <c r="B4294" t="s">
        <v>12858</v>
      </c>
      <c r="C4294" t="s">
        <v>12858</v>
      </c>
      <c r="D4294" t="str">
        <f>HYPERLINK("https://zfin.org/ZDB-GENE-050327-34")</f>
        <v>https://zfin.org/ZDB-GENE-050327-34</v>
      </c>
      <c r="E4294" t="s">
        <v>12859</v>
      </c>
    </row>
    <row r="4295" spans="1:5" x14ac:dyDescent="0.2">
      <c r="A4295" t="s">
        <v>12860</v>
      </c>
      <c r="B4295" t="s">
        <v>12861</v>
      </c>
      <c r="C4295" t="s">
        <v>12861</v>
      </c>
      <c r="D4295" t="str">
        <f>HYPERLINK("https://zfin.org/ZDB-GENE-061013-453")</f>
        <v>https://zfin.org/ZDB-GENE-061013-453</v>
      </c>
      <c r="E4295" t="s">
        <v>12862</v>
      </c>
    </row>
    <row r="4296" spans="1:5" x14ac:dyDescent="0.2">
      <c r="A4296" t="s">
        <v>12863</v>
      </c>
      <c r="B4296" t="s">
        <v>12864</v>
      </c>
      <c r="C4296" t="s">
        <v>12864</v>
      </c>
      <c r="D4296" t="str">
        <f>HYPERLINK("https://zfin.org/ZDB-GENE-120703-32")</f>
        <v>https://zfin.org/ZDB-GENE-120703-32</v>
      </c>
      <c r="E4296" t="s">
        <v>12865</v>
      </c>
    </row>
    <row r="4297" spans="1:5" x14ac:dyDescent="0.2">
      <c r="A4297" t="s">
        <v>12866</v>
      </c>
      <c r="B4297" t="s">
        <v>12867</v>
      </c>
      <c r="C4297" t="s">
        <v>12867</v>
      </c>
      <c r="D4297" t="str">
        <f>HYPERLINK("https://zfin.org/ZDB-GENE-030131-6372")</f>
        <v>https://zfin.org/ZDB-GENE-030131-6372</v>
      </c>
      <c r="E4297" t="s">
        <v>12868</v>
      </c>
    </row>
    <row r="4298" spans="1:5" x14ac:dyDescent="0.2">
      <c r="A4298" t="s">
        <v>12869</v>
      </c>
      <c r="B4298" t="s">
        <v>12870</v>
      </c>
      <c r="C4298" t="s">
        <v>12870</v>
      </c>
      <c r="D4298" t="str">
        <f>HYPERLINK("https://zfin.org/ZDB-GENE-080212-6")</f>
        <v>https://zfin.org/ZDB-GENE-080212-6</v>
      </c>
      <c r="E4298" t="s">
        <v>12871</v>
      </c>
    </row>
    <row r="4299" spans="1:5" x14ac:dyDescent="0.2">
      <c r="A4299" t="s">
        <v>12872</v>
      </c>
      <c r="B4299" t="s">
        <v>12873</v>
      </c>
      <c r="C4299" t="s">
        <v>12873</v>
      </c>
      <c r="D4299" t="str">
        <f>HYPERLINK("https://zfin.org/ZDB-GENE-030131-2845")</f>
        <v>https://zfin.org/ZDB-GENE-030131-2845</v>
      </c>
      <c r="E4299" t="s">
        <v>12874</v>
      </c>
    </row>
    <row r="4300" spans="1:5" x14ac:dyDescent="0.2">
      <c r="A4300" t="s">
        <v>12875</v>
      </c>
      <c r="B4300" t="s">
        <v>12876</v>
      </c>
      <c r="C4300" t="s">
        <v>12876</v>
      </c>
      <c r="D4300" t="str">
        <f>HYPERLINK("https://zfin.org/ZDB-GENE-041027-1")</f>
        <v>https://zfin.org/ZDB-GENE-041027-1</v>
      </c>
      <c r="E4300" t="s">
        <v>12877</v>
      </c>
    </row>
    <row r="4301" spans="1:5" x14ac:dyDescent="0.2">
      <c r="A4301" t="s">
        <v>12878</v>
      </c>
      <c r="B4301" t="s">
        <v>12879</v>
      </c>
      <c r="C4301" t="s">
        <v>12879</v>
      </c>
      <c r="D4301" t="str">
        <f>HYPERLINK("https://zfin.org/ZDB-GENE-141222-15")</f>
        <v>https://zfin.org/ZDB-GENE-141222-15</v>
      </c>
      <c r="E4301" t="s">
        <v>12880</v>
      </c>
    </row>
    <row r="4302" spans="1:5" x14ac:dyDescent="0.2">
      <c r="A4302" t="s">
        <v>12881</v>
      </c>
      <c r="B4302" t="s">
        <v>12882</v>
      </c>
      <c r="C4302" t="s">
        <v>12882</v>
      </c>
      <c r="D4302" t="str">
        <f>HYPERLINK("https://zfin.org/ZDB-GENE-030131-8077")</f>
        <v>https://zfin.org/ZDB-GENE-030131-8077</v>
      </c>
      <c r="E4302" t="s">
        <v>12883</v>
      </c>
    </row>
    <row r="4303" spans="1:5" x14ac:dyDescent="0.2">
      <c r="A4303" t="s">
        <v>12884</v>
      </c>
      <c r="B4303" t="s">
        <v>12885</v>
      </c>
      <c r="C4303" t="s">
        <v>12885</v>
      </c>
      <c r="D4303" t="str">
        <f>HYPERLINK("https://zfin.org/ZDB-GENE-080917-47")</f>
        <v>https://zfin.org/ZDB-GENE-080917-47</v>
      </c>
      <c r="E4303" t="s">
        <v>12886</v>
      </c>
    </row>
    <row r="4304" spans="1:5" x14ac:dyDescent="0.2">
      <c r="A4304" t="s">
        <v>12887</v>
      </c>
      <c r="B4304" t="s">
        <v>12888</v>
      </c>
      <c r="C4304" t="s">
        <v>12888</v>
      </c>
      <c r="D4304" t="str">
        <f>HYPERLINK("https://zfin.org/ZDB-GENE-080513-5")</f>
        <v>https://zfin.org/ZDB-GENE-080513-5</v>
      </c>
      <c r="E4304" t="s">
        <v>12889</v>
      </c>
    </row>
    <row r="4305" spans="1:5" x14ac:dyDescent="0.2">
      <c r="A4305" t="s">
        <v>12890</v>
      </c>
      <c r="B4305" t="s">
        <v>12891</v>
      </c>
      <c r="C4305" t="s">
        <v>12891</v>
      </c>
      <c r="D4305" t="str">
        <f>HYPERLINK("https://zfin.org/ZDB-GENE-060929-600")</f>
        <v>https://zfin.org/ZDB-GENE-060929-600</v>
      </c>
      <c r="E4305" t="s">
        <v>12892</v>
      </c>
    </row>
    <row r="4306" spans="1:5" x14ac:dyDescent="0.2">
      <c r="A4306" t="s">
        <v>12893</v>
      </c>
      <c r="B4306" t="s">
        <v>12894</v>
      </c>
      <c r="C4306" t="s">
        <v>12894</v>
      </c>
      <c r="D4306" t="str">
        <f>HYPERLINK("https://zfin.org/ZDB-GENE-060531-76")</f>
        <v>https://zfin.org/ZDB-GENE-060531-76</v>
      </c>
      <c r="E4306" t="s">
        <v>12895</v>
      </c>
    </row>
    <row r="4307" spans="1:5" x14ac:dyDescent="0.2">
      <c r="A4307" t="s">
        <v>12896</v>
      </c>
      <c r="B4307" t="s">
        <v>12897</v>
      </c>
      <c r="C4307" t="s">
        <v>12897</v>
      </c>
      <c r="D4307" t="str">
        <f>HYPERLINK("https://zfin.org/ZDB-GENE-030131-7558")</f>
        <v>https://zfin.org/ZDB-GENE-030131-7558</v>
      </c>
      <c r="E4307" t="s">
        <v>12898</v>
      </c>
    </row>
    <row r="4308" spans="1:5" x14ac:dyDescent="0.2">
      <c r="A4308" t="s">
        <v>12899</v>
      </c>
      <c r="B4308" t="s">
        <v>12900</v>
      </c>
      <c r="C4308" t="s">
        <v>12900</v>
      </c>
      <c r="D4308" t="str">
        <f>HYPERLINK("https://zfin.org/ZDB-GENE-131121-468")</f>
        <v>https://zfin.org/ZDB-GENE-131121-468</v>
      </c>
      <c r="E4308" t="s">
        <v>12901</v>
      </c>
    </row>
    <row r="4309" spans="1:5" x14ac:dyDescent="0.2">
      <c r="A4309" t="s">
        <v>12902</v>
      </c>
      <c r="B4309" t="s">
        <v>12903</v>
      </c>
      <c r="C4309" t="s">
        <v>12903</v>
      </c>
      <c r="D4309" t="str">
        <f>HYPERLINK("https://zfin.org/ZDB-GENE-030131-6099")</f>
        <v>https://zfin.org/ZDB-GENE-030131-6099</v>
      </c>
      <c r="E4309" t="s">
        <v>12904</v>
      </c>
    </row>
    <row r="4310" spans="1:5" x14ac:dyDescent="0.2">
      <c r="A4310" t="s">
        <v>12905</v>
      </c>
      <c r="B4310" t="s">
        <v>12906</v>
      </c>
      <c r="C4310" t="s">
        <v>12906</v>
      </c>
      <c r="D4310" t="str">
        <f>HYPERLINK("https://zfin.org/ZDB-GENE-041001-132")</f>
        <v>https://zfin.org/ZDB-GENE-041001-132</v>
      </c>
      <c r="E4310" t="s">
        <v>12907</v>
      </c>
    </row>
    <row r="4311" spans="1:5" x14ac:dyDescent="0.2">
      <c r="A4311" t="s">
        <v>12908</v>
      </c>
      <c r="B4311" t="s">
        <v>12909</v>
      </c>
      <c r="C4311" t="s">
        <v>12909</v>
      </c>
      <c r="D4311" t="str">
        <f>HYPERLINK("https://zfin.org/ZDB-GENE-050522-525")</f>
        <v>https://zfin.org/ZDB-GENE-050522-525</v>
      </c>
      <c r="E4311" t="s">
        <v>12910</v>
      </c>
    </row>
    <row r="4312" spans="1:5" x14ac:dyDescent="0.2">
      <c r="A4312" t="s">
        <v>12911</v>
      </c>
      <c r="B4312" t="s">
        <v>12912</v>
      </c>
      <c r="C4312" t="s">
        <v>12912</v>
      </c>
      <c r="D4312" t="str">
        <f>HYPERLINK("https://zfin.org/ZDB-GENE-070501-2")</f>
        <v>https://zfin.org/ZDB-GENE-070501-2</v>
      </c>
      <c r="E4312" t="s">
        <v>12913</v>
      </c>
    </row>
    <row r="4313" spans="1:5" x14ac:dyDescent="0.2">
      <c r="A4313" t="s">
        <v>12914</v>
      </c>
      <c r="B4313" t="s">
        <v>12915</v>
      </c>
      <c r="C4313" t="s">
        <v>12915</v>
      </c>
      <c r="D4313" t="str">
        <f>HYPERLINK("https://zfin.org/ZDB-GENE-070424-20")</f>
        <v>https://zfin.org/ZDB-GENE-070424-20</v>
      </c>
      <c r="E4313" t="s">
        <v>12916</v>
      </c>
    </row>
    <row r="4314" spans="1:5" x14ac:dyDescent="0.2">
      <c r="A4314" t="s">
        <v>12917</v>
      </c>
      <c r="B4314" t="s">
        <v>12918</v>
      </c>
      <c r="C4314" t="s">
        <v>12918</v>
      </c>
      <c r="D4314" t="str">
        <f>HYPERLINK("https://zfin.org/ZDB-GENE-101115-3")</f>
        <v>https://zfin.org/ZDB-GENE-101115-3</v>
      </c>
      <c r="E4314" t="s">
        <v>12919</v>
      </c>
    </row>
    <row r="4315" spans="1:5" x14ac:dyDescent="0.2">
      <c r="A4315" t="s">
        <v>12920</v>
      </c>
      <c r="B4315" t="s">
        <v>12921</v>
      </c>
      <c r="C4315" t="s">
        <v>12921</v>
      </c>
      <c r="D4315" t="str">
        <f>HYPERLINK("https://zfin.org/ZDB-GENE-131121-552")</f>
        <v>https://zfin.org/ZDB-GENE-131121-552</v>
      </c>
      <c r="E4315" t="s">
        <v>12922</v>
      </c>
    </row>
    <row r="4316" spans="1:5" x14ac:dyDescent="0.2">
      <c r="A4316" t="s">
        <v>12923</v>
      </c>
      <c r="B4316" t="s">
        <v>12924</v>
      </c>
      <c r="C4316" t="s">
        <v>12924</v>
      </c>
      <c r="D4316" t="str">
        <f>HYPERLINK("https://zfin.org/ZDB-GENE-060503-62")</f>
        <v>https://zfin.org/ZDB-GENE-060503-62</v>
      </c>
      <c r="E4316" t="s">
        <v>12925</v>
      </c>
    </row>
    <row r="4317" spans="1:5" x14ac:dyDescent="0.2">
      <c r="A4317" t="s">
        <v>12926</v>
      </c>
      <c r="B4317" t="s">
        <v>12927</v>
      </c>
      <c r="C4317" t="s">
        <v>12927</v>
      </c>
      <c r="D4317" t="str">
        <f>HYPERLINK("https://zfin.org/ZDB-GENE-101206-1")</f>
        <v>https://zfin.org/ZDB-GENE-101206-1</v>
      </c>
      <c r="E4317" t="s">
        <v>12928</v>
      </c>
    </row>
    <row r="4318" spans="1:5" x14ac:dyDescent="0.2">
      <c r="A4318" t="s">
        <v>12929</v>
      </c>
      <c r="B4318" t="s">
        <v>12930</v>
      </c>
      <c r="C4318" t="s">
        <v>12930</v>
      </c>
      <c r="D4318" t="str">
        <f>HYPERLINK("https://zfin.org/ZDB-GENE-100729-2")</f>
        <v>https://zfin.org/ZDB-GENE-100729-2</v>
      </c>
      <c r="E4318" t="s">
        <v>12931</v>
      </c>
    </row>
    <row r="4319" spans="1:5" x14ac:dyDescent="0.2">
      <c r="A4319" t="s">
        <v>12932</v>
      </c>
      <c r="B4319" t="s">
        <v>12933</v>
      </c>
      <c r="C4319" t="s">
        <v>12933</v>
      </c>
      <c r="D4319" t="str">
        <f>HYPERLINK("https://zfin.org/ZDB-GENE-091112-3")</f>
        <v>https://zfin.org/ZDB-GENE-091112-3</v>
      </c>
      <c r="E4319" t="s">
        <v>12934</v>
      </c>
    </row>
    <row r="4320" spans="1:5" x14ac:dyDescent="0.2">
      <c r="A4320" t="s">
        <v>12935</v>
      </c>
      <c r="B4320" t="s">
        <v>12936</v>
      </c>
      <c r="C4320" t="s">
        <v>12936</v>
      </c>
      <c r="D4320" t="str">
        <f>HYPERLINK("https://zfin.org/ZDB-GENE-991209-8")</f>
        <v>https://zfin.org/ZDB-GENE-991209-8</v>
      </c>
      <c r="E4320" t="s">
        <v>12937</v>
      </c>
    </row>
    <row r="4321" spans="1:5" x14ac:dyDescent="0.2">
      <c r="A4321" t="s">
        <v>12938</v>
      </c>
      <c r="B4321" t="s">
        <v>12939</v>
      </c>
      <c r="C4321" t="s">
        <v>12939</v>
      </c>
      <c r="D4321" t="str">
        <f>HYPERLINK("https://zfin.org/ZDB-GENE-990715-16")</f>
        <v>https://zfin.org/ZDB-GENE-990715-16</v>
      </c>
      <c r="E4321" t="s">
        <v>12940</v>
      </c>
    </row>
    <row r="4322" spans="1:5" x14ac:dyDescent="0.2">
      <c r="A4322" t="s">
        <v>12941</v>
      </c>
      <c r="B4322" t="s">
        <v>12942</v>
      </c>
      <c r="C4322" t="s">
        <v>12942</v>
      </c>
      <c r="D4322" t="str">
        <f>HYPERLINK("https://zfin.org/ZDB-GENE-050522-35")</f>
        <v>https://zfin.org/ZDB-GENE-050522-35</v>
      </c>
      <c r="E4322" t="s">
        <v>12943</v>
      </c>
    </row>
    <row r="4323" spans="1:5" x14ac:dyDescent="0.2">
      <c r="A4323" t="s">
        <v>12944</v>
      </c>
      <c r="B4323" t="s">
        <v>12945</v>
      </c>
      <c r="C4323" t="s">
        <v>12945</v>
      </c>
      <c r="D4323" t="str">
        <f>HYPERLINK("https://zfin.org/ZDB-GENE-110914-31")</f>
        <v>https://zfin.org/ZDB-GENE-110914-31</v>
      </c>
      <c r="E4323" t="s">
        <v>12946</v>
      </c>
    </row>
    <row r="4324" spans="1:5" x14ac:dyDescent="0.2">
      <c r="A4324" t="s">
        <v>12947</v>
      </c>
      <c r="B4324" t="s">
        <v>12948</v>
      </c>
      <c r="C4324" t="s">
        <v>12948</v>
      </c>
      <c r="D4324" t="str">
        <f>HYPERLINK("https://zfin.org/ZDB-GENE-080204-5")</f>
        <v>https://zfin.org/ZDB-GENE-080204-5</v>
      </c>
      <c r="E4324" t="s">
        <v>12949</v>
      </c>
    </row>
    <row r="4325" spans="1:5" x14ac:dyDescent="0.2">
      <c r="A4325" t="s">
        <v>12950</v>
      </c>
      <c r="B4325" t="s">
        <v>12951</v>
      </c>
      <c r="C4325" t="s">
        <v>12951</v>
      </c>
      <c r="D4325" t="str">
        <f>HYPERLINK("https://zfin.org/ZDB-GENE-040426-715")</f>
        <v>https://zfin.org/ZDB-GENE-040426-715</v>
      </c>
      <c r="E4325" t="s">
        <v>12952</v>
      </c>
    </row>
    <row r="4326" spans="1:5" x14ac:dyDescent="0.2">
      <c r="A4326" t="s">
        <v>12953</v>
      </c>
      <c r="B4326" t="s">
        <v>12954</v>
      </c>
      <c r="C4326" t="s">
        <v>12954</v>
      </c>
      <c r="D4326" t="str">
        <f>HYPERLINK("https://zfin.org/ZDB-GENE-040426-2095")</f>
        <v>https://zfin.org/ZDB-GENE-040426-2095</v>
      </c>
      <c r="E4326" t="s">
        <v>12955</v>
      </c>
    </row>
    <row r="4327" spans="1:5" x14ac:dyDescent="0.2">
      <c r="A4327" t="s">
        <v>12956</v>
      </c>
      <c r="B4327" t="s">
        <v>12957</v>
      </c>
      <c r="C4327" t="s">
        <v>12957</v>
      </c>
      <c r="D4327" t="str">
        <f>HYPERLINK("https://zfin.org/ZDB-GENE-091117-45")</f>
        <v>https://zfin.org/ZDB-GENE-091117-45</v>
      </c>
      <c r="E4327" t="s">
        <v>12958</v>
      </c>
    </row>
    <row r="4328" spans="1:5" x14ac:dyDescent="0.2">
      <c r="A4328" t="s">
        <v>12959</v>
      </c>
      <c r="B4328" t="s">
        <v>12960</v>
      </c>
      <c r="C4328" t="s">
        <v>12960</v>
      </c>
      <c r="D4328" t="str">
        <f>HYPERLINK("https://zfin.org/ZDB-GENE-110728-4")</f>
        <v>https://zfin.org/ZDB-GENE-110728-4</v>
      </c>
      <c r="E4328" t="s">
        <v>12961</v>
      </c>
    </row>
    <row r="4329" spans="1:5" x14ac:dyDescent="0.2">
      <c r="A4329" t="s">
        <v>12962</v>
      </c>
      <c r="B4329" t="s">
        <v>12963</v>
      </c>
      <c r="C4329" t="s">
        <v>12963</v>
      </c>
      <c r="D4329" t="str">
        <f>HYPERLINK("https://zfin.org/ZDB-GENE-141222-71")</f>
        <v>https://zfin.org/ZDB-GENE-141222-71</v>
      </c>
      <c r="E4329" t="s">
        <v>12964</v>
      </c>
    </row>
    <row r="4330" spans="1:5" x14ac:dyDescent="0.2">
      <c r="A4330" t="s">
        <v>12965</v>
      </c>
      <c r="B4330" t="s">
        <v>12966</v>
      </c>
      <c r="C4330" t="s">
        <v>12966</v>
      </c>
      <c r="D4330" t="str">
        <f>HYPERLINK("https://zfin.org/ZDB-GENE-030131-751")</f>
        <v>https://zfin.org/ZDB-GENE-030131-751</v>
      </c>
      <c r="E4330" t="s">
        <v>12967</v>
      </c>
    </row>
    <row r="4331" spans="1:5" x14ac:dyDescent="0.2">
      <c r="A4331" t="s">
        <v>12968</v>
      </c>
      <c r="B4331" t="s">
        <v>12969</v>
      </c>
      <c r="C4331" t="s">
        <v>12969</v>
      </c>
      <c r="D4331" t="str">
        <f>HYPERLINK("https://zfin.org/ZDB-GENE-040426-1252")</f>
        <v>https://zfin.org/ZDB-GENE-040426-1252</v>
      </c>
      <c r="E4331" t="s">
        <v>12970</v>
      </c>
    </row>
    <row r="4332" spans="1:5" x14ac:dyDescent="0.2">
      <c r="A4332" t="s">
        <v>12971</v>
      </c>
      <c r="B4332" t="s">
        <v>12972</v>
      </c>
      <c r="C4332" t="s">
        <v>12972</v>
      </c>
      <c r="D4332" t="str">
        <f>HYPERLINK("https://zfin.org/ZDB-GENE-040801-111")</f>
        <v>https://zfin.org/ZDB-GENE-040801-111</v>
      </c>
      <c r="E4332" t="s">
        <v>12973</v>
      </c>
    </row>
    <row r="4333" spans="1:5" x14ac:dyDescent="0.2">
      <c r="A4333" t="s">
        <v>12974</v>
      </c>
      <c r="B4333" t="s">
        <v>12975</v>
      </c>
      <c r="C4333" t="s">
        <v>12975</v>
      </c>
      <c r="D4333" t="str">
        <f>HYPERLINK("https://zfin.org/ZDB-GENE-040801-83")</f>
        <v>https://zfin.org/ZDB-GENE-040801-83</v>
      </c>
      <c r="E4333" t="s">
        <v>12976</v>
      </c>
    </row>
    <row r="4334" spans="1:5" x14ac:dyDescent="0.2">
      <c r="A4334" t="s">
        <v>12977</v>
      </c>
      <c r="B4334" t="s">
        <v>12978</v>
      </c>
      <c r="C4334" t="s">
        <v>12978</v>
      </c>
      <c r="D4334" t="str">
        <f>HYPERLINK("https://zfin.org/ZDB-GENE-091118-85")</f>
        <v>https://zfin.org/ZDB-GENE-091118-85</v>
      </c>
      <c r="E4334" t="s">
        <v>12979</v>
      </c>
    </row>
    <row r="4335" spans="1:5" x14ac:dyDescent="0.2">
      <c r="A4335" t="s">
        <v>12980</v>
      </c>
      <c r="B4335" t="s">
        <v>12981</v>
      </c>
      <c r="C4335" t="s">
        <v>12981</v>
      </c>
      <c r="D4335" t="str">
        <f>HYPERLINK("https://zfin.org/ZDB-GENE-120215-211")</f>
        <v>https://zfin.org/ZDB-GENE-120215-211</v>
      </c>
      <c r="E4335" t="s">
        <v>12982</v>
      </c>
    </row>
    <row r="4336" spans="1:5" x14ac:dyDescent="0.2">
      <c r="A4336" t="s">
        <v>12983</v>
      </c>
      <c r="B4336" t="s">
        <v>12984</v>
      </c>
      <c r="C4336" t="s">
        <v>12984</v>
      </c>
      <c r="D4336" t="str">
        <f>HYPERLINK("https://zfin.org/ZDB-GENE-040718-56")</f>
        <v>https://zfin.org/ZDB-GENE-040718-56</v>
      </c>
      <c r="E4336" t="s">
        <v>12985</v>
      </c>
    </row>
    <row r="4337" spans="1:5" x14ac:dyDescent="0.2">
      <c r="A4337" t="s">
        <v>12986</v>
      </c>
      <c r="B4337" t="s">
        <v>12987</v>
      </c>
      <c r="C4337" t="s">
        <v>12987</v>
      </c>
      <c r="D4337" t="str">
        <f>HYPERLINK("https://zfin.org/ZDB-GENE-070705-155")</f>
        <v>https://zfin.org/ZDB-GENE-070705-155</v>
      </c>
      <c r="E4337" t="s">
        <v>12988</v>
      </c>
    </row>
    <row r="4338" spans="1:5" x14ac:dyDescent="0.2">
      <c r="A4338" t="s">
        <v>12989</v>
      </c>
      <c r="B4338" t="s">
        <v>12990</v>
      </c>
      <c r="C4338" t="s">
        <v>12990</v>
      </c>
      <c r="D4338" t="str">
        <f>HYPERLINK("https://zfin.org/ZDB-GENE-060531-91")</f>
        <v>https://zfin.org/ZDB-GENE-060531-91</v>
      </c>
      <c r="E4338" t="s">
        <v>12991</v>
      </c>
    </row>
    <row r="4339" spans="1:5" x14ac:dyDescent="0.2">
      <c r="A4339" t="s">
        <v>12992</v>
      </c>
      <c r="B4339" t="s">
        <v>12993</v>
      </c>
      <c r="C4339" t="s">
        <v>12993</v>
      </c>
      <c r="D4339" t="str">
        <f>HYPERLINK("https://zfin.org/ZDB-GENE-050208-652")</f>
        <v>https://zfin.org/ZDB-GENE-050208-652</v>
      </c>
      <c r="E4339" t="s">
        <v>12994</v>
      </c>
    </row>
    <row r="4340" spans="1:5" x14ac:dyDescent="0.2">
      <c r="A4340" t="s">
        <v>12995</v>
      </c>
      <c r="B4340" t="s">
        <v>12996</v>
      </c>
      <c r="C4340" t="s">
        <v>12996</v>
      </c>
      <c r="D4340" t="str">
        <f>HYPERLINK("https://zfin.org/ZDB-GENE-061215-52")</f>
        <v>https://zfin.org/ZDB-GENE-061215-52</v>
      </c>
      <c r="E4340" t="s">
        <v>12997</v>
      </c>
    </row>
    <row r="4341" spans="1:5" x14ac:dyDescent="0.2">
      <c r="A4341" t="s">
        <v>12998</v>
      </c>
      <c r="B4341" t="s">
        <v>12999</v>
      </c>
      <c r="C4341" t="s">
        <v>12999</v>
      </c>
      <c r="D4341" t="str">
        <f>HYPERLINK("https://zfin.org/ZDB-GENE-030131-3511")</f>
        <v>https://zfin.org/ZDB-GENE-030131-3511</v>
      </c>
      <c r="E4341" t="s">
        <v>13000</v>
      </c>
    </row>
    <row r="4342" spans="1:5" x14ac:dyDescent="0.2">
      <c r="A4342" t="s">
        <v>13001</v>
      </c>
      <c r="B4342" t="s">
        <v>13002</v>
      </c>
      <c r="C4342" t="s">
        <v>13002</v>
      </c>
      <c r="D4342" t="str">
        <f>HYPERLINK("https://zfin.org/ZDB-GENE-050809-126")</f>
        <v>https://zfin.org/ZDB-GENE-050809-126</v>
      </c>
      <c r="E4342" t="s">
        <v>13003</v>
      </c>
    </row>
    <row r="4343" spans="1:5" x14ac:dyDescent="0.2">
      <c r="A4343" t="s">
        <v>13004</v>
      </c>
      <c r="B4343" t="s">
        <v>13005</v>
      </c>
      <c r="C4343" t="s">
        <v>13005</v>
      </c>
      <c r="D4343" t="str">
        <f>HYPERLINK("https://zfin.org/ZDB-GENE-030131-9966")</f>
        <v>https://zfin.org/ZDB-GENE-030131-9966</v>
      </c>
      <c r="E4343" t="s">
        <v>13006</v>
      </c>
    </row>
    <row r="4344" spans="1:5" x14ac:dyDescent="0.2">
      <c r="A4344" t="s">
        <v>13007</v>
      </c>
      <c r="B4344" t="s">
        <v>13008</v>
      </c>
      <c r="C4344" t="s">
        <v>13008</v>
      </c>
      <c r="D4344" t="str">
        <f>HYPERLINK("https://zfin.org/ZDB-GENE-030114-1")</f>
        <v>https://zfin.org/ZDB-GENE-030114-1</v>
      </c>
      <c r="E4344" t="s">
        <v>13009</v>
      </c>
    </row>
    <row r="4345" spans="1:5" x14ac:dyDescent="0.2">
      <c r="A4345" t="s">
        <v>13010</v>
      </c>
      <c r="B4345" t="s">
        <v>13011</v>
      </c>
      <c r="C4345" t="s">
        <v>13011</v>
      </c>
      <c r="D4345" t="str">
        <f>HYPERLINK("https://zfin.org/ZDB-GENE-040426-2121")</f>
        <v>https://zfin.org/ZDB-GENE-040426-2121</v>
      </c>
      <c r="E4345" t="s">
        <v>13012</v>
      </c>
    </row>
    <row r="4346" spans="1:5" x14ac:dyDescent="0.2">
      <c r="A4346" t="s">
        <v>13013</v>
      </c>
      <c r="B4346" t="s">
        <v>13014</v>
      </c>
      <c r="C4346" t="s">
        <v>13014</v>
      </c>
      <c r="D4346" t="str">
        <f>HYPERLINK("https://zfin.org/ZDB-GENE-990415-82")</f>
        <v>https://zfin.org/ZDB-GENE-990415-82</v>
      </c>
      <c r="E4346" t="s">
        <v>13015</v>
      </c>
    </row>
    <row r="4347" spans="1:5" x14ac:dyDescent="0.2">
      <c r="A4347" t="s">
        <v>13016</v>
      </c>
      <c r="B4347" t="s">
        <v>13017</v>
      </c>
      <c r="C4347" t="s">
        <v>13017</v>
      </c>
      <c r="D4347" t="str">
        <f>HYPERLINK("https://zfin.org/ZDB-GENE-141216-120")</f>
        <v>https://zfin.org/ZDB-GENE-141216-120</v>
      </c>
      <c r="E4347" t="s">
        <v>13018</v>
      </c>
    </row>
    <row r="4348" spans="1:5" x14ac:dyDescent="0.2">
      <c r="A4348" t="s">
        <v>13019</v>
      </c>
      <c r="B4348" t="s">
        <v>13020</v>
      </c>
      <c r="C4348" t="s">
        <v>13020</v>
      </c>
      <c r="D4348" t="str">
        <f>HYPERLINK("https://zfin.org/ZDB-GENE-060502-1")</f>
        <v>https://zfin.org/ZDB-GENE-060502-1</v>
      </c>
      <c r="E4348" t="s">
        <v>13021</v>
      </c>
    </row>
    <row r="4349" spans="1:5" x14ac:dyDescent="0.2">
      <c r="A4349" t="s">
        <v>13022</v>
      </c>
      <c r="B4349" t="s">
        <v>13023</v>
      </c>
      <c r="C4349" t="s">
        <v>13023</v>
      </c>
      <c r="D4349" t="str">
        <f>HYPERLINK("https://zfin.org/ZDB-GENE-100618-4")</f>
        <v>https://zfin.org/ZDB-GENE-100618-4</v>
      </c>
      <c r="E4349" t="s">
        <v>13024</v>
      </c>
    </row>
    <row r="4350" spans="1:5" x14ac:dyDescent="0.2">
      <c r="A4350" t="s">
        <v>13025</v>
      </c>
      <c r="B4350" t="s">
        <v>13026</v>
      </c>
      <c r="C4350" t="s">
        <v>13026</v>
      </c>
      <c r="D4350" t="str">
        <f>HYPERLINK("https://zfin.org/ZDB-GENE-041111-41")</f>
        <v>https://zfin.org/ZDB-GENE-041111-41</v>
      </c>
      <c r="E4350" t="s">
        <v>13027</v>
      </c>
    </row>
    <row r="4351" spans="1:5" x14ac:dyDescent="0.2">
      <c r="A4351" t="s">
        <v>13028</v>
      </c>
      <c r="B4351" t="s">
        <v>13029</v>
      </c>
      <c r="C4351" t="s">
        <v>13029</v>
      </c>
      <c r="D4351" t="str">
        <f>HYPERLINK("https://zfin.org/ZDB-GENE-131121-396")</f>
        <v>https://zfin.org/ZDB-GENE-131121-396</v>
      </c>
      <c r="E4351" t="s">
        <v>13030</v>
      </c>
    </row>
    <row r="4352" spans="1:5" x14ac:dyDescent="0.2">
      <c r="A4352" t="s">
        <v>13031</v>
      </c>
      <c r="B4352" t="s">
        <v>13032</v>
      </c>
      <c r="C4352" t="s">
        <v>13032</v>
      </c>
      <c r="D4352" t="str">
        <f>HYPERLINK("https://zfin.org/ZDB-GENE-121227-2")</f>
        <v>https://zfin.org/ZDB-GENE-121227-2</v>
      </c>
      <c r="E4352" t="s">
        <v>13033</v>
      </c>
    </row>
    <row r="4353" spans="1:5" x14ac:dyDescent="0.2">
      <c r="A4353" t="s">
        <v>13034</v>
      </c>
      <c r="B4353" t="s">
        <v>13035</v>
      </c>
      <c r="C4353" t="s">
        <v>13036</v>
      </c>
      <c r="D4353" t="str">
        <f>HYPERLINK("https://zfin.org/ZDB-GENE-030131-9116")</f>
        <v>https://zfin.org/ZDB-GENE-030131-9116</v>
      </c>
      <c r="E4353" t="s">
        <v>13037</v>
      </c>
    </row>
    <row r="4354" spans="1:5" x14ac:dyDescent="0.2">
      <c r="A4354" t="s">
        <v>13038</v>
      </c>
      <c r="B4354" t="s">
        <v>13039</v>
      </c>
      <c r="C4354" t="s">
        <v>13039</v>
      </c>
      <c r="D4354" t="str">
        <f>HYPERLINK("https://zfin.org/ZDB-GENE-040625-52")</f>
        <v>https://zfin.org/ZDB-GENE-040625-52</v>
      </c>
      <c r="E4354" t="s">
        <v>13040</v>
      </c>
    </row>
    <row r="4355" spans="1:5" x14ac:dyDescent="0.2">
      <c r="A4355" t="s">
        <v>13041</v>
      </c>
      <c r="B4355" t="s">
        <v>13042</v>
      </c>
      <c r="C4355" t="s">
        <v>13042</v>
      </c>
      <c r="D4355" t="str">
        <f>HYPERLINK("https://zfin.org/ZDB-GENE-100318-1")</f>
        <v>https://zfin.org/ZDB-GENE-100318-1</v>
      </c>
      <c r="E4355" t="s">
        <v>13043</v>
      </c>
    </row>
    <row r="4356" spans="1:5" x14ac:dyDescent="0.2">
      <c r="A4356" t="s">
        <v>13044</v>
      </c>
      <c r="B4356" t="s">
        <v>13045</v>
      </c>
      <c r="C4356" t="s">
        <v>13045</v>
      </c>
      <c r="D4356" t="str">
        <f>HYPERLINK("https://zfin.org/ZDB-GENE-011213-1")</f>
        <v>https://zfin.org/ZDB-GENE-011213-1</v>
      </c>
      <c r="E4356" t="s">
        <v>13046</v>
      </c>
    </row>
    <row r="4357" spans="1:5" x14ac:dyDescent="0.2">
      <c r="A4357" t="s">
        <v>13047</v>
      </c>
      <c r="B4357" t="s">
        <v>13048</v>
      </c>
      <c r="C4357" t="s">
        <v>13048</v>
      </c>
      <c r="D4357" t="str">
        <f>HYPERLINK("https://zfin.org/ZDB-GENE-030131-2508")</f>
        <v>https://zfin.org/ZDB-GENE-030131-2508</v>
      </c>
      <c r="E4357" t="s">
        <v>13049</v>
      </c>
    </row>
    <row r="4358" spans="1:5" x14ac:dyDescent="0.2">
      <c r="A4358" t="s">
        <v>13050</v>
      </c>
      <c r="B4358" t="s">
        <v>13051</v>
      </c>
      <c r="C4358" t="s">
        <v>13051</v>
      </c>
      <c r="D4358" t="str">
        <f>HYPERLINK("https://zfin.org/ZDB-GENE-040718-465")</f>
        <v>https://zfin.org/ZDB-GENE-040718-465</v>
      </c>
      <c r="E4358" t="s">
        <v>13052</v>
      </c>
    </row>
    <row r="4359" spans="1:5" x14ac:dyDescent="0.2">
      <c r="A4359" t="s">
        <v>13053</v>
      </c>
      <c r="B4359" t="s">
        <v>13054</v>
      </c>
      <c r="C4359" t="s">
        <v>13054</v>
      </c>
      <c r="D4359" t="str">
        <f>HYPERLINK("https://zfin.org/ZDB-GENE-100727-3")</f>
        <v>https://zfin.org/ZDB-GENE-100727-3</v>
      </c>
      <c r="E4359" t="s">
        <v>13055</v>
      </c>
    </row>
    <row r="4360" spans="1:5" x14ac:dyDescent="0.2">
      <c r="A4360" t="s">
        <v>13056</v>
      </c>
      <c r="B4360" t="s">
        <v>13057</v>
      </c>
      <c r="C4360" t="s">
        <v>13057</v>
      </c>
      <c r="D4360" t="str">
        <f>HYPERLINK("https://zfin.org/ZDB-GENE-050417-340")</f>
        <v>https://zfin.org/ZDB-GENE-050417-340</v>
      </c>
      <c r="E4360" t="s">
        <v>13058</v>
      </c>
    </row>
    <row r="4361" spans="1:5" x14ac:dyDescent="0.2">
      <c r="A4361" t="s">
        <v>13059</v>
      </c>
      <c r="B4361" t="s">
        <v>13060</v>
      </c>
      <c r="C4361" t="s">
        <v>13060</v>
      </c>
      <c r="D4361" t="str">
        <f>HYPERLINK("https://zfin.org/ZDB-GENE-091204-115")</f>
        <v>https://zfin.org/ZDB-GENE-091204-115</v>
      </c>
      <c r="E4361" t="s">
        <v>13061</v>
      </c>
    </row>
    <row r="4362" spans="1:5" x14ac:dyDescent="0.2">
      <c r="A4362" t="s">
        <v>13062</v>
      </c>
      <c r="B4362" t="s">
        <v>13063</v>
      </c>
      <c r="C4362" t="s">
        <v>13063</v>
      </c>
      <c r="D4362" t="str">
        <f>HYPERLINK("https://zfin.org/ZDB-GENE-030410-2")</f>
        <v>https://zfin.org/ZDB-GENE-030410-2</v>
      </c>
      <c r="E4362" t="s">
        <v>13064</v>
      </c>
    </row>
    <row r="4363" spans="1:5" x14ac:dyDescent="0.2">
      <c r="A4363" t="s">
        <v>13065</v>
      </c>
      <c r="B4363" t="s">
        <v>13066</v>
      </c>
      <c r="C4363" t="s">
        <v>13066</v>
      </c>
      <c r="D4363" t="str">
        <f>HYPERLINK("https://zfin.org/ZDB-GENE-050417-466")</f>
        <v>https://zfin.org/ZDB-GENE-050417-466</v>
      </c>
      <c r="E4363" t="s">
        <v>13067</v>
      </c>
    </row>
    <row r="4364" spans="1:5" x14ac:dyDescent="0.2">
      <c r="A4364" t="s">
        <v>13068</v>
      </c>
      <c r="B4364" t="s">
        <v>13069</v>
      </c>
      <c r="C4364" t="s">
        <v>13069</v>
      </c>
      <c r="D4364" t="str">
        <f>HYPERLINK("https://zfin.org/ZDB-GENE-091204-29")</f>
        <v>https://zfin.org/ZDB-GENE-091204-29</v>
      </c>
      <c r="E4364" t="s">
        <v>13070</v>
      </c>
    </row>
    <row r="4365" spans="1:5" x14ac:dyDescent="0.2">
      <c r="A4365" t="s">
        <v>13071</v>
      </c>
      <c r="B4365" t="s">
        <v>13072</v>
      </c>
      <c r="C4365" t="s">
        <v>13072</v>
      </c>
      <c r="D4365" t="str">
        <f>HYPERLINK("https://zfin.org/ZDB-GENE-041114-99")</f>
        <v>https://zfin.org/ZDB-GENE-041114-99</v>
      </c>
      <c r="E4365" t="s">
        <v>13073</v>
      </c>
    </row>
    <row r="4366" spans="1:5" x14ac:dyDescent="0.2">
      <c r="A4366" t="s">
        <v>13074</v>
      </c>
      <c r="B4366" t="s">
        <v>13075</v>
      </c>
      <c r="C4366" t="s">
        <v>13075</v>
      </c>
      <c r="D4366" t="str">
        <f>HYPERLINK("https://zfin.org/ZDB-GENE-040808-16")</f>
        <v>https://zfin.org/ZDB-GENE-040808-16</v>
      </c>
      <c r="E4366" t="s">
        <v>13076</v>
      </c>
    </row>
    <row r="4367" spans="1:5" x14ac:dyDescent="0.2">
      <c r="A4367" t="s">
        <v>13077</v>
      </c>
      <c r="B4367" t="s">
        <v>13078</v>
      </c>
      <c r="C4367" t="s">
        <v>13078</v>
      </c>
      <c r="D4367" t="str">
        <f>HYPERLINK("https://zfin.org/ZDB-GENE-001221-1")</f>
        <v>https://zfin.org/ZDB-GENE-001221-1</v>
      </c>
      <c r="E4367" t="s">
        <v>13079</v>
      </c>
    </row>
    <row r="4368" spans="1:5" x14ac:dyDescent="0.2">
      <c r="A4368" t="s">
        <v>13080</v>
      </c>
      <c r="B4368" t="s">
        <v>13081</v>
      </c>
      <c r="C4368" t="s">
        <v>13081</v>
      </c>
      <c r="D4368" t="str">
        <f>HYPERLINK("https://zfin.org/ZDB-GENE-030131-8301")</f>
        <v>https://zfin.org/ZDB-GENE-030131-8301</v>
      </c>
      <c r="E4368" t="s">
        <v>13082</v>
      </c>
    </row>
    <row r="4369" spans="1:5" x14ac:dyDescent="0.2">
      <c r="A4369" t="s">
        <v>13083</v>
      </c>
      <c r="B4369" t="s">
        <v>13084</v>
      </c>
      <c r="C4369" t="s">
        <v>13084</v>
      </c>
      <c r="D4369" t="str">
        <f>HYPERLINK("https://zfin.org/ZDB-GENE-030318-3")</f>
        <v>https://zfin.org/ZDB-GENE-030318-3</v>
      </c>
      <c r="E4369" t="s">
        <v>13085</v>
      </c>
    </row>
    <row r="4370" spans="1:5" x14ac:dyDescent="0.2">
      <c r="A4370" t="s">
        <v>13086</v>
      </c>
      <c r="B4370" t="s">
        <v>13087</v>
      </c>
      <c r="C4370" t="s">
        <v>13087</v>
      </c>
      <c r="D4370" t="str">
        <f>HYPERLINK("https://zfin.org/ZDB-GENE-040429-1")</f>
        <v>https://zfin.org/ZDB-GENE-040429-1</v>
      </c>
      <c r="E4370" t="s">
        <v>13088</v>
      </c>
    </row>
    <row r="4371" spans="1:5" x14ac:dyDescent="0.2">
      <c r="A4371" t="s">
        <v>13089</v>
      </c>
      <c r="B4371" t="s">
        <v>13090</v>
      </c>
      <c r="C4371" t="s">
        <v>13090</v>
      </c>
      <c r="D4371" t="str">
        <f>HYPERLINK("https://zfin.org/ZDB-GENE-050208-439")</f>
        <v>https://zfin.org/ZDB-GENE-050208-439</v>
      </c>
      <c r="E4371" t="s">
        <v>13091</v>
      </c>
    </row>
    <row r="4372" spans="1:5" x14ac:dyDescent="0.2">
      <c r="A4372" t="s">
        <v>13092</v>
      </c>
      <c r="B4372" t="s">
        <v>13093</v>
      </c>
      <c r="C4372" t="s">
        <v>13093</v>
      </c>
      <c r="D4372" t="str">
        <f>HYPERLINK("https://zfin.org/ZDB-GENE-101011-2")</f>
        <v>https://zfin.org/ZDB-GENE-101011-2</v>
      </c>
      <c r="E4372" t="s">
        <v>13094</v>
      </c>
    </row>
    <row r="4373" spans="1:5" x14ac:dyDescent="0.2">
      <c r="A4373" t="s">
        <v>13095</v>
      </c>
      <c r="B4373" t="s">
        <v>13096</v>
      </c>
      <c r="C4373" t="s">
        <v>13096</v>
      </c>
      <c r="D4373" t="str">
        <f>HYPERLINK("https://zfin.org/ZDB-GENE-050417-456")</f>
        <v>https://zfin.org/ZDB-GENE-050417-456</v>
      </c>
      <c r="E4373" t="s">
        <v>13097</v>
      </c>
    </row>
    <row r="4374" spans="1:5" x14ac:dyDescent="0.2">
      <c r="A4374" t="s">
        <v>13098</v>
      </c>
      <c r="B4374" t="s">
        <v>13099</v>
      </c>
      <c r="C4374" t="s">
        <v>13099</v>
      </c>
      <c r="D4374" t="str">
        <f>HYPERLINK("https://zfin.org/ZDB-GENE-050913-54")</f>
        <v>https://zfin.org/ZDB-GENE-050913-54</v>
      </c>
      <c r="E4374" t="s">
        <v>13100</v>
      </c>
    </row>
    <row r="4375" spans="1:5" x14ac:dyDescent="0.2">
      <c r="A4375" t="s">
        <v>13101</v>
      </c>
      <c r="B4375" t="s">
        <v>13102</v>
      </c>
      <c r="C4375" t="s">
        <v>13102</v>
      </c>
      <c r="D4375" t="str">
        <f>HYPERLINK("https://zfin.org/ZDB-GENE-030131-7828")</f>
        <v>https://zfin.org/ZDB-GENE-030131-7828</v>
      </c>
      <c r="E4375" t="s">
        <v>13103</v>
      </c>
    </row>
    <row r="4376" spans="1:5" x14ac:dyDescent="0.2">
      <c r="A4376" t="s">
        <v>13104</v>
      </c>
      <c r="B4376" t="s">
        <v>13105</v>
      </c>
      <c r="C4376" t="s">
        <v>13105</v>
      </c>
      <c r="D4376" t="str">
        <f>HYPERLINK("https://zfin.org/ZDB-GENE-060825-325")</f>
        <v>https://zfin.org/ZDB-GENE-060825-325</v>
      </c>
      <c r="E4376" t="s">
        <v>13106</v>
      </c>
    </row>
    <row r="4377" spans="1:5" x14ac:dyDescent="0.2">
      <c r="A4377" t="s">
        <v>13107</v>
      </c>
      <c r="B4377" t="s">
        <v>13108</v>
      </c>
      <c r="C4377" t="s">
        <v>13108</v>
      </c>
      <c r="D4377" t="str">
        <f>HYPERLINK("https://zfin.org/ZDB-GENE-041008-246")</f>
        <v>https://zfin.org/ZDB-GENE-041008-246</v>
      </c>
      <c r="E4377" t="s">
        <v>13109</v>
      </c>
    </row>
    <row r="4378" spans="1:5" x14ac:dyDescent="0.2">
      <c r="A4378" t="s">
        <v>13110</v>
      </c>
      <c r="B4378" t="s">
        <v>13111</v>
      </c>
      <c r="C4378" t="s">
        <v>13111</v>
      </c>
      <c r="D4378" t="str">
        <f>HYPERLINK("https://zfin.org/ZDB-GENE-131127-366")</f>
        <v>https://zfin.org/ZDB-GENE-131127-366</v>
      </c>
      <c r="E4378" t="s">
        <v>13112</v>
      </c>
    </row>
    <row r="4379" spans="1:5" x14ac:dyDescent="0.2">
      <c r="A4379" t="s">
        <v>13113</v>
      </c>
      <c r="B4379" t="s">
        <v>13114</v>
      </c>
      <c r="C4379" t="s">
        <v>13114</v>
      </c>
      <c r="D4379" t="str">
        <f>HYPERLINK("https://zfin.org/ZDB-GENE-060929-416")</f>
        <v>https://zfin.org/ZDB-GENE-060929-416</v>
      </c>
      <c r="E4379" t="s">
        <v>13115</v>
      </c>
    </row>
    <row r="4380" spans="1:5" x14ac:dyDescent="0.2">
      <c r="A4380" t="s">
        <v>13116</v>
      </c>
      <c r="B4380" t="s">
        <v>13117</v>
      </c>
      <c r="C4380" t="s">
        <v>13117</v>
      </c>
      <c r="D4380" t="str">
        <f>HYPERLINK("https://zfin.org/ZDB-GENE-040426-815")</f>
        <v>https://zfin.org/ZDB-GENE-040426-815</v>
      </c>
      <c r="E4380" t="s">
        <v>13118</v>
      </c>
    </row>
    <row r="4381" spans="1:5" x14ac:dyDescent="0.2">
      <c r="A4381" t="s">
        <v>13119</v>
      </c>
      <c r="B4381" t="s">
        <v>13120</v>
      </c>
      <c r="C4381" t="s">
        <v>13120</v>
      </c>
      <c r="D4381" t="str">
        <f>HYPERLINK("https://zfin.org/ZDB-GENE-030131-3232")</f>
        <v>https://zfin.org/ZDB-GENE-030131-3232</v>
      </c>
      <c r="E4381" t="s">
        <v>13121</v>
      </c>
    </row>
    <row r="4382" spans="1:5" x14ac:dyDescent="0.2">
      <c r="A4382" t="s">
        <v>13122</v>
      </c>
      <c r="B4382" t="s">
        <v>13123</v>
      </c>
      <c r="C4382" t="s">
        <v>13123</v>
      </c>
      <c r="D4382" t="str">
        <f>HYPERLINK("https://zfin.org/ZDB-GENE-040426-1488")</f>
        <v>https://zfin.org/ZDB-GENE-040426-1488</v>
      </c>
      <c r="E4382" t="s">
        <v>13124</v>
      </c>
    </row>
    <row r="4383" spans="1:5" x14ac:dyDescent="0.2">
      <c r="A4383" t="s">
        <v>13125</v>
      </c>
      <c r="B4383" t="s">
        <v>13126</v>
      </c>
      <c r="C4383" t="s">
        <v>13126</v>
      </c>
      <c r="D4383" t="str">
        <f>HYPERLINK("https://zfin.org/ZDB-GENE-041111-206")</f>
        <v>https://zfin.org/ZDB-GENE-041111-206</v>
      </c>
      <c r="E4383" t="s">
        <v>13127</v>
      </c>
    </row>
    <row r="4384" spans="1:5" x14ac:dyDescent="0.2">
      <c r="A4384" t="s">
        <v>13128</v>
      </c>
      <c r="B4384" t="s">
        <v>13129</v>
      </c>
      <c r="C4384" t="s">
        <v>13129</v>
      </c>
      <c r="D4384" t="str">
        <f>HYPERLINK("https://zfin.org/ZDB-GENE-030131-5610")</f>
        <v>https://zfin.org/ZDB-GENE-030131-5610</v>
      </c>
      <c r="E4384" t="s">
        <v>13130</v>
      </c>
    </row>
    <row r="4385" spans="1:5" x14ac:dyDescent="0.2">
      <c r="A4385" t="s">
        <v>13131</v>
      </c>
      <c r="B4385" t="s">
        <v>13132</v>
      </c>
      <c r="C4385" t="s">
        <v>13132</v>
      </c>
      <c r="D4385" t="str">
        <f>HYPERLINK("https://zfin.org/ZDB-GENE-050522-327")</f>
        <v>https://zfin.org/ZDB-GENE-050522-327</v>
      </c>
      <c r="E4385" t="s">
        <v>13133</v>
      </c>
    </row>
    <row r="4386" spans="1:5" x14ac:dyDescent="0.2">
      <c r="A4386" t="s">
        <v>13134</v>
      </c>
      <c r="B4386" t="s">
        <v>13135</v>
      </c>
      <c r="C4386" t="s">
        <v>13135</v>
      </c>
      <c r="D4386" t="str">
        <f>HYPERLINK("https://zfin.org/ZDB-GENE-061013-64")</f>
        <v>https://zfin.org/ZDB-GENE-061013-64</v>
      </c>
      <c r="E4386" t="s">
        <v>13136</v>
      </c>
    </row>
    <row r="4387" spans="1:5" x14ac:dyDescent="0.2">
      <c r="A4387" t="s">
        <v>13137</v>
      </c>
      <c r="B4387" t="s">
        <v>13138</v>
      </c>
      <c r="C4387" t="s">
        <v>13138</v>
      </c>
      <c r="D4387" t="str">
        <f>HYPERLINK("https://zfin.org/ZDB-GENE-980526-466")</f>
        <v>https://zfin.org/ZDB-GENE-980526-466</v>
      </c>
      <c r="E4387" t="s">
        <v>13139</v>
      </c>
    </row>
    <row r="4388" spans="1:5" x14ac:dyDescent="0.2">
      <c r="A4388" t="s">
        <v>13140</v>
      </c>
      <c r="B4388" t="s">
        <v>13141</v>
      </c>
      <c r="C4388" t="s">
        <v>13141</v>
      </c>
      <c r="D4388" t="str">
        <f>HYPERLINK("https://zfin.org/ZDB-GENE-020806-4")</f>
        <v>https://zfin.org/ZDB-GENE-020806-4</v>
      </c>
      <c r="E4388" t="s">
        <v>13142</v>
      </c>
    </row>
    <row r="4389" spans="1:5" x14ac:dyDescent="0.2">
      <c r="A4389" t="s">
        <v>13143</v>
      </c>
      <c r="B4389" t="s">
        <v>13144</v>
      </c>
      <c r="C4389" t="s">
        <v>13144</v>
      </c>
      <c r="D4389" t="str">
        <f>HYPERLINK("https://zfin.org/ZDB-GENE-040822-2")</f>
        <v>https://zfin.org/ZDB-GENE-040822-2</v>
      </c>
      <c r="E4389" t="s">
        <v>13145</v>
      </c>
    </row>
    <row r="4390" spans="1:5" x14ac:dyDescent="0.2">
      <c r="A4390" t="s">
        <v>13146</v>
      </c>
      <c r="B4390" t="s">
        <v>13147</v>
      </c>
      <c r="C4390" t="s">
        <v>13147</v>
      </c>
      <c r="D4390" t="str">
        <f>HYPERLINK("https://zfin.org/ZDB-GENE-030131-9794")</f>
        <v>https://zfin.org/ZDB-GENE-030131-9794</v>
      </c>
      <c r="E4390" t="s">
        <v>13148</v>
      </c>
    </row>
    <row r="4391" spans="1:5" x14ac:dyDescent="0.2">
      <c r="A4391" t="s">
        <v>13149</v>
      </c>
      <c r="B4391" t="s">
        <v>13150</v>
      </c>
      <c r="C4391" t="s">
        <v>13150</v>
      </c>
      <c r="D4391" t="str">
        <f>HYPERLINK("https://zfin.org/ZDB-GENE-091204-275")</f>
        <v>https://zfin.org/ZDB-GENE-091204-275</v>
      </c>
      <c r="E4391" t="s">
        <v>13151</v>
      </c>
    </row>
    <row r="4392" spans="1:5" x14ac:dyDescent="0.2">
      <c r="A4392" t="s">
        <v>13152</v>
      </c>
      <c r="B4392" t="s">
        <v>13153</v>
      </c>
      <c r="C4392" t="s">
        <v>13153</v>
      </c>
      <c r="D4392" t="str">
        <f>HYPERLINK("https://zfin.org/ZDB-GENE-040426-1199")</f>
        <v>https://zfin.org/ZDB-GENE-040426-1199</v>
      </c>
      <c r="E4392" t="s">
        <v>13154</v>
      </c>
    </row>
    <row r="4393" spans="1:5" x14ac:dyDescent="0.2">
      <c r="A4393" t="s">
        <v>13155</v>
      </c>
      <c r="B4393" t="s">
        <v>13156</v>
      </c>
      <c r="C4393" t="s">
        <v>13156</v>
      </c>
      <c r="D4393" t="str">
        <f>HYPERLINK("https://zfin.org/ZDB-GENE-041111-251")</f>
        <v>https://zfin.org/ZDB-GENE-041111-251</v>
      </c>
      <c r="E4393" t="s">
        <v>13157</v>
      </c>
    </row>
    <row r="4394" spans="1:5" x14ac:dyDescent="0.2">
      <c r="A4394" t="s">
        <v>13158</v>
      </c>
      <c r="B4394" t="s">
        <v>13159</v>
      </c>
      <c r="C4394" t="s">
        <v>13159</v>
      </c>
      <c r="D4394" t="str">
        <f>HYPERLINK("https://zfin.org/ZDB-GENE-040426-2872")</f>
        <v>https://zfin.org/ZDB-GENE-040426-2872</v>
      </c>
      <c r="E4394" t="s">
        <v>13160</v>
      </c>
    </row>
    <row r="4395" spans="1:5" x14ac:dyDescent="0.2">
      <c r="A4395" t="s">
        <v>13161</v>
      </c>
      <c r="B4395" t="s">
        <v>13162</v>
      </c>
      <c r="C4395" t="s">
        <v>13162</v>
      </c>
      <c r="D4395" t="str">
        <f>HYPERLINK("https://zfin.org/ZDB-GENE-030131-4270")</f>
        <v>https://zfin.org/ZDB-GENE-030131-4270</v>
      </c>
      <c r="E4395" t="s">
        <v>13163</v>
      </c>
    </row>
    <row r="4396" spans="1:5" x14ac:dyDescent="0.2">
      <c r="A4396" t="s">
        <v>13164</v>
      </c>
      <c r="B4396" t="s">
        <v>13165</v>
      </c>
      <c r="C4396" t="s">
        <v>13165</v>
      </c>
      <c r="D4396" t="str">
        <f>HYPERLINK("https://zfin.org/ZDB-GENE-131118-4")</f>
        <v>https://zfin.org/ZDB-GENE-131118-4</v>
      </c>
      <c r="E4396" t="s">
        <v>13166</v>
      </c>
    </row>
    <row r="4397" spans="1:5" x14ac:dyDescent="0.2">
      <c r="A4397" t="s">
        <v>13167</v>
      </c>
      <c r="B4397" t="s">
        <v>13168</v>
      </c>
      <c r="C4397" t="s">
        <v>13168</v>
      </c>
      <c r="D4397" t="str">
        <f>HYPERLINK("https://zfin.org/ZDB-GENE-050309-118")</f>
        <v>https://zfin.org/ZDB-GENE-050309-118</v>
      </c>
      <c r="E4397" t="s">
        <v>13169</v>
      </c>
    </row>
    <row r="4398" spans="1:5" x14ac:dyDescent="0.2">
      <c r="A4398" t="s">
        <v>13170</v>
      </c>
      <c r="B4398" t="s">
        <v>13171</v>
      </c>
      <c r="C4398" t="s">
        <v>13171</v>
      </c>
      <c r="D4398" t="str">
        <f>HYPERLINK("https://zfin.org/ZDB-GENE-040426-1768")</f>
        <v>https://zfin.org/ZDB-GENE-040426-1768</v>
      </c>
      <c r="E4398" t="s">
        <v>13172</v>
      </c>
    </row>
    <row r="4399" spans="1:5" x14ac:dyDescent="0.2">
      <c r="A4399" t="s">
        <v>13173</v>
      </c>
      <c r="B4399" t="s">
        <v>13174</v>
      </c>
      <c r="C4399" t="s">
        <v>13174</v>
      </c>
      <c r="D4399" t="str">
        <f>HYPERLINK("https://zfin.org/ZDB-GENE-040426-1589")</f>
        <v>https://zfin.org/ZDB-GENE-040426-1589</v>
      </c>
      <c r="E4399" t="s">
        <v>13175</v>
      </c>
    </row>
    <row r="4400" spans="1:5" x14ac:dyDescent="0.2">
      <c r="A4400" t="s">
        <v>13176</v>
      </c>
      <c r="B4400" t="s">
        <v>13177</v>
      </c>
      <c r="C4400" t="s">
        <v>13177</v>
      </c>
      <c r="D4400" t="str">
        <f>HYPERLINK("https://zfin.org/ZDB-GENE-030131-9654")</f>
        <v>https://zfin.org/ZDB-GENE-030131-9654</v>
      </c>
      <c r="E4400" t="s">
        <v>13178</v>
      </c>
    </row>
    <row r="4401" spans="1:5" x14ac:dyDescent="0.2">
      <c r="A4401" t="s">
        <v>13179</v>
      </c>
      <c r="B4401" t="s">
        <v>13180</v>
      </c>
      <c r="C4401" t="s">
        <v>13180</v>
      </c>
      <c r="D4401" t="str">
        <f>HYPERLINK("https://zfin.org/ZDB-GENE-040426-795")</f>
        <v>https://zfin.org/ZDB-GENE-040426-795</v>
      </c>
      <c r="E4401" t="s">
        <v>13181</v>
      </c>
    </row>
    <row r="4402" spans="1:5" x14ac:dyDescent="0.2">
      <c r="A4402" t="s">
        <v>13182</v>
      </c>
      <c r="B4402" t="s">
        <v>13183</v>
      </c>
      <c r="C4402" t="s">
        <v>13183</v>
      </c>
      <c r="D4402" t="str">
        <f>HYPERLINK("https://zfin.org/ZDB-GENE-061027-39")</f>
        <v>https://zfin.org/ZDB-GENE-061027-39</v>
      </c>
      <c r="E4402" t="s">
        <v>13184</v>
      </c>
    </row>
    <row r="4403" spans="1:5" x14ac:dyDescent="0.2">
      <c r="A4403" t="s">
        <v>13185</v>
      </c>
      <c r="B4403" t="s">
        <v>13186</v>
      </c>
      <c r="C4403" t="s">
        <v>13186</v>
      </c>
      <c r="D4403" t="str">
        <f>HYPERLINK("https://zfin.org/ZDB-GENE-060616-1")</f>
        <v>https://zfin.org/ZDB-GENE-060616-1</v>
      </c>
      <c r="E4403" t="s">
        <v>13187</v>
      </c>
    </row>
    <row r="4404" spans="1:5" x14ac:dyDescent="0.2">
      <c r="A4404" t="s">
        <v>13188</v>
      </c>
      <c r="B4404" t="s">
        <v>13189</v>
      </c>
      <c r="C4404" t="s">
        <v>13189</v>
      </c>
      <c r="D4404" t="str">
        <f>HYPERLINK("https://zfin.org/ZDB-GENE-040426-1881")</f>
        <v>https://zfin.org/ZDB-GENE-040426-1881</v>
      </c>
      <c r="E4404" t="s">
        <v>13190</v>
      </c>
    </row>
    <row r="4405" spans="1:5" x14ac:dyDescent="0.2">
      <c r="A4405" t="s">
        <v>13191</v>
      </c>
      <c r="B4405" t="s">
        <v>13192</v>
      </c>
      <c r="C4405" t="s">
        <v>13192</v>
      </c>
      <c r="D4405" t="str">
        <f>HYPERLINK("https://zfin.org/ZDB-GENE-030616-40")</f>
        <v>https://zfin.org/ZDB-GENE-030616-40</v>
      </c>
      <c r="E4405" t="s">
        <v>13193</v>
      </c>
    </row>
    <row r="4406" spans="1:5" x14ac:dyDescent="0.2">
      <c r="A4406" t="s">
        <v>13194</v>
      </c>
      <c r="B4406" t="s">
        <v>13195</v>
      </c>
      <c r="C4406" t="s">
        <v>13195</v>
      </c>
      <c r="D4406" t="str">
        <f>HYPERLINK("https://zfin.org/ZDB-GENE-050522-197")</f>
        <v>https://zfin.org/ZDB-GENE-050522-197</v>
      </c>
      <c r="E4406" t="s">
        <v>13196</v>
      </c>
    </row>
    <row r="4407" spans="1:5" x14ac:dyDescent="0.2">
      <c r="A4407" t="s">
        <v>13197</v>
      </c>
      <c r="B4407" t="s">
        <v>13198</v>
      </c>
      <c r="C4407" t="s">
        <v>13198</v>
      </c>
      <c r="D4407" t="str">
        <f>HYPERLINK("https://zfin.org/ZDB-GENE-090313-74")</f>
        <v>https://zfin.org/ZDB-GENE-090313-74</v>
      </c>
      <c r="E4407" t="s">
        <v>13199</v>
      </c>
    </row>
    <row r="4408" spans="1:5" x14ac:dyDescent="0.2">
      <c r="A4408" t="s">
        <v>13200</v>
      </c>
      <c r="B4408" t="s">
        <v>13201</v>
      </c>
      <c r="C4408" t="s">
        <v>13201</v>
      </c>
      <c r="D4408" t="str">
        <f>HYPERLINK("https://zfin.org/ZDB-GENE-040426-930")</f>
        <v>https://zfin.org/ZDB-GENE-040426-930</v>
      </c>
      <c r="E4408" t="s">
        <v>13202</v>
      </c>
    </row>
    <row r="4409" spans="1:5" x14ac:dyDescent="0.2">
      <c r="A4409" t="s">
        <v>13203</v>
      </c>
      <c r="B4409" t="s">
        <v>13204</v>
      </c>
      <c r="C4409" t="s">
        <v>13204</v>
      </c>
      <c r="D4409" t="str">
        <f>HYPERLINK("https://zfin.org/ZDB-GENE-030707-1")</f>
        <v>https://zfin.org/ZDB-GENE-030707-1</v>
      </c>
      <c r="E4409" t="s">
        <v>13205</v>
      </c>
    </row>
    <row r="4410" spans="1:5" x14ac:dyDescent="0.2">
      <c r="A4410" t="s">
        <v>13206</v>
      </c>
      <c r="B4410" t="s">
        <v>13207</v>
      </c>
      <c r="C4410" t="s">
        <v>13207</v>
      </c>
      <c r="D4410" t="str">
        <f>HYPERLINK("https://zfin.org/ZDB-GENE-081104-194")</f>
        <v>https://zfin.org/ZDB-GENE-081104-194</v>
      </c>
      <c r="E4410" t="s">
        <v>13208</v>
      </c>
    </row>
    <row r="4411" spans="1:5" x14ac:dyDescent="0.2">
      <c r="A4411" t="s">
        <v>13209</v>
      </c>
      <c r="B4411" t="s">
        <v>13210</v>
      </c>
      <c r="C4411" t="s">
        <v>13210</v>
      </c>
      <c r="D4411" t="str">
        <f>HYPERLINK("https://zfin.org/ZDB-GENE-121214-26")</f>
        <v>https://zfin.org/ZDB-GENE-121214-26</v>
      </c>
      <c r="E4411" t="s">
        <v>13211</v>
      </c>
    </row>
    <row r="4412" spans="1:5" x14ac:dyDescent="0.2">
      <c r="A4412" t="s">
        <v>13212</v>
      </c>
      <c r="B4412" t="s">
        <v>13213</v>
      </c>
      <c r="C4412" t="s">
        <v>13213</v>
      </c>
      <c r="D4412" t="str">
        <f>HYPERLINK("https://zfin.org/ZDB-GENE-040426-1561")</f>
        <v>https://zfin.org/ZDB-GENE-040426-1561</v>
      </c>
      <c r="E4412" t="s">
        <v>13214</v>
      </c>
    </row>
    <row r="4413" spans="1:5" x14ac:dyDescent="0.2">
      <c r="A4413" t="s">
        <v>13215</v>
      </c>
      <c r="B4413" t="s">
        <v>13216</v>
      </c>
      <c r="C4413" t="s">
        <v>13216</v>
      </c>
      <c r="D4413" t="str">
        <f>HYPERLINK("https://zfin.org/ZDB-GENE-060929-840")</f>
        <v>https://zfin.org/ZDB-GENE-060929-840</v>
      </c>
      <c r="E4413" t="s">
        <v>13217</v>
      </c>
    </row>
    <row r="4414" spans="1:5" x14ac:dyDescent="0.2">
      <c r="A4414" t="s">
        <v>13218</v>
      </c>
      <c r="B4414" t="s">
        <v>13219</v>
      </c>
      <c r="C4414" t="s">
        <v>13219</v>
      </c>
      <c r="D4414" t="str">
        <f>HYPERLINK("https://zfin.org/ZDB-GENE-160113-64")</f>
        <v>https://zfin.org/ZDB-GENE-160113-64</v>
      </c>
      <c r="E4414" t="s">
        <v>13220</v>
      </c>
    </row>
    <row r="4415" spans="1:5" x14ac:dyDescent="0.2">
      <c r="A4415" t="s">
        <v>13221</v>
      </c>
      <c r="B4415" t="s">
        <v>13222</v>
      </c>
      <c r="C4415" t="s">
        <v>13222</v>
      </c>
      <c r="D4415" t="str">
        <f>HYPERLINK("https://zfin.org/ZDB-GENE-060503-331")</f>
        <v>https://zfin.org/ZDB-GENE-060503-331</v>
      </c>
      <c r="E4415" t="s">
        <v>13223</v>
      </c>
    </row>
    <row r="4416" spans="1:5" x14ac:dyDescent="0.2">
      <c r="A4416" t="s">
        <v>13224</v>
      </c>
      <c r="B4416" t="s">
        <v>13225</v>
      </c>
      <c r="C4416" t="s">
        <v>13225</v>
      </c>
      <c r="D4416" t="str">
        <f>HYPERLINK("https://zfin.org/ZDB-GENE-041014-190")</f>
        <v>https://zfin.org/ZDB-GENE-041014-190</v>
      </c>
      <c r="E4416" t="s">
        <v>13226</v>
      </c>
    </row>
    <row r="4417" spans="1:5" x14ac:dyDescent="0.2">
      <c r="A4417" t="s">
        <v>13227</v>
      </c>
      <c r="B4417" t="s">
        <v>13228</v>
      </c>
      <c r="C4417" t="s">
        <v>13228</v>
      </c>
      <c r="D4417" t="str">
        <f>HYPERLINK("https://zfin.org/ZDB-GENE-061103-46")</f>
        <v>https://zfin.org/ZDB-GENE-061103-46</v>
      </c>
      <c r="E4417" t="s">
        <v>13229</v>
      </c>
    </row>
    <row r="4418" spans="1:5" x14ac:dyDescent="0.2">
      <c r="A4418" t="s">
        <v>13230</v>
      </c>
      <c r="B4418" t="s">
        <v>13231</v>
      </c>
      <c r="C4418" t="s">
        <v>13231</v>
      </c>
      <c r="D4418" t="str">
        <f>HYPERLINK("https://zfin.org/ZDB-GENE-030410-4")</f>
        <v>https://zfin.org/ZDB-GENE-030410-4</v>
      </c>
      <c r="E4418" t="s">
        <v>13232</v>
      </c>
    </row>
    <row r="4419" spans="1:5" x14ac:dyDescent="0.2">
      <c r="A4419" t="s">
        <v>13233</v>
      </c>
      <c r="B4419" t="s">
        <v>13234</v>
      </c>
      <c r="C4419" t="s">
        <v>13234</v>
      </c>
      <c r="D4419" t="str">
        <f>HYPERLINK("https://zfin.org/ZDB-GENE-091204-127")</f>
        <v>https://zfin.org/ZDB-GENE-091204-127</v>
      </c>
      <c r="E4419" t="s">
        <v>13235</v>
      </c>
    </row>
    <row r="4420" spans="1:5" x14ac:dyDescent="0.2">
      <c r="A4420" t="s">
        <v>13236</v>
      </c>
      <c r="B4420" t="s">
        <v>13237</v>
      </c>
      <c r="C4420" t="s">
        <v>13237</v>
      </c>
      <c r="D4420" t="str">
        <f>HYPERLINK("https://zfin.org/ZDB-GENE-040718-226")</f>
        <v>https://zfin.org/ZDB-GENE-040718-226</v>
      </c>
      <c r="E4420" t="s">
        <v>13238</v>
      </c>
    </row>
    <row r="4421" spans="1:5" x14ac:dyDescent="0.2">
      <c r="A4421" t="s">
        <v>13239</v>
      </c>
      <c r="B4421" t="s">
        <v>13240</v>
      </c>
      <c r="C4421" t="s">
        <v>13240</v>
      </c>
      <c r="D4421" t="str">
        <f>HYPERLINK("https://zfin.org/ZDB-GENE-041212-19")</f>
        <v>https://zfin.org/ZDB-GENE-041212-19</v>
      </c>
      <c r="E4421" t="s">
        <v>13241</v>
      </c>
    </row>
    <row r="4422" spans="1:5" x14ac:dyDescent="0.2">
      <c r="A4422" t="s">
        <v>13242</v>
      </c>
      <c r="B4422" t="s">
        <v>13243</v>
      </c>
      <c r="C4422" t="s">
        <v>13243</v>
      </c>
      <c r="D4422" t="str">
        <f>HYPERLINK("https://zfin.org/ZDB-GENE-090313-177")</f>
        <v>https://zfin.org/ZDB-GENE-090313-177</v>
      </c>
      <c r="E4422" t="s">
        <v>13244</v>
      </c>
    </row>
    <row r="4423" spans="1:5" x14ac:dyDescent="0.2">
      <c r="A4423" t="s">
        <v>13245</v>
      </c>
      <c r="B4423" t="s">
        <v>13246</v>
      </c>
      <c r="C4423" t="s">
        <v>13246</v>
      </c>
      <c r="D4423" t="str">
        <f>HYPERLINK("https://zfin.org/ZDB-GENE-070112-612")</f>
        <v>https://zfin.org/ZDB-GENE-070112-612</v>
      </c>
      <c r="E4423" t="s">
        <v>13247</v>
      </c>
    </row>
    <row r="4424" spans="1:5" x14ac:dyDescent="0.2">
      <c r="A4424" t="s">
        <v>13248</v>
      </c>
      <c r="B4424" t="s">
        <v>13249</v>
      </c>
      <c r="C4424" t="s">
        <v>13249</v>
      </c>
      <c r="D4424" t="str">
        <f>HYPERLINK("https://zfin.org/ZDB-GENE-030131-4627")</f>
        <v>https://zfin.org/ZDB-GENE-030131-4627</v>
      </c>
      <c r="E4424" t="s">
        <v>13250</v>
      </c>
    </row>
    <row r="4425" spans="1:5" x14ac:dyDescent="0.2">
      <c r="A4425" t="s">
        <v>13251</v>
      </c>
      <c r="B4425" t="s">
        <v>13252</v>
      </c>
      <c r="C4425" t="s">
        <v>13252</v>
      </c>
      <c r="D4425" t="str">
        <f>HYPERLINK("https://zfin.org/ZDB-GENE-050419-82")</f>
        <v>https://zfin.org/ZDB-GENE-050419-82</v>
      </c>
      <c r="E4425" t="s">
        <v>13253</v>
      </c>
    </row>
    <row r="4426" spans="1:5" x14ac:dyDescent="0.2">
      <c r="A4426" t="s">
        <v>13254</v>
      </c>
      <c r="B4426" t="s">
        <v>13255</v>
      </c>
      <c r="C4426" t="s">
        <v>13255</v>
      </c>
      <c r="D4426" t="str">
        <f>HYPERLINK("https://zfin.org/ZDB-GENE-060503-231")</f>
        <v>https://zfin.org/ZDB-GENE-060503-231</v>
      </c>
      <c r="E4426" t="s">
        <v>13256</v>
      </c>
    </row>
    <row r="4427" spans="1:5" x14ac:dyDescent="0.2">
      <c r="A4427" t="s">
        <v>13257</v>
      </c>
      <c r="B4427" t="s">
        <v>13207</v>
      </c>
      <c r="C4427" t="s">
        <v>13258</v>
      </c>
      <c r="D4427" t="str">
        <f>HYPERLINK("https://zfin.org/ZDB-GENE-081104-194")</f>
        <v>https://zfin.org/ZDB-GENE-081104-194</v>
      </c>
      <c r="E4427" t="s">
        <v>13208</v>
      </c>
    </row>
    <row r="4428" spans="1:5" x14ac:dyDescent="0.2">
      <c r="A4428" t="s">
        <v>13259</v>
      </c>
      <c r="B4428" t="s">
        <v>13260</v>
      </c>
      <c r="C4428" t="s">
        <v>13260</v>
      </c>
      <c r="D4428" t="str">
        <f>HYPERLINK("https://zfin.org/ZDB-GENE-131119-67")</f>
        <v>https://zfin.org/ZDB-GENE-131119-67</v>
      </c>
      <c r="E4428" t="s">
        <v>13261</v>
      </c>
    </row>
    <row r="4429" spans="1:5" x14ac:dyDescent="0.2">
      <c r="A4429" t="s">
        <v>13262</v>
      </c>
      <c r="B4429" t="s">
        <v>13263</v>
      </c>
      <c r="C4429" t="s">
        <v>13263</v>
      </c>
      <c r="D4429" t="str">
        <f>HYPERLINK("https://zfin.org/ZDB-GENE-041210-8")</f>
        <v>https://zfin.org/ZDB-GENE-041210-8</v>
      </c>
      <c r="E4429" t="s">
        <v>13264</v>
      </c>
    </row>
    <row r="4430" spans="1:5" x14ac:dyDescent="0.2">
      <c r="A4430" t="s">
        <v>13265</v>
      </c>
      <c r="B4430" t="s">
        <v>13266</v>
      </c>
      <c r="C4430" t="s">
        <v>13266</v>
      </c>
      <c r="D4430" t="str">
        <f>HYPERLINK("https://zfin.org/ZDB-GENE-030131-2196")</f>
        <v>https://zfin.org/ZDB-GENE-030131-2196</v>
      </c>
      <c r="E4430" t="s">
        <v>13267</v>
      </c>
    </row>
    <row r="4431" spans="1:5" x14ac:dyDescent="0.2">
      <c r="A4431" t="s">
        <v>13268</v>
      </c>
      <c r="B4431" t="s">
        <v>13269</v>
      </c>
      <c r="C4431" t="s">
        <v>13269</v>
      </c>
      <c r="D4431" t="str">
        <f>HYPERLINK("https://zfin.org/ZDB-GENE-030131-8615")</f>
        <v>https://zfin.org/ZDB-GENE-030131-8615</v>
      </c>
      <c r="E4431" t="s">
        <v>13270</v>
      </c>
    </row>
    <row r="4432" spans="1:5" x14ac:dyDescent="0.2">
      <c r="A4432" t="s">
        <v>13271</v>
      </c>
      <c r="B4432" t="s">
        <v>13272</v>
      </c>
      <c r="C4432" t="s">
        <v>13272</v>
      </c>
      <c r="D4432" t="str">
        <f>HYPERLINK("https://zfin.org/ZDB-GENE-040724-60")</f>
        <v>https://zfin.org/ZDB-GENE-040724-60</v>
      </c>
      <c r="E4432" t="s">
        <v>13273</v>
      </c>
    </row>
    <row r="4433" spans="1:5" x14ac:dyDescent="0.2">
      <c r="A4433" t="s">
        <v>13274</v>
      </c>
      <c r="B4433" t="s">
        <v>13275</v>
      </c>
      <c r="C4433" t="s">
        <v>13275</v>
      </c>
      <c r="D4433" t="str">
        <f>HYPERLINK("https://zfin.org/ZDB-GENE-120720-2")</f>
        <v>https://zfin.org/ZDB-GENE-120720-2</v>
      </c>
      <c r="E4433" t="s">
        <v>13276</v>
      </c>
    </row>
    <row r="4434" spans="1:5" x14ac:dyDescent="0.2">
      <c r="A4434" t="s">
        <v>13277</v>
      </c>
      <c r="B4434" t="s">
        <v>13278</v>
      </c>
      <c r="C4434" t="s">
        <v>13278</v>
      </c>
      <c r="D4434" t="str">
        <f>HYPERLINK("https://zfin.org/ZDB-GENE-050320-111")</f>
        <v>https://zfin.org/ZDB-GENE-050320-111</v>
      </c>
      <c r="E4434" t="s">
        <v>13279</v>
      </c>
    </row>
    <row r="4435" spans="1:5" x14ac:dyDescent="0.2">
      <c r="A4435" t="s">
        <v>13280</v>
      </c>
      <c r="B4435" t="s">
        <v>13281</v>
      </c>
      <c r="C4435" t="s">
        <v>13281</v>
      </c>
      <c r="D4435" t="str">
        <f>HYPERLINK("https://zfin.org/ZDB-GENE-040426-1842")</f>
        <v>https://zfin.org/ZDB-GENE-040426-1842</v>
      </c>
      <c r="E4435" t="s">
        <v>13282</v>
      </c>
    </row>
    <row r="4436" spans="1:5" x14ac:dyDescent="0.2">
      <c r="A4436" t="s">
        <v>13283</v>
      </c>
      <c r="B4436" t="s">
        <v>13284</v>
      </c>
      <c r="C4436" t="s">
        <v>13284</v>
      </c>
      <c r="D4436" t="str">
        <f>HYPERLINK("https://zfin.org/ZDB-GENE-131125-7")</f>
        <v>https://zfin.org/ZDB-GENE-131125-7</v>
      </c>
      <c r="E4436" t="s">
        <v>13285</v>
      </c>
    </row>
    <row r="4437" spans="1:5" x14ac:dyDescent="0.2">
      <c r="A4437" t="s">
        <v>13286</v>
      </c>
      <c r="B4437" t="s">
        <v>13287</v>
      </c>
      <c r="C4437" t="s">
        <v>13287</v>
      </c>
      <c r="D4437" t="str">
        <f>HYPERLINK("https://zfin.org/ZDB-GENE-070705-309")</f>
        <v>https://zfin.org/ZDB-GENE-070705-309</v>
      </c>
      <c r="E4437" t="s">
        <v>13288</v>
      </c>
    </row>
    <row r="4438" spans="1:5" x14ac:dyDescent="0.2">
      <c r="A4438" t="s">
        <v>13289</v>
      </c>
      <c r="B4438" t="s">
        <v>13290</v>
      </c>
      <c r="C4438" t="s">
        <v>13290</v>
      </c>
      <c r="D4438" t="str">
        <f>HYPERLINK("https://zfin.org/ZDB-GENE-120104-1")</f>
        <v>https://zfin.org/ZDB-GENE-120104-1</v>
      </c>
      <c r="E4438" t="s">
        <v>13291</v>
      </c>
    </row>
    <row r="4439" spans="1:5" x14ac:dyDescent="0.2">
      <c r="A4439" t="s">
        <v>13292</v>
      </c>
      <c r="B4439" t="s">
        <v>13293</v>
      </c>
      <c r="C4439" t="s">
        <v>13293</v>
      </c>
      <c r="D4439" t="str">
        <f>HYPERLINK("https://zfin.org/ZDB-GENE-070112-652")</f>
        <v>https://zfin.org/ZDB-GENE-070112-652</v>
      </c>
      <c r="E4439" t="s">
        <v>13294</v>
      </c>
    </row>
    <row r="4440" spans="1:5" x14ac:dyDescent="0.2">
      <c r="A4440" t="s">
        <v>13295</v>
      </c>
      <c r="B4440" t="s">
        <v>13296</v>
      </c>
      <c r="C4440" t="s">
        <v>13296</v>
      </c>
      <c r="D4440" t="str">
        <f>HYPERLINK("https://zfin.org/ZDB-GENE-031118-30")</f>
        <v>https://zfin.org/ZDB-GENE-031118-30</v>
      </c>
      <c r="E4440" t="s">
        <v>13297</v>
      </c>
    </row>
    <row r="4441" spans="1:5" x14ac:dyDescent="0.2">
      <c r="A4441" t="s">
        <v>13298</v>
      </c>
      <c r="B4441" t="s">
        <v>13299</v>
      </c>
      <c r="C4441" t="s">
        <v>13299</v>
      </c>
      <c r="D4441" t="str">
        <f>HYPERLINK("https://zfin.org/ZDB-GENE-001208-4")</f>
        <v>https://zfin.org/ZDB-GENE-001208-4</v>
      </c>
      <c r="E4441" t="s">
        <v>13300</v>
      </c>
    </row>
    <row r="4442" spans="1:5" x14ac:dyDescent="0.2">
      <c r="A4442" t="s">
        <v>13301</v>
      </c>
      <c r="B4442" t="s">
        <v>13302</v>
      </c>
      <c r="C4442" t="s">
        <v>13302</v>
      </c>
      <c r="D4442" t="str">
        <f>HYPERLINK("https://zfin.org/ZDB-GENE-030131-9653")</f>
        <v>https://zfin.org/ZDB-GENE-030131-9653</v>
      </c>
      <c r="E4442" t="s">
        <v>13303</v>
      </c>
    </row>
    <row r="4443" spans="1:5" x14ac:dyDescent="0.2">
      <c r="A4443" t="s">
        <v>13304</v>
      </c>
      <c r="B4443" t="s">
        <v>13305</v>
      </c>
      <c r="C4443" t="s">
        <v>13305</v>
      </c>
      <c r="D4443" t="str">
        <f>HYPERLINK("https://zfin.org/ZDB-GENE-130530-599")</f>
        <v>https://zfin.org/ZDB-GENE-130530-599</v>
      </c>
      <c r="E4443" t="s">
        <v>13306</v>
      </c>
    </row>
    <row r="4444" spans="1:5" x14ac:dyDescent="0.2">
      <c r="A4444" t="s">
        <v>13307</v>
      </c>
      <c r="B4444" t="s">
        <v>13308</v>
      </c>
      <c r="C4444" t="s">
        <v>13308</v>
      </c>
      <c r="D4444" t="str">
        <f>HYPERLINK("https://zfin.org/ZDB-GENE-061103-64")</f>
        <v>https://zfin.org/ZDB-GENE-061103-64</v>
      </c>
      <c r="E4444" t="s">
        <v>13309</v>
      </c>
    </row>
    <row r="4445" spans="1:5" x14ac:dyDescent="0.2">
      <c r="A4445" t="s">
        <v>13310</v>
      </c>
      <c r="B4445" t="s">
        <v>13311</v>
      </c>
      <c r="C4445" t="s">
        <v>13311</v>
      </c>
      <c r="D4445" t="str">
        <f>HYPERLINK("https://zfin.org/ZDB-GENE-050417-228")</f>
        <v>https://zfin.org/ZDB-GENE-050417-228</v>
      </c>
      <c r="E4445" t="s">
        <v>13312</v>
      </c>
    </row>
    <row r="4446" spans="1:5" x14ac:dyDescent="0.2">
      <c r="A4446" t="s">
        <v>13313</v>
      </c>
      <c r="B4446" t="s">
        <v>13314</v>
      </c>
      <c r="C4446" t="s">
        <v>13314</v>
      </c>
      <c r="D4446" t="str">
        <f>HYPERLINK("https://zfin.org/ZDB-GENE-041222-2")</f>
        <v>https://zfin.org/ZDB-GENE-041222-2</v>
      </c>
      <c r="E4446" t="s">
        <v>13315</v>
      </c>
    </row>
    <row r="4447" spans="1:5" x14ac:dyDescent="0.2">
      <c r="A4447" t="s">
        <v>13316</v>
      </c>
      <c r="B4447" t="s">
        <v>13317</v>
      </c>
      <c r="C4447" t="s">
        <v>13317</v>
      </c>
      <c r="D4447" t="str">
        <f>HYPERLINK("https://zfin.org/ZDB-GENE-110815-3")</f>
        <v>https://zfin.org/ZDB-GENE-110815-3</v>
      </c>
      <c r="E4447" t="s">
        <v>13318</v>
      </c>
    </row>
    <row r="4448" spans="1:5" x14ac:dyDescent="0.2">
      <c r="A4448" t="s">
        <v>13319</v>
      </c>
      <c r="B4448" t="s">
        <v>13320</v>
      </c>
      <c r="C4448" t="s">
        <v>13320</v>
      </c>
      <c r="D4448" t="str">
        <f>HYPERLINK("https://zfin.org/ZDB-GENE-030131-9542")</f>
        <v>https://zfin.org/ZDB-GENE-030131-9542</v>
      </c>
      <c r="E4448" t="s">
        <v>13321</v>
      </c>
    </row>
    <row r="4449" spans="1:5" x14ac:dyDescent="0.2">
      <c r="A4449" t="s">
        <v>13322</v>
      </c>
      <c r="B4449" t="s">
        <v>13323</v>
      </c>
      <c r="C4449" t="s">
        <v>13323</v>
      </c>
      <c r="D4449" t="str">
        <f>HYPERLINK("https://zfin.org/ZDB-GENE-080521-3")</f>
        <v>https://zfin.org/ZDB-GENE-080521-3</v>
      </c>
      <c r="E4449" t="s">
        <v>13324</v>
      </c>
    </row>
    <row r="4450" spans="1:5" x14ac:dyDescent="0.2">
      <c r="A4450" t="s">
        <v>13325</v>
      </c>
      <c r="B4450" t="s">
        <v>13326</v>
      </c>
      <c r="C4450" t="s">
        <v>13326</v>
      </c>
      <c r="D4450" t="str">
        <f>HYPERLINK("https://zfin.org/ZDB-GENE-070705-156")</f>
        <v>https://zfin.org/ZDB-GENE-070705-156</v>
      </c>
      <c r="E4450" t="s">
        <v>13327</v>
      </c>
    </row>
    <row r="4451" spans="1:5" x14ac:dyDescent="0.2">
      <c r="A4451" t="s">
        <v>13328</v>
      </c>
      <c r="B4451" t="s">
        <v>13329</v>
      </c>
      <c r="C4451" t="s">
        <v>13329</v>
      </c>
      <c r="D4451" t="str">
        <f>HYPERLINK("https://zfin.org/ZDB-GENE-060503-148")</f>
        <v>https://zfin.org/ZDB-GENE-060503-148</v>
      </c>
      <c r="E4451" t="s">
        <v>13330</v>
      </c>
    </row>
    <row r="4452" spans="1:5" x14ac:dyDescent="0.2">
      <c r="A4452" t="s">
        <v>13331</v>
      </c>
      <c r="B4452" t="s">
        <v>13332</v>
      </c>
      <c r="C4452" t="s">
        <v>13332</v>
      </c>
      <c r="D4452" t="str">
        <f>HYPERLINK("https://zfin.org/ZDB-GENE-031114-2")</f>
        <v>https://zfin.org/ZDB-GENE-031114-2</v>
      </c>
      <c r="E4452" t="s">
        <v>13333</v>
      </c>
    </row>
    <row r="4453" spans="1:5" x14ac:dyDescent="0.2">
      <c r="A4453" t="s">
        <v>13334</v>
      </c>
      <c r="B4453" t="s">
        <v>13335</v>
      </c>
      <c r="C4453" t="s">
        <v>13335</v>
      </c>
      <c r="D4453" t="str">
        <f>HYPERLINK("https://zfin.org/ZDB-GENE-040630-4")</f>
        <v>https://zfin.org/ZDB-GENE-040630-4</v>
      </c>
      <c r="E4453" t="s">
        <v>13336</v>
      </c>
    </row>
    <row r="4454" spans="1:5" x14ac:dyDescent="0.2">
      <c r="A4454" t="s">
        <v>13337</v>
      </c>
      <c r="B4454" t="s">
        <v>13338</v>
      </c>
      <c r="C4454" t="s">
        <v>13338</v>
      </c>
      <c r="D4454" t="str">
        <f>HYPERLINK("https://zfin.org/ZDB-GENE-090312-146")</f>
        <v>https://zfin.org/ZDB-GENE-090312-146</v>
      </c>
      <c r="E4454" t="s">
        <v>13339</v>
      </c>
    </row>
    <row r="4455" spans="1:5" x14ac:dyDescent="0.2">
      <c r="A4455" t="s">
        <v>13340</v>
      </c>
      <c r="B4455" t="s">
        <v>13341</v>
      </c>
      <c r="C4455" t="s">
        <v>13341</v>
      </c>
      <c r="D4455" t="str">
        <f>HYPERLINK("https://zfin.org/ZDB-GENE-070424-114")</f>
        <v>https://zfin.org/ZDB-GENE-070424-114</v>
      </c>
      <c r="E4455" t="s">
        <v>13342</v>
      </c>
    </row>
    <row r="4456" spans="1:5" x14ac:dyDescent="0.2">
      <c r="A4456" t="s">
        <v>13343</v>
      </c>
      <c r="B4456" t="s">
        <v>13344</v>
      </c>
      <c r="C4456" t="s">
        <v>13344</v>
      </c>
      <c r="D4456" t="str">
        <f>HYPERLINK("https://zfin.org/ZDB-GENE-060601-4")</f>
        <v>https://zfin.org/ZDB-GENE-060601-4</v>
      </c>
      <c r="E4456" t="s">
        <v>13345</v>
      </c>
    </row>
    <row r="4457" spans="1:5" x14ac:dyDescent="0.2">
      <c r="A4457" t="s">
        <v>13346</v>
      </c>
      <c r="B4457" t="s">
        <v>13347</v>
      </c>
      <c r="C4457" t="s">
        <v>13347</v>
      </c>
      <c r="D4457" t="str">
        <f>HYPERLINK("https://zfin.org/ZDB-GENE-060531-140")</f>
        <v>https://zfin.org/ZDB-GENE-060531-140</v>
      </c>
      <c r="E4457" t="s">
        <v>13348</v>
      </c>
    </row>
    <row r="4458" spans="1:5" x14ac:dyDescent="0.2">
      <c r="A4458" t="s">
        <v>13349</v>
      </c>
      <c r="B4458" t="s">
        <v>13350</v>
      </c>
      <c r="C4458" t="s">
        <v>13350</v>
      </c>
      <c r="D4458" t="str">
        <f>HYPERLINK("https://zfin.org/ZDB-GENE-131121-596")</f>
        <v>https://zfin.org/ZDB-GENE-131121-596</v>
      </c>
      <c r="E4458" t="s">
        <v>13351</v>
      </c>
    </row>
    <row r="4459" spans="1:5" x14ac:dyDescent="0.2">
      <c r="A4459" t="s">
        <v>13352</v>
      </c>
      <c r="B4459" t="s">
        <v>13353</v>
      </c>
      <c r="C4459" t="s">
        <v>13353</v>
      </c>
      <c r="D4459" t="str">
        <f>HYPERLINK("https://zfin.org/ZDB-GENE-081104-24")</f>
        <v>https://zfin.org/ZDB-GENE-081104-24</v>
      </c>
      <c r="E4459" t="s">
        <v>13354</v>
      </c>
    </row>
    <row r="4460" spans="1:5" x14ac:dyDescent="0.2">
      <c r="A4460" t="s">
        <v>13355</v>
      </c>
      <c r="B4460" t="s">
        <v>13356</v>
      </c>
      <c r="C4460" t="s">
        <v>13356</v>
      </c>
      <c r="D4460" t="str">
        <f>HYPERLINK("https://zfin.org/ZDB-GENE-120215-182")</f>
        <v>https://zfin.org/ZDB-GENE-120215-182</v>
      </c>
      <c r="E4460" t="s">
        <v>13357</v>
      </c>
    </row>
    <row r="4461" spans="1:5" x14ac:dyDescent="0.2">
      <c r="A4461" t="s">
        <v>13358</v>
      </c>
      <c r="B4461" t="s">
        <v>13359</v>
      </c>
      <c r="C4461" t="s">
        <v>13359</v>
      </c>
      <c r="D4461" t="str">
        <f>HYPERLINK("https://zfin.org/ZDB-GENE-041001-40")</f>
        <v>https://zfin.org/ZDB-GENE-041001-40</v>
      </c>
      <c r="E4461" t="s">
        <v>13360</v>
      </c>
    </row>
    <row r="4462" spans="1:5" x14ac:dyDescent="0.2">
      <c r="A4462" t="s">
        <v>13361</v>
      </c>
      <c r="B4462" t="s">
        <v>13362</v>
      </c>
      <c r="C4462" t="s">
        <v>13362</v>
      </c>
      <c r="D4462" t="str">
        <f>HYPERLINK("https://zfin.org/ZDB-GENE-040426-858")</f>
        <v>https://zfin.org/ZDB-GENE-040426-858</v>
      </c>
      <c r="E4462" t="s">
        <v>13363</v>
      </c>
    </row>
    <row r="4463" spans="1:5" x14ac:dyDescent="0.2">
      <c r="A4463" t="s">
        <v>13364</v>
      </c>
      <c r="B4463" t="s">
        <v>13365</v>
      </c>
      <c r="C4463" t="s">
        <v>13365</v>
      </c>
      <c r="D4463" t="str">
        <f>HYPERLINK("https://zfin.org/ZDB-GENE-040426-2738")</f>
        <v>https://zfin.org/ZDB-GENE-040426-2738</v>
      </c>
      <c r="E4463" t="s">
        <v>13366</v>
      </c>
    </row>
    <row r="4464" spans="1:5" x14ac:dyDescent="0.2">
      <c r="A4464" t="s">
        <v>13367</v>
      </c>
      <c r="B4464" t="s">
        <v>13368</v>
      </c>
      <c r="C4464" t="s">
        <v>13368</v>
      </c>
      <c r="D4464" t="str">
        <f>HYPERLINK("https://zfin.org/ZDB-GENE-090313-107")</f>
        <v>https://zfin.org/ZDB-GENE-090313-107</v>
      </c>
      <c r="E4464" t="s">
        <v>13369</v>
      </c>
    </row>
    <row r="4465" spans="1:5" x14ac:dyDescent="0.2">
      <c r="A4465" t="s">
        <v>13370</v>
      </c>
      <c r="B4465" t="s">
        <v>13371</v>
      </c>
      <c r="C4465" t="s">
        <v>13371</v>
      </c>
      <c r="D4465" t="str">
        <f>HYPERLINK("https://zfin.org/ZDB-GENE-030131-6403")</f>
        <v>https://zfin.org/ZDB-GENE-030131-6403</v>
      </c>
      <c r="E4465" t="s">
        <v>13372</v>
      </c>
    </row>
    <row r="4466" spans="1:5" x14ac:dyDescent="0.2">
      <c r="A4466" t="s">
        <v>13373</v>
      </c>
      <c r="B4466" t="s">
        <v>13374</v>
      </c>
      <c r="C4466" t="s">
        <v>13374</v>
      </c>
      <c r="D4466" t="str">
        <f>HYPERLINK("https://zfin.org/ZDB-GENE-080305-1")</f>
        <v>https://zfin.org/ZDB-GENE-080305-1</v>
      </c>
      <c r="E4466" t="s">
        <v>13375</v>
      </c>
    </row>
    <row r="4467" spans="1:5" x14ac:dyDescent="0.2">
      <c r="A4467" t="s">
        <v>13376</v>
      </c>
      <c r="B4467" t="s">
        <v>13377</v>
      </c>
      <c r="C4467" t="s">
        <v>13377</v>
      </c>
      <c r="D4467" t="str">
        <f>HYPERLINK("https://zfin.org/ZDB-GENE-081021-2")</f>
        <v>https://zfin.org/ZDB-GENE-081021-2</v>
      </c>
      <c r="E4467" t="s">
        <v>13378</v>
      </c>
    </row>
    <row r="4468" spans="1:5" x14ac:dyDescent="0.2">
      <c r="A4468" t="s">
        <v>13379</v>
      </c>
      <c r="B4468" t="s">
        <v>13380</v>
      </c>
      <c r="C4468" t="s">
        <v>13380</v>
      </c>
      <c r="D4468" t="str">
        <f>HYPERLINK("https://zfin.org/ZDB-GENE-050522-534")</f>
        <v>https://zfin.org/ZDB-GENE-050522-534</v>
      </c>
      <c r="E4468" t="s">
        <v>13381</v>
      </c>
    </row>
    <row r="4469" spans="1:5" x14ac:dyDescent="0.2">
      <c r="A4469" t="s">
        <v>13382</v>
      </c>
      <c r="B4469" t="s">
        <v>13383</v>
      </c>
      <c r="C4469" t="s">
        <v>13383</v>
      </c>
      <c r="D4469" t="str">
        <f>HYPERLINK("https://zfin.org/ZDB-GENE-060526-12")</f>
        <v>https://zfin.org/ZDB-GENE-060526-12</v>
      </c>
      <c r="E4469" t="s">
        <v>13384</v>
      </c>
    </row>
    <row r="4470" spans="1:5" x14ac:dyDescent="0.2">
      <c r="A4470" t="s">
        <v>13385</v>
      </c>
      <c r="B4470" t="s">
        <v>13386</v>
      </c>
      <c r="C4470" t="s">
        <v>13386</v>
      </c>
      <c r="D4470" t="str">
        <f>HYPERLINK("https://zfin.org/ZDB-GENE-050309-125")</f>
        <v>https://zfin.org/ZDB-GENE-050309-125</v>
      </c>
      <c r="E4470" t="s">
        <v>13387</v>
      </c>
    </row>
    <row r="4471" spans="1:5" x14ac:dyDescent="0.2">
      <c r="A4471" t="s">
        <v>13388</v>
      </c>
      <c r="B4471" t="s">
        <v>13389</v>
      </c>
      <c r="C4471" t="s">
        <v>13389</v>
      </c>
      <c r="D4471" t="str">
        <f>HYPERLINK("https://zfin.org/ZDB-GENE-040426-1979")</f>
        <v>https://zfin.org/ZDB-GENE-040426-1979</v>
      </c>
      <c r="E4471" t="s">
        <v>13390</v>
      </c>
    </row>
    <row r="4472" spans="1:5" x14ac:dyDescent="0.2">
      <c r="A4472" t="s">
        <v>13391</v>
      </c>
      <c r="B4472" t="s">
        <v>13392</v>
      </c>
      <c r="C4472" t="s">
        <v>13392</v>
      </c>
      <c r="D4472" t="str">
        <f>HYPERLINK("https://zfin.org/ZDB-GENE-040426-1297")</f>
        <v>https://zfin.org/ZDB-GENE-040426-1297</v>
      </c>
      <c r="E4472" t="s">
        <v>13393</v>
      </c>
    </row>
    <row r="4473" spans="1:5" x14ac:dyDescent="0.2">
      <c r="A4473" t="s">
        <v>13394</v>
      </c>
      <c r="B4473" t="s">
        <v>13395</v>
      </c>
      <c r="C4473" t="s">
        <v>13395</v>
      </c>
      <c r="D4473" t="str">
        <f>HYPERLINK("https://zfin.org/ZDB-GENE-040426-2499")</f>
        <v>https://zfin.org/ZDB-GENE-040426-2499</v>
      </c>
      <c r="E4473" t="s">
        <v>13396</v>
      </c>
    </row>
    <row r="4474" spans="1:5" x14ac:dyDescent="0.2">
      <c r="A4474" t="s">
        <v>13397</v>
      </c>
      <c r="B4474" t="s">
        <v>13398</v>
      </c>
      <c r="C4474" t="s">
        <v>13398</v>
      </c>
      <c r="D4474" t="str">
        <f>HYPERLINK("https://zfin.org/ZDB-GENE-050417-351")</f>
        <v>https://zfin.org/ZDB-GENE-050417-351</v>
      </c>
      <c r="E4474" t="s">
        <v>13399</v>
      </c>
    </row>
    <row r="4475" spans="1:5" x14ac:dyDescent="0.2">
      <c r="A4475" t="s">
        <v>13400</v>
      </c>
      <c r="B4475" t="s">
        <v>13401</v>
      </c>
      <c r="C4475" t="s">
        <v>13401</v>
      </c>
      <c r="D4475" t="str">
        <f>HYPERLINK("https://zfin.org/ZDB-GENE-040426-749")</f>
        <v>https://zfin.org/ZDB-GENE-040426-749</v>
      </c>
      <c r="E4475" t="s">
        <v>13402</v>
      </c>
    </row>
    <row r="4476" spans="1:5" x14ac:dyDescent="0.2">
      <c r="A4476" t="s">
        <v>13403</v>
      </c>
      <c r="B4476" t="s">
        <v>13404</v>
      </c>
      <c r="C4476" t="s">
        <v>13404</v>
      </c>
      <c r="D4476" t="str">
        <f>HYPERLINK("https://zfin.org/ZDB-GENE-040426-1764")</f>
        <v>https://zfin.org/ZDB-GENE-040426-1764</v>
      </c>
      <c r="E4476" t="s">
        <v>13405</v>
      </c>
    </row>
    <row r="4477" spans="1:5" x14ac:dyDescent="0.2">
      <c r="A4477" t="s">
        <v>13406</v>
      </c>
      <c r="B4477" t="s">
        <v>13407</v>
      </c>
      <c r="C4477" t="s">
        <v>13407</v>
      </c>
      <c r="D4477" t="str">
        <f>HYPERLINK("https://zfin.org/ZDB-GENE-040715-1")</f>
        <v>https://zfin.org/ZDB-GENE-040715-1</v>
      </c>
      <c r="E4477" t="s">
        <v>13408</v>
      </c>
    </row>
    <row r="4478" spans="1:5" x14ac:dyDescent="0.2">
      <c r="A4478" t="s">
        <v>13409</v>
      </c>
      <c r="B4478" t="s">
        <v>13410</v>
      </c>
      <c r="C4478" t="s">
        <v>13410</v>
      </c>
      <c r="D4478" t="str">
        <f>HYPERLINK("https://zfin.org/ZDB-GENE-020107-2")</f>
        <v>https://zfin.org/ZDB-GENE-020107-2</v>
      </c>
      <c r="E4478" t="s">
        <v>13411</v>
      </c>
    </row>
    <row r="4479" spans="1:5" x14ac:dyDescent="0.2">
      <c r="A4479" t="s">
        <v>13412</v>
      </c>
      <c r="B4479" t="s">
        <v>13413</v>
      </c>
      <c r="C4479" t="s">
        <v>13413</v>
      </c>
      <c r="D4479" t="str">
        <f>HYPERLINK("https://zfin.org/ZDB-GENE-030131-9396")</f>
        <v>https://zfin.org/ZDB-GENE-030131-9396</v>
      </c>
      <c r="E4479" t="s">
        <v>13414</v>
      </c>
    </row>
    <row r="4480" spans="1:5" x14ac:dyDescent="0.2">
      <c r="A4480" t="s">
        <v>13415</v>
      </c>
      <c r="B4480" t="s">
        <v>13416</v>
      </c>
      <c r="C4480" t="s">
        <v>13416</v>
      </c>
      <c r="D4480" t="str">
        <f>HYPERLINK("https://zfin.org/ZDB-GENE-130530-754")</f>
        <v>https://zfin.org/ZDB-GENE-130530-754</v>
      </c>
      <c r="E4480" t="s">
        <v>13417</v>
      </c>
    </row>
    <row r="4481" spans="1:5" x14ac:dyDescent="0.2">
      <c r="A4481" t="s">
        <v>13418</v>
      </c>
      <c r="B4481" t="s">
        <v>13419</v>
      </c>
      <c r="C4481" t="s">
        <v>13419</v>
      </c>
      <c r="D4481" t="str">
        <f>HYPERLINK("https://zfin.org/ZDB-GENE-040801-1")</f>
        <v>https://zfin.org/ZDB-GENE-040801-1</v>
      </c>
      <c r="E4481" t="s">
        <v>13420</v>
      </c>
    </row>
    <row r="4482" spans="1:5" x14ac:dyDescent="0.2">
      <c r="A4482" t="s">
        <v>13421</v>
      </c>
      <c r="B4482" t="s">
        <v>13422</v>
      </c>
      <c r="C4482" t="s">
        <v>13422</v>
      </c>
      <c r="D4482" t="str">
        <f>HYPERLINK("https://zfin.org/ZDB-GENE-131127-442")</f>
        <v>https://zfin.org/ZDB-GENE-131127-442</v>
      </c>
      <c r="E4482" t="s">
        <v>13423</v>
      </c>
    </row>
    <row r="4483" spans="1:5" x14ac:dyDescent="0.2">
      <c r="A4483" t="s">
        <v>13424</v>
      </c>
      <c r="B4483" t="s">
        <v>13425</v>
      </c>
      <c r="C4483" t="s">
        <v>13425</v>
      </c>
      <c r="D4483" t="str">
        <f>HYPERLINK("https://zfin.org/ZDB-GENE-041014-27")</f>
        <v>https://zfin.org/ZDB-GENE-041014-27</v>
      </c>
      <c r="E4483" t="s">
        <v>13426</v>
      </c>
    </row>
    <row r="4484" spans="1:5" x14ac:dyDescent="0.2">
      <c r="A4484" t="s">
        <v>13427</v>
      </c>
      <c r="B4484" t="s">
        <v>13428</v>
      </c>
      <c r="C4484" t="s">
        <v>13428</v>
      </c>
      <c r="D4484" t="str">
        <f>HYPERLINK("https://zfin.org/ZDB-GENE-070209-23")</f>
        <v>https://zfin.org/ZDB-GENE-070209-23</v>
      </c>
      <c r="E4484" t="s">
        <v>13429</v>
      </c>
    </row>
    <row r="4485" spans="1:5" x14ac:dyDescent="0.2">
      <c r="A4485" t="s">
        <v>13430</v>
      </c>
      <c r="B4485" t="s">
        <v>13431</v>
      </c>
      <c r="C4485" t="s">
        <v>13431</v>
      </c>
      <c r="D4485" t="str">
        <f>HYPERLINK("https://zfin.org/ZDB-GENE-030131-6129")</f>
        <v>https://zfin.org/ZDB-GENE-030131-6129</v>
      </c>
      <c r="E4485" t="s">
        <v>13432</v>
      </c>
    </row>
    <row r="4486" spans="1:5" x14ac:dyDescent="0.2">
      <c r="A4486" t="s">
        <v>13433</v>
      </c>
      <c r="B4486" t="s">
        <v>13434</v>
      </c>
      <c r="C4486" t="s">
        <v>13434</v>
      </c>
      <c r="D4486" t="str">
        <f>HYPERLINK("https://zfin.org/ZDB-GENE-090313-176")</f>
        <v>https://zfin.org/ZDB-GENE-090313-176</v>
      </c>
      <c r="E4486" t="s">
        <v>13435</v>
      </c>
    </row>
    <row r="4487" spans="1:5" x14ac:dyDescent="0.2">
      <c r="A4487" t="s">
        <v>13436</v>
      </c>
      <c r="B4487" t="s">
        <v>13437</v>
      </c>
      <c r="C4487" t="s">
        <v>13437</v>
      </c>
      <c r="D4487" t="str">
        <f>HYPERLINK("https://zfin.org/ZDB-GENE-040426-1147")</f>
        <v>https://zfin.org/ZDB-GENE-040426-1147</v>
      </c>
      <c r="E4487" t="s">
        <v>13438</v>
      </c>
    </row>
    <row r="4488" spans="1:5" x14ac:dyDescent="0.2">
      <c r="A4488" t="s">
        <v>13439</v>
      </c>
      <c r="B4488" t="s">
        <v>13440</v>
      </c>
      <c r="C4488" t="s">
        <v>13440</v>
      </c>
      <c r="D4488" t="str">
        <f>HYPERLINK("https://zfin.org/ZDB-GENE-040718-46")</f>
        <v>https://zfin.org/ZDB-GENE-040718-46</v>
      </c>
      <c r="E4488" t="s">
        <v>13441</v>
      </c>
    </row>
    <row r="4489" spans="1:5" x14ac:dyDescent="0.2">
      <c r="A4489" t="s">
        <v>13442</v>
      </c>
      <c r="B4489" t="s">
        <v>13443</v>
      </c>
      <c r="C4489" t="s">
        <v>13443</v>
      </c>
      <c r="D4489" t="str">
        <f>HYPERLINK("https://zfin.org/ZDB-GENE-041001-39")</f>
        <v>https://zfin.org/ZDB-GENE-041001-39</v>
      </c>
      <c r="E4489" t="s">
        <v>13444</v>
      </c>
    </row>
    <row r="4490" spans="1:5" x14ac:dyDescent="0.2">
      <c r="A4490" t="s">
        <v>13445</v>
      </c>
      <c r="B4490" t="s">
        <v>13446</v>
      </c>
      <c r="C4490" t="s">
        <v>13446</v>
      </c>
      <c r="D4490" t="str">
        <f>HYPERLINK("https://zfin.org/ZDB-GENE-030616-132")</f>
        <v>https://zfin.org/ZDB-GENE-030616-132</v>
      </c>
      <c r="E4490" t="s">
        <v>13447</v>
      </c>
    </row>
    <row r="4491" spans="1:5" x14ac:dyDescent="0.2">
      <c r="A4491" t="s">
        <v>13448</v>
      </c>
      <c r="B4491" t="s">
        <v>13449</v>
      </c>
      <c r="C4491" t="s">
        <v>13449</v>
      </c>
      <c r="D4491" t="str">
        <f>HYPERLINK("https://zfin.org/ZDB-GENE-090302-2")</f>
        <v>https://zfin.org/ZDB-GENE-090302-2</v>
      </c>
      <c r="E4491" t="s">
        <v>13450</v>
      </c>
    </row>
    <row r="4492" spans="1:5" x14ac:dyDescent="0.2">
      <c r="A4492" t="s">
        <v>13451</v>
      </c>
      <c r="B4492" t="s">
        <v>13452</v>
      </c>
      <c r="C4492" t="s">
        <v>13452</v>
      </c>
      <c r="D4492" t="str">
        <f>HYPERLINK("https://zfin.org/ZDB-GENE-090312-21")</f>
        <v>https://zfin.org/ZDB-GENE-090312-21</v>
      </c>
      <c r="E4492" t="s">
        <v>13453</v>
      </c>
    </row>
    <row r="4493" spans="1:5" x14ac:dyDescent="0.2">
      <c r="A4493" t="s">
        <v>13454</v>
      </c>
      <c r="B4493" t="s">
        <v>13455</v>
      </c>
      <c r="C4493" t="s">
        <v>13455</v>
      </c>
      <c r="D4493" t="str">
        <f>HYPERLINK("https://zfin.org/ZDB-GENE-040109-3")</f>
        <v>https://zfin.org/ZDB-GENE-040109-3</v>
      </c>
      <c r="E4493" t="s">
        <v>13456</v>
      </c>
    </row>
    <row r="4494" spans="1:5" x14ac:dyDescent="0.2">
      <c r="A4494" t="s">
        <v>13457</v>
      </c>
      <c r="B4494" t="s">
        <v>13458</v>
      </c>
      <c r="C4494" t="s">
        <v>13458</v>
      </c>
      <c r="D4494" t="str">
        <f>HYPERLINK("https://zfin.org/ZDB-GENE-131125-33")</f>
        <v>https://zfin.org/ZDB-GENE-131125-33</v>
      </c>
      <c r="E4494" t="s">
        <v>13459</v>
      </c>
    </row>
    <row r="4495" spans="1:5" x14ac:dyDescent="0.2">
      <c r="A4495" t="s">
        <v>13460</v>
      </c>
      <c r="B4495" t="s">
        <v>13461</v>
      </c>
      <c r="C4495" t="s">
        <v>13461</v>
      </c>
      <c r="D4495" t="str">
        <f>HYPERLINK("https://zfin.org/ZDB-GENE-040718-315")</f>
        <v>https://zfin.org/ZDB-GENE-040718-315</v>
      </c>
      <c r="E4495" t="s">
        <v>13462</v>
      </c>
    </row>
    <row r="4496" spans="1:5" x14ac:dyDescent="0.2">
      <c r="A4496" t="s">
        <v>13463</v>
      </c>
      <c r="B4496" t="s">
        <v>13464</v>
      </c>
      <c r="C4496" t="s">
        <v>13464</v>
      </c>
      <c r="D4496" t="str">
        <f>HYPERLINK("https://zfin.org/ZDB-GENE-040426-1753")</f>
        <v>https://zfin.org/ZDB-GENE-040426-1753</v>
      </c>
      <c r="E4496" t="s">
        <v>13465</v>
      </c>
    </row>
    <row r="4497" spans="1:5" x14ac:dyDescent="0.2">
      <c r="A4497" t="s">
        <v>13466</v>
      </c>
      <c r="B4497" t="s">
        <v>13467</v>
      </c>
      <c r="C4497" t="s">
        <v>13467</v>
      </c>
      <c r="D4497" t="str">
        <f>HYPERLINK("https://zfin.org/ZDB-GENE-050913-114")</f>
        <v>https://zfin.org/ZDB-GENE-050913-114</v>
      </c>
      <c r="E4497" t="s">
        <v>13468</v>
      </c>
    </row>
    <row r="4498" spans="1:5" x14ac:dyDescent="0.2">
      <c r="A4498" t="s">
        <v>13469</v>
      </c>
      <c r="B4498" t="s">
        <v>13470</v>
      </c>
      <c r="C4498" t="s">
        <v>13470</v>
      </c>
      <c r="D4498" t="str">
        <f>HYPERLINK("https://zfin.org/ZDB-GENE-031124-2")</f>
        <v>https://zfin.org/ZDB-GENE-031124-2</v>
      </c>
      <c r="E4498" t="s">
        <v>13471</v>
      </c>
    </row>
    <row r="4499" spans="1:5" x14ac:dyDescent="0.2">
      <c r="A4499" t="s">
        <v>13472</v>
      </c>
      <c r="B4499" t="s">
        <v>13473</v>
      </c>
      <c r="C4499" t="s">
        <v>13473</v>
      </c>
      <c r="D4499" t="str">
        <f>HYPERLINK("https://zfin.org/ZDB-GENE-070410-41")</f>
        <v>https://zfin.org/ZDB-GENE-070410-41</v>
      </c>
      <c r="E4499" t="s">
        <v>13474</v>
      </c>
    </row>
    <row r="4500" spans="1:5" x14ac:dyDescent="0.2">
      <c r="A4500" t="s">
        <v>13475</v>
      </c>
      <c r="B4500" t="s">
        <v>13476</v>
      </c>
      <c r="C4500" t="s">
        <v>13476</v>
      </c>
      <c r="D4500" t="str">
        <f>HYPERLINK("https://zfin.org/ZDB-GENE-050522-296")</f>
        <v>https://zfin.org/ZDB-GENE-050522-296</v>
      </c>
      <c r="E4500" t="s">
        <v>13477</v>
      </c>
    </row>
    <row r="4501" spans="1:5" x14ac:dyDescent="0.2">
      <c r="A4501" t="s">
        <v>13478</v>
      </c>
      <c r="B4501" t="s">
        <v>13479</v>
      </c>
      <c r="C4501" t="s">
        <v>13479</v>
      </c>
      <c r="D4501" t="str">
        <f>HYPERLINK("https://zfin.org/ZDB-GENE-020416-2")</f>
        <v>https://zfin.org/ZDB-GENE-020416-2</v>
      </c>
      <c r="E4501" t="s">
        <v>13480</v>
      </c>
    </row>
    <row r="4502" spans="1:5" x14ac:dyDescent="0.2">
      <c r="A4502" t="s">
        <v>13481</v>
      </c>
      <c r="B4502" t="s">
        <v>13482</v>
      </c>
      <c r="C4502" t="s">
        <v>13482</v>
      </c>
      <c r="D4502" t="str">
        <f>HYPERLINK("https://zfin.org/ZDB-GENE-040912-184")</f>
        <v>https://zfin.org/ZDB-GENE-040912-184</v>
      </c>
      <c r="E4502" t="s">
        <v>13483</v>
      </c>
    </row>
    <row r="4503" spans="1:5" x14ac:dyDescent="0.2">
      <c r="A4503" t="s">
        <v>13484</v>
      </c>
      <c r="B4503" t="s">
        <v>13485</v>
      </c>
      <c r="C4503" t="s">
        <v>13485</v>
      </c>
      <c r="D4503" t="str">
        <f>HYPERLINK("https://zfin.org/ZDB-GENE-040426-1036")</f>
        <v>https://zfin.org/ZDB-GENE-040426-1036</v>
      </c>
      <c r="E4503" t="s">
        <v>13486</v>
      </c>
    </row>
    <row r="4504" spans="1:5" x14ac:dyDescent="0.2">
      <c r="A4504" t="s">
        <v>13487</v>
      </c>
      <c r="B4504" t="s">
        <v>13488</v>
      </c>
      <c r="C4504" t="s">
        <v>13488</v>
      </c>
      <c r="D4504" t="str">
        <f>HYPERLINK("https://zfin.org/ZDB-GENE-041210-219")</f>
        <v>https://zfin.org/ZDB-GENE-041210-219</v>
      </c>
      <c r="E4504" t="s">
        <v>13489</v>
      </c>
    </row>
    <row r="4505" spans="1:5" x14ac:dyDescent="0.2">
      <c r="A4505" t="s">
        <v>13490</v>
      </c>
      <c r="B4505" t="s">
        <v>13491</v>
      </c>
      <c r="C4505" t="s">
        <v>13491</v>
      </c>
      <c r="D4505" t="str">
        <f>HYPERLINK("https://zfin.org/ZDB-GENE-041001-215")</f>
        <v>https://zfin.org/ZDB-GENE-041001-215</v>
      </c>
      <c r="E4505" t="s">
        <v>13492</v>
      </c>
    </row>
    <row r="4506" spans="1:5" x14ac:dyDescent="0.2">
      <c r="A4506" t="s">
        <v>13493</v>
      </c>
      <c r="B4506" t="s">
        <v>13494</v>
      </c>
      <c r="C4506" t="s">
        <v>13494</v>
      </c>
      <c r="D4506" t="str">
        <f>HYPERLINK("https://zfin.org/ZDB-GENE-000328-3")</f>
        <v>https://zfin.org/ZDB-GENE-000328-3</v>
      </c>
      <c r="E4506" t="s">
        <v>13495</v>
      </c>
    </row>
    <row r="4507" spans="1:5" x14ac:dyDescent="0.2">
      <c r="A4507" t="s">
        <v>13496</v>
      </c>
      <c r="B4507" t="s">
        <v>13497</v>
      </c>
      <c r="C4507" t="s">
        <v>13497</v>
      </c>
      <c r="D4507" t="str">
        <f>HYPERLINK("https://zfin.org/ZDB-GENE-030131-4473")</f>
        <v>https://zfin.org/ZDB-GENE-030131-4473</v>
      </c>
      <c r="E4507" t="s">
        <v>13498</v>
      </c>
    </row>
    <row r="4508" spans="1:5" x14ac:dyDescent="0.2">
      <c r="A4508" t="s">
        <v>13499</v>
      </c>
      <c r="B4508" t="s">
        <v>13500</v>
      </c>
      <c r="C4508" t="s">
        <v>13500</v>
      </c>
      <c r="D4508" t="str">
        <f>HYPERLINK("https://zfin.org/ZDB-GENE-030131-8865")</f>
        <v>https://zfin.org/ZDB-GENE-030131-8865</v>
      </c>
      <c r="E4508" t="s">
        <v>13501</v>
      </c>
    </row>
    <row r="4509" spans="1:5" x14ac:dyDescent="0.2">
      <c r="A4509" t="s">
        <v>13502</v>
      </c>
      <c r="B4509" t="s">
        <v>13503</v>
      </c>
      <c r="C4509" t="s">
        <v>13503</v>
      </c>
      <c r="D4509" t="str">
        <f>HYPERLINK("https://zfin.org/ZDB-GENE-040625-160")</f>
        <v>https://zfin.org/ZDB-GENE-040625-160</v>
      </c>
      <c r="E4509" t="s">
        <v>13504</v>
      </c>
    </row>
    <row r="4510" spans="1:5" x14ac:dyDescent="0.2">
      <c r="A4510" t="s">
        <v>13505</v>
      </c>
      <c r="B4510" t="s">
        <v>13506</v>
      </c>
      <c r="C4510" t="s">
        <v>13506</v>
      </c>
      <c r="D4510" t="str">
        <f>HYPERLINK("https://zfin.org/ZDB-GENE-070410-109")</f>
        <v>https://zfin.org/ZDB-GENE-070410-109</v>
      </c>
      <c r="E4510" t="s">
        <v>13507</v>
      </c>
    </row>
    <row r="4511" spans="1:5" x14ac:dyDescent="0.2">
      <c r="A4511" t="s">
        <v>13508</v>
      </c>
      <c r="B4511" t="s">
        <v>13509</v>
      </c>
      <c r="C4511" t="s">
        <v>13509</v>
      </c>
      <c r="D4511" t="str">
        <f>HYPERLINK("https://zfin.org/ZDB-GENE-141219-43")</f>
        <v>https://zfin.org/ZDB-GENE-141219-43</v>
      </c>
      <c r="E4511" t="s">
        <v>13510</v>
      </c>
    </row>
    <row r="4512" spans="1:5" x14ac:dyDescent="0.2">
      <c r="A4512" t="s">
        <v>13511</v>
      </c>
      <c r="B4512" t="s">
        <v>13512</v>
      </c>
      <c r="C4512" t="s">
        <v>13512</v>
      </c>
      <c r="D4512" t="str">
        <f>HYPERLINK("https://zfin.org/ZDB-GENE-080225-1")</f>
        <v>https://zfin.org/ZDB-GENE-080225-1</v>
      </c>
      <c r="E4512" t="s">
        <v>13513</v>
      </c>
    </row>
    <row r="4513" spans="1:5" x14ac:dyDescent="0.2">
      <c r="A4513" t="s">
        <v>13514</v>
      </c>
      <c r="B4513" t="s">
        <v>13515</v>
      </c>
      <c r="C4513" t="s">
        <v>13515</v>
      </c>
      <c r="D4513" t="str">
        <f>HYPERLINK("https://zfin.org/ZDB-GENE-040718-440")</f>
        <v>https://zfin.org/ZDB-GENE-040718-440</v>
      </c>
      <c r="E4513" t="s">
        <v>13516</v>
      </c>
    </row>
    <row r="4514" spans="1:5" x14ac:dyDescent="0.2">
      <c r="A4514" t="s">
        <v>13517</v>
      </c>
      <c r="B4514" t="s">
        <v>13518</v>
      </c>
      <c r="C4514" t="s">
        <v>13518</v>
      </c>
      <c r="D4514" t="str">
        <f>HYPERLINK("https://zfin.org/ZDB-GENE-070912-408")</f>
        <v>https://zfin.org/ZDB-GENE-070912-408</v>
      </c>
      <c r="E4514" t="s">
        <v>13519</v>
      </c>
    </row>
    <row r="4515" spans="1:5" x14ac:dyDescent="0.2">
      <c r="A4515" t="s">
        <v>13520</v>
      </c>
      <c r="B4515" t="s">
        <v>13521</v>
      </c>
      <c r="C4515" t="s">
        <v>13521</v>
      </c>
      <c r="D4515" t="str">
        <f>HYPERLINK("https://zfin.org/ZDB-GENE-030131-3055")</f>
        <v>https://zfin.org/ZDB-GENE-030131-3055</v>
      </c>
      <c r="E4515" t="s">
        <v>13522</v>
      </c>
    </row>
    <row r="4516" spans="1:5" x14ac:dyDescent="0.2">
      <c r="A4516" t="s">
        <v>13523</v>
      </c>
      <c r="B4516" t="s">
        <v>13524</v>
      </c>
      <c r="C4516" t="s">
        <v>13524</v>
      </c>
      <c r="D4516" t="str">
        <f>HYPERLINK("https://zfin.org/ZDB-GENE-081104-483")</f>
        <v>https://zfin.org/ZDB-GENE-081104-483</v>
      </c>
      <c r="E4516" t="s">
        <v>13525</v>
      </c>
    </row>
    <row r="4517" spans="1:5" x14ac:dyDescent="0.2">
      <c r="A4517" t="s">
        <v>13526</v>
      </c>
      <c r="B4517" t="s">
        <v>13527</v>
      </c>
      <c r="C4517" t="s">
        <v>13527</v>
      </c>
      <c r="D4517" t="str">
        <f>HYPERLINK("https://zfin.org/ZDB-GENE-050327-47")</f>
        <v>https://zfin.org/ZDB-GENE-050327-47</v>
      </c>
      <c r="E4517" t="s">
        <v>13528</v>
      </c>
    </row>
    <row r="4518" spans="1:5" x14ac:dyDescent="0.2">
      <c r="A4518" t="s">
        <v>13529</v>
      </c>
      <c r="B4518" t="s">
        <v>13530</v>
      </c>
      <c r="C4518" t="s">
        <v>13530</v>
      </c>
      <c r="D4518" t="str">
        <f>HYPERLINK("https://zfin.org/ZDB-GENE-050208-491")</f>
        <v>https://zfin.org/ZDB-GENE-050208-491</v>
      </c>
      <c r="E4518" t="s">
        <v>13531</v>
      </c>
    </row>
    <row r="4519" spans="1:5" x14ac:dyDescent="0.2">
      <c r="A4519" t="s">
        <v>13532</v>
      </c>
      <c r="B4519" t="s">
        <v>13533</v>
      </c>
      <c r="C4519" t="s">
        <v>13533</v>
      </c>
      <c r="D4519" t="str">
        <f>HYPERLINK("https://zfin.org/ZDB-GENE-121219-4")</f>
        <v>https://zfin.org/ZDB-GENE-121219-4</v>
      </c>
      <c r="E4519" t="s">
        <v>13534</v>
      </c>
    </row>
    <row r="4520" spans="1:5" x14ac:dyDescent="0.2">
      <c r="A4520" t="s">
        <v>13535</v>
      </c>
      <c r="B4520" t="s">
        <v>13536</v>
      </c>
      <c r="C4520" t="s">
        <v>13536</v>
      </c>
      <c r="D4520" t="str">
        <f>HYPERLINK("https://zfin.org/ZDB-GENE-040426-2757")</f>
        <v>https://zfin.org/ZDB-GENE-040426-2757</v>
      </c>
      <c r="E4520" t="s">
        <v>13537</v>
      </c>
    </row>
    <row r="4521" spans="1:5" x14ac:dyDescent="0.2">
      <c r="A4521" t="s">
        <v>13538</v>
      </c>
      <c r="B4521" t="s">
        <v>13539</v>
      </c>
      <c r="C4521" t="s">
        <v>13539</v>
      </c>
      <c r="D4521" t="str">
        <f>HYPERLINK("https://zfin.org/ZDB-GENE-110411-126")</f>
        <v>https://zfin.org/ZDB-GENE-110411-126</v>
      </c>
      <c r="E4521" t="s">
        <v>13540</v>
      </c>
    </row>
    <row r="4522" spans="1:5" x14ac:dyDescent="0.2">
      <c r="A4522" t="s">
        <v>13541</v>
      </c>
      <c r="B4522" t="s">
        <v>13542</v>
      </c>
      <c r="C4522" t="s">
        <v>13542</v>
      </c>
      <c r="D4522" t="str">
        <f>HYPERLINK("https://zfin.org/ZDB-GENE-050522-346")</f>
        <v>https://zfin.org/ZDB-GENE-050522-346</v>
      </c>
      <c r="E4522" t="s">
        <v>13543</v>
      </c>
    </row>
    <row r="4523" spans="1:5" x14ac:dyDescent="0.2">
      <c r="A4523" t="s">
        <v>13544</v>
      </c>
      <c r="B4523" t="s">
        <v>13545</v>
      </c>
      <c r="C4523" t="s">
        <v>13545</v>
      </c>
      <c r="D4523" t="str">
        <f>HYPERLINK("https://zfin.org/ZDB-GENE-131127-167")</f>
        <v>https://zfin.org/ZDB-GENE-131127-167</v>
      </c>
      <c r="E4523" t="s">
        <v>13546</v>
      </c>
    </row>
    <row r="4524" spans="1:5" x14ac:dyDescent="0.2">
      <c r="A4524" t="s">
        <v>13547</v>
      </c>
      <c r="B4524" t="s">
        <v>13548</v>
      </c>
      <c r="C4524" t="s">
        <v>13548</v>
      </c>
      <c r="D4524" t="str">
        <f>HYPERLINK("https://zfin.org/ZDB-GENE-040426-2087")</f>
        <v>https://zfin.org/ZDB-GENE-040426-2087</v>
      </c>
      <c r="E4524" t="s">
        <v>13549</v>
      </c>
    </row>
    <row r="4525" spans="1:5" x14ac:dyDescent="0.2">
      <c r="A4525" t="s">
        <v>13550</v>
      </c>
      <c r="B4525" t="s">
        <v>13551</v>
      </c>
      <c r="C4525" t="s">
        <v>13551</v>
      </c>
      <c r="D4525" t="str">
        <f>HYPERLINK("https://zfin.org/ZDB-GENE-100812-9")</f>
        <v>https://zfin.org/ZDB-GENE-100812-9</v>
      </c>
      <c r="E4525" t="s">
        <v>13552</v>
      </c>
    </row>
    <row r="4526" spans="1:5" x14ac:dyDescent="0.2">
      <c r="A4526" t="s">
        <v>13553</v>
      </c>
      <c r="B4526" t="s">
        <v>13554</v>
      </c>
      <c r="C4526" t="s">
        <v>13554</v>
      </c>
      <c r="D4526" t="str">
        <f>HYPERLINK("https://zfin.org/ZDB-GENE-101229-1")</f>
        <v>https://zfin.org/ZDB-GENE-101229-1</v>
      </c>
      <c r="E4526" t="s">
        <v>13555</v>
      </c>
    </row>
    <row r="4527" spans="1:5" x14ac:dyDescent="0.2">
      <c r="A4527" t="s">
        <v>13556</v>
      </c>
      <c r="B4527" t="s">
        <v>13557</v>
      </c>
      <c r="C4527" t="s">
        <v>13557</v>
      </c>
      <c r="D4527" t="str">
        <f>HYPERLINK("https://zfin.org/ZDB-GENE-050208-162")</f>
        <v>https://zfin.org/ZDB-GENE-050208-162</v>
      </c>
      <c r="E4527" t="s">
        <v>13558</v>
      </c>
    </row>
    <row r="4528" spans="1:5" x14ac:dyDescent="0.2">
      <c r="A4528" t="s">
        <v>13559</v>
      </c>
      <c r="B4528" t="s">
        <v>13560</v>
      </c>
      <c r="C4528" t="s">
        <v>13560</v>
      </c>
      <c r="D4528" t="str">
        <f>HYPERLINK("https://zfin.org/ZDB-GENE-040426-1691")</f>
        <v>https://zfin.org/ZDB-GENE-040426-1691</v>
      </c>
      <c r="E4528" t="s">
        <v>13561</v>
      </c>
    </row>
    <row r="4529" spans="1:5" x14ac:dyDescent="0.2">
      <c r="A4529" t="s">
        <v>13562</v>
      </c>
      <c r="B4529" t="s">
        <v>13563</v>
      </c>
      <c r="C4529" t="s">
        <v>13563</v>
      </c>
      <c r="D4529" t="str">
        <f>HYPERLINK("https://zfin.org/ZDB-GENE-061117-1")</f>
        <v>https://zfin.org/ZDB-GENE-061117-1</v>
      </c>
      <c r="E4529" t="s">
        <v>13564</v>
      </c>
    </row>
    <row r="4530" spans="1:5" x14ac:dyDescent="0.2">
      <c r="A4530" t="s">
        <v>13565</v>
      </c>
      <c r="B4530" t="s">
        <v>13566</v>
      </c>
      <c r="C4530" t="s">
        <v>13566</v>
      </c>
      <c r="D4530" t="str">
        <f>HYPERLINK("https://zfin.org/ZDB-GENE-040924-2")</f>
        <v>https://zfin.org/ZDB-GENE-040924-2</v>
      </c>
      <c r="E4530" t="s">
        <v>13567</v>
      </c>
    </row>
    <row r="4531" spans="1:5" x14ac:dyDescent="0.2">
      <c r="A4531" t="s">
        <v>13568</v>
      </c>
      <c r="B4531" t="s">
        <v>13569</v>
      </c>
      <c r="C4531" t="s">
        <v>13569</v>
      </c>
      <c r="D4531" t="str">
        <f>HYPERLINK("https://zfin.org/ZDB-GENE-050522-309")</f>
        <v>https://zfin.org/ZDB-GENE-050522-309</v>
      </c>
      <c r="E4531" t="s">
        <v>13570</v>
      </c>
    </row>
    <row r="4532" spans="1:5" x14ac:dyDescent="0.2">
      <c r="A4532" t="s">
        <v>13571</v>
      </c>
      <c r="B4532" t="s">
        <v>13572</v>
      </c>
      <c r="C4532" t="s">
        <v>13572</v>
      </c>
      <c r="D4532" t="str">
        <f>HYPERLINK("https://zfin.org/ZDB-GENE-031010-41")</f>
        <v>https://zfin.org/ZDB-GENE-031010-41</v>
      </c>
      <c r="E4532" t="s">
        <v>13573</v>
      </c>
    </row>
    <row r="4533" spans="1:5" x14ac:dyDescent="0.2">
      <c r="A4533" t="s">
        <v>13574</v>
      </c>
      <c r="B4533" t="s">
        <v>13575</v>
      </c>
      <c r="C4533" t="s">
        <v>13575</v>
      </c>
      <c r="D4533" t="str">
        <f>HYPERLINK("https://zfin.org/ZDB-GENE-131121-262")</f>
        <v>https://zfin.org/ZDB-GENE-131121-262</v>
      </c>
      <c r="E4533" t="s">
        <v>13576</v>
      </c>
    </row>
    <row r="4534" spans="1:5" x14ac:dyDescent="0.2">
      <c r="A4534" t="s">
        <v>13577</v>
      </c>
      <c r="B4534" t="s">
        <v>13578</v>
      </c>
      <c r="C4534" t="s">
        <v>13578</v>
      </c>
      <c r="D4534" t="str">
        <f>HYPERLINK("https://zfin.org/ZDB-GENE-060929-974")</f>
        <v>https://zfin.org/ZDB-GENE-060929-974</v>
      </c>
      <c r="E4534" t="s">
        <v>13579</v>
      </c>
    </row>
    <row r="4535" spans="1:5" x14ac:dyDescent="0.2">
      <c r="A4535" t="s">
        <v>13580</v>
      </c>
      <c r="B4535" t="s">
        <v>13581</v>
      </c>
      <c r="C4535" t="s">
        <v>13581</v>
      </c>
      <c r="D4535" t="str">
        <f>HYPERLINK("https://zfin.org/ZDB-GENE-110408-21")</f>
        <v>https://zfin.org/ZDB-GENE-110408-21</v>
      </c>
      <c r="E4535" t="s">
        <v>13582</v>
      </c>
    </row>
    <row r="4536" spans="1:5" x14ac:dyDescent="0.2">
      <c r="A4536" t="s">
        <v>13583</v>
      </c>
      <c r="B4536" t="s">
        <v>13584</v>
      </c>
      <c r="C4536" t="s">
        <v>13584</v>
      </c>
      <c r="D4536" t="str">
        <f>HYPERLINK("https://zfin.org/ZDB-GENE-030131-7205")</f>
        <v>https://zfin.org/ZDB-GENE-030131-7205</v>
      </c>
      <c r="E4536" t="s">
        <v>13585</v>
      </c>
    </row>
    <row r="4537" spans="1:5" x14ac:dyDescent="0.2">
      <c r="A4537" t="s">
        <v>13586</v>
      </c>
      <c r="B4537" t="s">
        <v>13587</v>
      </c>
      <c r="C4537" t="s">
        <v>13587</v>
      </c>
      <c r="D4537" t="str">
        <f>HYPERLINK("https://zfin.org/ZDB-GENE-050513-4")</f>
        <v>https://zfin.org/ZDB-GENE-050513-4</v>
      </c>
      <c r="E4537" t="s">
        <v>13588</v>
      </c>
    </row>
    <row r="4538" spans="1:5" x14ac:dyDescent="0.2">
      <c r="A4538" t="s">
        <v>13589</v>
      </c>
      <c r="B4538" t="s">
        <v>13590</v>
      </c>
      <c r="C4538" t="s">
        <v>13590</v>
      </c>
      <c r="D4538" t="str">
        <f>HYPERLINK("https://zfin.org/ZDB-GENE-060711-1")</f>
        <v>https://zfin.org/ZDB-GENE-060711-1</v>
      </c>
      <c r="E4538" t="s">
        <v>13591</v>
      </c>
    </row>
    <row r="4539" spans="1:5" x14ac:dyDescent="0.2">
      <c r="A4539" t="s">
        <v>13592</v>
      </c>
      <c r="B4539" t="s">
        <v>13593</v>
      </c>
      <c r="C4539" t="s">
        <v>13593</v>
      </c>
      <c r="D4539" t="str">
        <f>HYPERLINK("https://zfin.org/ZDB-GENE-110411-270")</f>
        <v>https://zfin.org/ZDB-GENE-110411-270</v>
      </c>
      <c r="E4539" t="s">
        <v>13594</v>
      </c>
    </row>
    <row r="4540" spans="1:5" x14ac:dyDescent="0.2">
      <c r="A4540" t="s">
        <v>13595</v>
      </c>
      <c r="B4540" t="s">
        <v>13596</v>
      </c>
      <c r="C4540" t="s">
        <v>13596</v>
      </c>
      <c r="D4540" t="str">
        <f>HYPERLINK("https://zfin.org/ZDB-GENE-040426-2791")</f>
        <v>https://zfin.org/ZDB-GENE-040426-2791</v>
      </c>
      <c r="E4540" t="s">
        <v>13597</v>
      </c>
    </row>
    <row r="4541" spans="1:5" x14ac:dyDescent="0.2">
      <c r="A4541" t="s">
        <v>13598</v>
      </c>
      <c r="B4541" t="s">
        <v>13599</v>
      </c>
      <c r="C4541" t="s">
        <v>13599</v>
      </c>
      <c r="D4541" t="str">
        <f>HYPERLINK("https://zfin.org/ZDB-GENE-070424-173")</f>
        <v>https://zfin.org/ZDB-GENE-070424-173</v>
      </c>
      <c r="E4541" t="s">
        <v>13600</v>
      </c>
    </row>
    <row r="4542" spans="1:5" x14ac:dyDescent="0.2">
      <c r="A4542" t="s">
        <v>13601</v>
      </c>
      <c r="B4542" t="s">
        <v>13602</v>
      </c>
      <c r="C4542" t="s">
        <v>13602</v>
      </c>
      <c r="D4542" t="str">
        <f>HYPERLINK("https://zfin.org/ZDB-GENE-110411-102")</f>
        <v>https://zfin.org/ZDB-GENE-110411-102</v>
      </c>
      <c r="E4542" t="s">
        <v>13603</v>
      </c>
    </row>
    <row r="4543" spans="1:5" x14ac:dyDescent="0.2">
      <c r="A4543" t="s">
        <v>13604</v>
      </c>
      <c r="B4543" t="s">
        <v>13605</v>
      </c>
      <c r="C4543" t="s">
        <v>13605</v>
      </c>
      <c r="D4543" t="str">
        <f>HYPERLINK("https://zfin.org/ZDB-GENE-980526-88")</f>
        <v>https://zfin.org/ZDB-GENE-980526-88</v>
      </c>
      <c r="E4543" t="s">
        <v>13606</v>
      </c>
    </row>
    <row r="4544" spans="1:5" x14ac:dyDescent="0.2">
      <c r="A4544" t="s">
        <v>13607</v>
      </c>
      <c r="B4544" t="s">
        <v>13608</v>
      </c>
      <c r="C4544" t="s">
        <v>13608</v>
      </c>
      <c r="D4544" t="str">
        <f>HYPERLINK("https://zfin.org/ZDB-GENE-041014-36")</f>
        <v>https://zfin.org/ZDB-GENE-041014-36</v>
      </c>
      <c r="E4544" t="s">
        <v>13609</v>
      </c>
    </row>
    <row r="4545" spans="1:5" x14ac:dyDescent="0.2">
      <c r="A4545" t="s">
        <v>13610</v>
      </c>
      <c r="B4545" t="s">
        <v>13611</v>
      </c>
      <c r="C4545" t="s">
        <v>13611</v>
      </c>
      <c r="D4545" t="str">
        <f>HYPERLINK("https://zfin.org/ZDB-GENE-040718-426")</f>
        <v>https://zfin.org/ZDB-GENE-040718-426</v>
      </c>
      <c r="E4545" t="s">
        <v>13612</v>
      </c>
    </row>
    <row r="4546" spans="1:5" x14ac:dyDescent="0.2">
      <c r="A4546" t="s">
        <v>13613</v>
      </c>
      <c r="B4546" t="s">
        <v>13614</v>
      </c>
      <c r="C4546" t="s">
        <v>13614</v>
      </c>
      <c r="D4546" t="str">
        <f>HYPERLINK("https://zfin.org/ZDB-GENE-061103-493")</f>
        <v>https://zfin.org/ZDB-GENE-061103-493</v>
      </c>
      <c r="E4546" t="s">
        <v>13615</v>
      </c>
    </row>
    <row r="4547" spans="1:5" x14ac:dyDescent="0.2">
      <c r="A4547" t="s">
        <v>13616</v>
      </c>
      <c r="B4547" t="s">
        <v>13617</v>
      </c>
      <c r="C4547" t="s">
        <v>13617</v>
      </c>
      <c r="D4547" t="str">
        <f>HYPERLINK("https://zfin.org/ZDB-GENE-030131-9242")</f>
        <v>https://zfin.org/ZDB-GENE-030131-9242</v>
      </c>
      <c r="E4547" t="s">
        <v>13618</v>
      </c>
    </row>
    <row r="4548" spans="1:5" x14ac:dyDescent="0.2">
      <c r="A4548" t="s">
        <v>13619</v>
      </c>
      <c r="B4548" t="s">
        <v>13620</v>
      </c>
      <c r="C4548" t="s">
        <v>13620</v>
      </c>
      <c r="D4548" t="str">
        <f>HYPERLINK("https://zfin.org/ZDB-GENE-030131-9137")</f>
        <v>https://zfin.org/ZDB-GENE-030131-9137</v>
      </c>
      <c r="E4548" t="s">
        <v>13621</v>
      </c>
    </row>
    <row r="4549" spans="1:5" x14ac:dyDescent="0.2">
      <c r="A4549" t="s">
        <v>13622</v>
      </c>
      <c r="B4549" t="s">
        <v>13623</v>
      </c>
      <c r="C4549" t="s">
        <v>13623</v>
      </c>
      <c r="D4549" t="str">
        <f>HYPERLINK("https://zfin.org/ZDB-GENE-130603-100")</f>
        <v>https://zfin.org/ZDB-GENE-130603-100</v>
      </c>
      <c r="E4549" t="s">
        <v>13624</v>
      </c>
    </row>
    <row r="4550" spans="1:5" x14ac:dyDescent="0.2">
      <c r="A4550" t="s">
        <v>13625</v>
      </c>
      <c r="B4550" t="s">
        <v>13626</v>
      </c>
      <c r="C4550" t="s">
        <v>13626</v>
      </c>
      <c r="D4550" t="str">
        <f>HYPERLINK("https://zfin.org/ZDB-GENE-090312-55")</f>
        <v>https://zfin.org/ZDB-GENE-090312-55</v>
      </c>
      <c r="E4550" t="s">
        <v>13627</v>
      </c>
    </row>
    <row r="4551" spans="1:5" x14ac:dyDescent="0.2">
      <c r="A4551" t="s">
        <v>13628</v>
      </c>
      <c r="B4551" t="s">
        <v>13629</v>
      </c>
      <c r="C4551" t="s">
        <v>13629</v>
      </c>
      <c r="D4551" t="str">
        <f>HYPERLINK("https://zfin.org/ZDB-GENE-040426-2411")</f>
        <v>https://zfin.org/ZDB-GENE-040426-2411</v>
      </c>
      <c r="E4551" t="s">
        <v>13630</v>
      </c>
    </row>
    <row r="4552" spans="1:5" x14ac:dyDescent="0.2">
      <c r="A4552" t="s">
        <v>13631</v>
      </c>
      <c r="B4552" t="s">
        <v>13632</v>
      </c>
      <c r="C4552" t="s">
        <v>13632</v>
      </c>
      <c r="D4552" t="str">
        <f>HYPERLINK("https://zfin.org/ZDB-GENE-061013-139")</f>
        <v>https://zfin.org/ZDB-GENE-061013-139</v>
      </c>
      <c r="E4552" t="s">
        <v>13633</v>
      </c>
    </row>
    <row r="4553" spans="1:5" x14ac:dyDescent="0.2">
      <c r="A4553" t="s">
        <v>13634</v>
      </c>
      <c r="B4553" t="s">
        <v>13635</v>
      </c>
      <c r="C4553" t="s">
        <v>13635</v>
      </c>
      <c r="D4553" t="str">
        <f>HYPERLINK("https://zfin.org/ZDB-GENE-131121-511")</f>
        <v>https://zfin.org/ZDB-GENE-131121-511</v>
      </c>
      <c r="E4553" t="s">
        <v>13636</v>
      </c>
    </row>
    <row r="4554" spans="1:5" x14ac:dyDescent="0.2">
      <c r="A4554" t="s">
        <v>13637</v>
      </c>
      <c r="B4554" t="s">
        <v>13638</v>
      </c>
      <c r="C4554" t="s">
        <v>13638</v>
      </c>
      <c r="D4554" t="str">
        <f>HYPERLINK("https://zfin.org/ZDB-GENE-040724-95")</f>
        <v>https://zfin.org/ZDB-GENE-040724-95</v>
      </c>
      <c r="E4554" t="s">
        <v>13639</v>
      </c>
    </row>
    <row r="4555" spans="1:5" x14ac:dyDescent="0.2">
      <c r="A4555" t="s">
        <v>13640</v>
      </c>
      <c r="B4555" t="s">
        <v>13641</v>
      </c>
      <c r="C4555" t="s">
        <v>13641</v>
      </c>
      <c r="D4555" t="str">
        <f>HYPERLINK("https://zfin.org/ZDB-GENE-030131-246")</f>
        <v>https://zfin.org/ZDB-GENE-030131-246</v>
      </c>
      <c r="E4555" t="s">
        <v>13642</v>
      </c>
    </row>
    <row r="4556" spans="1:5" x14ac:dyDescent="0.2">
      <c r="A4556" t="s">
        <v>13643</v>
      </c>
      <c r="B4556" t="s">
        <v>13644</v>
      </c>
      <c r="C4556" t="s">
        <v>13644</v>
      </c>
      <c r="D4556" t="str">
        <f>HYPERLINK("https://zfin.org/ZDB-GENE-131121-620")</f>
        <v>https://zfin.org/ZDB-GENE-131121-620</v>
      </c>
      <c r="E4556" t="s">
        <v>13645</v>
      </c>
    </row>
    <row r="4557" spans="1:5" x14ac:dyDescent="0.2">
      <c r="A4557" t="s">
        <v>13646</v>
      </c>
      <c r="B4557" t="s">
        <v>13647</v>
      </c>
      <c r="C4557" t="s">
        <v>13647</v>
      </c>
      <c r="D4557" t="str">
        <f>HYPERLINK("https://zfin.org/ZDB-GENE-070424-227")</f>
        <v>https://zfin.org/ZDB-GENE-070424-227</v>
      </c>
      <c r="E4557" t="s">
        <v>13648</v>
      </c>
    </row>
    <row r="4558" spans="1:5" x14ac:dyDescent="0.2">
      <c r="A4558" t="s">
        <v>13649</v>
      </c>
      <c r="B4558" t="s">
        <v>13650</v>
      </c>
      <c r="C4558" t="s">
        <v>13650</v>
      </c>
      <c r="D4558" t="str">
        <f>HYPERLINK("https://zfin.org/ZDB-GENE-090313-277")</f>
        <v>https://zfin.org/ZDB-GENE-090313-277</v>
      </c>
      <c r="E4558" t="s">
        <v>13651</v>
      </c>
    </row>
    <row r="4559" spans="1:5" x14ac:dyDescent="0.2">
      <c r="A4559" t="s">
        <v>13652</v>
      </c>
      <c r="B4559" t="s">
        <v>13653</v>
      </c>
      <c r="C4559" t="s">
        <v>13653</v>
      </c>
      <c r="D4559" t="str">
        <f>HYPERLINK("https://zfin.org/ZDB-GENE-091117-46")</f>
        <v>https://zfin.org/ZDB-GENE-091117-46</v>
      </c>
      <c r="E4559" t="s">
        <v>13654</v>
      </c>
    </row>
    <row r="4560" spans="1:5" x14ac:dyDescent="0.2">
      <c r="A4560" t="s">
        <v>13655</v>
      </c>
      <c r="B4560" t="s">
        <v>13656</v>
      </c>
      <c r="C4560" t="s">
        <v>13656</v>
      </c>
      <c r="D4560" t="str">
        <f>HYPERLINK("https://zfin.org/ZDB-GENE-040718-471")</f>
        <v>https://zfin.org/ZDB-GENE-040718-471</v>
      </c>
      <c r="E4560" t="s">
        <v>13657</v>
      </c>
    </row>
    <row r="4561" spans="1:5" x14ac:dyDescent="0.2">
      <c r="A4561" t="s">
        <v>13658</v>
      </c>
      <c r="B4561" t="s">
        <v>13659</v>
      </c>
      <c r="C4561" t="s">
        <v>13659</v>
      </c>
      <c r="D4561" t="str">
        <f>HYPERLINK("https://zfin.org/ZDB-GENE-130531-48")</f>
        <v>https://zfin.org/ZDB-GENE-130531-48</v>
      </c>
      <c r="E4561" t="s">
        <v>13660</v>
      </c>
    </row>
    <row r="4562" spans="1:5" x14ac:dyDescent="0.2">
      <c r="A4562" t="s">
        <v>13661</v>
      </c>
      <c r="B4562" t="s">
        <v>13662</v>
      </c>
      <c r="C4562" t="s">
        <v>13662</v>
      </c>
      <c r="D4562" t="str">
        <f>HYPERLINK("https://zfin.org/ZDB-GENE-040912-100")</f>
        <v>https://zfin.org/ZDB-GENE-040912-100</v>
      </c>
      <c r="E4562" t="s">
        <v>13663</v>
      </c>
    </row>
    <row r="4563" spans="1:5" x14ac:dyDescent="0.2">
      <c r="A4563" t="s">
        <v>13664</v>
      </c>
      <c r="B4563" t="s">
        <v>13665</v>
      </c>
      <c r="C4563" t="s">
        <v>13665</v>
      </c>
      <c r="D4563" t="str">
        <f>HYPERLINK("https://zfin.org/ZDB-GENE-040718-364")</f>
        <v>https://zfin.org/ZDB-GENE-040718-364</v>
      </c>
      <c r="E4563" t="s">
        <v>13666</v>
      </c>
    </row>
    <row r="4564" spans="1:5" x14ac:dyDescent="0.2">
      <c r="A4564" t="s">
        <v>13667</v>
      </c>
      <c r="B4564" t="s">
        <v>13668</v>
      </c>
      <c r="C4564" t="s">
        <v>13668</v>
      </c>
      <c r="D4564" t="str">
        <f>HYPERLINK("https://zfin.org/ZDB-GENE-030131-9687")</f>
        <v>https://zfin.org/ZDB-GENE-030131-9687</v>
      </c>
      <c r="E4564" t="s">
        <v>13669</v>
      </c>
    </row>
    <row r="4565" spans="1:5" x14ac:dyDescent="0.2">
      <c r="A4565" t="s">
        <v>13670</v>
      </c>
      <c r="B4565" t="s">
        <v>13671</v>
      </c>
      <c r="C4565" t="s">
        <v>13671</v>
      </c>
      <c r="D4565" t="str">
        <f>HYPERLINK("https://zfin.org/ZDB-GENE-030131-3273")</f>
        <v>https://zfin.org/ZDB-GENE-030131-3273</v>
      </c>
      <c r="E4565" t="s">
        <v>13672</v>
      </c>
    </row>
    <row r="4566" spans="1:5" x14ac:dyDescent="0.2">
      <c r="A4566" t="s">
        <v>13673</v>
      </c>
      <c r="B4566" t="s">
        <v>13674</v>
      </c>
      <c r="C4566" t="s">
        <v>13674</v>
      </c>
      <c r="D4566" t="str">
        <f>HYPERLINK("https://zfin.org/ZDB-GENE-051113-140")</f>
        <v>https://zfin.org/ZDB-GENE-051113-140</v>
      </c>
      <c r="E4566" t="s">
        <v>13675</v>
      </c>
    </row>
    <row r="4567" spans="1:5" x14ac:dyDescent="0.2">
      <c r="A4567" t="s">
        <v>13676</v>
      </c>
      <c r="B4567" t="s">
        <v>13677</v>
      </c>
      <c r="C4567" t="s">
        <v>13677</v>
      </c>
      <c r="D4567" t="str">
        <f>HYPERLINK("https://zfin.org/ZDB-GENE-070705-37")</f>
        <v>https://zfin.org/ZDB-GENE-070705-37</v>
      </c>
      <c r="E4567" t="s">
        <v>13678</v>
      </c>
    </row>
    <row r="4568" spans="1:5" x14ac:dyDescent="0.2">
      <c r="A4568" t="s">
        <v>13679</v>
      </c>
      <c r="B4568" t="s">
        <v>13680</v>
      </c>
      <c r="C4568" t="s">
        <v>13680</v>
      </c>
      <c r="D4568" t="str">
        <f>HYPERLINK("https://zfin.org/ZDB-GENE-060503-352")</f>
        <v>https://zfin.org/ZDB-GENE-060503-352</v>
      </c>
      <c r="E4568" t="s">
        <v>13681</v>
      </c>
    </row>
    <row r="4569" spans="1:5" x14ac:dyDescent="0.2">
      <c r="A4569" t="s">
        <v>13682</v>
      </c>
      <c r="B4569" t="s">
        <v>13683</v>
      </c>
      <c r="C4569" t="s">
        <v>13683</v>
      </c>
      <c r="D4569" t="str">
        <f>HYPERLINK("https://zfin.org/ZDB-GENE-030131-3202")</f>
        <v>https://zfin.org/ZDB-GENE-030131-3202</v>
      </c>
      <c r="E4569" t="s">
        <v>13684</v>
      </c>
    </row>
    <row r="4570" spans="1:5" x14ac:dyDescent="0.2">
      <c r="A4570" t="s">
        <v>13685</v>
      </c>
      <c r="B4570" t="s">
        <v>13686</v>
      </c>
      <c r="C4570" t="s">
        <v>13686</v>
      </c>
      <c r="D4570" t="str">
        <f>HYPERLINK("https://zfin.org/ZDB-GENE-060331-137")</f>
        <v>https://zfin.org/ZDB-GENE-060331-137</v>
      </c>
      <c r="E4570" t="s">
        <v>13687</v>
      </c>
    </row>
    <row r="4571" spans="1:5" x14ac:dyDescent="0.2">
      <c r="A4571" t="s">
        <v>13688</v>
      </c>
      <c r="B4571" t="s">
        <v>13689</v>
      </c>
      <c r="C4571" t="s">
        <v>13689</v>
      </c>
      <c r="D4571" t="str">
        <f>HYPERLINK("https://zfin.org/ZDB-GENE-041014-16")</f>
        <v>https://zfin.org/ZDB-GENE-041014-16</v>
      </c>
      <c r="E4571" t="s">
        <v>13690</v>
      </c>
    </row>
    <row r="4572" spans="1:5" x14ac:dyDescent="0.2">
      <c r="A4572" t="s">
        <v>13691</v>
      </c>
      <c r="B4572" t="s">
        <v>13692</v>
      </c>
      <c r="C4572" t="s">
        <v>13692</v>
      </c>
      <c r="D4572" t="str">
        <f>HYPERLINK("https://zfin.org/ZDB-GENE-120312-1")</f>
        <v>https://zfin.org/ZDB-GENE-120312-1</v>
      </c>
      <c r="E4572" t="s">
        <v>13693</v>
      </c>
    </row>
    <row r="4573" spans="1:5" x14ac:dyDescent="0.2">
      <c r="A4573" t="s">
        <v>13694</v>
      </c>
      <c r="B4573" t="s">
        <v>13695</v>
      </c>
      <c r="C4573" t="s">
        <v>13695</v>
      </c>
      <c r="D4573" t="str">
        <f>HYPERLINK("https://zfin.org/ZDB-GENE-080220-57")</f>
        <v>https://zfin.org/ZDB-GENE-080220-57</v>
      </c>
      <c r="E4573" t="s">
        <v>13696</v>
      </c>
    </row>
    <row r="4574" spans="1:5" x14ac:dyDescent="0.2">
      <c r="A4574" t="s">
        <v>13697</v>
      </c>
      <c r="B4574" t="s">
        <v>13698</v>
      </c>
      <c r="C4574" t="s">
        <v>13698</v>
      </c>
      <c r="D4574" t="str">
        <f>HYPERLINK("https://zfin.org/ZDB-GENE-030131-1228")</f>
        <v>https://zfin.org/ZDB-GENE-030131-1228</v>
      </c>
      <c r="E4574" t="s">
        <v>13699</v>
      </c>
    </row>
    <row r="4575" spans="1:5" x14ac:dyDescent="0.2">
      <c r="A4575" t="s">
        <v>13700</v>
      </c>
      <c r="B4575" t="s">
        <v>13701</v>
      </c>
      <c r="C4575" t="s">
        <v>13701</v>
      </c>
      <c r="D4575" t="str">
        <f>HYPERLINK("https://zfin.org/ZDB-GENE-000403-1")</f>
        <v>https://zfin.org/ZDB-GENE-000403-1</v>
      </c>
      <c r="E4575" t="s">
        <v>13702</v>
      </c>
    </row>
    <row r="4576" spans="1:5" x14ac:dyDescent="0.2">
      <c r="A4576" t="s">
        <v>13703</v>
      </c>
      <c r="B4576" t="s">
        <v>13704</v>
      </c>
      <c r="C4576" t="s">
        <v>13704</v>
      </c>
      <c r="D4576" t="str">
        <f>HYPERLINK("https://zfin.org/ZDB-GENE-030131-8657")</f>
        <v>https://zfin.org/ZDB-GENE-030131-8657</v>
      </c>
      <c r="E4576" t="s">
        <v>13705</v>
      </c>
    </row>
    <row r="4577" spans="1:5" x14ac:dyDescent="0.2">
      <c r="A4577" t="s">
        <v>13706</v>
      </c>
      <c r="B4577" t="s">
        <v>13707</v>
      </c>
      <c r="C4577" t="s">
        <v>13707</v>
      </c>
      <c r="D4577" t="str">
        <f>HYPERLINK("https://zfin.org/ZDB-GENE-991111-3")</f>
        <v>https://zfin.org/ZDB-GENE-991111-3</v>
      </c>
      <c r="E4577" t="s">
        <v>13708</v>
      </c>
    </row>
    <row r="4578" spans="1:5" x14ac:dyDescent="0.2">
      <c r="A4578" t="s">
        <v>13709</v>
      </c>
      <c r="B4578" t="s">
        <v>13710</v>
      </c>
      <c r="C4578" t="s">
        <v>13710</v>
      </c>
      <c r="D4578" t="str">
        <f>HYPERLINK("https://zfin.org/ZDB-GENE-000607-77")</f>
        <v>https://zfin.org/ZDB-GENE-000607-77</v>
      </c>
      <c r="E4578" t="s">
        <v>13711</v>
      </c>
    </row>
    <row r="4579" spans="1:5" x14ac:dyDescent="0.2">
      <c r="A4579" t="s">
        <v>13712</v>
      </c>
      <c r="B4579" t="s">
        <v>13713</v>
      </c>
      <c r="C4579" t="s">
        <v>13713</v>
      </c>
      <c r="D4579" t="str">
        <f>HYPERLINK("https://zfin.org/ZDB-GENE-081120-6")</f>
        <v>https://zfin.org/ZDB-GENE-081120-6</v>
      </c>
      <c r="E4579" t="s">
        <v>13714</v>
      </c>
    </row>
    <row r="4580" spans="1:5" x14ac:dyDescent="0.2">
      <c r="A4580" t="s">
        <v>13715</v>
      </c>
      <c r="B4580" t="s">
        <v>13716</v>
      </c>
      <c r="C4580" t="s">
        <v>13716</v>
      </c>
      <c r="D4580" t="str">
        <f>HYPERLINK("https://zfin.org/ZDB-GENE-051120-72")</f>
        <v>https://zfin.org/ZDB-GENE-051120-72</v>
      </c>
      <c r="E4580" t="s">
        <v>13717</v>
      </c>
    </row>
    <row r="4581" spans="1:5" x14ac:dyDescent="0.2">
      <c r="A4581" t="s">
        <v>13718</v>
      </c>
      <c r="B4581" t="s">
        <v>13719</v>
      </c>
      <c r="C4581" t="s">
        <v>13719</v>
      </c>
      <c r="D4581" t="str">
        <f>HYPERLINK("https://zfin.org/ZDB-GENE-040426-17")</f>
        <v>https://zfin.org/ZDB-GENE-040426-17</v>
      </c>
      <c r="E4581" t="s">
        <v>13720</v>
      </c>
    </row>
    <row r="4582" spans="1:5" x14ac:dyDescent="0.2">
      <c r="A4582" t="s">
        <v>13721</v>
      </c>
      <c r="B4582" t="s">
        <v>13722</v>
      </c>
      <c r="C4582" t="s">
        <v>13722</v>
      </c>
      <c r="D4582" t="str">
        <f>HYPERLINK("https://zfin.org/ZDB-GENE-050208-733")</f>
        <v>https://zfin.org/ZDB-GENE-050208-733</v>
      </c>
      <c r="E4582" t="s">
        <v>13723</v>
      </c>
    </row>
    <row r="4583" spans="1:5" x14ac:dyDescent="0.2">
      <c r="A4583" t="s">
        <v>13724</v>
      </c>
      <c r="B4583" t="s">
        <v>13725</v>
      </c>
      <c r="C4583" t="s">
        <v>13725</v>
      </c>
      <c r="D4583" t="str">
        <f>HYPERLINK("https://zfin.org/ZDB-GENE-131119-66")</f>
        <v>https://zfin.org/ZDB-GENE-131119-66</v>
      </c>
      <c r="E4583" t="s">
        <v>13726</v>
      </c>
    </row>
    <row r="4584" spans="1:5" x14ac:dyDescent="0.2">
      <c r="A4584" t="s">
        <v>13727</v>
      </c>
      <c r="B4584" t="s">
        <v>13728</v>
      </c>
      <c r="C4584" t="s">
        <v>13728</v>
      </c>
      <c r="D4584" t="str">
        <f>HYPERLINK("https://zfin.org/ZDB-GENE-030131-3432")</f>
        <v>https://zfin.org/ZDB-GENE-030131-3432</v>
      </c>
      <c r="E4584" t="s">
        <v>13729</v>
      </c>
    </row>
    <row r="4585" spans="1:5" x14ac:dyDescent="0.2">
      <c r="A4585" t="s">
        <v>13730</v>
      </c>
      <c r="B4585" t="s">
        <v>13731</v>
      </c>
      <c r="C4585" t="s">
        <v>13731</v>
      </c>
      <c r="D4585" t="str">
        <f>HYPERLINK("https://zfin.org/ZDB-GENE-050417-227")</f>
        <v>https://zfin.org/ZDB-GENE-050417-227</v>
      </c>
      <c r="E4585" t="s">
        <v>13732</v>
      </c>
    </row>
    <row r="4586" spans="1:5" x14ac:dyDescent="0.2">
      <c r="A4586" t="s">
        <v>13733</v>
      </c>
      <c r="B4586" t="s">
        <v>13734</v>
      </c>
      <c r="C4586" t="s">
        <v>13734</v>
      </c>
      <c r="D4586" t="str">
        <f>HYPERLINK("https://zfin.org/ZDB-GENE-120319-1")</f>
        <v>https://zfin.org/ZDB-GENE-120319-1</v>
      </c>
      <c r="E4586" t="s">
        <v>13735</v>
      </c>
    </row>
    <row r="4587" spans="1:5" x14ac:dyDescent="0.2">
      <c r="A4587" t="s">
        <v>13736</v>
      </c>
      <c r="B4587" t="s">
        <v>13737</v>
      </c>
      <c r="C4587" t="s">
        <v>13737</v>
      </c>
      <c r="D4587" t="str">
        <f>HYPERLINK("https://zfin.org/ZDB-GENE-040426-2795")</f>
        <v>https://zfin.org/ZDB-GENE-040426-2795</v>
      </c>
      <c r="E4587" t="s">
        <v>13738</v>
      </c>
    </row>
    <row r="4588" spans="1:5" x14ac:dyDescent="0.2">
      <c r="A4588" t="s">
        <v>13739</v>
      </c>
      <c r="B4588" t="s">
        <v>13740</v>
      </c>
      <c r="C4588" t="s">
        <v>13740</v>
      </c>
      <c r="D4588" t="str">
        <f>HYPERLINK("https://zfin.org/ZDB-GENE-050706-182")</f>
        <v>https://zfin.org/ZDB-GENE-050706-182</v>
      </c>
      <c r="E4588" t="s">
        <v>13741</v>
      </c>
    </row>
    <row r="4589" spans="1:5" x14ac:dyDescent="0.2">
      <c r="A4589" t="s">
        <v>13742</v>
      </c>
      <c r="B4589" t="s">
        <v>13743</v>
      </c>
      <c r="C4589" t="s">
        <v>13743</v>
      </c>
      <c r="D4589" t="str">
        <f>HYPERLINK("https://zfin.org/ZDB-GENE-050208-72")</f>
        <v>https://zfin.org/ZDB-GENE-050208-72</v>
      </c>
      <c r="E4589" t="s">
        <v>13744</v>
      </c>
    </row>
    <row r="4590" spans="1:5" x14ac:dyDescent="0.2">
      <c r="A4590" t="s">
        <v>13745</v>
      </c>
      <c r="B4590" t="s">
        <v>13746</v>
      </c>
      <c r="C4590" t="s">
        <v>13746</v>
      </c>
      <c r="D4590" t="str">
        <f>HYPERLINK("https://zfin.org/ZDB-GENE-030616-382")</f>
        <v>https://zfin.org/ZDB-GENE-030616-382</v>
      </c>
      <c r="E4590" t="s">
        <v>13747</v>
      </c>
    </row>
    <row r="4591" spans="1:5" x14ac:dyDescent="0.2">
      <c r="A4591" t="s">
        <v>13748</v>
      </c>
      <c r="B4591" t="s">
        <v>13749</v>
      </c>
      <c r="C4591" t="s">
        <v>13749</v>
      </c>
      <c r="D4591" t="str">
        <f>HYPERLINK("https://zfin.org/ZDB-GENE-070705-151")</f>
        <v>https://zfin.org/ZDB-GENE-070705-151</v>
      </c>
      <c r="E4591" t="s">
        <v>13750</v>
      </c>
    </row>
    <row r="4592" spans="1:5" x14ac:dyDescent="0.2">
      <c r="A4592" t="s">
        <v>13751</v>
      </c>
      <c r="B4592" t="s">
        <v>13752</v>
      </c>
      <c r="C4592" t="s">
        <v>13752</v>
      </c>
      <c r="D4592" t="str">
        <f>HYPERLINK("https://zfin.org/ZDB-GENE-120215-186")</f>
        <v>https://zfin.org/ZDB-GENE-120215-186</v>
      </c>
      <c r="E4592" t="s">
        <v>13753</v>
      </c>
    </row>
    <row r="4593" spans="1:5" x14ac:dyDescent="0.2">
      <c r="A4593" t="s">
        <v>13754</v>
      </c>
      <c r="B4593" t="s">
        <v>13755</v>
      </c>
      <c r="C4593" t="s">
        <v>13755</v>
      </c>
      <c r="D4593" t="str">
        <f>HYPERLINK("https://zfin.org/ZDB-GENE-090313-12")</f>
        <v>https://zfin.org/ZDB-GENE-090313-12</v>
      </c>
      <c r="E4593" t="s">
        <v>13756</v>
      </c>
    </row>
    <row r="4594" spans="1:5" x14ac:dyDescent="0.2">
      <c r="A4594" t="s">
        <v>13757</v>
      </c>
      <c r="B4594" t="s">
        <v>13758</v>
      </c>
      <c r="C4594" t="s">
        <v>13758</v>
      </c>
      <c r="D4594" t="str">
        <f>HYPERLINK("https://zfin.org/ZDB-GENE-040625-17")</f>
        <v>https://zfin.org/ZDB-GENE-040625-17</v>
      </c>
      <c r="E4594" t="s">
        <v>13759</v>
      </c>
    </row>
    <row r="4595" spans="1:5" x14ac:dyDescent="0.2">
      <c r="A4595" t="s">
        <v>13760</v>
      </c>
      <c r="B4595" t="s">
        <v>13761</v>
      </c>
      <c r="C4595" t="s">
        <v>13761</v>
      </c>
      <c r="D4595" t="str">
        <f>HYPERLINK("https://zfin.org/ZDB-GENE-000616-4")</f>
        <v>https://zfin.org/ZDB-GENE-000616-4</v>
      </c>
      <c r="E4595" t="s">
        <v>13762</v>
      </c>
    </row>
    <row r="4596" spans="1:5" x14ac:dyDescent="0.2">
      <c r="A4596" t="s">
        <v>13763</v>
      </c>
      <c r="B4596" t="s">
        <v>13764</v>
      </c>
      <c r="C4596" t="s">
        <v>13764</v>
      </c>
      <c r="D4596" t="str">
        <f>HYPERLINK("https://zfin.org/ZDB-GENE-131120-71")</f>
        <v>https://zfin.org/ZDB-GENE-131120-71</v>
      </c>
      <c r="E4596" t="s">
        <v>13765</v>
      </c>
    </row>
    <row r="4597" spans="1:5" x14ac:dyDescent="0.2">
      <c r="A4597" t="s">
        <v>13766</v>
      </c>
      <c r="B4597" t="s">
        <v>13767</v>
      </c>
      <c r="C4597" t="s">
        <v>13767</v>
      </c>
      <c r="D4597" t="str">
        <f>HYPERLINK("https://zfin.org/ZDB-GENE-030826-25")</f>
        <v>https://zfin.org/ZDB-GENE-030826-25</v>
      </c>
      <c r="E4597" t="s">
        <v>13768</v>
      </c>
    </row>
    <row r="4598" spans="1:5" x14ac:dyDescent="0.2">
      <c r="A4598" t="s">
        <v>13769</v>
      </c>
      <c r="B4598" t="s">
        <v>13770</v>
      </c>
      <c r="C4598" t="s">
        <v>13770</v>
      </c>
      <c r="D4598" t="str">
        <f>HYPERLINK("https://zfin.org/ZDB-GENE-001031-1")</f>
        <v>https://zfin.org/ZDB-GENE-001031-1</v>
      </c>
      <c r="E4598" t="s">
        <v>13771</v>
      </c>
    </row>
    <row r="4599" spans="1:5" x14ac:dyDescent="0.2">
      <c r="A4599" t="s">
        <v>13772</v>
      </c>
      <c r="B4599" t="s">
        <v>13773</v>
      </c>
      <c r="C4599" t="s">
        <v>13773</v>
      </c>
      <c r="D4599" t="str">
        <f>HYPERLINK("https://zfin.org/ZDB-GENE-030515-4")</f>
        <v>https://zfin.org/ZDB-GENE-030515-4</v>
      </c>
      <c r="E4599" t="s">
        <v>13774</v>
      </c>
    </row>
    <row r="4600" spans="1:5" x14ac:dyDescent="0.2">
      <c r="A4600" t="s">
        <v>13775</v>
      </c>
      <c r="B4600" t="s">
        <v>13776</v>
      </c>
      <c r="C4600" t="s">
        <v>13776</v>
      </c>
      <c r="D4600" t="str">
        <f>HYPERLINK("https://zfin.org/ZDB-GENE-040826-2")</f>
        <v>https://zfin.org/ZDB-GENE-040826-2</v>
      </c>
      <c r="E4600" t="s">
        <v>13777</v>
      </c>
    </row>
    <row r="4601" spans="1:5" x14ac:dyDescent="0.2">
      <c r="A4601" t="s">
        <v>13778</v>
      </c>
      <c r="B4601" t="s">
        <v>13779</v>
      </c>
      <c r="C4601" t="s">
        <v>13779</v>
      </c>
      <c r="D4601" t="str">
        <f>HYPERLINK("https://zfin.org/ZDB-GENE-130530-726")</f>
        <v>https://zfin.org/ZDB-GENE-130530-726</v>
      </c>
      <c r="E4601" t="s">
        <v>13780</v>
      </c>
    </row>
    <row r="4602" spans="1:5" x14ac:dyDescent="0.2">
      <c r="A4602" t="s">
        <v>13781</v>
      </c>
      <c r="B4602" t="s">
        <v>13782</v>
      </c>
      <c r="C4602" t="s">
        <v>13782</v>
      </c>
      <c r="D4602" t="str">
        <f>HYPERLINK("https://zfin.org/ZDB-GENE-090302-3")</f>
        <v>https://zfin.org/ZDB-GENE-090302-3</v>
      </c>
      <c r="E4602" t="s">
        <v>13783</v>
      </c>
    </row>
    <row r="4603" spans="1:5" x14ac:dyDescent="0.2">
      <c r="A4603" t="s">
        <v>13784</v>
      </c>
      <c r="B4603" t="s">
        <v>13785</v>
      </c>
      <c r="C4603" t="s">
        <v>13785</v>
      </c>
      <c r="D4603" t="str">
        <f>HYPERLINK("https://zfin.org/ZDB-GENE-020806-1")</f>
        <v>https://zfin.org/ZDB-GENE-020806-1</v>
      </c>
      <c r="E4603" t="s">
        <v>13786</v>
      </c>
    </row>
    <row r="4604" spans="1:5" x14ac:dyDescent="0.2">
      <c r="A4604" t="s">
        <v>13787</v>
      </c>
      <c r="B4604" t="s">
        <v>13788</v>
      </c>
      <c r="C4604" t="s">
        <v>13788</v>
      </c>
      <c r="D4604" t="str">
        <f>HYPERLINK("https://zfin.org/ZDB-GENE-070502-2")</f>
        <v>https://zfin.org/ZDB-GENE-070502-2</v>
      </c>
      <c r="E4604" t="s">
        <v>13789</v>
      </c>
    </row>
    <row r="4605" spans="1:5" x14ac:dyDescent="0.2">
      <c r="A4605" t="s">
        <v>13790</v>
      </c>
      <c r="B4605" t="s">
        <v>13791</v>
      </c>
      <c r="C4605" t="s">
        <v>13791</v>
      </c>
      <c r="D4605" t="str">
        <f>HYPERLINK("https://zfin.org/ZDB-GENE-120312-1")</f>
        <v>https://zfin.org/ZDB-GENE-120312-1</v>
      </c>
      <c r="E4605" t="s">
        <v>13792</v>
      </c>
    </row>
    <row r="4606" spans="1:5" x14ac:dyDescent="0.2">
      <c r="A4606" t="s">
        <v>13793</v>
      </c>
      <c r="B4606" t="s">
        <v>13794</v>
      </c>
      <c r="C4606" t="s">
        <v>13794</v>
      </c>
      <c r="D4606" t="str">
        <f>HYPERLINK("https://zfin.org/ZDB-GENE-050419-202")</f>
        <v>https://zfin.org/ZDB-GENE-050419-202</v>
      </c>
      <c r="E4606" t="s">
        <v>13795</v>
      </c>
    </row>
    <row r="4607" spans="1:5" x14ac:dyDescent="0.2">
      <c r="A4607" t="s">
        <v>13796</v>
      </c>
      <c r="B4607" t="s">
        <v>13797</v>
      </c>
      <c r="C4607" t="s">
        <v>13797</v>
      </c>
      <c r="D4607" t="str">
        <f>HYPERLINK("https://zfin.org/ZDB-GENE-030131-10056")</f>
        <v>https://zfin.org/ZDB-GENE-030131-10056</v>
      </c>
      <c r="E4607" t="s">
        <v>13798</v>
      </c>
    </row>
    <row r="4608" spans="1:5" x14ac:dyDescent="0.2">
      <c r="A4608" t="s">
        <v>13799</v>
      </c>
      <c r="B4608" t="s">
        <v>13800</v>
      </c>
      <c r="C4608" t="s">
        <v>13800</v>
      </c>
      <c r="D4608" t="str">
        <f>HYPERLINK("https://zfin.org/")</f>
        <v>https://zfin.org/</v>
      </c>
      <c r="E4608" t="s">
        <v>13801</v>
      </c>
    </row>
    <row r="4609" spans="1:5" x14ac:dyDescent="0.2">
      <c r="A4609" t="s">
        <v>13802</v>
      </c>
      <c r="B4609" t="s">
        <v>13803</v>
      </c>
      <c r="C4609" t="s">
        <v>13803</v>
      </c>
      <c r="D4609" t="str">
        <f>HYPERLINK("https://zfin.org/ZDB-GENE-050417-299")</f>
        <v>https://zfin.org/ZDB-GENE-050417-299</v>
      </c>
      <c r="E4609" t="s">
        <v>13804</v>
      </c>
    </row>
    <row r="4610" spans="1:5" x14ac:dyDescent="0.2">
      <c r="A4610" t="s">
        <v>13805</v>
      </c>
      <c r="B4610" t="s">
        <v>13806</v>
      </c>
      <c r="C4610" t="s">
        <v>13806</v>
      </c>
      <c r="D4610" t="str">
        <f>HYPERLINK("https://zfin.org/ZDB-GENE-131127-512")</f>
        <v>https://zfin.org/ZDB-GENE-131127-512</v>
      </c>
      <c r="E4610" t="s">
        <v>13807</v>
      </c>
    </row>
    <row r="4611" spans="1:5" x14ac:dyDescent="0.2">
      <c r="A4611" t="s">
        <v>13808</v>
      </c>
      <c r="B4611" t="s">
        <v>13809</v>
      </c>
      <c r="C4611" t="s">
        <v>13809</v>
      </c>
      <c r="D4611" t="str">
        <f>HYPERLINK("https://zfin.org/ZDB-GENE-060503-81")</f>
        <v>https://zfin.org/ZDB-GENE-060503-81</v>
      </c>
      <c r="E4611" t="s">
        <v>13810</v>
      </c>
    </row>
    <row r="4612" spans="1:5" x14ac:dyDescent="0.2">
      <c r="A4612" t="s">
        <v>13811</v>
      </c>
      <c r="B4612" t="s">
        <v>13812</v>
      </c>
      <c r="C4612" t="s">
        <v>13812</v>
      </c>
      <c r="D4612" t="str">
        <f>HYPERLINK("https://zfin.org/ZDB-GENE-021115-4")</f>
        <v>https://zfin.org/ZDB-GENE-021115-4</v>
      </c>
      <c r="E4612" t="s">
        <v>13813</v>
      </c>
    </row>
    <row r="4613" spans="1:5" x14ac:dyDescent="0.2">
      <c r="A4613" t="s">
        <v>13814</v>
      </c>
      <c r="B4613" t="s">
        <v>13815</v>
      </c>
      <c r="C4613" t="s">
        <v>13815</v>
      </c>
      <c r="D4613" t="str">
        <f>HYPERLINK("https://zfin.org/ZDB-GENE-140106-58")</f>
        <v>https://zfin.org/ZDB-GENE-140106-58</v>
      </c>
      <c r="E4613" t="s">
        <v>13816</v>
      </c>
    </row>
    <row r="4614" spans="1:5" x14ac:dyDescent="0.2">
      <c r="A4614" t="s">
        <v>13817</v>
      </c>
      <c r="B4614" t="s">
        <v>13818</v>
      </c>
      <c r="C4614" t="s">
        <v>13818</v>
      </c>
      <c r="D4614" t="str">
        <f>HYPERLINK("https://zfin.org/ZDB-GENE-081030-16")</f>
        <v>https://zfin.org/ZDB-GENE-081030-16</v>
      </c>
      <c r="E4614" t="s">
        <v>13819</v>
      </c>
    </row>
    <row r="4615" spans="1:5" x14ac:dyDescent="0.2">
      <c r="A4615" t="s">
        <v>13820</v>
      </c>
      <c r="B4615" t="s">
        <v>13821</v>
      </c>
      <c r="C4615" t="s">
        <v>13821</v>
      </c>
      <c r="D4615" t="str">
        <f>HYPERLINK("https://zfin.org/ZDB-GENE-070705-289")</f>
        <v>https://zfin.org/ZDB-GENE-070705-289</v>
      </c>
      <c r="E4615" t="s">
        <v>13822</v>
      </c>
    </row>
    <row r="4616" spans="1:5" x14ac:dyDescent="0.2">
      <c r="A4616" t="s">
        <v>13823</v>
      </c>
      <c r="B4616" t="s">
        <v>13824</v>
      </c>
      <c r="C4616" t="s">
        <v>13824</v>
      </c>
      <c r="D4616" t="str">
        <f>HYPERLINK("https://zfin.org/ZDB-GENE-070620-20")</f>
        <v>https://zfin.org/ZDB-GENE-070620-20</v>
      </c>
      <c r="E4616" t="s">
        <v>13825</v>
      </c>
    </row>
    <row r="4617" spans="1:5" x14ac:dyDescent="0.2">
      <c r="A4617" t="s">
        <v>13826</v>
      </c>
      <c r="B4617" t="s">
        <v>13827</v>
      </c>
      <c r="C4617" t="s">
        <v>13827</v>
      </c>
      <c r="D4617" t="str">
        <f>HYPERLINK("https://zfin.org/ZDB-GENE-040426-2157")</f>
        <v>https://zfin.org/ZDB-GENE-040426-2157</v>
      </c>
      <c r="E4617" t="s">
        <v>13828</v>
      </c>
    </row>
    <row r="4618" spans="1:5" x14ac:dyDescent="0.2">
      <c r="A4618" t="s">
        <v>13829</v>
      </c>
      <c r="B4618" t="s">
        <v>13830</v>
      </c>
      <c r="C4618" t="s">
        <v>13830</v>
      </c>
      <c r="D4618" t="str">
        <f>HYPERLINK("https://zfin.org/ZDB-GENE-030131-5205")</f>
        <v>https://zfin.org/ZDB-GENE-030131-5205</v>
      </c>
      <c r="E4618" t="s">
        <v>13831</v>
      </c>
    </row>
    <row r="4619" spans="1:5" x14ac:dyDescent="0.2">
      <c r="A4619" t="s">
        <v>13832</v>
      </c>
      <c r="B4619" t="s">
        <v>13833</v>
      </c>
      <c r="C4619" t="s">
        <v>13833</v>
      </c>
      <c r="D4619" t="str">
        <f>HYPERLINK("https://zfin.org/ZDB-GENE-030131-168")</f>
        <v>https://zfin.org/ZDB-GENE-030131-168</v>
      </c>
      <c r="E4619" t="s">
        <v>13834</v>
      </c>
    </row>
    <row r="4620" spans="1:5" x14ac:dyDescent="0.2">
      <c r="A4620" t="s">
        <v>13835</v>
      </c>
      <c r="B4620" t="s">
        <v>13827</v>
      </c>
      <c r="C4620" t="s">
        <v>13836</v>
      </c>
      <c r="D4620" t="str">
        <f>HYPERLINK("https://zfin.org/ZDB-GENE-040426-2157")</f>
        <v>https://zfin.org/ZDB-GENE-040426-2157</v>
      </c>
      <c r="E4620" t="s">
        <v>13828</v>
      </c>
    </row>
    <row r="4621" spans="1:5" x14ac:dyDescent="0.2">
      <c r="A4621" t="s">
        <v>13837</v>
      </c>
      <c r="B4621" t="s">
        <v>13838</v>
      </c>
      <c r="C4621" t="s">
        <v>13838</v>
      </c>
      <c r="D4621" t="str">
        <f>HYPERLINK("https://zfin.org/ZDB-GENE-030131-4078")</f>
        <v>https://zfin.org/ZDB-GENE-030131-4078</v>
      </c>
      <c r="E4621" t="s">
        <v>13839</v>
      </c>
    </row>
    <row r="4622" spans="1:5" x14ac:dyDescent="0.2">
      <c r="A4622" t="s">
        <v>13840</v>
      </c>
      <c r="B4622" t="s">
        <v>13841</v>
      </c>
      <c r="C4622" t="s">
        <v>13841</v>
      </c>
      <c r="D4622" t="str">
        <f>HYPERLINK("https://zfin.org/ZDB-GENE-080723-68")</f>
        <v>https://zfin.org/ZDB-GENE-080723-68</v>
      </c>
      <c r="E4622" t="s">
        <v>13842</v>
      </c>
    </row>
    <row r="4623" spans="1:5" x14ac:dyDescent="0.2">
      <c r="A4623" t="s">
        <v>13843</v>
      </c>
      <c r="B4623" t="s">
        <v>13844</v>
      </c>
      <c r="C4623" t="s">
        <v>13844</v>
      </c>
      <c r="D4623" t="str">
        <f>HYPERLINK("https://zfin.org/ZDB-GENE-030131-6070")</f>
        <v>https://zfin.org/ZDB-GENE-030131-6070</v>
      </c>
      <c r="E4623" t="s">
        <v>13845</v>
      </c>
    </row>
    <row r="4624" spans="1:5" x14ac:dyDescent="0.2">
      <c r="A4624" t="s">
        <v>13846</v>
      </c>
      <c r="B4624" t="s">
        <v>13847</v>
      </c>
      <c r="C4624" t="s">
        <v>13847</v>
      </c>
      <c r="D4624" t="str">
        <f>HYPERLINK("https://zfin.org/ZDB-GENE-121001-3")</f>
        <v>https://zfin.org/ZDB-GENE-121001-3</v>
      </c>
      <c r="E4624" t="s">
        <v>13848</v>
      </c>
    </row>
    <row r="4625" spans="1:5" x14ac:dyDescent="0.2">
      <c r="A4625" t="s">
        <v>13849</v>
      </c>
      <c r="B4625" t="s">
        <v>13850</v>
      </c>
      <c r="C4625" t="s">
        <v>13850</v>
      </c>
      <c r="D4625" t="str">
        <f>HYPERLINK("https://zfin.org/ZDB-GENE-041010-10")</f>
        <v>https://zfin.org/ZDB-GENE-041010-10</v>
      </c>
      <c r="E4625" t="s">
        <v>13851</v>
      </c>
    </row>
    <row r="4626" spans="1:5" x14ac:dyDescent="0.2">
      <c r="A4626" t="s">
        <v>13852</v>
      </c>
      <c r="B4626" t="s">
        <v>13853</v>
      </c>
      <c r="C4626" t="s">
        <v>13853</v>
      </c>
      <c r="D4626" t="str">
        <f>HYPERLINK("https://zfin.org/ZDB-GENE-050309-95")</f>
        <v>https://zfin.org/ZDB-GENE-050309-95</v>
      </c>
      <c r="E4626" t="s">
        <v>13854</v>
      </c>
    </row>
    <row r="4627" spans="1:5" x14ac:dyDescent="0.2">
      <c r="A4627" t="s">
        <v>13855</v>
      </c>
      <c r="B4627" t="s">
        <v>13856</v>
      </c>
      <c r="C4627" t="s">
        <v>13856</v>
      </c>
      <c r="D4627" t="str">
        <f>HYPERLINK("https://zfin.org/ZDB-GENE-040930-3")</f>
        <v>https://zfin.org/ZDB-GENE-040930-3</v>
      </c>
      <c r="E4627" t="s">
        <v>13857</v>
      </c>
    </row>
    <row r="4628" spans="1:5" x14ac:dyDescent="0.2">
      <c r="A4628" t="s">
        <v>13858</v>
      </c>
      <c r="B4628" t="s">
        <v>13859</v>
      </c>
      <c r="C4628" t="s">
        <v>13859</v>
      </c>
      <c r="D4628" t="str">
        <f>HYPERLINK("https://zfin.org/ZDB-GENE-980526-115")</f>
        <v>https://zfin.org/ZDB-GENE-980526-115</v>
      </c>
      <c r="E4628" t="s">
        <v>13860</v>
      </c>
    </row>
    <row r="4629" spans="1:5" x14ac:dyDescent="0.2">
      <c r="A4629" t="s">
        <v>13861</v>
      </c>
      <c r="B4629" t="s">
        <v>13862</v>
      </c>
      <c r="C4629" t="s">
        <v>13862</v>
      </c>
      <c r="D4629" t="str">
        <f>HYPERLINK("https://zfin.org/ZDB-GENE-060503-893")</f>
        <v>https://zfin.org/ZDB-GENE-060503-893</v>
      </c>
      <c r="E4629" t="s">
        <v>13863</v>
      </c>
    </row>
    <row r="4630" spans="1:5" x14ac:dyDescent="0.2">
      <c r="A4630" t="s">
        <v>13864</v>
      </c>
      <c r="B4630" t="s">
        <v>13865</v>
      </c>
      <c r="C4630" t="s">
        <v>13865</v>
      </c>
      <c r="D4630" t="str">
        <f>HYPERLINK("https://zfin.org/ZDB-GENE-031010-44")</f>
        <v>https://zfin.org/ZDB-GENE-031010-44</v>
      </c>
      <c r="E4630" t="s">
        <v>13866</v>
      </c>
    </row>
    <row r="4631" spans="1:5" x14ac:dyDescent="0.2">
      <c r="A4631" t="s">
        <v>13867</v>
      </c>
      <c r="B4631" t="s">
        <v>13868</v>
      </c>
      <c r="C4631" t="s">
        <v>13868</v>
      </c>
      <c r="D4631" t="str">
        <f>HYPERLINK("https://zfin.org/ZDB-GENE-070206-10")</f>
        <v>https://zfin.org/ZDB-GENE-070206-10</v>
      </c>
      <c r="E4631" t="s">
        <v>13869</v>
      </c>
    </row>
    <row r="4632" spans="1:5" x14ac:dyDescent="0.2">
      <c r="A4632" t="s">
        <v>13870</v>
      </c>
      <c r="B4632" t="s">
        <v>13871</v>
      </c>
      <c r="C4632" t="s">
        <v>13871</v>
      </c>
      <c r="D4632" t="str">
        <f>HYPERLINK("https://zfin.org/ZDB-GENE-050720-3")</f>
        <v>https://zfin.org/ZDB-GENE-050720-3</v>
      </c>
      <c r="E4632" t="s">
        <v>13872</v>
      </c>
    </row>
    <row r="4633" spans="1:5" x14ac:dyDescent="0.2">
      <c r="A4633" t="s">
        <v>13873</v>
      </c>
      <c r="B4633" t="s">
        <v>13874</v>
      </c>
      <c r="C4633" t="s">
        <v>13874</v>
      </c>
      <c r="D4633" t="str">
        <f>HYPERLINK("https://zfin.org/ZDB-GENE-031118-66")</f>
        <v>https://zfin.org/ZDB-GENE-031118-66</v>
      </c>
      <c r="E4633" t="s">
        <v>13875</v>
      </c>
    </row>
    <row r="4634" spans="1:5" x14ac:dyDescent="0.2">
      <c r="A4634" t="s">
        <v>13876</v>
      </c>
      <c r="B4634" t="s">
        <v>13877</v>
      </c>
      <c r="C4634" t="s">
        <v>13877</v>
      </c>
      <c r="D4634" t="str">
        <f>HYPERLINK("https://zfin.org/ZDB-GENE-070410-11")</f>
        <v>https://zfin.org/ZDB-GENE-070410-11</v>
      </c>
      <c r="E4634" t="s">
        <v>13878</v>
      </c>
    </row>
    <row r="4635" spans="1:5" x14ac:dyDescent="0.2">
      <c r="A4635" t="s">
        <v>13879</v>
      </c>
      <c r="B4635" t="s">
        <v>13880</v>
      </c>
      <c r="C4635" t="s">
        <v>13880</v>
      </c>
      <c r="D4635" t="str">
        <f>HYPERLINK("https://zfin.org/ZDB-GENE-060503-70")</f>
        <v>https://zfin.org/ZDB-GENE-060503-70</v>
      </c>
      <c r="E4635" t="s">
        <v>13881</v>
      </c>
    </row>
    <row r="4636" spans="1:5" x14ac:dyDescent="0.2">
      <c r="A4636" t="s">
        <v>13882</v>
      </c>
      <c r="B4636" t="s">
        <v>13883</v>
      </c>
      <c r="C4636" t="s">
        <v>13883</v>
      </c>
      <c r="D4636" t="str">
        <f>HYPERLINK("https://zfin.org/ZDB-GENE-050913-26")</f>
        <v>https://zfin.org/ZDB-GENE-050913-26</v>
      </c>
      <c r="E4636" t="s">
        <v>13884</v>
      </c>
    </row>
    <row r="4637" spans="1:5" x14ac:dyDescent="0.2">
      <c r="A4637" t="s">
        <v>13885</v>
      </c>
      <c r="B4637" t="s">
        <v>13886</v>
      </c>
      <c r="C4637" t="s">
        <v>13886</v>
      </c>
      <c r="D4637" t="str">
        <f>HYPERLINK("https://zfin.org/ZDB-GENE-030131-6406")</f>
        <v>https://zfin.org/ZDB-GENE-030131-6406</v>
      </c>
      <c r="E4637" t="s">
        <v>13887</v>
      </c>
    </row>
    <row r="4638" spans="1:5" x14ac:dyDescent="0.2">
      <c r="A4638" t="s">
        <v>13888</v>
      </c>
      <c r="B4638" t="s">
        <v>13889</v>
      </c>
      <c r="C4638" t="s">
        <v>13889</v>
      </c>
      <c r="D4638" t="str">
        <f>HYPERLINK("https://zfin.org/ZDB-GENE-141212-378")</f>
        <v>https://zfin.org/ZDB-GENE-141212-378</v>
      </c>
      <c r="E4638" t="s">
        <v>13890</v>
      </c>
    </row>
    <row r="4639" spans="1:5" x14ac:dyDescent="0.2">
      <c r="A4639" t="s">
        <v>13891</v>
      </c>
      <c r="B4639" t="s">
        <v>13892</v>
      </c>
      <c r="C4639" t="s">
        <v>13892</v>
      </c>
      <c r="D4639" t="str">
        <f>HYPERLINK("https://zfin.org/ZDB-GENE-070424-16")</f>
        <v>https://zfin.org/ZDB-GENE-070424-16</v>
      </c>
      <c r="E4639" t="s">
        <v>13893</v>
      </c>
    </row>
    <row r="4640" spans="1:5" x14ac:dyDescent="0.2">
      <c r="A4640" t="s">
        <v>13894</v>
      </c>
      <c r="B4640" t="s">
        <v>13895</v>
      </c>
      <c r="C4640" t="s">
        <v>13895</v>
      </c>
      <c r="D4640" t="str">
        <f>HYPERLINK("https://zfin.org/ZDB-GENE-110913-25")</f>
        <v>https://zfin.org/ZDB-GENE-110913-25</v>
      </c>
      <c r="E4640" t="s">
        <v>13896</v>
      </c>
    </row>
    <row r="4641" spans="1:5" x14ac:dyDescent="0.2">
      <c r="A4641" t="s">
        <v>13897</v>
      </c>
      <c r="B4641" t="s">
        <v>13898</v>
      </c>
      <c r="C4641" t="s">
        <v>13898</v>
      </c>
      <c r="D4641" t="str">
        <f>HYPERLINK("https://zfin.org/ZDB-GENE-090313-390")</f>
        <v>https://zfin.org/ZDB-GENE-090313-390</v>
      </c>
      <c r="E4641" t="s">
        <v>13899</v>
      </c>
    </row>
    <row r="4642" spans="1:5" x14ac:dyDescent="0.2">
      <c r="A4642" t="s">
        <v>13900</v>
      </c>
      <c r="B4642" t="s">
        <v>13901</v>
      </c>
      <c r="C4642" t="s">
        <v>13901</v>
      </c>
      <c r="D4642" t="str">
        <f>HYPERLINK("https://zfin.org/ZDB-GENE-041114-151")</f>
        <v>https://zfin.org/ZDB-GENE-041114-151</v>
      </c>
      <c r="E4642" t="s">
        <v>13902</v>
      </c>
    </row>
    <row r="4643" spans="1:5" x14ac:dyDescent="0.2">
      <c r="A4643" t="s">
        <v>13903</v>
      </c>
      <c r="B4643" t="s">
        <v>13904</v>
      </c>
      <c r="C4643" t="s">
        <v>13904</v>
      </c>
      <c r="D4643" t="str">
        <f>HYPERLINK("https://zfin.org/ZDB-GENE-120215-253")</f>
        <v>https://zfin.org/ZDB-GENE-120215-253</v>
      </c>
      <c r="E4643" t="s">
        <v>13905</v>
      </c>
    </row>
    <row r="4644" spans="1:5" x14ac:dyDescent="0.2">
      <c r="A4644" t="s">
        <v>13906</v>
      </c>
      <c r="B4644" t="s">
        <v>13907</v>
      </c>
      <c r="C4644" t="s">
        <v>13907</v>
      </c>
      <c r="D4644" t="str">
        <f>HYPERLINK("https://zfin.org/ZDB-GENE-041114-74")</f>
        <v>https://zfin.org/ZDB-GENE-041114-74</v>
      </c>
      <c r="E4644" t="s">
        <v>13908</v>
      </c>
    </row>
    <row r="4645" spans="1:5" x14ac:dyDescent="0.2">
      <c r="A4645" t="s">
        <v>13909</v>
      </c>
      <c r="B4645" t="s">
        <v>13910</v>
      </c>
      <c r="C4645" t="s">
        <v>13910</v>
      </c>
      <c r="D4645" t="str">
        <f>HYPERLINK("https://zfin.org/ZDB-GENE-081022-74")</f>
        <v>https://zfin.org/ZDB-GENE-081022-74</v>
      </c>
      <c r="E4645" t="s">
        <v>13911</v>
      </c>
    </row>
    <row r="4646" spans="1:5" x14ac:dyDescent="0.2">
      <c r="A4646" t="s">
        <v>13912</v>
      </c>
      <c r="B4646" t="s">
        <v>13913</v>
      </c>
      <c r="C4646" t="s">
        <v>13913</v>
      </c>
      <c r="D4646" t="str">
        <f>HYPERLINK("https://zfin.org/ZDB-GENE-131121-44")</f>
        <v>https://zfin.org/ZDB-GENE-131121-44</v>
      </c>
      <c r="E4646" t="s">
        <v>13914</v>
      </c>
    </row>
    <row r="4647" spans="1:5" x14ac:dyDescent="0.2">
      <c r="A4647" t="s">
        <v>13915</v>
      </c>
      <c r="B4647" t="s">
        <v>13916</v>
      </c>
      <c r="C4647" t="s">
        <v>13916</v>
      </c>
      <c r="D4647" t="str">
        <f>HYPERLINK("https://zfin.org/ZDB-GENE-040426-2675")</f>
        <v>https://zfin.org/ZDB-GENE-040426-2675</v>
      </c>
      <c r="E4647" t="s">
        <v>13917</v>
      </c>
    </row>
    <row r="4648" spans="1:5" x14ac:dyDescent="0.2">
      <c r="A4648" t="s">
        <v>13918</v>
      </c>
      <c r="B4648" t="s">
        <v>13919</v>
      </c>
      <c r="C4648" t="s">
        <v>13919</v>
      </c>
      <c r="D4648" t="str">
        <f>HYPERLINK("https://zfin.org/ZDB-GENE-111129-3")</f>
        <v>https://zfin.org/ZDB-GENE-111129-3</v>
      </c>
      <c r="E4648" t="s">
        <v>13920</v>
      </c>
    </row>
    <row r="4649" spans="1:5" x14ac:dyDescent="0.2">
      <c r="A4649" t="s">
        <v>13921</v>
      </c>
      <c r="B4649" t="s">
        <v>13922</v>
      </c>
      <c r="C4649" t="s">
        <v>13922</v>
      </c>
      <c r="D4649" t="str">
        <f>HYPERLINK("https://zfin.org/ZDB-GENE-050208-359")</f>
        <v>https://zfin.org/ZDB-GENE-050208-359</v>
      </c>
      <c r="E4649" t="s">
        <v>13923</v>
      </c>
    </row>
    <row r="4650" spans="1:5" x14ac:dyDescent="0.2">
      <c r="A4650" t="s">
        <v>13924</v>
      </c>
      <c r="B4650" t="s">
        <v>13925</v>
      </c>
      <c r="C4650" t="s">
        <v>13925</v>
      </c>
      <c r="D4650" t="str">
        <f>HYPERLINK("https://zfin.org/ZDB-GENE-160113-13")</f>
        <v>https://zfin.org/ZDB-GENE-160113-13</v>
      </c>
      <c r="E4650" t="s">
        <v>13926</v>
      </c>
    </row>
    <row r="4651" spans="1:5" x14ac:dyDescent="0.2">
      <c r="A4651" t="s">
        <v>13927</v>
      </c>
      <c r="B4651" t="s">
        <v>13928</v>
      </c>
      <c r="C4651" t="s">
        <v>13928</v>
      </c>
      <c r="D4651" t="str">
        <f>HYPERLINK("https://zfin.org/ZDB-GENE-080523-1")</f>
        <v>https://zfin.org/ZDB-GENE-080523-1</v>
      </c>
      <c r="E4651" t="s">
        <v>13929</v>
      </c>
    </row>
    <row r="4652" spans="1:5" x14ac:dyDescent="0.2">
      <c r="A4652" t="s">
        <v>13930</v>
      </c>
      <c r="B4652" t="s">
        <v>13931</v>
      </c>
      <c r="C4652" t="s">
        <v>13931</v>
      </c>
      <c r="D4652" t="str">
        <f>HYPERLINK("https://zfin.org/ZDB-GENE-060503-688")</f>
        <v>https://zfin.org/ZDB-GENE-060503-688</v>
      </c>
      <c r="E4652" t="s">
        <v>13932</v>
      </c>
    </row>
    <row r="4653" spans="1:5" x14ac:dyDescent="0.2">
      <c r="A4653" t="s">
        <v>13933</v>
      </c>
      <c r="B4653" t="s">
        <v>13934</v>
      </c>
      <c r="C4653" t="s">
        <v>13934</v>
      </c>
      <c r="D4653" t="str">
        <f>HYPERLINK("https://zfin.org/ZDB-GENE-030131-294")</f>
        <v>https://zfin.org/ZDB-GENE-030131-294</v>
      </c>
      <c r="E4653" t="s">
        <v>13935</v>
      </c>
    </row>
    <row r="4654" spans="1:5" x14ac:dyDescent="0.2">
      <c r="A4654" t="s">
        <v>13936</v>
      </c>
      <c r="B4654" t="s">
        <v>13937</v>
      </c>
      <c r="C4654" t="s">
        <v>13937</v>
      </c>
      <c r="D4654" t="str">
        <f>HYPERLINK("https://zfin.org/ZDB-GENE-030131-5274")</f>
        <v>https://zfin.org/ZDB-GENE-030131-5274</v>
      </c>
      <c r="E4654" t="s">
        <v>13938</v>
      </c>
    </row>
    <row r="4655" spans="1:5" x14ac:dyDescent="0.2">
      <c r="A4655" t="s">
        <v>13939</v>
      </c>
      <c r="B4655" t="s">
        <v>13940</v>
      </c>
      <c r="C4655" t="s">
        <v>13940</v>
      </c>
      <c r="D4655" t="str">
        <f>HYPERLINK("https://zfin.org/ZDB-GENE-141212-309")</f>
        <v>https://zfin.org/ZDB-GENE-141212-309</v>
      </c>
      <c r="E4655" t="s">
        <v>13941</v>
      </c>
    </row>
    <row r="4656" spans="1:5" x14ac:dyDescent="0.2">
      <c r="A4656" t="s">
        <v>13942</v>
      </c>
      <c r="B4656" t="s">
        <v>13943</v>
      </c>
      <c r="C4656" t="s">
        <v>13943</v>
      </c>
      <c r="D4656" t="str">
        <f>HYPERLINK("https://zfin.org/ZDB-GENE-111020-1")</f>
        <v>https://zfin.org/ZDB-GENE-111020-1</v>
      </c>
      <c r="E4656" t="s">
        <v>13944</v>
      </c>
    </row>
    <row r="4657" spans="1:5" x14ac:dyDescent="0.2">
      <c r="A4657" t="s">
        <v>13945</v>
      </c>
      <c r="B4657" t="s">
        <v>13946</v>
      </c>
      <c r="C4657" t="s">
        <v>13946</v>
      </c>
      <c r="D4657" t="str">
        <f>HYPERLINK("https://zfin.org/ZDB-GENE-030131-2365")</f>
        <v>https://zfin.org/ZDB-GENE-030131-2365</v>
      </c>
      <c r="E4657" t="s">
        <v>13947</v>
      </c>
    </row>
    <row r="4658" spans="1:5" x14ac:dyDescent="0.2">
      <c r="A4658" t="s">
        <v>13948</v>
      </c>
      <c r="B4658" t="s">
        <v>13949</v>
      </c>
      <c r="C4658" t="s">
        <v>13949</v>
      </c>
      <c r="D4658" t="str">
        <f>HYPERLINK("https://zfin.org/ZDB-GENE-050420-154")</f>
        <v>https://zfin.org/ZDB-GENE-050420-154</v>
      </c>
      <c r="E4658" t="s">
        <v>13950</v>
      </c>
    </row>
    <row r="4659" spans="1:5" x14ac:dyDescent="0.2">
      <c r="A4659" t="s">
        <v>13951</v>
      </c>
      <c r="B4659" t="s">
        <v>13952</v>
      </c>
      <c r="C4659" t="s">
        <v>13952</v>
      </c>
      <c r="D4659" t="str">
        <f>HYPERLINK("https://zfin.org/ZDB-GENE-060526-180")</f>
        <v>https://zfin.org/ZDB-GENE-060526-180</v>
      </c>
      <c r="E4659" t="s">
        <v>13953</v>
      </c>
    </row>
    <row r="4660" spans="1:5" x14ac:dyDescent="0.2">
      <c r="A4660" t="s">
        <v>13954</v>
      </c>
      <c r="B4660" t="s">
        <v>13955</v>
      </c>
      <c r="C4660" t="s">
        <v>13955</v>
      </c>
      <c r="D4660" t="str">
        <f>HYPERLINK("https://zfin.org/ZDB-GENE-040718-279")</f>
        <v>https://zfin.org/ZDB-GENE-040718-279</v>
      </c>
      <c r="E4660" t="s">
        <v>13956</v>
      </c>
    </row>
    <row r="4661" spans="1:5" x14ac:dyDescent="0.2">
      <c r="A4661" t="s">
        <v>13957</v>
      </c>
      <c r="B4661" t="s">
        <v>13958</v>
      </c>
      <c r="C4661" t="s">
        <v>13958</v>
      </c>
      <c r="D4661" t="str">
        <f>HYPERLINK("https://zfin.org/ZDB-GENE-030109-2")</f>
        <v>https://zfin.org/ZDB-GENE-030109-2</v>
      </c>
      <c r="E4661" t="s">
        <v>13959</v>
      </c>
    </row>
    <row r="4662" spans="1:5" x14ac:dyDescent="0.2">
      <c r="A4662" t="s">
        <v>13960</v>
      </c>
      <c r="B4662" t="s">
        <v>13961</v>
      </c>
      <c r="C4662" t="s">
        <v>13961</v>
      </c>
      <c r="D4662" t="str">
        <f>HYPERLINK("https://zfin.org/ZDB-GENE-070424-70")</f>
        <v>https://zfin.org/ZDB-GENE-070424-70</v>
      </c>
      <c r="E4662" t="s">
        <v>13962</v>
      </c>
    </row>
    <row r="4663" spans="1:5" x14ac:dyDescent="0.2">
      <c r="A4663" t="s">
        <v>13963</v>
      </c>
      <c r="B4663" t="s">
        <v>13964</v>
      </c>
      <c r="C4663" t="s">
        <v>13964</v>
      </c>
      <c r="D4663" t="str">
        <f>HYPERLINK("https://zfin.org/ZDB-GENE-040426-977")</f>
        <v>https://zfin.org/ZDB-GENE-040426-977</v>
      </c>
      <c r="E4663" t="s">
        <v>13965</v>
      </c>
    </row>
    <row r="4664" spans="1:5" x14ac:dyDescent="0.2">
      <c r="A4664" t="s">
        <v>13966</v>
      </c>
      <c r="B4664" t="s">
        <v>13967</v>
      </c>
      <c r="C4664" t="s">
        <v>13967</v>
      </c>
      <c r="D4664" t="str">
        <f>HYPERLINK("https://zfin.org/ZDB-GENE-040426-707")</f>
        <v>https://zfin.org/ZDB-GENE-040426-707</v>
      </c>
      <c r="E4664" t="s">
        <v>13968</v>
      </c>
    </row>
    <row r="4665" spans="1:5" x14ac:dyDescent="0.2">
      <c r="A4665" t="s">
        <v>13969</v>
      </c>
      <c r="B4665" t="s">
        <v>13970</v>
      </c>
      <c r="C4665" t="s">
        <v>13970</v>
      </c>
      <c r="D4665" t="str">
        <f>HYPERLINK("https://zfin.org/ZDB-GENE-131121-324")</f>
        <v>https://zfin.org/ZDB-GENE-131121-324</v>
      </c>
      <c r="E4665" t="s">
        <v>13971</v>
      </c>
    </row>
    <row r="4666" spans="1:5" x14ac:dyDescent="0.2">
      <c r="A4666" t="s">
        <v>13972</v>
      </c>
      <c r="B4666" t="s">
        <v>13973</v>
      </c>
      <c r="C4666" t="s">
        <v>13973</v>
      </c>
      <c r="D4666" t="str">
        <f>HYPERLINK("https://zfin.org/ZDB-GENE-050327-15")</f>
        <v>https://zfin.org/ZDB-GENE-050327-15</v>
      </c>
      <c r="E4666" t="s">
        <v>13974</v>
      </c>
    </row>
    <row r="4667" spans="1:5" x14ac:dyDescent="0.2">
      <c r="A4667" t="s">
        <v>13975</v>
      </c>
      <c r="B4667" t="s">
        <v>13976</v>
      </c>
      <c r="C4667" t="s">
        <v>13976</v>
      </c>
      <c r="D4667" t="str">
        <f>HYPERLINK("https://zfin.org/ZDB-GENE-061013-537")</f>
        <v>https://zfin.org/ZDB-GENE-061013-537</v>
      </c>
      <c r="E4667" t="s">
        <v>13977</v>
      </c>
    </row>
    <row r="4668" spans="1:5" x14ac:dyDescent="0.2">
      <c r="A4668" t="s">
        <v>13978</v>
      </c>
      <c r="B4668" t="s">
        <v>13979</v>
      </c>
      <c r="C4668" t="s">
        <v>13979</v>
      </c>
      <c r="D4668" t="str">
        <f>HYPERLINK("https://zfin.org/ZDB-GENE-040426-1592")</f>
        <v>https://zfin.org/ZDB-GENE-040426-1592</v>
      </c>
      <c r="E4668" t="s">
        <v>13980</v>
      </c>
    </row>
    <row r="4669" spans="1:5" x14ac:dyDescent="0.2">
      <c r="A4669" t="s">
        <v>13981</v>
      </c>
      <c r="B4669" t="s">
        <v>13982</v>
      </c>
      <c r="C4669" t="s">
        <v>13982</v>
      </c>
      <c r="D4669" t="str">
        <f>HYPERLINK("https://zfin.org/ZDB-GENE-050522-267")</f>
        <v>https://zfin.org/ZDB-GENE-050522-267</v>
      </c>
      <c r="E4669" t="s">
        <v>13983</v>
      </c>
    </row>
    <row r="4670" spans="1:5" x14ac:dyDescent="0.2">
      <c r="A4670" t="s">
        <v>13984</v>
      </c>
      <c r="B4670" t="s">
        <v>13985</v>
      </c>
      <c r="C4670" t="s">
        <v>13985</v>
      </c>
      <c r="D4670" t="str">
        <f>HYPERLINK("https://zfin.org/ZDB-GENE-050420-153")</f>
        <v>https://zfin.org/ZDB-GENE-050420-153</v>
      </c>
      <c r="E4670" t="s">
        <v>13986</v>
      </c>
    </row>
    <row r="4671" spans="1:5" x14ac:dyDescent="0.2">
      <c r="A4671" t="s">
        <v>13987</v>
      </c>
      <c r="B4671" t="s">
        <v>13988</v>
      </c>
      <c r="C4671" t="s">
        <v>13988</v>
      </c>
      <c r="D4671" t="str">
        <f>HYPERLINK("https://zfin.org/ZDB-GENE-050309-241")</f>
        <v>https://zfin.org/ZDB-GENE-050309-241</v>
      </c>
      <c r="E4671" t="s">
        <v>13989</v>
      </c>
    </row>
    <row r="4672" spans="1:5" x14ac:dyDescent="0.2">
      <c r="A4672" t="s">
        <v>13990</v>
      </c>
      <c r="B4672" t="s">
        <v>13991</v>
      </c>
      <c r="C4672" t="s">
        <v>13991</v>
      </c>
      <c r="D4672" t="str">
        <f>HYPERLINK("https://zfin.org/ZDB-GENE-030616-616")</f>
        <v>https://zfin.org/ZDB-GENE-030616-616</v>
      </c>
      <c r="E4672" t="s">
        <v>13992</v>
      </c>
    </row>
    <row r="4673" spans="1:5" x14ac:dyDescent="0.2">
      <c r="A4673" t="s">
        <v>13993</v>
      </c>
      <c r="B4673" t="s">
        <v>13994</v>
      </c>
      <c r="C4673" t="s">
        <v>13994</v>
      </c>
      <c r="D4673" t="str">
        <f>HYPERLINK("https://zfin.org/ZDB-GENE-030131-9670")</f>
        <v>https://zfin.org/ZDB-GENE-030131-9670</v>
      </c>
      <c r="E4673" t="s">
        <v>13995</v>
      </c>
    </row>
    <row r="4674" spans="1:5" x14ac:dyDescent="0.2">
      <c r="A4674" t="s">
        <v>13996</v>
      </c>
      <c r="B4674" t="s">
        <v>13997</v>
      </c>
      <c r="C4674" t="s">
        <v>13997</v>
      </c>
      <c r="D4674" t="str">
        <f>HYPERLINK("https://zfin.org/ZDB-GENE-030131-451")</f>
        <v>https://zfin.org/ZDB-GENE-030131-451</v>
      </c>
      <c r="E4674" t="s">
        <v>13998</v>
      </c>
    </row>
    <row r="4675" spans="1:5" x14ac:dyDescent="0.2">
      <c r="A4675" t="s">
        <v>13999</v>
      </c>
      <c r="B4675" t="s">
        <v>14000</v>
      </c>
      <c r="C4675" t="s">
        <v>14000</v>
      </c>
      <c r="D4675" t="str">
        <f>HYPERLINK("https://zfin.org/ZDB-GENE-030131-7310")</f>
        <v>https://zfin.org/ZDB-GENE-030131-7310</v>
      </c>
      <c r="E4675" t="s">
        <v>14001</v>
      </c>
    </row>
    <row r="4676" spans="1:5" x14ac:dyDescent="0.2">
      <c r="A4676" t="s">
        <v>14002</v>
      </c>
      <c r="B4676" t="s">
        <v>14003</v>
      </c>
      <c r="C4676" t="s">
        <v>14003</v>
      </c>
      <c r="D4676" t="str">
        <f>HYPERLINK("https://zfin.org/ZDB-GENE-050320-145")</f>
        <v>https://zfin.org/ZDB-GENE-050320-145</v>
      </c>
      <c r="E4676" t="s">
        <v>14004</v>
      </c>
    </row>
    <row r="4677" spans="1:5" x14ac:dyDescent="0.2">
      <c r="A4677" t="s">
        <v>14005</v>
      </c>
      <c r="B4677" t="s">
        <v>14006</v>
      </c>
      <c r="C4677" t="s">
        <v>14006</v>
      </c>
      <c r="D4677" t="str">
        <f>HYPERLINK("https://zfin.org/ZDB-GENE-030131-6248")</f>
        <v>https://zfin.org/ZDB-GENE-030131-6248</v>
      </c>
      <c r="E4677" t="s">
        <v>14007</v>
      </c>
    </row>
    <row r="4678" spans="1:5" x14ac:dyDescent="0.2">
      <c r="A4678" t="s">
        <v>14008</v>
      </c>
      <c r="B4678" t="s">
        <v>14009</v>
      </c>
      <c r="C4678" t="s">
        <v>14009</v>
      </c>
      <c r="D4678" t="str">
        <f>HYPERLINK("https://zfin.org/ZDB-GENE-131127-291")</f>
        <v>https://zfin.org/ZDB-GENE-131127-291</v>
      </c>
      <c r="E4678" t="s">
        <v>14010</v>
      </c>
    </row>
    <row r="4679" spans="1:5" x14ac:dyDescent="0.2">
      <c r="A4679" t="s">
        <v>14011</v>
      </c>
      <c r="B4679" t="s">
        <v>14012</v>
      </c>
      <c r="C4679" t="s">
        <v>14012</v>
      </c>
      <c r="D4679" t="str">
        <f>HYPERLINK("https://zfin.org/ZDB-GENE-060421-4235")</f>
        <v>https://zfin.org/ZDB-GENE-060421-4235</v>
      </c>
      <c r="E4679" t="s">
        <v>14013</v>
      </c>
    </row>
    <row r="4680" spans="1:5" x14ac:dyDescent="0.2">
      <c r="A4680" t="s">
        <v>14014</v>
      </c>
      <c r="B4680" t="s">
        <v>14015</v>
      </c>
      <c r="C4680" t="s">
        <v>14015</v>
      </c>
      <c r="D4680" t="str">
        <f>HYPERLINK("https://zfin.org/ZDB-GENE-030131-2624")</f>
        <v>https://zfin.org/ZDB-GENE-030131-2624</v>
      </c>
      <c r="E4680" t="s">
        <v>14016</v>
      </c>
    </row>
    <row r="4681" spans="1:5" x14ac:dyDescent="0.2">
      <c r="A4681" t="s">
        <v>14017</v>
      </c>
      <c r="B4681" t="s">
        <v>14018</v>
      </c>
      <c r="C4681" t="s">
        <v>14018</v>
      </c>
      <c r="D4681" t="str">
        <f>HYPERLINK("https://zfin.org/ZDB-GENE-030131-6322")</f>
        <v>https://zfin.org/ZDB-GENE-030131-6322</v>
      </c>
      <c r="E4681" t="s">
        <v>14019</v>
      </c>
    </row>
    <row r="4682" spans="1:5" x14ac:dyDescent="0.2">
      <c r="A4682" t="s">
        <v>14020</v>
      </c>
      <c r="B4682" t="s">
        <v>14021</v>
      </c>
      <c r="C4682" t="s">
        <v>14021</v>
      </c>
      <c r="D4682" t="str">
        <f>HYPERLINK("https://zfin.org/ZDB-GENE-041010-194")</f>
        <v>https://zfin.org/ZDB-GENE-041010-194</v>
      </c>
      <c r="E4682" t="s">
        <v>14022</v>
      </c>
    </row>
    <row r="4683" spans="1:5" x14ac:dyDescent="0.2">
      <c r="A4683" t="s">
        <v>14023</v>
      </c>
      <c r="B4683" t="s">
        <v>14024</v>
      </c>
      <c r="C4683" t="s">
        <v>14024</v>
      </c>
      <c r="D4683" t="str">
        <f>HYPERLINK("https://zfin.org/ZDB-GENE-050420-355")</f>
        <v>https://zfin.org/ZDB-GENE-050420-355</v>
      </c>
      <c r="E4683" t="s">
        <v>14025</v>
      </c>
    </row>
    <row r="4684" spans="1:5" x14ac:dyDescent="0.2">
      <c r="A4684" t="s">
        <v>14026</v>
      </c>
      <c r="B4684" t="s">
        <v>14027</v>
      </c>
      <c r="C4684" t="s">
        <v>14027</v>
      </c>
      <c r="D4684" t="str">
        <f>HYPERLINK("https://zfin.org/ZDB-GENE-040426-1396")</f>
        <v>https://zfin.org/ZDB-GENE-040426-1396</v>
      </c>
      <c r="E4684" t="s">
        <v>14028</v>
      </c>
    </row>
    <row r="4685" spans="1:5" x14ac:dyDescent="0.2">
      <c r="A4685" t="s">
        <v>14029</v>
      </c>
      <c r="B4685" t="s">
        <v>14030</v>
      </c>
      <c r="C4685" t="s">
        <v>14030</v>
      </c>
      <c r="D4685" t="str">
        <f>HYPERLINK("https://zfin.org/ZDB-GENE-050306-29")</f>
        <v>https://zfin.org/ZDB-GENE-050306-29</v>
      </c>
      <c r="E4685" t="s">
        <v>14031</v>
      </c>
    </row>
    <row r="4686" spans="1:5" x14ac:dyDescent="0.2">
      <c r="A4686" t="s">
        <v>14032</v>
      </c>
      <c r="B4686" t="s">
        <v>14033</v>
      </c>
      <c r="C4686" t="s">
        <v>14033</v>
      </c>
      <c r="D4686" t="str">
        <f>HYPERLINK("https://zfin.org/ZDB-GENE-070912-397")</f>
        <v>https://zfin.org/ZDB-GENE-070912-397</v>
      </c>
      <c r="E4686" t="s">
        <v>14034</v>
      </c>
    </row>
    <row r="4687" spans="1:5" x14ac:dyDescent="0.2">
      <c r="A4687" t="s">
        <v>14035</v>
      </c>
      <c r="B4687" t="s">
        <v>14036</v>
      </c>
      <c r="C4687" t="s">
        <v>14036</v>
      </c>
      <c r="D4687" t="str">
        <f>HYPERLINK("https://zfin.org/ZDB-GENE-100302-1")</f>
        <v>https://zfin.org/ZDB-GENE-100302-1</v>
      </c>
      <c r="E4687" t="s">
        <v>14037</v>
      </c>
    </row>
    <row r="4688" spans="1:5" x14ac:dyDescent="0.2">
      <c r="A4688" t="s">
        <v>14038</v>
      </c>
      <c r="B4688" t="s">
        <v>14039</v>
      </c>
      <c r="C4688" t="s">
        <v>14039</v>
      </c>
      <c r="D4688" t="str">
        <f>HYPERLINK("https://zfin.org/ZDB-GENE-130530-652")</f>
        <v>https://zfin.org/ZDB-GENE-130530-652</v>
      </c>
      <c r="E4688" t="s">
        <v>14040</v>
      </c>
    </row>
    <row r="4689" spans="1:5" x14ac:dyDescent="0.2">
      <c r="A4689" t="s">
        <v>14041</v>
      </c>
      <c r="B4689" t="s">
        <v>14042</v>
      </c>
      <c r="C4689" t="s">
        <v>14042</v>
      </c>
      <c r="D4689" t="str">
        <f>HYPERLINK("https://zfin.org/ZDB-GENE-030131-9914")</f>
        <v>https://zfin.org/ZDB-GENE-030131-9914</v>
      </c>
      <c r="E4689" t="s">
        <v>14043</v>
      </c>
    </row>
    <row r="4690" spans="1:5" x14ac:dyDescent="0.2">
      <c r="A4690" t="s">
        <v>14044</v>
      </c>
      <c r="B4690" t="s">
        <v>14045</v>
      </c>
      <c r="C4690" t="s">
        <v>14045</v>
      </c>
      <c r="D4690" t="str">
        <f>HYPERLINK("https://zfin.org/ZDB-GENE-030131-8100")</f>
        <v>https://zfin.org/ZDB-GENE-030131-8100</v>
      </c>
      <c r="E4690" t="s">
        <v>14046</v>
      </c>
    </row>
    <row r="4691" spans="1:5" x14ac:dyDescent="0.2">
      <c r="A4691" t="s">
        <v>14047</v>
      </c>
      <c r="B4691" t="s">
        <v>14048</v>
      </c>
      <c r="C4691" t="s">
        <v>14048</v>
      </c>
      <c r="D4691" t="str">
        <f>HYPERLINK("https://zfin.org/ZDB-GENE-041010-152")</f>
        <v>https://zfin.org/ZDB-GENE-041010-152</v>
      </c>
      <c r="E4691" t="s">
        <v>14049</v>
      </c>
    </row>
    <row r="4692" spans="1:5" x14ac:dyDescent="0.2">
      <c r="A4692" t="s">
        <v>14050</v>
      </c>
      <c r="B4692" t="s">
        <v>14051</v>
      </c>
      <c r="C4692" t="s">
        <v>14051</v>
      </c>
      <c r="D4692" t="str">
        <f>HYPERLINK("https://zfin.org/ZDB-GENE-050522-420")</f>
        <v>https://zfin.org/ZDB-GENE-050522-420</v>
      </c>
      <c r="E4692" t="s">
        <v>14052</v>
      </c>
    </row>
    <row r="4693" spans="1:5" x14ac:dyDescent="0.2">
      <c r="A4693" t="s">
        <v>14053</v>
      </c>
      <c r="B4693" t="s">
        <v>14054</v>
      </c>
      <c r="C4693" t="s">
        <v>14054</v>
      </c>
      <c r="D4693" t="str">
        <f>HYPERLINK("https://zfin.org/ZDB-GENE-030829-65")</f>
        <v>https://zfin.org/ZDB-GENE-030829-65</v>
      </c>
      <c r="E4693" t="s">
        <v>14055</v>
      </c>
    </row>
    <row r="4694" spans="1:5" x14ac:dyDescent="0.2">
      <c r="A4694" t="s">
        <v>14056</v>
      </c>
      <c r="B4694" t="s">
        <v>14057</v>
      </c>
      <c r="C4694" t="s">
        <v>14057</v>
      </c>
      <c r="D4694" t="str">
        <f>HYPERLINK("https://zfin.org/ZDB-GENE-040426-1491")</f>
        <v>https://zfin.org/ZDB-GENE-040426-1491</v>
      </c>
      <c r="E4694" t="s">
        <v>14058</v>
      </c>
    </row>
    <row r="4695" spans="1:5" x14ac:dyDescent="0.2">
      <c r="A4695" t="s">
        <v>14059</v>
      </c>
      <c r="B4695" t="s">
        <v>14060</v>
      </c>
      <c r="C4695" t="s">
        <v>14060</v>
      </c>
      <c r="D4695" t="str">
        <f>HYPERLINK("https://zfin.org/ZDB-GENE-040718-395")</f>
        <v>https://zfin.org/ZDB-GENE-040718-395</v>
      </c>
      <c r="E4695" t="s">
        <v>14061</v>
      </c>
    </row>
    <row r="4696" spans="1:5" x14ac:dyDescent="0.2">
      <c r="A4696" t="s">
        <v>14062</v>
      </c>
      <c r="B4696" t="s">
        <v>14063</v>
      </c>
      <c r="C4696" t="s">
        <v>14063</v>
      </c>
      <c r="D4696" t="str">
        <f>HYPERLINK("https://zfin.org/ZDB-GENE-990415-248")</f>
        <v>https://zfin.org/ZDB-GENE-990415-248</v>
      </c>
      <c r="E4696" t="s">
        <v>14064</v>
      </c>
    </row>
    <row r="4697" spans="1:5" x14ac:dyDescent="0.2">
      <c r="A4697" t="s">
        <v>14065</v>
      </c>
      <c r="B4697" t="s">
        <v>14066</v>
      </c>
      <c r="C4697" t="s">
        <v>14066</v>
      </c>
      <c r="D4697" t="str">
        <f>HYPERLINK("https://zfin.org/ZDB-GENE-010724-9")</f>
        <v>https://zfin.org/ZDB-GENE-010724-9</v>
      </c>
      <c r="E4697" t="s">
        <v>14067</v>
      </c>
    </row>
    <row r="4698" spans="1:5" x14ac:dyDescent="0.2">
      <c r="A4698" t="s">
        <v>14068</v>
      </c>
      <c r="B4698" t="s">
        <v>14069</v>
      </c>
      <c r="C4698" t="s">
        <v>14069</v>
      </c>
      <c r="D4698" t="str">
        <f>HYPERLINK("https://zfin.org/ZDB-GENE-131120-122")</f>
        <v>https://zfin.org/ZDB-GENE-131120-122</v>
      </c>
      <c r="E4698" t="s">
        <v>14070</v>
      </c>
    </row>
    <row r="4699" spans="1:5" x14ac:dyDescent="0.2">
      <c r="A4699" t="s">
        <v>14071</v>
      </c>
      <c r="B4699" t="s">
        <v>14072</v>
      </c>
      <c r="C4699" t="s">
        <v>14072</v>
      </c>
      <c r="D4699" t="str">
        <f>HYPERLINK("https://zfin.org/ZDB-GENE-041114-83")</f>
        <v>https://zfin.org/ZDB-GENE-041114-83</v>
      </c>
      <c r="E4699" t="s">
        <v>14073</v>
      </c>
    </row>
    <row r="4700" spans="1:5" x14ac:dyDescent="0.2">
      <c r="A4700" t="s">
        <v>14074</v>
      </c>
      <c r="B4700" t="s">
        <v>14075</v>
      </c>
      <c r="C4700" t="s">
        <v>14075</v>
      </c>
      <c r="D4700" t="str">
        <f>HYPERLINK("https://zfin.org/ZDB-GENE-030131-1291")</f>
        <v>https://zfin.org/ZDB-GENE-030131-1291</v>
      </c>
      <c r="E4700" t="s">
        <v>14076</v>
      </c>
    </row>
    <row r="4701" spans="1:5" x14ac:dyDescent="0.2">
      <c r="A4701" t="s">
        <v>14077</v>
      </c>
      <c r="B4701" t="s">
        <v>14078</v>
      </c>
      <c r="C4701" t="s">
        <v>14078</v>
      </c>
      <c r="D4701" t="str">
        <f>HYPERLINK("https://zfin.org/ZDB-GENE-051120-15")</f>
        <v>https://zfin.org/ZDB-GENE-051120-15</v>
      </c>
      <c r="E4701" t="s">
        <v>14079</v>
      </c>
    </row>
    <row r="4702" spans="1:5" x14ac:dyDescent="0.2">
      <c r="A4702" t="s">
        <v>14080</v>
      </c>
      <c r="B4702" t="s">
        <v>14081</v>
      </c>
      <c r="C4702" t="s">
        <v>14081</v>
      </c>
      <c r="D4702" t="str">
        <f>HYPERLINK("https://zfin.org/ZDB-GENE-010416-1")</f>
        <v>https://zfin.org/ZDB-GENE-010416-1</v>
      </c>
      <c r="E4702" t="s">
        <v>14082</v>
      </c>
    </row>
    <row r="4703" spans="1:5" x14ac:dyDescent="0.2">
      <c r="A4703" t="s">
        <v>14083</v>
      </c>
      <c r="B4703" t="s">
        <v>14084</v>
      </c>
      <c r="C4703" t="s">
        <v>14084</v>
      </c>
      <c r="D4703" t="str">
        <f>HYPERLINK("https://zfin.org/ZDB-GENE-030131-6275")</f>
        <v>https://zfin.org/ZDB-GENE-030131-6275</v>
      </c>
      <c r="E4703" t="s">
        <v>14085</v>
      </c>
    </row>
    <row r="4704" spans="1:5" x14ac:dyDescent="0.2">
      <c r="A4704" t="s">
        <v>14086</v>
      </c>
      <c r="B4704" t="s">
        <v>14087</v>
      </c>
      <c r="C4704" t="s">
        <v>14087</v>
      </c>
      <c r="D4704" t="str">
        <f>HYPERLINK("https://zfin.org/ZDB-GENE-040426-2734")</f>
        <v>https://zfin.org/ZDB-GENE-040426-2734</v>
      </c>
      <c r="E4704" t="s">
        <v>14088</v>
      </c>
    </row>
    <row r="4705" spans="1:5" x14ac:dyDescent="0.2">
      <c r="A4705" t="s">
        <v>14089</v>
      </c>
      <c r="B4705" t="s">
        <v>14090</v>
      </c>
      <c r="C4705" t="s">
        <v>14090</v>
      </c>
      <c r="D4705" t="str">
        <f>HYPERLINK("https://zfin.org/ZDB-GENE-130225-1")</f>
        <v>https://zfin.org/ZDB-GENE-130225-1</v>
      </c>
      <c r="E4705" t="s">
        <v>14091</v>
      </c>
    </row>
    <row r="4706" spans="1:5" x14ac:dyDescent="0.2">
      <c r="A4706" t="s">
        <v>14092</v>
      </c>
      <c r="B4706" t="s">
        <v>14093</v>
      </c>
      <c r="C4706" t="s">
        <v>14093</v>
      </c>
      <c r="D4706" t="str">
        <f>HYPERLINK("https://zfin.org/ZDB-GENE-030131-866")</f>
        <v>https://zfin.org/ZDB-GENE-030131-866</v>
      </c>
      <c r="E4706" t="s">
        <v>14094</v>
      </c>
    </row>
    <row r="4707" spans="1:5" x14ac:dyDescent="0.2">
      <c r="A4707" t="s">
        <v>14095</v>
      </c>
      <c r="B4707" t="s">
        <v>14096</v>
      </c>
      <c r="C4707" t="s">
        <v>14096</v>
      </c>
      <c r="D4707" t="str">
        <f>HYPERLINK("https://zfin.org/ZDB-GENE-070212-2")</f>
        <v>https://zfin.org/ZDB-GENE-070212-2</v>
      </c>
      <c r="E4707" t="s">
        <v>14097</v>
      </c>
    </row>
    <row r="4708" spans="1:5" x14ac:dyDescent="0.2">
      <c r="A4708" t="s">
        <v>14098</v>
      </c>
      <c r="B4708" t="s">
        <v>14099</v>
      </c>
      <c r="C4708" t="s">
        <v>14099</v>
      </c>
      <c r="D4708" t="str">
        <f>HYPERLINK("https://zfin.org/ZDB-GENE-030131-7437")</f>
        <v>https://zfin.org/ZDB-GENE-030131-7437</v>
      </c>
      <c r="E4708" t="s">
        <v>14100</v>
      </c>
    </row>
    <row r="4709" spans="1:5" x14ac:dyDescent="0.2">
      <c r="A4709" t="s">
        <v>14101</v>
      </c>
      <c r="B4709" t="s">
        <v>14102</v>
      </c>
      <c r="C4709" t="s">
        <v>14102</v>
      </c>
      <c r="D4709" t="str">
        <f>HYPERLINK("https://zfin.org/ZDB-GENE-130409-1")</f>
        <v>https://zfin.org/ZDB-GENE-130409-1</v>
      </c>
      <c r="E4709" t="s">
        <v>14103</v>
      </c>
    </row>
    <row r="4710" spans="1:5" x14ac:dyDescent="0.2">
      <c r="A4710" t="s">
        <v>14104</v>
      </c>
      <c r="B4710" t="s">
        <v>14105</v>
      </c>
      <c r="C4710" t="s">
        <v>14105</v>
      </c>
      <c r="D4710" t="str">
        <f>HYPERLINK("https://zfin.org/ZDB-GENE-040426-775")</f>
        <v>https://zfin.org/ZDB-GENE-040426-775</v>
      </c>
      <c r="E4710" t="s">
        <v>14106</v>
      </c>
    </row>
    <row r="4711" spans="1:5" x14ac:dyDescent="0.2">
      <c r="A4711" t="s">
        <v>14107</v>
      </c>
      <c r="B4711" t="s">
        <v>14108</v>
      </c>
      <c r="C4711" t="s">
        <v>14108</v>
      </c>
      <c r="D4711" t="str">
        <f>HYPERLINK("https://zfin.org/ZDB-GENE-070424-177")</f>
        <v>https://zfin.org/ZDB-GENE-070424-177</v>
      </c>
      <c r="E4711" t="s">
        <v>14109</v>
      </c>
    </row>
    <row r="4712" spans="1:5" x14ac:dyDescent="0.2">
      <c r="A4712" t="s">
        <v>14110</v>
      </c>
      <c r="B4712" t="s">
        <v>14111</v>
      </c>
      <c r="C4712" t="s">
        <v>14111</v>
      </c>
      <c r="D4712" t="str">
        <f>HYPERLINK("https://zfin.org/ZDB-GENE-040426-2120")</f>
        <v>https://zfin.org/ZDB-GENE-040426-2120</v>
      </c>
      <c r="E4712" t="s">
        <v>14112</v>
      </c>
    </row>
    <row r="4713" spans="1:5" x14ac:dyDescent="0.2">
      <c r="A4713" t="s">
        <v>14113</v>
      </c>
      <c r="B4713" t="s">
        <v>14114</v>
      </c>
      <c r="C4713" t="s">
        <v>14114</v>
      </c>
      <c r="D4713" t="str">
        <f>HYPERLINK("https://zfin.org/ZDB-GENE-041121-7")</f>
        <v>https://zfin.org/ZDB-GENE-041121-7</v>
      </c>
      <c r="E4713" t="s">
        <v>14115</v>
      </c>
    </row>
    <row r="4714" spans="1:5" x14ac:dyDescent="0.2">
      <c r="A4714" t="s">
        <v>14116</v>
      </c>
      <c r="B4714" t="s">
        <v>14117</v>
      </c>
      <c r="C4714" t="s">
        <v>14117</v>
      </c>
      <c r="D4714" t="str">
        <f>HYPERLINK("https://zfin.org/ZDB-GENE-040718-294")</f>
        <v>https://zfin.org/ZDB-GENE-040718-294</v>
      </c>
      <c r="E4714" t="s">
        <v>14118</v>
      </c>
    </row>
    <row r="4715" spans="1:5" x14ac:dyDescent="0.2">
      <c r="A4715" t="s">
        <v>14119</v>
      </c>
      <c r="B4715" t="s">
        <v>14120</v>
      </c>
      <c r="C4715" t="s">
        <v>14120</v>
      </c>
      <c r="D4715" t="str">
        <f>HYPERLINK("https://zfin.org/ZDB-GENE-070912-197")</f>
        <v>https://zfin.org/ZDB-GENE-070912-197</v>
      </c>
      <c r="E4715" t="s">
        <v>14121</v>
      </c>
    </row>
    <row r="4716" spans="1:5" x14ac:dyDescent="0.2">
      <c r="A4716" t="s">
        <v>14122</v>
      </c>
      <c r="B4716" t="s">
        <v>14123</v>
      </c>
      <c r="C4716" t="s">
        <v>14123</v>
      </c>
      <c r="D4716" t="str">
        <f>HYPERLINK("https://zfin.org/ZDB-GENE-131127-35")</f>
        <v>https://zfin.org/ZDB-GENE-131127-35</v>
      </c>
      <c r="E4716" t="s">
        <v>14124</v>
      </c>
    </row>
    <row r="4717" spans="1:5" x14ac:dyDescent="0.2">
      <c r="A4717" t="s">
        <v>14125</v>
      </c>
      <c r="B4717" t="s">
        <v>14126</v>
      </c>
      <c r="C4717" t="s">
        <v>14126</v>
      </c>
      <c r="D4717" t="str">
        <f>HYPERLINK("https://zfin.org/ZDB-GENE-030131-5870")</f>
        <v>https://zfin.org/ZDB-GENE-030131-5870</v>
      </c>
      <c r="E4717" t="s">
        <v>14127</v>
      </c>
    </row>
    <row r="4718" spans="1:5" x14ac:dyDescent="0.2">
      <c r="A4718" t="s">
        <v>14128</v>
      </c>
      <c r="B4718" t="s">
        <v>14129</v>
      </c>
      <c r="C4718" t="s">
        <v>14129</v>
      </c>
      <c r="D4718" t="str">
        <f>HYPERLINK("https://zfin.org/ZDB-GENE-040426-1614")</f>
        <v>https://zfin.org/ZDB-GENE-040426-1614</v>
      </c>
      <c r="E4718" t="s">
        <v>14130</v>
      </c>
    </row>
    <row r="4719" spans="1:5" x14ac:dyDescent="0.2">
      <c r="A4719" t="s">
        <v>14131</v>
      </c>
      <c r="B4719" t="s">
        <v>14132</v>
      </c>
      <c r="C4719" t="s">
        <v>14132</v>
      </c>
      <c r="D4719" t="str">
        <f>HYPERLINK("https://zfin.org/ZDB-GENE-060526-335")</f>
        <v>https://zfin.org/ZDB-GENE-060526-335</v>
      </c>
      <c r="E4719" t="s">
        <v>14133</v>
      </c>
    </row>
    <row r="4720" spans="1:5" x14ac:dyDescent="0.2">
      <c r="A4720" t="s">
        <v>14134</v>
      </c>
      <c r="B4720" t="s">
        <v>14135</v>
      </c>
      <c r="C4720" t="s">
        <v>14135</v>
      </c>
      <c r="D4720" t="str">
        <f>HYPERLINK("https://zfin.org/ZDB-GENE-040426-787")</f>
        <v>https://zfin.org/ZDB-GENE-040426-787</v>
      </c>
      <c r="E4720" t="s">
        <v>14136</v>
      </c>
    </row>
    <row r="4721" spans="1:5" x14ac:dyDescent="0.2">
      <c r="A4721" t="s">
        <v>14137</v>
      </c>
      <c r="B4721" t="s">
        <v>14138</v>
      </c>
      <c r="C4721" t="s">
        <v>14138</v>
      </c>
      <c r="D4721" t="str">
        <f>HYPERLINK("https://zfin.org/ZDB-GENE-001127-1")</f>
        <v>https://zfin.org/ZDB-GENE-001127-1</v>
      </c>
      <c r="E4721" t="s">
        <v>14139</v>
      </c>
    </row>
    <row r="4722" spans="1:5" x14ac:dyDescent="0.2">
      <c r="A4722" t="s">
        <v>14140</v>
      </c>
      <c r="B4722" t="s">
        <v>14141</v>
      </c>
      <c r="C4722" t="s">
        <v>14141</v>
      </c>
      <c r="D4722" t="str">
        <f>HYPERLINK("https://zfin.org/ZDB-GENE-040426-1257")</f>
        <v>https://zfin.org/ZDB-GENE-040426-1257</v>
      </c>
      <c r="E4722" t="s">
        <v>14142</v>
      </c>
    </row>
    <row r="4723" spans="1:5" x14ac:dyDescent="0.2">
      <c r="A4723" t="s">
        <v>14143</v>
      </c>
      <c r="B4723" t="s">
        <v>14144</v>
      </c>
      <c r="C4723" t="s">
        <v>14144</v>
      </c>
      <c r="D4723" t="str">
        <f>HYPERLINK("https://zfin.org/ZDB-GENE-070928-2")</f>
        <v>https://zfin.org/ZDB-GENE-070928-2</v>
      </c>
      <c r="E4723" t="s">
        <v>14145</v>
      </c>
    </row>
    <row r="4724" spans="1:5" x14ac:dyDescent="0.2">
      <c r="A4724" t="s">
        <v>14146</v>
      </c>
      <c r="B4724" t="s">
        <v>14147</v>
      </c>
      <c r="C4724" t="s">
        <v>14147</v>
      </c>
      <c r="D4724" t="str">
        <f>HYPERLINK("https://zfin.org/ZDB-GENE-081105-70")</f>
        <v>https://zfin.org/ZDB-GENE-081105-70</v>
      </c>
      <c r="E4724" t="s">
        <v>14148</v>
      </c>
    </row>
    <row r="4725" spans="1:5" x14ac:dyDescent="0.2">
      <c r="A4725" t="s">
        <v>14149</v>
      </c>
      <c r="B4725" t="s">
        <v>14150</v>
      </c>
      <c r="C4725" t="s">
        <v>14150</v>
      </c>
      <c r="D4725" t="str">
        <f>HYPERLINK("https://zfin.org/ZDB-GENE-051120-180")</f>
        <v>https://zfin.org/ZDB-GENE-051120-180</v>
      </c>
      <c r="E4725" t="s">
        <v>14151</v>
      </c>
    </row>
    <row r="4726" spans="1:5" x14ac:dyDescent="0.2">
      <c r="A4726" t="s">
        <v>14152</v>
      </c>
      <c r="B4726" t="s">
        <v>14153</v>
      </c>
      <c r="C4726" t="s">
        <v>14153</v>
      </c>
      <c r="D4726" t="str">
        <f>HYPERLINK("https://zfin.org/ZDB-GENE-090312-204")</f>
        <v>https://zfin.org/ZDB-GENE-090312-204</v>
      </c>
      <c r="E4726" t="s">
        <v>14154</v>
      </c>
    </row>
    <row r="4727" spans="1:5" x14ac:dyDescent="0.2">
      <c r="A4727" t="s">
        <v>14155</v>
      </c>
      <c r="B4727" t="s">
        <v>14156</v>
      </c>
      <c r="C4727" t="s">
        <v>14156</v>
      </c>
      <c r="D4727" t="str">
        <f>HYPERLINK("https://zfin.org/ZDB-GENE-050513-1")</f>
        <v>https://zfin.org/ZDB-GENE-050513-1</v>
      </c>
      <c r="E4727" t="s">
        <v>14157</v>
      </c>
    </row>
    <row r="4728" spans="1:5" x14ac:dyDescent="0.2">
      <c r="A4728" t="s">
        <v>14158</v>
      </c>
      <c r="B4728" t="s">
        <v>14159</v>
      </c>
      <c r="C4728" t="s">
        <v>14159</v>
      </c>
      <c r="D4728" t="str">
        <f>HYPERLINK("https://zfin.org/ZDB-GENE-060503-892")</f>
        <v>https://zfin.org/ZDB-GENE-060503-892</v>
      </c>
      <c r="E4728" t="s">
        <v>14160</v>
      </c>
    </row>
    <row r="4729" spans="1:5" x14ac:dyDescent="0.2">
      <c r="A4729" t="s">
        <v>14161</v>
      </c>
      <c r="B4729" t="s">
        <v>14162</v>
      </c>
      <c r="C4729" t="s">
        <v>14162</v>
      </c>
      <c r="D4729" t="str">
        <f>HYPERLINK("https://zfin.org/ZDB-GENE-100922-29")</f>
        <v>https://zfin.org/ZDB-GENE-100922-29</v>
      </c>
      <c r="E4729" t="s">
        <v>14163</v>
      </c>
    </row>
    <row r="4730" spans="1:5" x14ac:dyDescent="0.2">
      <c r="A4730" t="s">
        <v>14164</v>
      </c>
      <c r="B4730" t="s">
        <v>14165</v>
      </c>
      <c r="C4730" t="s">
        <v>14165</v>
      </c>
      <c r="D4730" t="str">
        <f>HYPERLINK("https://zfin.org/ZDB-GENE-050522-287")</f>
        <v>https://zfin.org/ZDB-GENE-050522-287</v>
      </c>
      <c r="E4730" t="s">
        <v>14166</v>
      </c>
    </row>
    <row r="4731" spans="1:5" x14ac:dyDescent="0.2">
      <c r="A4731" t="s">
        <v>14167</v>
      </c>
      <c r="B4731" t="s">
        <v>14168</v>
      </c>
      <c r="C4731" t="s">
        <v>14168</v>
      </c>
      <c r="D4731" t="str">
        <f>HYPERLINK("https://zfin.org/ZDB-GENE-050417-332")</f>
        <v>https://zfin.org/ZDB-GENE-050417-332</v>
      </c>
      <c r="E4731" t="s">
        <v>14169</v>
      </c>
    </row>
    <row r="4732" spans="1:5" x14ac:dyDescent="0.2">
      <c r="A4732" t="s">
        <v>14170</v>
      </c>
      <c r="B4732" t="s">
        <v>14171</v>
      </c>
      <c r="C4732" t="s">
        <v>14171</v>
      </c>
      <c r="D4732" t="str">
        <f>HYPERLINK("https://zfin.org/ZDB-GENE-040128-1")</f>
        <v>https://zfin.org/ZDB-GENE-040128-1</v>
      </c>
      <c r="E4732" t="s">
        <v>14172</v>
      </c>
    </row>
    <row r="4733" spans="1:5" x14ac:dyDescent="0.2">
      <c r="A4733" t="s">
        <v>14173</v>
      </c>
      <c r="B4733" t="s">
        <v>14174</v>
      </c>
      <c r="C4733" t="s">
        <v>14174</v>
      </c>
      <c r="D4733" t="str">
        <f>HYPERLINK("https://zfin.org/ZDB-GENE-050208-283")</f>
        <v>https://zfin.org/ZDB-GENE-050208-283</v>
      </c>
      <c r="E4733" t="s">
        <v>14175</v>
      </c>
    </row>
    <row r="4734" spans="1:5" x14ac:dyDescent="0.2">
      <c r="A4734" t="s">
        <v>14176</v>
      </c>
      <c r="B4734" t="s">
        <v>14177</v>
      </c>
      <c r="C4734" t="s">
        <v>14177</v>
      </c>
      <c r="D4734" t="str">
        <f>HYPERLINK("https://zfin.org/ZDB-GENE-050517-1")</f>
        <v>https://zfin.org/ZDB-GENE-050517-1</v>
      </c>
      <c r="E4734" t="s">
        <v>14178</v>
      </c>
    </row>
    <row r="4735" spans="1:5" x14ac:dyDescent="0.2">
      <c r="A4735" t="s">
        <v>14179</v>
      </c>
      <c r="B4735" t="s">
        <v>14180</v>
      </c>
      <c r="C4735" t="s">
        <v>14180</v>
      </c>
      <c r="D4735" t="str">
        <f>HYPERLINK("https://zfin.org/ZDB-GENE-060531-28")</f>
        <v>https://zfin.org/ZDB-GENE-060531-28</v>
      </c>
      <c r="E4735" t="s">
        <v>14181</v>
      </c>
    </row>
    <row r="4736" spans="1:5" x14ac:dyDescent="0.2">
      <c r="A4736" t="s">
        <v>14182</v>
      </c>
      <c r="B4736" t="s">
        <v>14183</v>
      </c>
      <c r="C4736" t="s">
        <v>14183</v>
      </c>
      <c r="D4736" t="str">
        <f>HYPERLINK("https://zfin.org/ZDB-GENE-091204-443")</f>
        <v>https://zfin.org/ZDB-GENE-091204-443</v>
      </c>
      <c r="E4736" t="s">
        <v>14184</v>
      </c>
    </row>
    <row r="4737" spans="1:5" x14ac:dyDescent="0.2">
      <c r="A4737" t="s">
        <v>14185</v>
      </c>
      <c r="B4737" t="s">
        <v>14186</v>
      </c>
      <c r="C4737" t="s">
        <v>14186</v>
      </c>
      <c r="D4737" t="str">
        <f>HYPERLINK("https://zfin.org/ZDB-GENE-030131-6858")</f>
        <v>https://zfin.org/ZDB-GENE-030131-6858</v>
      </c>
      <c r="E4737" t="s">
        <v>14187</v>
      </c>
    </row>
    <row r="4738" spans="1:5" x14ac:dyDescent="0.2">
      <c r="A4738" t="s">
        <v>14188</v>
      </c>
      <c r="B4738" t="s">
        <v>14189</v>
      </c>
      <c r="C4738" t="s">
        <v>14189</v>
      </c>
      <c r="D4738" t="str">
        <f>HYPERLINK("https://zfin.org/ZDB-GENE-030411-4")</f>
        <v>https://zfin.org/ZDB-GENE-030411-4</v>
      </c>
      <c r="E4738" t="s">
        <v>14190</v>
      </c>
    </row>
    <row r="4739" spans="1:5" x14ac:dyDescent="0.2">
      <c r="A4739" t="s">
        <v>14191</v>
      </c>
      <c r="B4739" t="s">
        <v>14192</v>
      </c>
      <c r="C4739" t="s">
        <v>14192</v>
      </c>
      <c r="D4739" t="str">
        <f>HYPERLINK("https://zfin.org/ZDB-GENE-070209-38")</f>
        <v>https://zfin.org/ZDB-GENE-070209-38</v>
      </c>
      <c r="E4739" t="s">
        <v>14193</v>
      </c>
    </row>
    <row r="4740" spans="1:5" x14ac:dyDescent="0.2">
      <c r="A4740" t="s">
        <v>14194</v>
      </c>
      <c r="B4740" t="s">
        <v>14195</v>
      </c>
      <c r="C4740" t="s">
        <v>14195</v>
      </c>
      <c r="D4740" t="str">
        <f>HYPERLINK("https://zfin.org/ZDB-GENE-050306-11")</f>
        <v>https://zfin.org/ZDB-GENE-050306-11</v>
      </c>
      <c r="E4740" t="s">
        <v>14196</v>
      </c>
    </row>
    <row r="4741" spans="1:5" x14ac:dyDescent="0.2">
      <c r="A4741" t="s">
        <v>14197</v>
      </c>
      <c r="B4741" t="s">
        <v>14198</v>
      </c>
      <c r="C4741" t="s">
        <v>14198</v>
      </c>
      <c r="D4741" t="str">
        <f>HYPERLINK("https://zfin.org/ZDB-GENE-070314-2")</f>
        <v>https://zfin.org/ZDB-GENE-070314-2</v>
      </c>
      <c r="E4741" t="s">
        <v>14199</v>
      </c>
    </row>
    <row r="4742" spans="1:5" x14ac:dyDescent="0.2">
      <c r="A4742" t="s">
        <v>14200</v>
      </c>
      <c r="B4742" t="s">
        <v>14201</v>
      </c>
      <c r="C4742" t="s">
        <v>14201</v>
      </c>
      <c r="D4742" t="str">
        <f>HYPERLINK("https://zfin.org/ZDB-GENE-040426-2674")</f>
        <v>https://zfin.org/ZDB-GENE-040426-2674</v>
      </c>
      <c r="E4742" t="s">
        <v>14202</v>
      </c>
    </row>
    <row r="4743" spans="1:5" x14ac:dyDescent="0.2">
      <c r="A4743" t="s">
        <v>14203</v>
      </c>
      <c r="B4743" t="s">
        <v>14204</v>
      </c>
      <c r="C4743" t="s">
        <v>14204</v>
      </c>
      <c r="D4743" t="str">
        <f>HYPERLINK("https://zfin.org/ZDB-GENE-040426-1360")</f>
        <v>https://zfin.org/ZDB-GENE-040426-1360</v>
      </c>
      <c r="E4743" t="s">
        <v>14205</v>
      </c>
    </row>
    <row r="4744" spans="1:5" x14ac:dyDescent="0.2">
      <c r="A4744" t="s">
        <v>14206</v>
      </c>
      <c r="B4744" t="s">
        <v>14207</v>
      </c>
      <c r="C4744" t="s">
        <v>14207</v>
      </c>
      <c r="D4744" t="str">
        <f>HYPERLINK("https://zfin.org/ZDB-GENE-040813-1")</f>
        <v>https://zfin.org/ZDB-GENE-040813-1</v>
      </c>
      <c r="E4744" t="s">
        <v>14208</v>
      </c>
    </row>
    <row r="4745" spans="1:5" x14ac:dyDescent="0.2">
      <c r="A4745" t="s">
        <v>14209</v>
      </c>
      <c r="B4745" t="s">
        <v>14210</v>
      </c>
      <c r="C4745" t="s">
        <v>14210</v>
      </c>
      <c r="D4745" t="str">
        <f>HYPERLINK("https://zfin.org/ZDB-GENE-040426-881")</f>
        <v>https://zfin.org/ZDB-GENE-040426-881</v>
      </c>
      <c r="E4745" t="s">
        <v>14211</v>
      </c>
    </row>
    <row r="4746" spans="1:5" x14ac:dyDescent="0.2">
      <c r="A4746" t="s">
        <v>14212</v>
      </c>
      <c r="B4746" t="s">
        <v>14213</v>
      </c>
      <c r="C4746" t="s">
        <v>14213</v>
      </c>
      <c r="D4746" t="str">
        <f>HYPERLINK("https://zfin.org/ZDB-GENE-040426-2272")</f>
        <v>https://zfin.org/ZDB-GENE-040426-2272</v>
      </c>
      <c r="E4746" t="s">
        <v>14214</v>
      </c>
    </row>
    <row r="4747" spans="1:5" x14ac:dyDescent="0.2">
      <c r="A4747" t="s">
        <v>14215</v>
      </c>
      <c r="B4747" t="s">
        <v>14216</v>
      </c>
      <c r="C4747" t="s">
        <v>14216</v>
      </c>
      <c r="D4747" t="str">
        <f>HYPERLINK("https://zfin.org/ZDB-GENE-041104-1")</f>
        <v>https://zfin.org/ZDB-GENE-041104-1</v>
      </c>
      <c r="E4747" t="s">
        <v>14217</v>
      </c>
    </row>
    <row r="4748" spans="1:5" x14ac:dyDescent="0.2">
      <c r="A4748" t="s">
        <v>14218</v>
      </c>
      <c r="B4748" t="s">
        <v>14219</v>
      </c>
      <c r="C4748" t="s">
        <v>14219</v>
      </c>
      <c r="D4748" t="str">
        <f>HYPERLINK("https://zfin.org/ZDB-GENE-040426-967")</f>
        <v>https://zfin.org/ZDB-GENE-040426-967</v>
      </c>
      <c r="E4748" t="s">
        <v>14220</v>
      </c>
    </row>
    <row r="4749" spans="1:5" x14ac:dyDescent="0.2">
      <c r="A4749" t="s">
        <v>14221</v>
      </c>
      <c r="B4749" t="s">
        <v>14222</v>
      </c>
      <c r="C4749" t="s">
        <v>14222</v>
      </c>
      <c r="D4749" t="str">
        <f>HYPERLINK("https://zfin.org/ZDB-GENE-030131-2064")</f>
        <v>https://zfin.org/ZDB-GENE-030131-2064</v>
      </c>
      <c r="E4749" t="s">
        <v>14223</v>
      </c>
    </row>
    <row r="4750" spans="1:5" x14ac:dyDescent="0.2">
      <c r="A4750" t="s">
        <v>14224</v>
      </c>
      <c r="B4750" t="s">
        <v>14225</v>
      </c>
      <c r="C4750" t="s">
        <v>14225</v>
      </c>
      <c r="D4750" t="str">
        <f>HYPERLINK("https://zfin.org/ZDB-GENE-030131-2969")</f>
        <v>https://zfin.org/ZDB-GENE-030131-2969</v>
      </c>
      <c r="E4750" t="s">
        <v>14226</v>
      </c>
    </row>
    <row r="4751" spans="1:5" x14ac:dyDescent="0.2">
      <c r="A4751" t="s">
        <v>14227</v>
      </c>
      <c r="B4751" t="s">
        <v>14228</v>
      </c>
      <c r="C4751" t="s">
        <v>14228</v>
      </c>
      <c r="D4751" t="str">
        <f>HYPERLINK("https://zfin.org/ZDB-GENE-110914-234")</f>
        <v>https://zfin.org/ZDB-GENE-110914-234</v>
      </c>
      <c r="E4751" t="s">
        <v>14229</v>
      </c>
    </row>
    <row r="4752" spans="1:5" x14ac:dyDescent="0.2">
      <c r="A4752" t="s">
        <v>14230</v>
      </c>
      <c r="B4752" t="s">
        <v>14231</v>
      </c>
      <c r="C4752" t="s">
        <v>14231</v>
      </c>
      <c r="D4752" t="str">
        <f>HYPERLINK("https://zfin.org/ZDB-GENE-131118-29")</f>
        <v>https://zfin.org/ZDB-GENE-131118-29</v>
      </c>
      <c r="E4752" t="s">
        <v>14232</v>
      </c>
    </row>
    <row r="4753" spans="1:5" x14ac:dyDescent="0.2">
      <c r="A4753" t="s">
        <v>14233</v>
      </c>
      <c r="B4753" t="s">
        <v>14234</v>
      </c>
      <c r="C4753" t="s">
        <v>14234</v>
      </c>
      <c r="D4753" t="str">
        <f>HYPERLINK("https://zfin.org/ZDB-GENE-090313-43")</f>
        <v>https://zfin.org/ZDB-GENE-090313-43</v>
      </c>
      <c r="E4753" t="s">
        <v>14235</v>
      </c>
    </row>
    <row r="4754" spans="1:5" x14ac:dyDescent="0.2">
      <c r="A4754" t="s">
        <v>14236</v>
      </c>
      <c r="B4754" t="s">
        <v>14237</v>
      </c>
      <c r="C4754" t="s">
        <v>14237</v>
      </c>
      <c r="D4754" t="str">
        <f>HYPERLINK("https://zfin.org/ZDB-GENE-091117-28")</f>
        <v>https://zfin.org/ZDB-GENE-091117-28</v>
      </c>
      <c r="E4754" t="s">
        <v>14238</v>
      </c>
    </row>
    <row r="4755" spans="1:5" x14ac:dyDescent="0.2">
      <c r="A4755" t="s">
        <v>14239</v>
      </c>
      <c r="B4755" t="s">
        <v>14240</v>
      </c>
      <c r="C4755" t="s">
        <v>14240</v>
      </c>
      <c r="D4755" t="str">
        <f>HYPERLINK("https://zfin.org/ZDB-GENE-041008-233")</f>
        <v>https://zfin.org/ZDB-GENE-041008-233</v>
      </c>
      <c r="E4755" t="s">
        <v>14241</v>
      </c>
    </row>
    <row r="4756" spans="1:5" x14ac:dyDescent="0.2">
      <c r="A4756" t="s">
        <v>14242</v>
      </c>
      <c r="B4756" t="s">
        <v>14243</v>
      </c>
      <c r="C4756" t="s">
        <v>14243</v>
      </c>
      <c r="D4756" t="str">
        <f>HYPERLINK("https://zfin.org/ZDB-GENE-070822-5")</f>
        <v>https://zfin.org/ZDB-GENE-070822-5</v>
      </c>
      <c r="E4756" t="s">
        <v>14244</v>
      </c>
    </row>
    <row r="4757" spans="1:5" x14ac:dyDescent="0.2">
      <c r="A4757" t="s">
        <v>14245</v>
      </c>
      <c r="B4757" t="s">
        <v>14246</v>
      </c>
      <c r="C4757" t="s">
        <v>14246</v>
      </c>
      <c r="D4757" t="str">
        <f>HYPERLINK("https://zfin.org/ZDB-GENE-040426-878")</f>
        <v>https://zfin.org/ZDB-GENE-040426-878</v>
      </c>
      <c r="E4757" t="s">
        <v>14247</v>
      </c>
    </row>
    <row r="4758" spans="1:5" x14ac:dyDescent="0.2">
      <c r="A4758" t="s">
        <v>14248</v>
      </c>
      <c r="B4758" t="s">
        <v>14249</v>
      </c>
      <c r="C4758" t="s">
        <v>14249</v>
      </c>
      <c r="D4758" t="str">
        <f>HYPERLINK("https://zfin.org/ZDB-GENE-040426-733")</f>
        <v>https://zfin.org/ZDB-GENE-040426-733</v>
      </c>
      <c r="E4758" t="s">
        <v>14250</v>
      </c>
    </row>
    <row r="4759" spans="1:5" x14ac:dyDescent="0.2">
      <c r="A4759" t="s">
        <v>14251</v>
      </c>
      <c r="B4759" t="s">
        <v>14252</v>
      </c>
      <c r="C4759" t="s">
        <v>14252</v>
      </c>
      <c r="D4759" t="str">
        <f>HYPERLINK("https://zfin.org/ZDB-GENE-071015-3")</f>
        <v>https://zfin.org/ZDB-GENE-071015-3</v>
      </c>
      <c r="E4759" t="s">
        <v>14253</v>
      </c>
    </row>
    <row r="4760" spans="1:5" x14ac:dyDescent="0.2">
      <c r="A4760" t="s">
        <v>14254</v>
      </c>
      <c r="B4760" t="s">
        <v>14255</v>
      </c>
      <c r="C4760" t="s">
        <v>14255</v>
      </c>
      <c r="D4760" t="str">
        <f>HYPERLINK("https://zfin.org/ZDB-GENE-040801-108")</f>
        <v>https://zfin.org/ZDB-GENE-040801-108</v>
      </c>
      <c r="E4760" t="s">
        <v>14256</v>
      </c>
    </row>
    <row r="4761" spans="1:5" x14ac:dyDescent="0.2">
      <c r="A4761" t="s">
        <v>14257</v>
      </c>
      <c r="B4761" t="s">
        <v>14258</v>
      </c>
      <c r="C4761" t="s">
        <v>14258</v>
      </c>
      <c r="D4761" t="str">
        <f>HYPERLINK("https://zfin.org/ZDB-GENE-110914-74")</f>
        <v>https://zfin.org/ZDB-GENE-110914-74</v>
      </c>
      <c r="E4761" t="s">
        <v>14259</v>
      </c>
    </row>
    <row r="4762" spans="1:5" x14ac:dyDescent="0.2">
      <c r="A4762" t="s">
        <v>14260</v>
      </c>
      <c r="B4762" t="s">
        <v>14261</v>
      </c>
      <c r="C4762" t="s">
        <v>14261</v>
      </c>
      <c r="D4762" t="str">
        <f>HYPERLINK("https://zfin.org/ZDB-GENE-030131-3633")</f>
        <v>https://zfin.org/ZDB-GENE-030131-3633</v>
      </c>
      <c r="E4762" t="s">
        <v>14262</v>
      </c>
    </row>
    <row r="4763" spans="1:5" x14ac:dyDescent="0.2">
      <c r="A4763" t="s">
        <v>14263</v>
      </c>
      <c r="B4763" t="s">
        <v>14264</v>
      </c>
      <c r="C4763" t="s">
        <v>14264</v>
      </c>
      <c r="D4763" t="str">
        <f>HYPERLINK("https://zfin.org/ZDB-GENE-081104-43")</f>
        <v>https://zfin.org/ZDB-GENE-081104-43</v>
      </c>
      <c r="E4763" t="s">
        <v>14265</v>
      </c>
    </row>
    <row r="4764" spans="1:5" x14ac:dyDescent="0.2">
      <c r="A4764" t="s">
        <v>14266</v>
      </c>
      <c r="B4764" t="s">
        <v>14267</v>
      </c>
      <c r="C4764" t="s">
        <v>14267</v>
      </c>
      <c r="D4764" t="str">
        <f>HYPERLINK("https://zfin.org/ZDB-GENE-030131-738")</f>
        <v>https://zfin.org/ZDB-GENE-030131-738</v>
      </c>
      <c r="E4764" t="s">
        <v>14268</v>
      </c>
    </row>
    <row r="4765" spans="1:5" x14ac:dyDescent="0.2">
      <c r="A4765" t="s">
        <v>14269</v>
      </c>
      <c r="B4765" t="s">
        <v>14270</v>
      </c>
      <c r="C4765" t="s">
        <v>14270</v>
      </c>
      <c r="D4765" t="str">
        <f>HYPERLINK("https://zfin.org/ZDB-GENE-110411-16")</f>
        <v>https://zfin.org/ZDB-GENE-110411-16</v>
      </c>
      <c r="E4765" t="s">
        <v>14271</v>
      </c>
    </row>
    <row r="4766" spans="1:5" x14ac:dyDescent="0.2">
      <c r="A4766" t="s">
        <v>14272</v>
      </c>
      <c r="B4766" t="s">
        <v>14273</v>
      </c>
      <c r="C4766" t="s">
        <v>14273</v>
      </c>
      <c r="D4766" t="str">
        <f>HYPERLINK("https://zfin.org/ZDB-GENE-000710-3")</f>
        <v>https://zfin.org/ZDB-GENE-000710-3</v>
      </c>
      <c r="E4766" t="s">
        <v>14274</v>
      </c>
    </row>
    <row r="4767" spans="1:5" x14ac:dyDescent="0.2">
      <c r="A4767" t="s">
        <v>14275</v>
      </c>
      <c r="B4767" t="s">
        <v>14276</v>
      </c>
      <c r="C4767" t="s">
        <v>14276</v>
      </c>
      <c r="D4767" t="str">
        <f>HYPERLINK("https://zfin.org/ZDB-GENE-070912-219")</f>
        <v>https://zfin.org/ZDB-GENE-070912-219</v>
      </c>
      <c r="E4767" t="s">
        <v>14277</v>
      </c>
    </row>
    <row r="4768" spans="1:5" x14ac:dyDescent="0.2">
      <c r="A4768" t="s">
        <v>14278</v>
      </c>
      <c r="B4768" t="s">
        <v>14279</v>
      </c>
      <c r="C4768" t="s">
        <v>14279</v>
      </c>
      <c r="D4768" t="str">
        <f>HYPERLINK("https://zfin.org/ZDB-GENE-120215-42")</f>
        <v>https://zfin.org/ZDB-GENE-120215-42</v>
      </c>
      <c r="E4768" t="s">
        <v>14280</v>
      </c>
    </row>
    <row r="4769" spans="1:5" x14ac:dyDescent="0.2">
      <c r="A4769" t="s">
        <v>14281</v>
      </c>
      <c r="B4769" t="s">
        <v>14282</v>
      </c>
      <c r="C4769" t="s">
        <v>14282</v>
      </c>
      <c r="D4769" t="str">
        <f>HYPERLINK("https://zfin.org/ZDB-GENE-030131-3148")</f>
        <v>https://zfin.org/ZDB-GENE-030131-3148</v>
      </c>
      <c r="E4769" t="s">
        <v>14283</v>
      </c>
    </row>
    <row r="4770" spans="1:5" x14ac:dyDescent="0.2">
      <c r="A4770" t="s">
        <v>14284</v>
      </c>
      <c r="B4770" t="s">
        <v>14285</v>
      </c>
      <c r="C4770" t="s">
        <v>14285</v>
      </c>
      <c r="D4770" t="str">
        <f>HYPERLINK("https://zfin.org/ZDB-GENE-061013-219")</f>
        <v>https://zfin.org/ZDB-GENE-061013-219</v>
      </c>
      <c r="E4770" t="s">
        <v>14286</v>
      </c>
    </row>
    <row r="4771" spans="1:5" x14ac:dyDescent="0.2">
      <c r="A4771" t="s">
        <v>14287</v>
      </c>
      <c r="B4771" t="s">
        <v>14288</v>
      </c>
      <c r="C4771" t="s">
        <v>14288</v>
      </c>
      <c r="D4771" t="str">
        <f>HYPERLINK("https://zfin.org/ZDB-GENE-041010-180")</f>
        <v>https://zfin.org/ZDB-GENE-041010-180</v>
      </c>
      <c r="E4771" t="s">
        <v>14289</v>
      </c>
    </row>
    <row r="4772" spans="1:5" x14ac:dyDescent="0.2">
      <c r="A4772" t="s">
        <v>14290</v>
      </c>
      <c r="B4772" t="s">
        <v>14291</v>
      </c>
      <c r="C4772" t="s">
        <v>14291</v>
      </c>
      <c r="D4772" t="str">
        <f>HYPERLINK("https://zfin.org/ZDB-GENE-040426-1160")</f>
        <v>https://zfin.org/ZDB-GENE-040426-1160</v>
      </c>
      <c r="E4772" t="s">
        <v>14292</v>
      </c>
    </row>
    <row r="4773" spans="1:5" x14ac:dyDescent="0.2">
      <c r="A4773" t="s">
        <v>14293</v>
      </c>
      <c r="B4773" t="s">
        <v>14294</v>
      </c>
      <c r="C4773" t="s">
        <v>14294</v>
      </c>
      <c r="D4773" t="str">
        <f>HYPERLINK("https://zfin.org/ZDB-GENE-020711-1")</f>
        <v>https://zfin.org/ZDB-GENE-020711-1</v>
      </c>
      <c r="E4773" t="s">
        <v>14295</v>
      </c>
    </row>
    <row r="4774" spans="1:5" x14ac:dyDescent="0.2">
      <c r="A4774" t="s">
        <v>14296</v>
      </c>
      <c r="B4774" t="s">
        <v>14297</v>
      </c>
      <c r="C4774" t="s">
        <v>14297</v>
      </c>
      <c r="D4774" t="str">
        <f>HYPERLINK("https://zfin.org/ZDB-GENE-040426-1253")</f>
        <v>https://zfin.org/ZDB-GENE-040426-1253</v>
      </c>
      <c r="E4774" t="s">
        <v>14298</v>
      </c>
    </row>
    <row r="4775" spans="1:5" x14ac:dyDescent="0.2">
      <c r="A4775" t="s">
        <v>14299</v>
      </c>
      <c r="B4775" t="s">
        <v>14300</v>
      </c>
      <c r="C4775" t="s">
        <v>14300</v>
      </c>
      <c r="D4775" t="str">
        <f>HYPERLINK("https://zfin.org/ZDB-GENE-050208-165")</f>
        <v>https://zfin.org/ZDB-GENE-050208-165</v>
      </c>
      <c r="E4775" t="s">
        <v>14301</v>
      </c>
    </row>
    <row r="4776" spans="1:5" x14ac:dyDescent="0.2">
      <c r="A4776" t="s">
        <v>14302</v>
      </c>
      <c r="B4776" t="s">
        <v>14303</v>
      </c>
      <c r="C4776" t="s">
        <v>14303</v>
      </c>
      <c r="D4776" t="str">
        <f>HYPERLINK("https://zfin.org/ZDB-GENE-130530-529")</f>
        <v>https://zfin.org/ZDB-GENE-130530-529</v>
      </c>
      <c r="E4776" t="s">
        <v>14304</v>
      </c>
    </row>
    <row r="4777" spans="1:5" x14ac:dyDescent="0.2">
      <c r="A4777" t="s">
        <v>14305</v>
      </c>
      <c r="B4777" t="s">
        <v>14306</v>
      </c>
      <c r="C4777" t="s">
        <v>14306</v>
      </c>
      <c r="D4777" t="str">
        <f>HYPERLINK("https://zfin.org/ZDB-GENE-050626-88")</f>
        <v>https://zfin.org/ZDB-GENE-050626-88</v>
      </c>
      <c r="E4777" t="s">
        <v>14307</v>
      </c>
    </row>
    <row r="4778" spans="1:5" x14ac:dyDescent="0.2">
      <c r="A4778" t="s">
        <v>14308</v>
      </c>
      <c r="B4778" t="s">
        <v>14309</v>
      </c>
      <c r="C4778" t="s">
        <v>14309</v>
      </c>
      <c r="D4778" t="str">
        <f>HYPERLINK("https://zfin.org/ZDB-GENE-050417-50")</f>
        <v>https://zfin.org/ZDB-GENE-050417-50</v>
      </c>
      <c r="E4778" t="s">
        <v>14310</v>
      </c>
    </row>
    <row r="4779" spans="1:5" x14ac:dyDescent="0.2">
      <c r="A4779" t="s">
        <v>14311</v>
      </c>
      <c r="B4779" t="s">
        <v>14312</v>
      </c>
      <c r="C4779" t="s">
        <v>14312</v>
      </c>
      <c r="D4779" t="str">
        <f>HYPERLINK("https://zfin.org/ZDB-GENE-061207-62")</f>
        <v>https://zfin.org/ZDB-GENE-061207-62</v>
      </c>
      <c r="E4779" t="s">
        <v>14313</v>
      </c>
    </row>
    <row r="4780" spans="1:5" x14ac:dyDescent="0.2">
      <c r="A4780" t="s">
        <v>14314</v>
      </c>
      <c r="B4780" t="s">
        <v>14315</v>
      </c>
      <c r="C4780" t="s">
        <v>14315</v>
      </c>
      <c r="D4780" t="str">
        <f>HYPERLINK("https://zfin.org/ZDB-GENE-041114-67")</f>
        <v>https://zfin.org/ZDB-GENE-041114-67</v>
      </c>
      <c r="E4780" t="s">
        <v>14316</v>
      </c>
    </row>
    <row r="4781" spans="1:5" x14ac:dyDescent="0.2">
      <c r="A4781" t="s">
        <v>14317</v>
      </c>
      <c r="B4781" t="s">
        <v>14318</v>
      </c>
      <c r="C4781" t="s">
        <v>14318</v>
      </c>
      <c r="D4781" t="str">
        <f>HYPERLINK("https://zfin.org/ZDB-GENE-131127-7")</f>
        <v>https://zfin.org/ZDB-GENE-131127-7</v>
      </c>
      <c r="E4781" t="s">
        <v>14319</v>
      </c>
    </row>
    <row r="4782" spans="1:5" x14ac:dyDescent="0.2">
      <c r="A4782" t="s">
        <v>14320</v>
      </c>
      <c r="B4782" t="s">
        <v>14321</v>
      </c>
      <c r="C4782" t="s">
        <v>14321</v>
      </c>
      <c r="D4782" t="str">
        <f>HYPERLINK("https://zfin.org/ZDB-GENE-030131-106")</f>
        <v>https://zfin.org/ZDB-GENE-030131-106</v>
      </c>
      <c r="E4782" t="s">
        <v>14322</v>
      </c>
    </row>
    <row r="4783" spans="1:5" x14ac:dyDescent="0.2">
      <c r="A4783" t="s">
        <v>14323</v>
      </c>
      <c r="B4783" t="s">
        <v>14324</v>
      </c>
      <c r="C4783" t="s">
        <v>14324</v>
      </c>
      <c r="D4783" t="str">
        <f>HYPERLINK("https://zfin.org/ZDB-GENE-131121-429")</f>
        <v>https://zfin.org/ZDB-GENE-131121-429</v>
      </c>
      <c r="E4783" t="s">
        <v>14325</v>
      </c>
    </row>
    <row r="4784" spans="1:5" x14ac:dyDescent="0.2">
      <c r="A4784" t="s">
        <v>14326</v>
      </c>
      <c r="B4784" t="s">
        <v>14327</v>
      </c>
      <c r="C4784" t="s">
        <v>14327</v>
      </c>
      <c r="D4784" t="str">
        <f>HYPERLINK("https://zfin.org/ZDB-GENE-040801-43")</f>
        <v>https://zfin.org/ZDB-GENE-040801-43</v>
      </c>
      <c r="E4784" t="s">
        <v>14328</v>
      </c>
    </row>
    <row r="4785" spans="1:5" x14ac:dyDescent="0.2">
      <c r="A4785" t="s">
        <v>14329</v>
      </c>
      <c r="B4785" t="s">
        <v>14330</v>
      </c>
      <c r="C4785" t="s">
        <v>14330</v>
      </c>
      <c r="D4785" t="str">
        <f>HYPERLINK("https://zfin.org/ZDB-GENE-030131-5538")</f>
        <v>https://zfin.org/ZDB-GENE-030131-5538</v>
      </c>
      <c r="E4785" t="s">
        <v>14331</v>
      </c>
    </row>
    <row r="4786" spans="1:5" x14ac:dyDescent="0.2">
      <c r="A4786" t="s">
        <v>14332</v>
      </c>
      <c r="B4786" t="s">
        <v>14333</v>
      </c>
      <c r="C4786" t="s">
        <v>14333</v>
      </c>
      <c r="D4786" t="str">
        <f>HYPERLINK("https://zfin.org/ZDB-GENE-091204-452")</f>
        <v>https://zfin.org/ZDB-GENE-091204-452</v>
      </c>
      <c r="E4786" t="s">
        <v>14334</v>
      </c>
    </row>
    <row r="4787" spans="1:5" x14ac:dyDescent="0.2">
      <c r="A4787" t="s">
        <v>14335</v>
      </c>
      <c r="B4787" t="s">
        <v>14336</v>
      </c>
      <c r="C4787" t="s">
        <v>14336</v>
      </c>
      <c r="D4787" t="str">
        <f>HYPERLINK("https://zfin.org/ZDB-GENE-081015-2")</f>
        <v>https://zfin.org/ZDB-GENE-081015-2</v>
      </c>
      <c r="E4787" t="s">
        <v>14337</v>
      </c>
    </row>
    <row r="4788" spans="1:5" x14ac:dyDescent="0.2">
      <c r="A4788" t="s">
        <v>14338</v>
      </c>
      <c r="B4788" t="s">
        <v>14339</v>
      </c>
      <c r="C4788" t="s">
        <v>14339</v>
      </c>
      <c r="D4788" t="str">
        <f>HYPERLINK("https://zfin.org/ZDB-GENE-040426-821")</f>
        <v>https://zfin.org/ZDB-GENE-040426-821</v>
      </c>
      <c r="E4788" t="s">
        <v>14340</v>
      </c>
    </row>
    <row r="4789" spans="1:5" x14ac:dyDescent="0.2">
      <c r="A4789" t="s">
        <v>14341</v>
      </c>
      <c r="B4789" t="s">
        <v>14342</v>
      </c>
      <c r="C4789" t="s">
        <v>14342</v>
      </c>
      <c r="D4789" t="str">
        <f>HYPERLINK("https://zfin.org/ZDB-GENE-030131-6045")</f>
        <v>https://zfin.org/ZDB-GENE-030131-6045</v>
      </c>
      <c r="E4789" t="s">
        <v>14343</v>
      </c>
    </row>
    <row r="4790" spans="1:5" x14ac:dyDescent="0.2">
      <c r="A4790" t="s">
        <v>14344</v>
      </c>
      <c r="B4790" t="s">
        <v>14345</v>
      </c>
      <c r="C4790" t="s">
        <v>14345</v>
      </c>
      <c r="D4790" t="str">
        <f>HYPERLINK("https://zfin.org/ZDB-GENE-041010-65")</f>
        <v>https://zfin.org/ZDB-GENE-041010-65</v>
      </c>
      <c r="E4790" t="s">
        <v>14346</v>
      </c>
    </row>
    <row r="4791" spans="1:5" x14ac:dyDescent="0.2">
      <c r="A4791" t="s">
        <v>14347</v>
      </c>
      <c r="B4791" t="s">
        <v>14348</v>
      </c>
      <c r="C4791" t="s">
        <v>14348</v>
      </c>
      <c r="D4791" t="str">
        <f>HYPERLINK("https://zfin.org/ZDB-GENE-120703-14")</f>
        <v>https://zfin.org/ZDB-GENE-120703-14</v>
      </c>
      <c r="E4791" t="s">
        <v>14349</v>
      </c>
    </row>
    <row r="4792" spans="1:5" x14ac:dyDescent="0.2">
      <c r="A4792" t="s">
        <v>14350</v>
      </c>
      <c r="B4792" t="s">
        <v>14351</v>
      </c>
      <c r="C4792" t="s">
        <v>14351</v>
      </c>
      <c r="D4792" t="str">
        <f>HYPERLINK("https://zfin.org/ZDB-GENE-030131-8198")</f>
        <v>https://zfin.org/ZDB-GENE-030131-8198</v>
      </c>
      <c r="E4792" t="s">
        <v>14352</v>
      </c>
    </row>
    <row r="4793" spans="1:5" x14ac:dyDescent="0.2">
      <c r="A4793" t="s">
        <v>14353</v>
      </c>
      <c r="B4793" t="s">
        <v>14354</v>
      </c>
      <c r="C4793" t="s">
        <v>14354</v>
      </c>
      <c r="D4793" t="str">
        <f>HYPERLINK("https://zfin.org/ZDB-GENE-060312-45")</f>
        <v>https://zfin.org/ZDB-GENE-060312-45</v>
      </c>
      <c r="E4793" t="s">
        <v>14355</v>
      </c>
    </row>
    <row r="4794" spans="1:5" x14ac:dyDescent="0.2">
      <c r="A4794" t="s">
        <v>14356</v>
      </c>
      <c r="B4794" t="s">
        <v>14357</v>
      </c>
      <c r="C4794" t="s">
        <v>14357</v>
      </c>
      <c r="D4794" t="str">
        <f>HYPERLINK("https://zfin.org/ZDB-GENE-011219-1")</f>
        <v>https://zfin.org/ZDB-GENE-011219-1</v>
      </c>
      <c r="E4794" t="s">
        <v>14358</v>
      </c>
    </row>
    <row r="4795" spans="1:5" x14ac:dyDescent="0.2">
      <c r="A4795" t="s">
        <v>14359</v>
      </c>
      <c r="B4795" t="s">
        <v>14360</v>
      </c>
      <c r="C4795" t="s">
        <v>14360</v>
      </c>
      <c r="D4795" t="str">
        <f>HYPERLINK("https://zfin.org/ZDB-GENE-091204-373")</f>
        <v>https://zfin.org/ZDB-GENE-091204-373</v>
      </c>
      <c r="E4795" t="s">
        <v>14361</v>
      </c>
    </row>
    <row r="4796" spans="1:5" x14ac:dyDescent="0.2">
      <c r="A4796" t="s">
        <v>14362</v>
      </c>
      <c r="B4796" t="s">
        <v>14363</v>
      </c>
      <c r="C4796" t="s">
        <v>14363</v>
      </c>
      <c r="D4796" t="str">
        <f>HYPERLINK("https://zfin.org/ZDB-GENE-040718-182")</f>
        <v>https://zfin.org/ZDB-GENE-040718-182</v>
      </c>
      <c r="E4796" t="s">
        <v>14364</v>
      </c>
    </row>
    <row r="4797" spans="1:5" x14ac:dyDescent="0.2">
      <c r="A4797" t="s">
        <v>14365</v>
      </c>
      <c r="B4797" t="s">
        <v>14366</v>
      </c>
      <c r="C4797" t="s">
        <v>14366</v>
      </c>
      <c r="D4797" t="str">
        <f>HYPERLINK("https://zfin.org/ZDB-GENE-070912-2")</f>
        <v>https://zfin.org/ZDB-GENE-070912-2</v>
      </c>
      <c r="E4797" t="s">
        <v>14367</v>
      </c>
    </row>
    <row r="4798" spans="1:5" x14ac:dyDescent="0.2">
      <c r="A4798" t="s">
        <v>14368</v>
      </c>
      <c r="B4798" t="s">
        <v>14369</v>
      </c>
      <c r="C4798" t="s">
        <v>14369</v>
      </c>
      <c r="D4798" t="str">
        <f>HYPERLINK("https://zfin.org/ZDB-GENE-040718-380")</f>
        <v>https://zfin.org/ZDB-GENE-040718-380</v>
      </c>
      <c r="E4798" t="s">
        <v>14370</v>
      </c>
    </row>
    <row r="4799" spans="1:5" x14ac:dyDescent="0.2">
      <c r="A4799" t="s">
        <v>14371</v>
      </c>
      <c r="B4799" t="s">
        <v>14372</v>
      </c>
      <c r="C4799" t="s">
        <v>14372</v>
      </c>
      <c r="D4799" t="str">
        <f>HYPERLINK("https://zfin.org/ZDB-GENE-110131-7")</f>
        <v>https://zfin.org/ZDB-GENE-110131-7</v>
      </c>
      <c r="E4799" t="s">
        <v>14373</v>
      </c>
    </row>
    <row r="4800" spans="1:5" x14ac:dyDescent="0.2">
      <c r="A4800" t="s">
        <v>14374</v>
      </c>
      <c r="B4800" t="s">
        <v>14375</v>
      </c>
      <c r="C4800" t="s">
        <v>14375</v>
      </c>
      <c r="D4800" t="str">
        <f>HYPERLINK("https://zfin.org/ZDB-GENE-030131-3958")</f>
        <v>https://zfin.org/ZDB-GENE-030131-3958</v>
      </c>
      <c r="E4800" t="s">
        <v>14376</v>
      </c>
    </row>
    <row r="4801" spans="1:5" x14ac:dyDescent="0.2">
      <c r="A4801" t="s">
        <v>14377</v>
      </c>
      <c r="B4801" t="s">
        <v>14378</v>
      </c>
      <c r="C4801" t="s">
        <v>14378</v>
      </c>
      <c r="D4801" t="str">
        <f>HYPERLINK("https://zfin.org/ZDB-GENE-040426-770")</f>
        <v>https://zfin.org/ZDB-GENE-040426-770</v>
      </c>
      <c r="E4801" t="s">
        <v>14379</v>
      </c>
    </row>
    <row r="4802" spans="1:5" x14ac:dyDescent="0.2">
      <c r="A4802" t="s">
        <v>14380</v>
      </c>
      <c r="B4802" t="s">
        <v>14381</v>
      </c>
      <c r="C4802" t="s">
        <v>14381</v>
      </c>
      <c r="D4802" t="str">
        <f>HYPERLINK("https://zfin.org/ZDB-GENE-040801-74")</f>
        <v>https://zfin.org/ZDB-GENE-040801-74</v>
      </c>
      <c r="E4802" t="s">
        <v>14382</v>
      </c>
    </row>
    <row r="4803" spans="1:5" x14ac:dyDescent="0.2">
      <c r="A4803" t="s">
        <v>14383</v>
      </c>
      <c r="B4803" t="s">
        <v>14384</v>
      </c>
      <c r="C4803" t="s">
        <v>14384</v>
      </c>
      <c r="D4803" t="str">
        <f>HYPERLINK("https://zfin.org/ZDB-GENE-060929-728")</f>
        <v>https://zfin.org/ZDB-GENE-060929-728</v>
      </c>
      <c r="E4803" t="s">
        <v>14385</v>
      </c>
    </row>
    <row r="4804" spans="1:5" x14ac:dyDescent="0.2">
      <c r="A4804" t="s">
        <v>14386</v>
      </c>
      <c r="B4804" t="s">
        <v>14387</v>
      </c>
      <c r="C4804" t="s">
        <v>14387</v>
      </c>
      <c r="D4804" t="str">
        <f>HYPERLINK("https://zfin.org/ZDB-GENE-030131-9260")</f>
        <v>https://zfin.org/ZDB-GENE-030131-9260</v>
      </c>
      <c r="E4804" t="s">
        <v>14388</v>
      </c>
    </row>
    <row r="4805" spans="1:5" x14ac:dyDescent="0.2">
      <c r="A4805" t="s">
        <v>14389</v>
      </c>
      <c r="B4805" t="s">
        <v>14390</v>
      </c>
      <c r="C4805" t="s">
        <v>14390</v>
      </c>
      <c r="D4805" t="str">
        <f>HYPERLINK("https://zfin.org/ZDB-GENE-060803-3")</f>
        <v>https://zfin.org/ZDB-GENE-060803-3</v>
      </c>
      <c r="E4805" t="s">
        <v>14391</v>
      </c>
    </row>
    <row r="4806" spans="1:5" x14ac:dyDescent="0.2">
      <c r="A4806" t="s">
        <v>14392</v>
      </c>
      <c r="B4806" t="s">
        <v>14393</v>
      </c>
      <c r="C4806" t="s">
        <v>14393</v>
      </c>
      <c r="D4806" t="str">
        <f>HYPERLINK("https://zfin.org/ZDB-GENE-120920-2")</f>
        <v>https://zfin.org/ZDB-GENE-120920-2</v>
      </c>
      <c r="E4806" t="s">
        <v>14394</v>
      </c>
    </row>
    <row r="4807" spans="1:5" x14ac:dyDescent="0.2">
      <c r="A4807" t="s">
        <v>14395</v>
      </c>
      <c r="B4807" t="s">
        <v>14396</v>
      </c>
      <c r="C4807" t="s">
        <v>14396</v>
      </c>
      <c r="D4807" t="str">
        <f>HYPERLINK("https://zfin.org/ZDB-GENE-030616-68")</f>
        <v>https://zfin.org/ZDB-GENE-030616-68</v>
      </c>
      <c r="E4807" t="s">
        <v>14397</v>
      </c>
    </row>
    <row r="4808" spans="1:5" x14ac:dyDescent="0.2">
      <c r="A4808" t="s">
        <v>14398</v>
      </c>
      <c r="B4808" t="s">
        <v>14399</v>
      </c>
      <c r="C4808" t="s">
        <v>14399</v>
      </c>
      <c r="D4808" t="str">
        <f>HYPERLINK("https://zfin.org/ZDB-GENE-050626-91")</f>
        <v>https://zfin.org/ZDB-GENE-050626-91</v>
      </c>
      <c r="E4808" t="s">
        <v>14400</v>
      </c>
    </row>
    <row r="4809" spans="1:5" x14ac:dyDescent="0.2">
      <c r="A4809" t="s">
        <v>14401</v>
      </c>
      <c r="B4809" t="s">
        <v>14402</v>
      </c>
      <c r="C4809" t="s">
        <v>14402</v>
      </c>
      <c r="D4809" t="str">
        <f>HYPERLINK("https://zfin.org/ZDB-GENE-070112-1782")</f>
        <v>https://zfin.org/ZDB-GENE-070112-1782</v>
      </c>
      <c r="E4809" t="s">
        <v>14403</v>
      </c>
    </row>
    <row r="4810" spans="1:5" x14ac:dyDescent="0.2">
      <c r="A4810" t="s">
        <v>14404</v>
      </c>
      <c r="B4810" t="s">
        <v>14405</v>
      </c>
      <c r="C4810" t="s">
        <v>14405</v>
      </c>
      <c r="D4810" t="str">
        <f>HYPERLINK("https://zfin.org/ZDB-GENE-040303-2")</f>
        <v>https://zfin.org/ZDB-GENE-040303-2</v>
      </c>
      <c r="E4810" t="s">
        <v>14406</v>
      </c>
    </row>
    <row r="4811" spans="1:5" x14ac:dyDescent="0.2">
      <c r="A4811" t="s">
        <v>14407</v>
      </c>
      <c r="B4811" t="s">
        <v>14408</v>
      </c>
      <c r="C4811" t="s">
        <v>14408</v>
      </c>
      <c r="D4811" t="str">
        <f>HYPERLINK("https://zfin.org/ZDB-GENE-030131-1033")</f>
        <v>https://zfin.org/ZDB-GENE-030131-1033</v>
      </c>
      <c r="E4811" t="s">
        <v>14409</v>
      </c>
    </row>
    <row r="4812" spans="1:5" x14ac:dyDescent="0.2">
      <c r="A4812" t="s">
        <v>14410</v>
      </c>
      <c r="B4812" t="s">
        <v>14411</v>
      </c>
      <c r="C4812" t="s">
        <v>14411</v>
      </c>
      <c r="D4812" t="str">
        <f>HYPERLINK("https://zfin.org/ZDB-GENE-091204-322")</f>
        <v>https://zfin.org/ZDB-GENE-091204-322</v>
      </c>
      <c r="E4812" t="s">
        <v>14412</v>
      </c>
    </row>
    <row r="4813" spans="1:5" x14ac:dyDescent="0.2">
      <c r="A4813" t="s">
        <v>14413</v>
      </c>
      <c r="B4813" t="s">
        <v>14414</v>
      </c>
      <c r="C4813" t="s">
        <v>14414</v>
      </c>
      <c r="D4813" t="str">
        <f>HYPERLINK("https://zfin.org/ZDB-GENE-041114-117")</f>
        <v>https://zfin.org/ZDB-GENE-041114-117</v>
      </c>
      <c r="E4813" t="s">
        <v>14415</v>
      </c>
    </row>
    <row r="4814" spans="1:5" x14ac:dyDescent="0.2">
      <c r="A4814" t="s">
        <v>14416</v>
      </c>
      <c r="B4814" t="s">
        <v>14417</v>
      </c>
      <c r="C4814" t="s">
        <v>14417</v>
      </c>
      <c r="D4814" t="str">
        <f>HYPERLINK("https://zfin.org/ZDB-GENE-130415-4")</f>
        <v>https://zfin.org/ZDB-GENE-130415-4</v>
      </c>
      <c r="E4814" t="s">
        <v>14418</v>
      </c>
    </row>
    <row r="4815" spans="1:5" x14ac:dyDescent="0.2">
      <c r="A4815" t="s">
        <v>14419</v>
      </c>
      <c r="B4815" t="s">
        <v>14420</v>
      </c>
      <c r="C4815" t="s">
        <v>14420</v>
      </c>
      <c r="D4815" t="str">
        <f>HYPERLINK("https://zfin.org/ZDB-GENE-050327-26")</f>
        <v>https://zfin.org/ZDB-GENE-050327-26</v>
      </c>
      <c r="E4815" t="s">
        <v>14421</v>
      </c>
    </row>
    <row r="4816" spans="1:5" x14ac:dyDescent="0.2">
      <c r="A4816" t="s">
        <v>14422</v>
      </c>
      <c r="B4816" t="s">
        <v>14423</v>
      </c>
      <c r="C4816" t="s">
        <v>14423</v>
      </c>
      <c r="D4816" t="str">
        <f>HYPERLINK("https://zfin.org/ZDB-GENE-120928-5")</f>
        <v>https://zfin.org/ZDB-GENE-120928-5</v>
      </c>
      <c r="E4816" t="s">
        <v>14424</v>
      </c>
    </row>
    <row r="4817" spans="1:5" x14ac:dyDescent="0.2">
      <c r="A4817" t="s">
        <v>14425</v>
      </c>
      <c r="B4817" t="s">
        <v>14426</v>
      </c>
      <c r="C4817" t="s">
        <v>14426</v>
      </c>
      <c r="D4817" t="str">
        <f>HYPERLINK("https://zfin.org/ZDB-GENE-041014-17")</f>
        <v>https://zfin.org/ZDB-GENE-041014-17</v>
      </c>
      <c r="E4817" t="s">
        <v>14427</v>
      </c>
    </row>
    <row r="4818" spans="1:5" x14ac:dyDescent="0.2">
      <c r="A4818" t="s">
        <v>14428</v>
      </c>
      <c r="B4818" t="s">
        <v>14429</v>
      </c>
      <c r="C4818" t="s">
        <v>14429</v>
      </c>
      <c r="D4818" t="str">
        <f>HYPERLINK("https://zfin.org/ZDB-GENE-061103-355")</f>
        <v>https://zfin.org/ZDB-GENE-061103-355</v>
      </c>
      <c r="E4818" t="s">
        <v>14430</v>
      </c>
    </row>
    <row r="4819" spans="1:5" x14ac:dyDescent="0.2">
      <c r="A4819" t="s">
        <v>14431</v>
      </c>
      <c r="B4819" t="s">
        <v>14432</v>
      </c>
      <c r="C4819" t="s">
        <v>14432</v>
      </c>
      <c r="D4819" t="str">
        <f>HYPERLINK("https://zfin.org/ZDB-GENE-120215-116")</f>
        <v>https://zfin.org/ZDB-GENE-120215-116</v>
      </c>
      <c r="E4819" t="s">
        <v>14433</v>
      </c>
    </row>
    <row r="4820" spans="1:5" x14ac:dyDescent="0.2">
      <c r="A4820" t="s">
        <v>14434</v>
      </c>
      <c r="B4820" t="s">
        <v>14435</v>
      </c>
      <c r="C4820" t="s">
        <v>14435</v>
      </c>
      <c r="D4820" t="str">
        <f>HYPERLINK("https://zfin.org/ZDB-GENE-141216-272")</f>
        <v>https://zfin.org/ZDB-GENE-141216-272</v>
      </c>
      <c r="E4820" t="s">
        <v>14436</v>
      </c>
    </row>
    <row r="4821" spans="1:5" x14ac:dyDescent="0.2">
      <c r="A4821" t="s">
        <v>14437</v>
      </c>
      <c r="B4821" t="s">
        <v>14438</v>
      </c>
      <c r="C4821" t="s">
        <v>14438</v>
      </c>
      <c r="D4821" t="str">
        <f>HYPERLINK("https://zfin.org/ZDB-GENE-070410-49")</f>
        <v>https://zfin.org/ZDB-GENE-070410-49</v>
      </c>
      <c r="E4821" t="s">
        <v>14439</v>
      </c>
    </row>
    <row r="4822" spans="1:5" x14ac:dyDescent="0.2">
      <c r="A4822" t="s">
        <v>14440</v>
      </c>
      <c r="B4822" t="s">
        <v>14441</v>
      </c>
      <c r="C4822" t="s">
        <v>14441</v>
      </c>
      <c r="D4822" t="str">
        <f>HYPERLINK("https://zfin.org/ZDB-GENE-000831-5")</f>
        <v>https://zfin.org/ZDB-GENE-000831-5</v>
      </c>
      <c r="E4822" t="s">
        <v>14442</v>
      </c>
    </row>
    <row r="4823" spans="1:5" x14ac:dyDescent="0.2">
      <c r="A4823" t="s">
        <v>14443</v>
      </c>
      <c r="B4823" t="s">
        <v>14444</v>
      </c>
      <c r="C4823" t="s">
        <v>14444</v>
      </c>
      <c r="D4823" t="str">
        <f>HYPERLINK("https://zfin.org/ZDB-GENE-131121-651")</f>
        <v>https://zfin.org/ZDB-GENE-131121-651</v>
      </c>
      <c r="E4823" t="s">
        <v>14445</v>
      </c>
    </row>
    <row r="4824" spans="1:5" x14ac:dyDescent="0.2">
      <c r="A4824" t="s">
        <v>14446</v>
      </c>
      <c r="B4824" t="s">
        <v>14447</v>
      </c>
      <c r="C4824" t="s">
        <v>14447</v>
      </c>
      <c r="D4824" t="str">
        <f>HYPERLINK("https://zfin.org/ZDB-GENE-050208-650")</f>
        <v>https://zfin.org/ZDB-GENE-050208-650</v>
      </c>
      <c r="E4824" t="s">
        <v>14448</v>
      </c>
    </row>
    <row r="4825" spans="1:5" x14ac:dyDescent="0.2">
      <c r="A4825" t="s">
        <v>14449</v>
      </c>
      <c r="B4825" t="s">
        <v>14450</v>
      </c>
      <c r="C4825" t="s">
        <v>14450</v>
      </c>
      <c r="D4825" t="str">
        <f>HYPERLINK("https://zfin.org/ZDB-GENE-030131-5054")</f>
        <v>https://zfin.org/ZDB-GENE-030131-5054</v>
      </c>
      <c r="E4825" t="s">
        <v>14451</v>
      </c>
    </row>
    <row r="4826" spans="1:5" x14ac:dyDescent="0.2">
      <c r="A4826" t="s">
        <v>14452</v>
      </c>
      <c r="B4826" t="s">
        <v>14453</v>
      </c>
      <c r="C4826" t="s">
        <v>14453</v>
      </c>
      <c r="D4826" t="str">
        <f>HYPERLINK("https://zfin.org/ZDB-GENE-040426-1921")</f>
        <v>https://zfin.org/ZDB-GENE-040426-1921</v>
      </c>
      <c r="E4826" t="s">
        <v>14454</v>
      </c>
    </row>
    <row r="4827" spans="1:5" x14ac:dyDescent="0.2">
      <c r="A4827" t="s">
        <v>14455</v>
      </c>
      <c r="B4827" t="s">
        <v>14456</v>
      </c>
      <c r="C4827" t="s">
        <v>14456</v>
      </c>
      <c r="D4827" t="str">
        <f>HYPERLINK("https://zfin.org/ZDB-GENE-050913-73")</f>
        <v>https://zfin.org/ZDB-GENE-050913-73</v>
      </c>
      <c r="E4827" t="s">
        <v>14457</v>
      </c>
    </row>
    <row r="4828" spans="1:5" x14ac:dyDescent="0.2">
      <c r="A4828" t="s">
        <v>14458</v>
      </c>
      <c r="B4828" t="s">
        <v>14459</v>
      </c>
      <c r="C4828" t="s">
        <v>14459</v>
      </c>
      <c r="D4828" t="str">
        <f>HYPERLINK("https://zfin.org/ZDB-GENE-110411-115")</f>
        <v>https://zfin.org/ZDB-GENE-110411-115</v>
      </c>
      <c r="E4828" t="s">
        <v>14460</v>
      </c>
    </row>
    <row r="4829" spans="1:5" x14ac:dyDescent="0.2">
      <c r="A4829" t="s">
        <v>14461</v>
      </c>
      <c r="B4829" t="s">
        <v>14462</v>
      </c>
      <c r="C4829" t="s">
        <v>14462</v>
      </c>
      <c r="D4829" t="str">
        <f>HYPERLINK("https://zfin.org/ZDB-GENE-060323-2")</f>
        <v>https://zfin.org/ZDB-GENE-060323-2</v>
      </c>
      <c r="E4829" t="s">
        <v>14463</v>
      </c>
    </row>
    <row r="4830" spans="1:5" x14ac:dyDescent="0.2">
      <c r="A4830" t="s">
        <v>14464</v>
      </c>
      <c r="B4830" t="s">
        <v>14465</v>
      </c>
      <c r="C4830" t="s">
        <v>14465</v>
      </c>
      <c r="D4830" t="str">
        <f>HYPERLINK("https://zfin.org/ZDB-GENE-090313-11")</f>
        <v>https://zfin.org/ZDB-GENE-090313-11</v>
      </c>
      <c r="E4830" t="s">
        <v>14466</v>
      </c>
    </row>
    <row r="4831" spans="1:5" x14ac:dyDescent="0.2">
      <c r="A4831" t="s">
        <v>14467</v>
      </c>
      <c r="B4831" t="s">
        <v>14468</v>
      </c>
      <c r="C4831" t="s">
        <v>14468</v>
      </c>
      <c r="D4831" t="str">
        <f>HYPERLINK("https://zfin.org/ZDB-GENE-041210-96")</f>
        <v>https://zfin.org/ZDB-GENE-041210-96</v>
      </c>
      <c r="E4831" t="s">
        <v>14469</v>
      </c>
    </row>
    <row r="4832" spans="1:5" x14ac:dyDescent="0.2">
      <c r="A4832" t="s">
        <v>14470</v>
      </c>
      <c r="B4832" t="s">
        <v>14471</v>
      </c>
      <c r="C4832" t="s">
        <v>14471</v>
      </c>
      <c r="D4832" t="str">
        <f>HYPERLINK("https://zfin.org/ZDB-GENE-040426-2142")</f>
        <v>https://zfin.org/ZDB-GENE-040426-2142</v>
      </c>
      <c r="E4832" t="s">
        <v>14472</v>
      </c>
    </row>
    <row r="4833" spans="1:5" x14ac:dyDescent="0.2">
      <c r="A4833" t="s">
        <v>14473</v>
      </c>
      <c r="B4833" t="s">
        <v>14474</v>
      </c>
      <c r="C4833" t="s">
        <v>14474</v>
      </c>
      <c r="D4833" t="str">
        <f>HYPERLINK("https://zfin.org/ZDB-GENE-040724-203")</f>
        <v>https://zfin.org/ZDB-GENE-040724-203</v>
      </c>
      <c r="E4833" t="s">
        <v>14475</v>
      </c>
    </row>
    <row r="4834" spans="1:5" x14ac:dyDescent="0.2">
      <c r="A4834" t="s">
        <v>14476</v>
      </c>
      <c r="B4834" t="s">
        <v>14477</v>
      </c>
      <c r="C4834" t="s">
        <v>14477</v>
      </c>
      <c r="D4834" t="str">
        <f>HYPERLINK("https://zfin.org/ZDB-GENE-040426-2927")</f>
        <v>https://zfin.org/ZDB-GENE-040426-2927</v>
      </c>
      <c r="E4834" t="s">
        <v>14478</v>
      </c>
    </row>
    <row r="4835" spans="1:5" x14ac:dyDescent="0.2">
      <c r="A4835" t="s">
        <v>14479</v>
      </c>
      <c r="B4835" t="s">
        <v>14480</v>
      </c>
      <c r="C4835" t="s">
        <v>14480</v>
      </c>
      <c r="D4835" t="str">
        <f>HYPERLINK("https://zfin.org/ZDB-GENE-070912-556")</f>
        <v>https://zfin.org/ZDB-GENE-070912-556</v>
      </c>
      <c r="E4835" t="s">
        <v>14481</v>
      </c>
    </row>
    <row r="4836" spans="1:5" x14ac:dyDescent="0.2">
      <c r="A4836" t="s">
        <v>14482</v>
      </c>
      <c r="B4836" t="s">
        <v>14483</v>
      </c>
      <c r="C4836" t="s">
        <v>14483</v>
      </c>
      <c r="D4836" t="str">
        <f>HYPERLINK("https://zfin.org/ZDB-GENE-050506-147")</f>
        <v>https://zfin.org/ZDB-GENE-050506-147</v>
      </c>
      <c r="E4836" t="s">
        <v>14484</v>
      </c>
    </row>
    <row r="4837" spans="1:5" x14ac:dyDescent="0.2">
      <c r="A4837" t="s">
        <v>14485</v>
      </c>
      <c r="B4837" t="s">
        <v>14486</v>
      </c>
      <c r="C4837" t="s">
        <v>14486</v>
      </c>
      <c r="D4837" t="str">
        <f>HYPERLINK("https://zfin.org/ZDB-GENE-020419-38")</f>
        <v>https://zfin.org/ZDB-GENE-020419-38</v>
      </c>
      <c r="E4837" t="s">
        <v>14487</v>
      </c>
    </row>
    <row r="4838" spans="1:5" x14ac:dyDescent="0.2">
      <c r="A4838" t="s">
        <v>14488</v>
      </c>
      <c r="B4838" t="s">
        <v>14489</v>
      </c>
      <c r="C4838" t="s">
        <v>14489</v>
      </c>
      <c r="D4838" t="str">
        <f>HYPERLINK("https://zfin.org/ZDB-GENE-030131-1968")</f>
        <v>https://zfin.org/ZDB-GENE-030131-1968</v>
      </c>
      <c r="E4838" t="s">
        <v>14490</v>
      </c>
    </row>
    <row r="4839" spans="1:5" x14ac:dyDescent="0.2">
      <c r="A4839" t="s">
        <v>14491</v>
      </c>
      <c r="B4839" t="s">
        <v>14492</v>
      </c>
      <c r="C4839" t="s">
        <v>14492</v>
      </c>
      <c r="D4839" t="str">
        <f>HYPERLINK("https://zfin.org/ZDB-GENE-141216-402")</f>
        <v>https://zfin.org/ZDB-GENE-141216-402</v>
      </c>
      <c r="E4839" t="s">
        <v>14493</v>
      </c>
    </row>
    <row r="4840" spans="1:5" x14ac:dyDescent="0.2">
      <c r="A4840" t="s">
        <v>14494</v>
      </c>
      <c r="B4840" t="s">
        <v>14495</v>
      </c>
      <c r="C4840" t="s">
        <v>14495</v>
      </c>
      <c r="D4840" t="str">
        <f>HYPERLINK("https://zfin.org/ZDB-GENE-030131-3294")</f>
        <v>https://zfin.org/ZDB-GENE-030131-3294</v>
      </c>
      <c r="E4840" t="s">
        <v>14496</v>
      </c>
    </row>
    <row r="4841" spans="1:5" x14ac:dyDescent="0.2">
      <c r="A4841" t="s">
        <v>14497</v>
      </c>
      <c r="B4841" t="s">
        <v>14498</v>
      </c>
      <c r="C4841" t="s">
        <v>14498</v>
      </c>
      <c r="D4841" t="str">
        <f>HYPERLINK("https://zfin.org/ZDB-GENE-060526-177")</f>
        <v>https://zfin.org/ZDB-GENE-060526-177</v>
      </c>
      <c r="E4841" t="s">
        <v>14499</v>
      </c>
    </row>
    <row r="4842" spans="1:5" x14ac:dyDescent="0.2">
      <c r="A4842" t="s">
        <v>14500</v>
      </c>
      <c r="B4842" t="s">
        <v>14501</v>
      </c>
      <c r="C4842" t="s">
        <v>14501</v>
      </c>
      <c r="D4842" t="str">
        <f>HYPERLINK("https://zfin.org/ZDB-GENE-050119-7")</f>
        <v>https://zfin.org/ZDB-GENE-050119-7</v>
      </c>
      <c r="E4842" t="s">
        <v>14502</v>
      </c>
    </row>
    <row r="4843" spans="1:5" x14ac:dyDescent="0.2">
      <c r="A4843" t="s">
        <v>14503</v>
      </c>
      <c r="B4843" t="s">
        <v>14504</v>
      </c>
      <c r="C4843" t="s">
        <v>14504</v>
      </c>
      <c r="D4843" t="str">
        <f>HYPERLINK("https://zfin.org/ZDB-GENE-040426-2699")</f>
        <v>https://zfin.org/ZDB-GENE-040426-2699</v>
      </c>
      <c r="E4843" t="s">
        <v>14505</v>
      </c>
    </row>
    <row r="4844" spans="1:5" x14ac:dyDescent="0.2">
      <c r="A4844" t="s">
        <v>14506</v>
      </c>
      <c r="B4844" t="s">
        <v>14507</v>
      </c>
      <c r="C4844" t="s">
        <v>14507</v>
      </c>
      <c r="D4844" t="str">
        <f>HYPERLINK("https://zfin.org/ZDB-GENE-050417-133")</f>
        <v>https://zfin.org/ZDB-GENE-050417-133</v>
      </c>
      <c r="E4844" t="s">
        <v>14508</v>
      </c>
    </row>
    <row r="4845" spans="1:5" x14ac:dyDescent="0.2">
      <c r="A4845" t="s">
        <v>14509</v>
      </c>
      <c r="B4845" t="s">
        <v>14510</v>
      </c>
      <c r="C4845" t="s">
        <v>14510</v>
      </c>
      <c r="D4845" t="str">
        <f>HYPERLINK("https://zfin.org/ZDB-GENE-091204-123")</f>
        <v>https://zfin.org/ZDB-GENE-091204-123</v>
      </c>
      <c r="E4845" t="s">
        <v>14511</v>
      </c>
    </row>
    <row r="4846" spans="1:5" x14ac:dyDescent="0.2">
      <c r="A4846" t="s">
        <v>14512</v>
      </c>
      <c r="B4846" t="s">
        <v>14513</v>
      </c>
      <c r="C4846" t="s">
        <v>14513</v>
      </c>
      <c r="D4846" t="str">
        <f>HYPERLINK("https://zfin.org/ZDB-GENE-091204-428")</f>
        <v>https://zfin.org/ZDB-GENE-091204-428</v>
      </c>
      <c r="E4846" t="s">
        <v>14514</v>
      </c>
    </row>
    <row r="4847" spans="1:5" x14ac:dyDescent="0.2">
      <c r="A4847" t="s">
        <v>14515</v>
      </c>
      <c r="B4847" t="s">
        <v>14516</v>
      </c>
      <c r="C4847" t="s">
        <v>14516</v>
      </c>
      <c r="D4847" t="str">
        <f>HYPERLINK("https://zfin.org/ZDB-GENE-030131-31")</f>
        <v>https://zfin.org/ZDB-GENE-030131-31</v>
      </c>
      <c r="E4847" t="s">
        <v>14517</v>
      </c>
    </row>
    <row r="4848" spans="1:5" x14ac:dyDescent="0.2">
      <c r="A4848" t="s">
        <v>14518</v>
      </c>
      <c r="B4848" t="s">
        <v>14519</v>
      </c>
      <c r="C4848" t="s">
        <v>14519</v>
      </c>
      <c r="D4848" t="str">
        <f>HYPERLINK("https://zfin.org/ZDB-GENE-060503-348")</f>
        <v>https://zfin.org/ZDB-GENE-060503-348</v>
      </c>
      <c r="E4848" t="s">
        <v>14520</v>
      </c>
    </row>
    <row r="4849" spans="1:5" x14ac:dyDescent="0.2">
      <c r="A4849" t="s">
        <v>14521</v>
      </c>
      <c r="B4849" t="s">
        <v>14522</v>
      </c>
      <c r="C4849" t="s">
        <v>14522</v>
      </c>
      <c r="D4849" t="str">
        <f>HYPERLINK("https://zfin.org/ZDB-GENE-020320-2")</f>
        <v>https://zfin.org/ZDB-GENE-020320-2</v>
      </c>
      <c r="E4849" t="s">
        <v>14523</v>
      </c>
    </row>
    <row r="4850" spans="1:5" x14ac:dyDescent="0.2">
      <c r="A4850" t="s">
        <v>14524</v>
      </c>
      <c r="B4850" t="s">
        <v>14525</v>
      </c>
      <c r="C4850" t="s">
        <v>14525</v>
      </c>
      <c r="D4850" t="str">
        <f>HYPERLINK("https://zfin.org/ZDB-GENE-070112-1482")</f>
        <v>https://zfin.org/ZDB-GENE-070112-1482</v>
      </c>
      <c r="E4850" t="s">
        <v>14526</v>
      </c>
    </row>
    <row r="4851" spans="1:5" x14ac:dyDescent="0.2">
      <c r="A4851" t="s">
        <v>14527</v>
      </c>
      <c r="B4851" t="s">
        <v>14528</v>
      </c>
      <c r="C4851" t="s">
        <v>14528</v>
      </c>
      <c r="D4851" t="str">
        <f>HYPERLINK("https://zfin.org/ZDB-GENE-030131-4163")</f>
        <v>https://zfin.org/ZDB-GENE-030131-4163</v>
      </c>
      <c r="E4851" t="s">
        <v>14529</v>
      </c>
    </row>
    <row r="4852" spans="1:5" x14ac:dyDescent="0.2">
      <c r="A4852" t="s">
        <v>14530</v>
      </c>
      <c r="B4852" t="s">
        <v>14531</v>
      </c>
      <c r="C4852" t="s">
        <v>14531</v>
      </c>
      <c r="D4852" t="str">
        <f>HYPERLINK("https://zfin.org/ZDB-GENE-080326-1")</f>
        <v>https://zfin.org/ZDB-GENE-080326-1</v>
      </c>
      <c r="E4852" t="s">
        <v>14532</v>
      </c>
    </row>
    <row r="4853" spans="1:5" x14ac:dyDescent="0.2">
      <c r="A4853" t="s">
        <v>14533</v>
      </c>
      <c r="B4853" t="s">
        <v>14534</v>
      </c>
      <c r="C4853" t="s">
        <v>14534</v>
      </c>
      <c r="D4853" t="str">
        <f>HYPERLINK("https://zfin.org/ZDB-GENE-130530-756")</f>
        <v>https://zfin.org/ZDB-GENE-130530-756</v>
      </c>
      <c r="E4853" t="s">
        <v>14535</v>
      </c>
    </row>
    <row r="4854" spans="1:5" x14ac:dyDescent="0.2">
      <c r="A4854" t="s">
        <v>14536</v>
      </c>
      <c r="B4854" t="s">
        <v>14537</v>
      </c>
      <c r="C4854" t="s">
        <v>14537</v>
      </c>
      <c r="D4854" t="str">
        <f>HYPERLINK("https://zfin.org/ZDB-GENE-050419-148")</f>
        <v>https://zfin.org/ZDB-GENE-050419-148</v>
      </c>
      <c r="E4854" t="s">
        <v>14538</v>
      </c>
    </row>
    <row r="4855" spans="1:5" x14ac:dyDescent="0.2">
      <c r="A4855" t="s">
        <v>14539</v>
      </c>
      <c r="B4855" t="s">
        <v>14540</v>
      </c>
      <c r="C4855" t="s">
        <v>14540</v>
      </c>
      <c r="D4855" t="str">
        <f>HYPERLINK("https://zfin.org/ZDB-GENE-040426-1585")</f>
        <v>https://zfin.org/ZDB-GENE-040426-1585</v>
      </c>
      <c r="E4855" t="s">
        <v>14541</v>
      </c>
    </row>
    <row r="4856" spans="1:5" x14ac:dyDescent="0.2">
      <c r="A4856" t="s">
        <v>14542</v>
      </c>
      <c r="B4856" t="s">
        <v>14543</v>
      </c>
      <c r="C4856" t="s">
        <v>14543</v>
      </c>
      <c r="D4856" t="str">
        <f>HYPERLINK("https://zfin.org/ZDB-GENE-141215-6")</f>
        <v>https://zfin.org/ZDB-GENE-141215-6</v>
      </c>
      <c r="E4856" t="s">
        <v>14544</v>
      </c>
    </row>
    <row r="4857" spans="1:5" x14ac:dyDescent="0.2">
      <c r="A4857" t="s">
        <v>14545</v>
      </c>
      <c r="B4857" t="s">
        <v>14546</v>
      </c>
      <c r="C4857" t="s">
        <v>14546</v>
      </c>
      <c r="D4857" t="str">
        <f>HYPERLINK("https://zfin.org/ZDB-GENE-040426-1619")</f>
        <v>https://zfin.org/ZDB-GENE-040426-1619</v>
      </c>
      <c r="E4857" t="s">
        <v>14547</v>
      </c>
    </row>
    <row r="4858" spans="1:5" x14ac:dyDescent="0.2">
      <c r="A4858" t="s">
        <v>14548</v>
      </c>
      <c r="B4858" t="s">
        <v>14549</v>
      </c>
      <c r="C4858" t="s">
        <v>14549</v>
      </c>
      <c r="D4858" t="str">
        <f>HYPERLINK("https://zfin.org/ZDB-GENE-080403-11")</f>
        <v>https://zfin.org/ZDB-GENE-080403-11</v>
      </c>
      <c r="E4858" t="s">
        <v>14550</v>
      </c>
    </row>
    <row r="4859" spans="1:5" x14ac:dyDescent="0.2">
      <c r="A4859" t="s">
        <v>14551</v>
      </c>
      <c r="B4859" t="s">
        <v>14552</v>
      </c>
      <c r="C4859" t="s">
        <v>14552</v>
      </c>
      <c r="D4859" t="str">
        <f>HYPERLINK("https://zfin.org/ZDB-GENE-030131-6445")</f>
        <v>https://zfin.org/ZDB-GENE-030131-6445</v>
      </c>
      <c r="E4859" t="s">
        <v>14553</v>
      </c>
    </row>
    <row r="4860" spans="1:5" x14ac:dyDescent="0.2">
      <c r="A4860" t="s">
        <v>14554</v>
      </c>
      <c r="B4860" t="s">
        <v>14555</v>
      </c>
      <c r="C4860" t="s">
        <v>14555</v>
      </c>
      <c r="D4860" t="str">
        <f>HYPERLINK("https://zfin.org/ZDB-GENE-070424-39")</f>
        <v>https://zfin.org/ZDB-GENE-070424-39</v>
      </c>
      <c r="E4860" t="s">
        <v>14556</v>
      </c>
    </row>
    <row r="4861" spans="1:5" x14ac:dyDescent="0.2">
      <c r="A4861" t="s">
        <v>14557</v>
      </c>
      <c r="B4861" t="s">
        <v>14558</v>
      </c>
      <c r="C4861" t="s">
        <v>14558</v>
      </c>
      <c r="D4861" t="str">
        <f>HYPERLINK("https://zfin.org/ZDB-GENE-091118-28")</f>
        <v>https://zfin.org/ZDB-GENE-091118-28</v>
      </c>
      <c r="E4861" t="s">
        <v>14559</v>
      </c>
    </row>
    <row r="4862" spans="1:5" x14ac:dyDescent="0.2">
      <c r="A4862" t="s">
        <v>14560</v>
      </c>
      <c r="B4862" t="s">
        <v>14561</v>
      </c>
      <c r="C4862" t="s">
        <v>14561</v>
      </c>
      <c r="D4862" t="str">
        <f>HYPERLINK("https://zfin.org/ZDB-GENE-070410-47")</f>
        <v>https://zfin.org/ZDB-GENE-070410-47</v>
      </c>
      <c r="E4862" t="s">
        <v>14562</v>
      </c>
    </row>
    <row r="4863" spans="1:5" x14ac:dyDescent="0.2">
      <c r="A4863" t="s">
        <v>14563</v>
      </c>
      <c r="B4863" t="s">
        <v>14564</v>
      </c>
      <c r="C4863" t="s">
        <v>14564</v>
      </c>
      <c r="D4863" t="str">
        <f>HYPERLINK("https://zfin.org/ZDB-GENE-131127-507")</f>
        <v>https://zfin.org/ZDB-GENE-131127-507</v>
      </c>
      <c r="E4863" t="s">
        <v>14565</v>
      </c>
    </row>
    <row r="4864" spans="1:5" x14ac:dyDescent="0.2">
      <c r="A4864" t="s">
        <v>14566</v>
      </c>
      <c r="B4864" t="s">
        <v>14567</v>
      </c>
      <c r="C4864" t="s">
        <v>14567</v>
      </c>
      <c r="D4864" t="str">
        <f>HYPERLINK("https://zfin.org/ZDB-GENE-030131-8204")</f>
        <v>https://zfin.org/ZDB-GENE-030131-8204</v>
      </c>
      <c r="E4864" t="s">
        <v>14568</v>
      </c>
    </row>
    <row r="4865" spans="1:5" x14ac:dyDescent="0.2">
      <c r="A4865" t="s">
        <v>14569</v>
      </c>
      <c r="B4865" t="s">
        <v>14570</v>
      </c>
      <c r="C4865" t="s">
        <v>14570</v>
      </c>
      <c r="D4865" t="str">
        <f>HYPERLINK("https://zfin.org/ZDB-GENE-131127-178")</f>
        <v>https://zfin.org/ZDB-GENE-131127-178</v>
      </c>
      <c r="E4865" t="s">
        <v>14571</v>
      </c>
    </row>
    <row r="4866" spans="1:5" x14ac:dyDescent="0.2">
      <c r="A4866" t="s">
        <v>14572</v>
      </c>
      <c r="B4866" t="s">
        <v>14573</v>
      </c>
      <c r="C4866" t="s">
        <v>14573</v>
      </c>
      <c r="D4866" t="str">
        <f>HYPERLINK("https://zfin.org/ZDB-GENE-030922-1")</f>
        <v>https://zfin.org/ZDB-GENE-030922-1</v>
      </c>
      <c r="E4866" t="s">
        <v>14574</v>
      </c>
    </row>
    <row r="4867" spans="1:5" x14ac:dyDescent="0.2">
      <c r="A4867" t="s">
        <v>14575</v>
      </c>
      <c r="B4867" t="s">
        <v>14576</v>
      </c>
      <c r="C4867" t="s">
        <v>14576</v>
      </c>
      <c r="D4867" t="str">
        <f>HYPERLINK("https://zfin.org/ZDB-GENE-060503-764")</f>
        <v>https://zfin.org/ZDB-GENE-060503-764</v>
      </c>
      <c r="E4867" t="s">
        <v>14577</v>
      </c>
    </row>
    <row r="4868" spans="1:5" x14ac:dyDescent="0.2">
      <c r="A4868" t="s">
        <v>14578</v>
      </c>
      <c r="B4868" t="s">
        <v>14579</v>
      </c>
      <c r="C4868" t="s">
        <v>14579</v>
      </c>
      <c r="D4868" t="str">
        <f>HYPERLINK("https://zfin.org/ZDB-GENE-040426-2598")</f>
        <v>https://zfin.org/ZDB-GENE-040426-2598</v>
      </c>
      <c r="E4868" t="s">
        <v>14580</v>
      </c>
    </row>
    <row r="4869" spans="1:5" x14ac:dyDescent="0.2">
      <c r="A4869" t="s">
        <v>14581</v>
      </c>
      <c r="B4869" t="s">
        <v>14582</v>
      </c>
      <c r="C4869" t="s">
        <v>14582</v>
      </c>
      <c r="D4869" t="str">
        <f>HYPERLINK("https://zfin.org/ZDB-GENE-050327-41")</f>
        <v>https://zfin.org/ZDB-GENE-050327-41</v>
      </c>
      <c r="E4869" t="s">
        <v>14583</v>
      </c>
    </row>
    <row r="4870" spans="1:5" x14ac:dyDescent="0.2">
      <c r="A4870" t="s">
        <v>14584</v>
      </c>
      <c r="B4870" t="s">
        <v>14585</v>
      </c>
      <c r="C4870" t="s">
        <v>14585</v>
      </c>
      <c r="D4870" t="str">
        <f>HYPERLINK("https://zfin.org/ZDB-GENE-131127-214")</f>
        <v>https://zfin.org/ZDB-GENE-131127-214</v>
      </c>
      <c r="E4870" t="s">
        <v>14586</v>
      </c>
    </row>
    <row r="4871" spans="1:5" x14ac:dyDescent="0.2">
      <c r="A4871" t="s">
        <v>14587</v>
      </c>
      <c r="B4871" t="s">
        <v>13192</v>
      </c>
      <c r="C4871" t="s">
        <v>14588</v>
      </c>
      <c r="D4871" t="str">
        <f>HYPERLINK("https://zfin.org/ZDB-GENE-030616-40")</f>
        <v>https://zfin.org/ZDB-GENE-030616-40</v>
      </c>
      <c r="E4871" t="s">
        <v>13193</v>
      </c>
    </row>
    <row r="4872" spans="1:5" x14ac:dyDescent="0.2">
      <c r="A4872" t="s">
        <v>14589</v>
      </c>
      <c r="B4872" t="s">
        <v>14590</v>
      </c>
      <c r="C4872" t="s">
        <v>14590</v>
      </c>
      <c r="D4872" t="str">
        <f>HYPERLINK("https://zfin.org/ZDB-GENE-070410-33")</f>
        <v>https://zfin.org/ZDB-GENE-070410-33</v>
      </c>
      <c r="E4872" t="s">
        <v>14591</v>
      </c>
    </row>
    <row r="4873" spans="1:5" x14ac:dyDescent="0.2">
      <c r="A4873" t="s">
        <v>14592</v>
      </c>
      <c r="B4873" t="s">
        <v>14593</v>
      </c>
      <c r="C4873" t="s">
        <v>14593</v>
      </c>
      <c r="D4873" t="str">
        <f>HYPERLINK("https://zfin.org/ZDB-GENE-040426-2417")</f>
        <v>https://zfin.org/ZDB-GENE-040426-2417</v>
      </c>
      <c r="E4873" t="s">
        <v>14594</v>
      </c>
    </row>
    <row r="4874" spans="1:5" x14ac:dyDescent="0.2">
      <c r="A4874" t="s">
        <v>14595</v>
      </c>
      <c r="B4874" t="s">
        <v>14596</v>
      </c>
      <c r="C4874" t="s">
        <v>14596</v>
      </c>
      <c r="D4874" t="str">
        <f>HYPERLINK("https://zfin.org/ZDB-GENE-030901-2")</f>
        <v>https://zfin.org/ZDB-GENE-030901-2</v>
      </c>
      <c r="E4874" t="s">
        <v>14597</v>
      </c>
    </row>
    <row r="4875" spans="1:5" x14ac:dyDescent="0.2">
      <c r="A4875" t="s">
        <v>14598</v>
      </c>
      <c r="B4875" t="s">
        <v>14599</v>
      </c>
      <c r="C4875" t="s">
        <v>14599</v>
      </c>
      <c r="D4875" t="str">
        <f>HYPERLINK("https://zfin.org/ZDB-GENE-021029-1")</f>
        <v>https://zfin.org/ZDB-GENE-021029-1</v>
      </c>
      <c r="E4875" t="s">
        <v>14600</v>
      </c>
    </row>
    <row r="4876" spans="1:5" x14ac:dyDescent="0.2">
      <c r="A4876" t="s">
        <v>14601</v>
      </c>
      <c r="B4876" t="s">
        <v>14602</v>
      </c>
      <c r="C4876" t="s">
        <v>14602</v>
      </c>
      <c r="D4876" t="str">
        <f>HYPERLINK("https://zfin.org/ZDB-GENE-091204-162")</f>
        <v>https://zfin.org/ZDB-GENE-091204-162</v>
      </c>
      <c r="E4876" t="s">
        <v>14603</v>
      </c>
    </row>
    <row r="4877" spans="1:5" x14ac:dyDescent="0.2">
      <c r="A4877" t="s">
        <v>14604</v>
      </c>
      <c r="B4877" t="s">
        <v>14605</v>
      </c>
      <c r="C4877" t="s">
        <v>14605</v>
      </c>
      <c r="D4877" t="str">
        <f>HYPERLINK("https://zfin.org/ZDB-GENE-040426-1718")</f>
        <v>https://zfin.org/ZDB-GENE-040426-1718</v>
      </c>
      <c r="E4877" t="s">
        <v>14606</v>
      </c>
    </row>
    <row r="4878" spans="1:5" x14ac:dyDescent="0.2">
      <c r="A4878" t="s">
        <v>14607</v>
      </c>
      <c r="B4878" t="s">
        <v>14608</v>
      </c>
      <c r="C4878" t="s">
        <v>14608</v>
      </c>
      <c r="D4878" t="str">
        <f>HYPERLINK("https://zfin.org/ZDB-GENE-100922-27")</f>
        <v>https://zfin.org/ZDB-GENE-100922-27</v>
      </c>
      <c r="E4878" t="s">
        <v>14609</v>
      </c>
    </row>
    <row r="4879" spans="1:5" x14ac:dyDescent="0.2">
      <c r="A4879" t="s">
        <v>14610</v>
      </c>
      <c r="B4879" t="s">
        <v>14611</v>
      </c>
      <c r="C4879" t="s">
        <v>14611</v>
      </c>
      <c r="D4879" t="str">
        <f>HYPERLINK("https://zfin.org/ZDB-GENE-040426-2359")</f>
        <v>https://zfin.org/ZDB-GENE-040426-2359</v>
      </c>
      <c r="E4879" t="s">
        <v>14612</v>
      </c>
    </row>
    <row r="4880" spans="1:5" x14ac:dyDescent="0.2">
      <c r="A4880" t="s">
        <v>14613</v>
      </c>
      <c r="B4880" t="s">
        <v>14614</v>
      </c>
      <c r="C4880" t="s">
        <v>14614</v>
      </c>
      <c r="D4880" t="str">
        <f>HYPERLINK("https://zfin.org/ZDB-GENE-131122-26")</f>
        <v>https://zfin.org/ZDB-GENE-131122-26</v>
      </c>
      <c r="E4880" t="s">
        <v>14615</v>
      </c>
    </row>
    <row r="4881" spans="1:5" x14ac:dyDescent="0.2">
      <c r="A4881" t="s">
        <v>14616</v>
      </c>
      <c r="B4881" t="s">
        <v>14617</v>
      </c>
      <c r="C4881" t="s">
        <v>14617</v>
      </c>
      <c r="D4881" t="str">
        <f>HYPERLINK("https://zfin.org/ZDB-GENE-131121-469")</f>
        <v>https://zfin.org/ZDB-GENE-131121-469</v>
      </c>
      <c r="E4881" t="s">
        <v>14618</v>
      </c>
    </row>
    <row r="4882" spans="1:5" x14ac:dyDescent="0.2">
      <c r="A4882" t="s">
        <v>14619</v>
      </c>
      <c r="B4882" t="s">
        <v>14620</v>
      </c>
      <c r="C4882" t="s">
        <v>14620</v>
      </c>
      <c r="D4882" t="str">
        <f>HYPERLINK("https://zfin.org/ZDB-GENE-050913-8")</f>
        <v>https://zfin.org/ZDB-GENE-050913-8</v>
      </c>
      <c r="E4882" t="s">
        <v>14621</v>
      </c>
    </row>
    <row r="4883" spans="1:5" x14ac:dyDescent="0.2">
      <c r="A4883" t="s">
        <v>14622</v>
      </c>
      <c r="B4883" t="s">
        <v>14623</v>
      </c>
      <c r="C4883" t="s">
        <v>14623</v>
      </c>
      <c r="D4883" t="str">
        <f>HYPERLINK("https://zfin.org/ZDB-GENE-000607-49")</f>
        <v>https://zfin.org/ZDB-GENE-000607-49</v>
      </c>
      <c r="E4883" t="s">
        <v>14624</v>
      </c>
    </row>
    <row r="4884" spans="1:5" x14ac:dyDescent="0.2">
      <c r="A4884" t="s">
        <v>14625</v>
      </c>
      <c r="B4884" t="s">
        <v>14626</v>
      </c>
      <c r="C4884" t="s">
        <v>14626</v>
      </c>
      <c r="D4884" t="str">
        <f>HYPERLINK("https://zfin.org/ZDB-GENE-080206-3")</f>
        <v>https://zfin.org/ZDB-GENE-080206-3</v>
      </c>
      <c r="E4884" t="s">
        <v>14627</v>
      </c>
    </row>
    <row r="4885" spans="1:5" x14ac:dyDescent="0.2">
      <c r="A4885" t="s">
        <v>14628</v>
      </c>
      <c r="B4885" t="s">
        <v>14629</v>
      </c>
      <c r="C4885" t="s">
        <v>14629</v>
      </c>
      <c r="D4885" t="str">
        <f>HYPERLINK("https://zfin.org/ZDB-GENE-030131-7983")</f>
        <v>https://zfin.org/ZDB-GENE-030131-7983</v>
      </c>
      <c r="E4885" t="s">
        <v>14630</v>
      </c>
    </row>
    <row r="4886" spans="1:5" x14ac:dyDescent="0.2">
      <c r="A4886" t="s">
        <v>14631</v>
      </c>
      <c r="B4886" t="s">
        <v>14632</v>
      </c>
      <c r="C4886" t="s">
        <v>14632</v>
      </c>
      <c r="D4886" t="str">
        <f>HYPERLINK("https://zfin.org/ZDB-GENE-990415-245")</f>
        <v>https://zfin.org/ZDB-GENE-990415-245</v>
      </c>
      <c r="E4886" t="s">
        <v>14633</v>
      </c>
    </row>
    <row r="4887" spans="1:5" x14ac:dyDescent="0.2">
      <c r="A4887" t="s">
        <v>14634</v>
      </c>
      <c r="B4887" t="s">
        <v>14635</v>
      </c>
      <c r="C4887" t="s">
        <v>14635</v>
      </c>
      <c r="D4887" t="str">
        <f>HYPERLINK("https://zfin.org/ZDB-GENE-091230-4")</f>
        <v>https://zfin.org/ZDB-GENE-091230-4</v>
      </c>
      <c r="E4887" t="s">
        <v>14636</v>
      </c>
    </row>
    <row r="4888" spans="1:5" x14ac:dyDescent="0.2">
      <c r="A4888" t="s">
        <v>14637</v>
      </c>
      <c r="B4888" t="s">
        <v>14638</v>
      </c>
      <c r="C4888" t="s">
        <v>14638</v>
      </c>
      <c r="D4888" t="str">
        <f>HYPERLINK("https://zfin.org/ZDB-GENE-050320-85")</f>
        <v>https://zfin.org/ZDB-GENE-050320-85</v>
      </c>
      <c r="E4888" t="s">
        <v>14639</v>
      </c>
    </row>
    <row r="4889" spans="1:5" x14ac:dyDescent="0.2">
      <c r="A4889" t="s">
        <v>14640</v>
      </c>
      <c r="B4889" t="s">
        <v>14641</v>
      </c>
      <c r="C4889" t="s">
        <v>14641</v>
      </c>
      <c r="D4889" t="str">
        <f>HYPERLINK("https://zfin.org/ZDB-GENE-111229-2")</f>
        <v>https://zfin.org/ZDB-GENE-111229-2</v>
      </c>
      <c r="E4889" t="s">
        <v>14642</v>
      </c>
    </row>
    <row r="4890" spans="1:5" x14ac:dyDescent="0.2">
      <c r="A4890" t="s">
        <v>14643</v>
      </c>
      <c r="B4890" t="s">
        <v>14644</v>
      </c>
      <c r="C4890" t="s">
        <v>14644</v>
      </c>
      <c r="D4890" t="str">
        <f>HYPERLINK("https://zfin.org/ZDB-GENE-030131-202")</f>
        <v>https://zfin.org/ZDB-GENE-030131-202</v>
      </c>
      <c r="E4890" t="s">
        <v>14645</v>
      </c>
    </row>
    <row r="4891" spans="1:5" x14ac:dyDescent="0.2">
      <c r="A4891" t="s">
        <v>14646</v>
      </c>
      <c r="B4891" t="s">
        <v>14647</v>
      </c>
      <c r="C4891" t="s">
        <v>14647</v>
      </c>
      <c r="D4891" t="str">
        <f>HYPERLINK("https://zfin.org/ZDB-GENE-070112-1662")</f>
        <v>https://zfin.org/ZDB-GENE-070112-1662</v>
      </c>
      <c r="E4891" t="s">
        <v>14648</v>
      </c>
    </row>
    <row r="4892" spans="1:5" x14ac:dyDescent="0.2">
      <c r="A4892" t="s">
        <v>14649</v>
      </c>
      <c r="B4892" t="s">
        <v>14650</v>
      </c>
      <c r="C4892" t="s">
        <v>14650</v>
      </c>
      <c r="D4892" t="str">
        <f>HYPERLINK("https://zfin.org/ZDB-GENE-030131-7450")</f>
        <v>https://zfin.org/ZDB-GENE-030131-7450</v>
      </c>
      <c r="E4892" t="s">
        <v>14651</v>
      </c>
    </row>
    <row r="4893" spans="1:5" x14ac:dyDescent="0.2">
      <c r="A4893" t="s">
        <v>14652</v>
      </c>
      <c r="B4893" t="s">
        <v>14653</v>
      </c>
      <c r="C4893" t="s">
        <v>14653</v>
      </c>
      <c r="D4893" t="str">
        <f>HYPERLINK("https://zfin.org/ZDB-GENE-110126-1")</f>
        <v>https://zfin.org/ZDB-GENE-110126-1</v>
      </c>
      <c r="E4893" t="s">
        <v>14654</v>
      </c>
    </row>
    <row r="4894" spans="1:5" x14ac:dyDescent="0.2">
      <c r="A4894" t="s">
        <v>14655</v>
      </c>
      <c r="B4894" t="s">
        <v>14656</v>
      </c>
      <c r="C4894" t="s">
        <v>14656</v>
      </c>
      <c r="D4894" t="str">
        <f>HYPERLINK("https://zfin.org/ZDB-GENE-080102-3")</f>
        <v>https://zfin.org/ZDB-GENE-080102-3</v>
      </c>
      <c r="E4894" t="s">
        <v>14657</v>
      </c>
    </row>
    <row r="4895" spans="1:5" x14ac:dyDescent="0.2">
      <c r="A4895" t="s">
        <v>14658</v>
      </c>
      <c r="B4895" t="s">
        <v>14659</v>
      </c>
      <c r="C4895" t="s">
        <v>14659</v>
      </c>
      <c r="D4895" t="str">
        <f>HYPERLINK("https://zfin.org/ZDB-GENE-040426-1883")</f>
        <v>https://zfin.org/ZDB-GENE-040426-1883</v>
      </c>
      <c r="E4895" t="s">
        <v>14660</v>
      </c>
    </row>
    <row r="4896" spans="1:5" x14ac:dyDescent="0.2">
      <c r="A4896" t="s">
        <v>14661</v>
      </c>
      <c r="B4896" t="s">
        <v>14662</v>
      </c>
      <c r="C4896" t="s">
        <v>14662</v>
      </c>
      <c r="D4896" t="str">
        <f>HYPERLINK("https://zfin.org/ZDB-GENE-040426-1")</f>
        <v>https://zfin.org/ZDB-GENE-040426-1</v>
      </c>
      <c r="E4896" t="s">
        <v>14663</v>
      </c>
    </row>
    <row r="4897" spans="1:5" x14ac:dyDescent="0.2">
      <c r="A4897" t="s">
        <v>14664</v>
      </c>
      <c r="B4897" t="s">
        <v>14665</v>
      </c>
      <c r="C4897" t="s">
        <v>14665</v>
      </c>
      <c r="D4897" t="str">
        <f>HYPERLINK("https://zfin.org/ZDB-GENE-070112-422")</f>
        <v>https://zfin.org/ZDB-GENE-070112-422</v>
      </c>
      <c r="E4897" t="s">
        <v>14666</v>
      </c>
    </row>
    <row r="4898" spans="1:5" x14ac:dyDescent="0.2">
      <c r="A4898" t="s">
        <v>14667</v>
      </c>
      <c r="B4898" t="s">
        <v>14668</v>
      </c>
      <c r="C4898" t="s">
        <v>14668</v>
      </c>
      <c r="D4898" t="str">
        <f>HYPERLINK("https://zfin.org/ZDB-GENE-030131-6493")</f>
        <v>https://zfin.org/ZDB-GENE-030131-6493</v>
      </c>
      <c r="E4898" t="s">
        <v>14669</v>
      </c>
    </row>
    <row r="4899" spans="1:5" x14ac:dyDescent="0.2">
      <c r="A4899" t="s">
        <v>14670</v>
      </c>
      <c r="B4899" t="s">
        <v>14671</v>
      </c>
      <c r="C4899" t="s">
        <v>14671</v>
      </c>
      <c r="D4899" t="str">
        <f>HYPERLINK("https://zfin.org/ZDB-GENE-060421-3878")</f>
        <v>https://zfin.org/ZDB-GENE-060421-3878</v>
      </c>
      <c r="E4899" t="s">
        <v>14672</v>
      </c>
    </row>
    <row r="4900" spans="1:5" x14ac:dyDescent="0.2">
      <c r="A4900" t="s">
        <v>14673</v>
      </c>
      <c r="B4900" t="s">
        <v>14674</v>
      </c>
      <c r="C4900" t="s">
        <v>14674</v>
      </c>
      <c r="D4900" t="str">
        <f>HYPERLINK("https://zfin.org/ZDB-GENE-110411-31")</f>
        <v>https://zfin.org/ZDB-GENE-110411-31</v>
      </c>
      <c r="E4900" t="s">
        <v>14675</v>
      </c>
    </row>
    <row r="4901" spans="1:5" x14ac:dyDescent="0.2">
      <c r="A4901" t="s">
        <v>14676</v>
      </c>
      <c r="B4901" t="s">
        <v>14677</v>
      </c>
      <c r="C4901" t="s">
        <v>14677</v>
      </c>
      <c r="D4901" t="str">
        <f>HYPERLINK("https://zfin.org/ZDB-GENE-110913-51")</f>
        <v>https://zfin.org/ZDB-GENE-110913-51</v>
      </c>
      <c r="E4901" t="s">
        <v>14678</v>
      </c>
    </row>
    <row r="4902" spans="1:5" x14ac:dyDescent="0.2">
      <c r="A4902" t="s">
        <v>14679</v>
      </c>
      <c r="B4902" t="s">
        <v>14680</v>
      </c>
      <c r="C4902" t="s">
        <v>14680</v>
      </c>
      <c r="D4902" t="str">
        <f>HYPERLINK("https://zfin.org/ZDB-GENE-050119-3")</f>
        <v>https://zfin.org/ZDB-GENE-050119-3</v>
      </c>
      <c r="E4902" t="s">
        <v>14681</v>
      </c>
    </row>
    <row r="4903" spans="1:5" x14ac:dyDescent="0.2">
      <c r="A4903" t="s">
        <v>14682</v>
      </c>
      <c r="B4903" t="s">
        <v>14683</v>
      </c>
      <c r="C4903" t="s">
        <v>14683</v>
      </c>
      <c r="D4903" t="str">
        <f>HYPERLINK("https://zfin.org/ZDB-GENE-030131-7171")</f>
        <v>https://zfin.org/ZDB-GENE-030131-7171</v>
      </c>
      <c r="E4903" t="s">
        <v>14684</v>
      </c>
    </row>
    <row r="4904" spans="1:5" x14ac:dyDescent="0.2">
      <c r="A4904" t="s">
        <v>14685</v>
      </c>
      <c r="B4904" t="s">
        <v>14686</v>
      </c>
      <c r="C4904" t="s">
        <v>14686</v>
      </c>
      <c r="D4904" t="str">
        <f>HYPERLINK("https://zfin.org/ZDB-GENE-040718-29")</f>
        <v>https://zfin.org/ZDB-GENE-040718-29</v>
      </c>
      <c r="E4904" t="s">
        <v>14687</v>
      </c>
    </row>
    <row r="4905" spans="1:5" x14ac:dyDescent="0.2">
      <c r="A4905" t="s">
        <v>14688</v>
      </c>
      <c r="B4905" t="s">
        <v>14689</v>
      </c>
      <c r="C4905" t="s">
        <v>14689</v>
      </c>
      <c r="D4905" t="str">
        <f>HYPERLINK("https://zfin.org/ZDB-GENE-050522-79")</f>
        <v>https://zfin.org/ZDB-GENE-050522-79</v>
      </c>
      <c r="E4905" t="s">
        <v>14690</v>
      </c>
    </row>
    <row r="4906" spans="1:5" x14ac:dyDescent="0.2">
      <c r="A4906" t="s">
        <v>14691</v>
      </c>
      <c r="B4906" t="s">
        <v>14692</v>
      </c>
      <c r="C4906" t="s">
        <v>14692</v>
      </c>
      <c r="D4906" t="str">
        <f>HYPERLINK("https://zfin.org/ZDB-GENE-141222-98")</f>
        <v>https://zfin.org/ZDB-GENE-141222-98</v>
      </c>
      <c r="E4906" t="s">
        <v>14693</v>
      </c>
    </row>
    <row r="4907" spans="1:5" x14ac:dyDescent="0.2">
      <c r="A4907" t="s">
        <v>14694</v>
      </c>
      <c r="B4907" t="s">
        <v>14695</v>
      </c>
      <c r="C4907" t="s">
        <v>14695</v>
      </c>
      <c r="D4907" t="str">
        <f>HYPERLINK("https://zfin.org/ZDB-GENE-040426-1923")</f>
        <v>https://zfin.org/ZDB-GENE-040426-1923</v>
      </c>
      <c r="E4907" t="s">
        <v>14696</v>
      </c>
    </row>
    <row r="4908" spans="1:5" x14ac:dyDescent="0.2">
      <c r="A4908" t="s">
        <v>14697</v>
      </c>
      <c r="B4908" t="s">
        <v>14698</v>
      </c>
      <c r="C4908" t="s">
        <v>14698</v>
      </c>
      <c r="D4908" t="str">
        <f>HYPERLINK("https://zfin.org/ZDB-GENE-110914-193")</f>
        <v>https://zfin.org/ZDB-GENE-110914-193</v>
      </c>
      <c r="E4908" t="s">
        <v>14699</v>
      </c>
    </row>
    <row r="4909" spans="1:5" x14ac:dyDescent="0.2">
      <c r="A4909" t="s">
        <v>14700</v>
      </c>
      <c r="B4909" t="s">
        <v>14701</v>
      </c>
      <c r="C4909" t="s">
        <v>14701</v>
      </c>
      <c r="D4909" t="str">
        <f>HYPERLINK("https://zfin.org/ZDB-GENE-050208-286")</f>
        <v>https://zfin.org/ZDB-GENE-050208-286</v>
      </c>
      <c r="E4909" t="s">
        <v>14702</v>
      </c>
    </row>
    <row r="4910" spans="1:5" x14ac:dyDescent="0.2">
      <c r="A4910" t="s">
        <v>14703</v>
      </c>
      <c r="B4910" t="s">
        <v>14704</v>
      </c>
      <c r="C4910" t="s">
        <v>14704</v>
      </c>
      <c r="D4910" t="str">
        <f>HYPERLINK("https://zfin.org/ZDB-GENE-081104-437")</f>
        <v>https://zfin.org/ZDB-GENE-081104-437</v>
      </c>
      <c r="E4910" t="s">
        <v>14705</v>
      </c>
    </row>
    <row r="4911" spans="1:5" x14ac:dyDescent="0.2">
      <c r="A4911" t="s">
        <v>14706</v>
      </c>
      <c r="B4911" t="s">
        <v>14707</v>
      </c>
      <c r="C4911" t="s">
        <v>14707</v>
      </c>
      <c r="D4911" t="str">
        <f>HYPERLINK("https://zfin.org/ZDB-GENE-131122-2")</f>
        <v>https://zfin.org/ZDB-GENE-131122-2</v>
      </c>
      <c r="E4911" t="s">
        <v>14708</v>
      </c>
    </row>
    <row r="4912" spans="1:5" x14ac:dyDescent="0.2">
      <c r="A4912" t="s">
        <v>14709</v>
      </c>
      <c r="B4912" t="s">
        <v>14710</v>
      </c>
      <c r="C4912" t="s">
        <v>14710</v>
      </c>
      <c r="D4912" t="str">
        <f>HYPERLINK("https://zfin.org/ZDB-GENE-030219-114")</f>
        <v>https://zfin.org/ZDB-GENE-030219-114</v>
      </c>
      <c r="E4912" t="s">
        <v>14711</v>
      </c>
    </row>
    <row r="4913" spans="1:5" x14ac:dyDescent="0.2">
      <c r="A4913" t="s">
        <v>14712</v>
      </c>
      <c r="B4913" t="s">
        <v>14713</v>
      </c>
      <c r="C4913" t="s">
        <v>14713</v>
      </c>
      <c r="D4913" t="str">
        <f>HYPERLINK("https://zfin.org/ZDB-GENE-041001-184")</f>
        <v>https://zfin.org/ZDB-GENE-041001-184</v>
      </c>
      <c r="E4913" t="s">
        <v>14714</v>
      </c>
    </row>
    <row r="4914" spans="1:5" x14ac:dyDescent="0.2">
      <c r="A4914" t="s">
        <v>14715</v>
      </c>
      <c r="B4914" t="s">
        <v>14716</v>
      </c>
      <c r="C4914" t="s">
        <v>14716</v>
      </c>
      <c r="D4914" t="str">
        <f>HYPERLINK("https://zfin.org/ZDB-GENE-040303-3")</f>
        <v>https://zfin.org/ZDB-GENE-040303-3</v>
      </c>
      <c r="E4914" t="s">
        <v>14717</v>
      </c>
    </row>
    <row r="4915" spans="1:5" x14ac:dyDescent="0.2">
      <c r="A4915" t="s">
        <v>14718</v>
      </c>
      <c r="B4915" t="s">
        <v>14719</v>
      </c>
      <c r="C4915" t="s">
        <v>14719</v>
      </c>
      <c r="D4915" t="str">
        <f>HYPERLINK("https://zfin.org/ZDB-GENE-090728-1")</f>
        <v>https://zfin.org/ZDB-GENE-090728-1</v>
      </c>
      <c r="E4915" t="s">
        <v>14720</v>
      </c>
    </row>
    <row r="4916" spans="1:5" x14ac:dyDescent="0.2">
      <c r="A4916" t="s">
        <v>14721</v>
      </c>
      <c r="B4916" t="s">
        <v>14722</v>
      </c>
      <c r="C4916" t="s">
        <v>14722</v>
      </c>
      <c r="D4916" t="str">
        <f>HYPERLINK("https://zfin.org/ZDB-GENE-061215-15")</f>
        <v>https://zfin.org/ZDB-GENE-061215-15</v>
      </c>
      <c r="E4916" t="s">
        <v>14723</v>
      </c>
    </row>
    <row r="4917" spans="1:5" x14ac:dyDescent="0.2">
      <c r="A4917" t="s">
        <v>14724</v>
      </c>
      <c r="B4917" t="s">
        <v>14725</v>
      </c>
      <c r="C4917" t="s">
        <v>14725</v>
      </c>
      <c r="D4917" t="str">
        <f>HYPERLINK("https://zfin.org/ZDB-GENE-050913-19")</f>
        <v>https://zfin.org/ZDB-GENE-050913-19</v>
      </c>
      <c r="E4917" t="s">
        <v>14726</v>
      </c>
    </row>
    <row r="4918" spans="1:5" x14ac:dyDescent="0.2">
      <c r="A4918" t="s">
        <v>14727</v>
      </c>
      <c r="B4918" t="s">
        <v>14728</v>
      </c>
      <c r="C4918" t="s">
        <v>14728</v>
      </c>
      <c r="D4918" t="str">
        <f>HYPERLINK("https://zfin.org/ZDB-GENE-030131-7269")</f>
        <v>https://zfin.org/ZDB-GENE-030131-7269</v>
      </c>
      <c r="E4918" t="s">
        <v>14729</v>
      </c>
    </row>
    <row r="4919" spans="1:5" x14ac:dyDescent="0.2">
      <c r="A4919" t="s">
        <v>14730</v>
      </c>
      <c r="B4919" t="s">
        <v>14731</v>
      </c>
      <c r="C4919" t="s">
        <v>14731</v>
      </c>
      <c r="D4919" t="str">
        <f>HYPERLINK("https://zfin.org/ZDB-GENE-141215-28")</f>
        <v>https://zfin.org/ZDB-GENE-141215-28</v>
      </c>
      <c r="E4919" t="s">
        <v>14732</v>
      </c>
    </row>
    <row r="4920" spans="1:5" x14ac:dyDescent="0.2">
      <c r="A4920" t="s">
        <v>14733</v>
      </c>
      <c r="B4920" t="s">
        <v>14734</v>
      </c>
      <c r="C4920" t="s">
        <v>14734</v>
      </c>
      <c r="D4920" t="str">
        <f>HYPERLINK("https://zfin.org/ZDB-GENE-040426-954")</f>
        <v>https://zfin.org/ZDB-GENE-040426-954</v>
      </c>
      <c r="E4920" t="s">
        <v>14735</v>
      </c>
    </row>
    <row r="4921" spans="1:5" x14ac:dyDescent="0.2">
      <c r="A4921" t="s">
        <v>14736</v>
      </c>
      <c r="B4921" t="s">
        <v>14737</v>
      </c>
      <c r="C4921" t="s">
        <v>14737</v>
      </c>
      <c r="D4921" t="str">
        <f>HYPERLINK("https://zfin.org/ZDB-GENE-070705-158")</f>
        <v>https://zfin.org/ZDB-GENE-070705-158</v>
      </c>
      <c r="E4921" t="s">
        <v>14738</v>
      </c>
    </row>
    <row r="4922" spans="1:5" x14ac:dyDescent="0.2">
      <c r="A4922" t="s">
        <v>14739</v>
      </c>
      <c r="B4922" t="s">
        <v>14740</v>
      </c>
      <c r="C4922" t="s">
        <v>14740</v>
      </c>
      <c r="D4922" t="str">
        <f>HYPERLINK("https://zfin.org/ZDB-GENE-141216-227")</f>
        <v>https://zfin.org/ZDB-GENE-141216-227</v>
      </c>
      <c r="E4922" t="s">
        <v>14741</v>
      </c>
    </row>
    <row r="4923" spans="1:5" x14ac:dyDescent="0.2">
      <c r="A4923" t="s">
        <v>14742</v>
      </c>
      <c r="B4923" t="s">
        <v>14743</v>
      </c>
      <c r="C4923" t="s">
        <v>14743</v>
      </c>
      <c r="D4923" t="str">
        <f>HYPERLINK("https://zfin.org/ZDB-GENE-050706-92")</f>
        <v>https://zfin.org/ZDB-GENE-050706-92</v>
      </c>
      <c r="E4923" t="s">
        <v>14744</v>
      </c>
    </row>
    <row r="4924" spans="1:5" x14ac:dyDescent="0.2">
      <c r="A4924" t="s">
        <v>14745</v>
      </c>
      <c r="B4924" t="s">
        <v>14746</v>
      </c>
      <c r="C4924" t="s">
        <v>14746</v>
      </c>
      <c r="D4924" t="str">
        <f>HYPERLINK("https://zfin.org/ZDB-GENE-060221-1")</f>
        <v>https://zfin.org/ZDB-GENE-060221-1</v>
      </c>
      <c r="E4924" t="s">
        <v>14747</v>
      </c>
    </row>
    <row r="4925" spans="1:5" x14ac:dyDescent="0.2">
      <c r="A4925" t="s">
        <v>14748</v>
      </c>
      <c r="B4925" t="s">
        <v>14749</v>
      </c>
      <c r="C4925" t="s">
        <v>14749</v>
      </c>
      <c r="D4925" t="str">
        <f>HYPERLINK("https://zfin.org/ZDB-GENE-050522-54")</f>
        <v>https://zfin.org/ZDB-GENE-050522-54</v>
      </c>
      <c r="E4925" t="s">
        <v>14750</v>
      </c>
    </row>
    <row r="4926" spans="1:5" x14ac:dyDescent="0.2">
      <c r="A4926" t="s">
        <v>14751</v>
      </c>
      <c r="B4926" t="s">
        <v>14752</v>
      </c>
      <c r="C4926" t="s">
        <v>14752</v>
      </c>
      <c r="D4926" t="str">
        <f>HYPERLINK("https://zfin.org/ZDB-GENE-050506-15")</f>
        <v>https://zfin.org/ZDB-GENE-050506-15</v>
      </c>
      <c r="E4926" t="s">
        <v>14753</v>
      </c>
    </row>
    <row r="4927" spans="1:5" x14ac:dyDescent="0.2">
      <c r="A4927" t="s">
        <v>14754</v>
      </c>
      <c r="B4927" t="s">
        <v>14755</v>
      </c>
      <c r="C4927" t="s">
        <v>14755</v>
      </c>
      <c r="D4927" t="str">
        <f>HYPERLINK("https://zfin.org/ZDB-GENE-040426-2596")</f>
        <v>https://zfin.org/ZDB-GENE-040426-2596</v>
      </c>
      <c r="E4927" t="s">
        <v>14756</v>
      </c>
    </row>
    <row r="4928" spans="1:5" x14ac:dyDescent="0.2">
      <c r="A4928" t="s">
        <v>14757</v>
      </c>
      <c r="B4928" t="s">
        <v>14758</v>
      </c>
      <c r="C4928" t="s">
        <v>14758</v>
      </c>
      <c r="D4928" t="str">
        <f>HYPERLINK("https://zfin.org/ZDB-GENE-121214-106")</f>
        <v>https://zfin.org/ZDB-GENE-121214-106</v>
      </c>
      <c r="E4928" t="s">
        <v>14759</v>
      </c>
    </row>
    <row r="4929" spans="1:5" x14ac:dyDescent="0.2">
      <c r="A4929" t="s">
        <v>14760</v>
      </c>
      <c r="B4929" t="s">
        <v>14761</v>
      </c>
      <c r="C4929" t="s">
        <v>14761</v>
      </c>
      <c r="D4929" t="str">
        <f>HYPERLINK("https://zfin.org/ZDB-GENE-130531-5")</f>
        <v>https://zfin.org/ZDB-GENE-130531-5</v>
      </c>
      <c r="E4929" t="s">
        <v>14762</v>
      </c>
    </row>
    <row r="4930" spans="1:5" x14ac:dyDescent="0.2">
      <c r="A4930" t="s">
        <v>14763</v>
      </c>
      <c r="B4930" t="s">
        <v>14764</v>
      </c>
      <c r="C4930" t="s">
        <v>14764</v>
      </c>
      <c r="D4930" t="str">
        <f>HYPERLINK("https://zfin.org/ZDB-GENE-040527-1")</f>
        <v>https://zfin.org/ZDB-GENE-040527-1</v>
      </c>
      <c r="E4930" t="s">
        <v>14765</v>
      </c>
    </row>
    <row r="4931" spans="1:5" x14ac:dyDescent="0.2">
      <c r="A4931" t="s">
        <v>14766</v>
      </c>
      <c r="B4931" t="s">
        <v>14767</v>
      </c>
      <c r="C4931" t="s">
        <v>14767</v>
      </c>
      <c r="D4931" t="str">
        <f>HYPERLINK("https://zfin.org/ZDB-GENE-030131-4257")</f>
        <v>https://zfin.org/ZDB-GENE-030131-4257</v>
      </c>
      <c r="E4931" t="s">
        <v>14768</v>
      </c>
    </row>
    <row r="4932" spans="1:5" x14ac:dyDescent="0.2">
      <c r="A4932" t="s">
        <v>14769</v>
      </c>
      <c r="B4932" t="s">
        <v>14770</v>
      </c>
      <c r="C4932" t="s">
        <v>14770</v>
      </c>
      <c r="D4932" t="str">
        <f>HYPERLINK("https://zfin.org/ZDB-GENE-050320-89")</f>
        <v>https://zfin.org/ZDB-GENE-050320-89</v>
      </c>
      <c r="E4932" t="s">
        <v>14771</v>
      </c>
    </row>
    <row r="4933" spans="1:5" x14ac:dyDescent="0.2">
      <c r="A4933" t="s">
        <v>14772</v>
      </c>
      <c r="B4933" t="s">
        <v>14773</v>
      </c>
      <c r="C4933" t="s">
        <v>14773</v>
      </c>
      <c r="D4933" t="str">
        <f>HYPERLINK("https://zfin.org/ZDB-GENE-050320-123")</f>
        <v>https://zfin.org/ZDB-GENE-050320-123</v>
      </c>
      <c r="E4933" t="s">
        <v>14774</v>
      </c>
    </row>
    <row r="4934" spans="1:5" x14ac:dyDescent="0.2">
      <c r="A4934" t="s">
        <v>14775</v>
      </c>
      <c r="B4934" t="s">
        <v>14776</v>
      </c>
      <c r="C4934" t="s">
        <v>14776</v>
      </c>
      <c r="D4934" t="str">
        <f>HYPERLINK("https://zfin.org/ZDB-GENE-081104-460")</f>
        <v>https://zfin.org/ZDB-GENE-081104-460</v>
      </c>
      <c r="E4934" t="s">
        <v>14777</v>
      </c>
    </row>
    <row r="4935" spans="1:5" x14ac:dyDescent="0.2">
      <c r="A4935" t="s">
        <v>14778</v>
      </c>
      <c r="B4935" t="s">
        <v>14779</v>
      </c>
      <c r="C4935" t="s">
        <v>14779</v>
      </c>
      <c r="D4935" t="str">
        <f>HYPERLINK("https://zfin.org/ZDB-GENE-081104-490")</f>
        <v>https://zfin.org/ZDB-GENE-081104-490</v>
      </c>
      <c r="E4935" t="s">
        <v>14780</v>
      </c>
    </row>
    <row r="4936" spans="1:5" x14ac:dyDescent="0.2">
      <c r="A4936" t="s">
        <v>14781</v>
      </c>
      <c r="B4936" t="s">
        <v>14782</v>
      </c>
      <c r="C4936" t="s">
        <v>14782</v>
      </c>
      <c r="D4936" t="str">
        <f>HYPERLINK("https://zfin.org/ZDB-GENE-090908-3")</f>
        <v>https://zfin.org/ZDB-GENE-090908-3</v>
      </c>
      <c r="E4936" t="s">
        <v>14783</v>
      </c>
    </row>
    <row r="4937" spans="1:5" x14ac:dyDescent="0.2">
      <c r="A4937" t="s">
        <v>14784</v>
      </c>
      <c r="B4937" t="s">
        <v>14785</v>
      </c>
      <c r="C4937" t="s">
        <v>14785</v>
      </c>
      <c r="D4937" t="str">
        <f>HYPERLINK("https://zfin.org/ZDB-GENE-060323-1")</f>
        <v>https://zfin.org/ZDB-GENE-060323-1</v>
      </c>
      <c r="E4937" t="s">
        <v>14786</v>
      </c>
    </row>
    <row r="4938" spans="1:5" x14ac:dyDescent="0.2">
      <c r="A4938" t="s">
        <v>14787</v>
      </c>
      <c r="B4938" t="s">
        <v>14788</v>
      </c>
      <c r="C4938" t="s">
        <v>14788</v>
      </c>
      <c r="D4938" t="str">
        <f>HYPERLINK("https://zfin.org/ZDB-GENE-070912-421")</f>
        <v>https://zfin.org/ZDB-GENE-070912-421</v>
      </c>
      <c r="E4938" t="s">
        <v>14789</v>
      </c>
    </row>
    <row r="4939" spans="1:5" x14ac:dyDescent="0.2">
      <c r="A4939" t="s">
        <v>14790</v>
      </c>
      <c r="B4939" t="s">
        <v>14791</v>
      </c>
      <c r="C4939" t="s">
        <v>14791</v>
      </c>
      <c r="D4939" t="str">
        <f>HYPERLINK("https://zfin.org/ZDB-GENE-060825-313")</f>
        <v>https://zfin.org/ZDB-GENE-060825-313</v>
      </c>
      <c r="E4939" t="s">
        <v>14792</v>
      </c>
    </row>
    <row r="4940" spans="1:5" x14ac:dyDescent="0.2">
      <c r="A4940" t="s">
        <v>14793</v>
      </c>
      <c r="B4940" t="s">
        <v>14794</v>
      </c>
      <c r="C4940" t="s">
        <v>14794</v>
      </c>
      <c r="D4940" t="str">
        <f>HYPERLINK("https://zfin.org/ZDB-GENE-030131-8369")</f>
        <v>https://zfin.org/ZDB-GENE-030131-8369</v>
      </c>
      <c r="E4940" t="s">
        <v>14795</v>
      </c>
    </row>
    <row r="4941" spans="1:5" x14ac:dyDescent="0.2">
      <c r="A4941" t="s">
        <v>14796</v>
      </c>
      <c r="B4941" t="s">
        <v>14797</v>
      </c>
      <c r="C4941" t="s">
        <v>14797</v>
      </c>
      <c r="D4941" t="str">
        <f>HYPERLINK("https://zfin.org/ZDB-GENE-040801-207")</f>
        <v>https://zfin.org/ZDB-GENE-040801-207</v>
      </c>
      <c r="E4941" t="s">
        <v>14798</v>
      </c>
    </row>
    <row r="4942" spans="1:5" x14ac:dyDescent="0.2">
      <c r="A4942" t="s">
        <v>14799</v>
      </c>
      <c r="B4942" t="s">
        <v>14800</v>
      </c>
      <c r="C4942" t="s">
        <v>14800</v>
      </c>
      <c r="D4942" t="str">
        <f>HYPERLINK("https://zfin.org/ZDB-GENE-011212-5")</f>
        <v>https://zfin.org/ZDB-GENE-011212-5</v>
      </c>
      <c r="E4942" t="s">
        <v>14801</v>
      </c>
    </row>
    <row r="4943" spans="1:5" x14ac:dyDescent="0.2">
      <c r="A4943" t="s">
        <v>14802</v>
      </c>
      <c r="B4943" t="s">
        <v>14803</v>
      </c>
      <c r="C4943" t="s">
        <v>14803</v>
      </c>
      <c r="D4943" t="str">
        <f>HYPERLINK("https://zfin.org/ZDB-GENE-991228-4")</f>
        <v>https://zfin.org/ZDB-GENE-991228-4</v>
      </c>
      <c r="E4943" t="s">
        <v>14804</v>
      </c>
    </row>
    <row r="4944" spans="1:5" x14ac:dyDescent="0.2">
      <c r="A4944" t="s">
        <v>14805</v>
      </c>
      <c r="B4944" t="s">
        <v>14806</v>
      </c>
      <c r="C4944" t="s">
        <v>14806</v>
      </c>
      <c r="D4944" t="str">
        <f>HYPERLINK("https://zfin.org/ZDB-GENE-061013-487")</f>
        <v>https://zfin.org/ZDB-GENE-061013-487</v>
      </c>
      <c r="E4944" t="s">
        <v>14807</v>
      </c>
    </row>
    <row r="4945" spans="1:5" x14ac:dyDescent="0.2">
      <c r="A4945" t="s">
        <v>14808</v>
      </c>
      <c r="B4945" t="s">
        <v>14809</v>
      </c>
      <c r="C4945" t="s">
        <v>14809</v>
      </c>
      <c r="D4945" t="str">
        <f>HYPERLINK("https://zfin.org/ZDB-GENE-010319-31")</f>
        <v>https://zfin.org/ZDB-GENE-010319-31</v>
      </c>
      <c r="E4945" t="s">
        <v>14810</v>
      </c>
    </row>
    <row r="4946" spans="1:5" x14ac:dyDescent="0.2">
      <c r="A4946" t="s">
        <v>14811</v>
      </c>
      <c r="B4946" t="s">
        <v>14812</v>
      </c>
      <c r="C4946" t="s">
        <v>14812</v>
      </c>
      <c r="D4946" t="str">
        <f>HYPERLINK("https://zfin.org/ZDB-GENE-050522-17")</f>
        <v>https://zfin.org/ZDB-GENE-050522-17</v>
      </c>
      <c r="E4946" t="s">
        <v>14813</v>
      </c>
    </row>
    <row r="4947" spans="1:5" x14ac:dyDescent="0.2">
      <c r="A4947" t="s">
        <v>14814</v>
      </c>
      <c r="B4947" t="s">
        <v>14815</v>
      </c>
      <c r="C4947" t="s">
        <v>14815</v>
      </c>
      <c r="D4947" t="str">
        <f>HYPERLINK("https://zfin.org/ZDB-GENE-030131-4663")</f>
        <v>https://zfin.org/ZDB-GENE-030131-4663</v>
      </c>
      <c r="E4947" t="s">
        <v>14816</v>
      </c>
    </row>
    <row r="4948" spans="1:5" x14ac:dyDescent="0.2">
      <c r="A4948" t="s">
        <v>14817</v>
      </c>
      <c r="B4948" t="s">
        <v>14818</v>
      </c>
      <c r="C4948" t="s">
        <v>14818</v>
      </c>
      <c r="D4948" t="str">
        <f>HYPERLINK("https://zfin.org/ZDB-GENE-060929-516")</f>
        <v>https://zfin.org/ZDB-GENE-060929-516</v>
      </c>
      <c r="E4948" t="s">
        <v>14819</v>
      </c>
    </row>
    <row r="4949" spans="1:5" x14ac:dyDescent="0.2">
      <c r="A4949" t="s">
        <v>14820</v>
      </c>
      <c r="B4949" t="s">
        <v>14821</v>
      </c>
      <c r="C4949" t="s">
        <v>14821</v>
      </c>
      <c r="D4949" t="str">
        <f>HYPERLINK("https://zfin.org/ZDB-GENE-141216-92")</f>
        <v>https://zfin.org/ZDB-GENE-141216-92</v>
      </c>
      <c r="E4949" t="s">
        <v>14822</v>
      </c>
    </row>
    <row r="4950" spans="1:5" x14ac:dyDescent="0.2">
      <c r="A4950" t="s">
        <v>14823</v>
      </c>
      <c r="B4950" t="s">
        <v>14824</v>
      </c>
      <c r="C4950" t="s">
        <v>14824</v>
      </c>
      <c r="D4950" t="str">
        <f>HYPERLINK("https://zfin.org/ZDB-GENE-030131-8827")</f>
        <v>https://zfin.org/ZDB-GENE-030131-8827</v>
      </c>
      <c r="E4950" t="s">
        <v>14825</v>
      </c>
    </row>
    <row r="4951" spans="1:5" x14ac:dyDescent="0.2">
      <c r="A4951" t="s">
        <v>14826</v>
      </c>
      <c r="B4951" t="s">
        <v>14827</v>
      </c>
      <c r="C4951" t="s">
        <v>14827</v>
      </c>
      <c r="D4951" t="str">
        <f>HYPERLINK("https://zfin.org/ZDB-GENE-060424-1")</f>
        <v>https://zfin.org/ZDB-GENE-060424-1</v>
      </c>
      <c r="E4951" t="s">
        <v>14828</v>
      </c>
    </row>
    <row r="4952" spans="1:5" x14ac:dyDescent="0.2">
      <c r="A4952" t="s">
        <v>14829</v>
      </c>
      <c r="B4952" t="s">
        <v>14830</v>
      </c>
      <c r="C4952" t="s">
        <v>14830</v>
      </c>
      <c r="D4952" t="str">
        <f>HYPERLINK("https://zfin.org/ZDB-GENE-101026-2")</f>
        <v>https://zfin.org/ZDB-GENE-101026-2</v>
      </c>
      <c r="E4952" t="s">
        <v>14831</v>
      </c>
    </row>
    <row r="4953" spans="1:5" x14ac:dyDescent="0.2">
      <c r="A4953" t="s">
        <v>14832</v>
      </c>
      <c r="B4953" t="s">
        <v>14833</v>
      </c>
      <c r="C4953" t="s">
        <v>14833</v>
      </c>
      <c r="D4953" t="str">
        <f>HYPERLINK("https://zfin.org/ZDB-GENE-070912-475")</f>
        <v>https://zfin.org/ZDB-GENE-070912-475</v>
      </c>
      <c r="E4953" t="s">
        <v>14834</v>
      </c>
    </row>
    <row r="4954" spans="1:5" x14ac:dyDescent="0.2">
      <c r="A4954" t="s">
        <v>14835</v>
      </c>
      <c r="B4954" t="s">
        <v>14836</v>
      </c>
      <c r="C4954" t="s">
        <v>14836</v>
      </c>
      <c r="D4954" t="str">
        <f>HYPERLINK("https://zfin.org/ZDB-GENE-030131-8480")</f>
        <v>https://zfin.org/ZDB-GENE-030131-8480</v>
      </c>
      <c r="E4954" t="s">
        <v>14837</v>
      </c>
    </row>
    <row r="4955" spans="1:5" x14ac:dyDescent="0.2">
      <c r="A4955" t="s">
        <v>14838</v>
      </c>
      <c r="B4955" t="s">
        <v>14839</v>
      </c>
      <c r="C4955" t="s">
        <v>14839</v>
      </c>
      <c r="D4955" t="str">
        <f>HYPERLINK("https://zfin.org/ZDB-GENE-061013-433")</f>
        <v>https://zfin.org/ZDB-GENE-061013-433</v>
      </c>
      <c r="E4955" t="s">
        <v>14840</v>
      </c>
    </row>
    <row r="4956" spans="1:5" x14ac:dyDescent="0.2">
      <c r="A4956" t="s">
        <v>14841</v>
      </c>
      <c r="B4956" t="s">
        <v>14842</v>
      </c>
      <c r="C4956" t="s">
        <v>14842</v>
      </c>
      <c r="D4956" t="str">
        <f>HYPERLINK("https://zfin.org/ZDB-GENE-040724-91")</f>
        <v>https://zfin.org/ZDB-GENE-040724-91</v>
      </c>
      <c r="E4956" t="s">
        <v>14843</v>
      </c>
    </row>
    <row r="4957" spans="1:5" x14ac:dyDescent="0.2">
      <c r="A4957" t="s">
        <v>14844</v>
      </c>
      <c r="B4957" t="s">
        <v>14845</v>
      </c>
      <c r="C4957" t="s">
        <v>14845</v>
      </c>
      <c r="D4957" t="str">
        <f>HYPERLINK("https://zfin.org/ZDB-GENE-070912-237")</f>
        <v>https://zfin.org/ZDB-GENE-070912-237</v>
      </c>
      <c r="E4957" t="s">
        <v>14846</v>
      </c>
    </row>
    <row r="4958" spans="1:5" x14ac:dyDescent="0.2">
      <c r="A4958" t="s">
        <v>14847</v>
      </c>
      <c r="B4958" t="s">
        <v>14848</v>
      </c>
      <c r="C4958" t="s">
        <v>14848</v>
      </c>
      <c r="D4958" t="str">
        <f>HYPERLINK("https://zfin.org/ZDB-GENE-110913-15")</f>
        <v>https://zfin.org/ZDB-GENE-110913-15</v>
      </c>
      <c r="E4958" t="s">
        <v>14849</v>
      </c>
    </row>
    <row r="4959" spans="1:5" x14ac:dyDescent="0.2">
      <c r="A4959" t="s">
        <v>14850</v>
      </c>
      <c r="B4959" t="s">
        <v>14851</v>
      </c>
      <c r="C4959" t="s">
        <v>14851</v>
      </c>
      <c r="D4959" t="str">
        <f>HYPERLINK("https://zfin.org/ZDB-GENE-990415-24")</f>
        <v>https://zfin.org/ZDB-GENE-990415-24</v>
      </c>
      <c r="E4959" t="s">
        <v>14852</v>
      </c>
    </row>
    <row r="4960" spans="1:5" x14ac:dyDescent="0.2">
      <c r="A4960" t="s">
        <v>14853</v>
      </c>
      <c r="B4960" t="s">
        <v>14854</v>
      </c>
      <c r="C4960" t="s">
        <v>14854</v>
      </c>
      <c r="D4960" t="str">
        <f>HYPERLINK("https://zfin.org/")</f>
        <v>https://zfin.org/</v>
      </c>
      <c r="E4960" t="s">
        <v>14855</v>
      </c>
    </row>
    <row r="4961" spans="1:5" x14ac:dyDescent="0.2">
      <c r="A4961" t="s">
        <v>14856</v>
      </c>
      <c r="B4961" t="s">
        <v>14857</v>
      </c>
      <c r="C4961" t="s">
        <v>14857</v>
      </c>
      <c r="D4961" t="str">
        <f>HYPERLINK("https://zfin.org/ZDB-GENE-081110-1")</f>
        <v>https://zfin.org/ZDB-GENE-081110-1</v>
      </c>
      <c r="E4961" t="s">
        <v>14858</v>
      </c>
    </row>
    <row r="4962" spans="1:5" x14ac:dyDescent="0.2">
      <c r="A4962" t="s">
        <v>14859</v>
      </c>
      <c r="B4962" t="s">
        <v>14860</v>
      </c>
      <c r="C4962" t="s">
        <v>14860</v>
      </c>
      <c r="D4962" t="str">
        <f>HYPERLINK("https://zfin.org/ZDB-GENE-030131-5415")</f>
        <v>https://zfin.org/ZDB-GENE-030131-5415</v>
      </c>
      <c r="E4962" t="s">
        <v>14861</v>
      </c>
    </row>
    <row r="4963" spans="1:5" x14ac:dyDescent="0.2">
      <c r="A4963" t="s">
        <v>14862</v>
      </c>
      <c r="B4963" t="s">
        <v>14863</v>
      </c>
      <c r="C4963" t="s">
        <v>14863</v>
      </c>
      <c r="D4963" t="str">
        <f>HYPERLINK("https://zfin.org/ZDB-GENE-030131-2965")</f>
        <v>https://zfin.org/ZDB-GENE-030131-2965</v>
      </c>
      <c r="E4963" t="s">
        <v>14864</v>
      </c>
    </row>
    <row r="4964" spans="1:5" x14ac:dyDescent="0.2">
      <c r="A4964" t="s">
        <v>14865</v>
      </c>
      <c r="B4964" t="s">
        <v>14866</v>
      </c>
      <c r="C4964" t="s">
        <v>14866</v>
      </c>
      <c r="D4964" t="str">
        <f>HYPERLINK("https://zfin.org/ZDB-GENE-030131-2420")</f>
        <v>https://zfin.org/ZDB-GENE-030131-2420</v>
      </c>
      <c r="E4964" t="s">
        <v>14867</v>
      </c>
    </row>
    <row r="4965" spans="1:5" x14ac:dyDescent="0.2">
      <c r="A4965" t="s">
        <v>14868</v>
      </c>
      <c r="B4965" t="s">
        <v>14869</v>
      </c>
      <c r="C4965" t="s">
        <v>14869</v>
      </c>
      <c r="D4965" t="str">
        <f>HYPERLINK("https://zfin.org/ZDB-GENE-051120-81")</f>
        <v>https://zfin.org/ZDB-GENE-051120-81</v>
      </c>
      <c r="E4965" t="s">
        <v>14870</v>
      </c>
    </row>
    <row r="4966" spans="1:5" x14ac:dyDescent="0.2">
      <c r="A4966" t="s">
        <v>14871</v>
      </c>
      <c r="B4966" t="s">
        <v>14872</v>
      </c>
      <c r="C4966" t="s">
        <v>14872</v>
      </c>
      <c r="D4966" t="str">
        <f>HYPERLINK("https://zfin.org/ZDB-GENE-030131-7179")</f>
        <v>https://zfin.org/ZDB-GENE-030131-7179</v>
      </c>
      <c r="E4966" t="s">
        <v>14873</v>
      </c>
    </row>
    <row r="4967" spans="1:5" x14ac:dyDescent="0.2">
      <c r="A4967" t="s">
        <v>14874</v>
      </c>
      <c r="B4967" t="s">
        <v>14875</v>
      </c>
      <c r="C4967" t="s">
        <v>14875</v>
      </c>
      <c r="D4967" t="str">
        <f>HYPERLINK("https://zfin.org/ZDB-GENE-030131-2085")</f>
        <v>https://zfin.org/ZDB-GENE-030131-2085</v>
      </c>
      <c r="E4967" t="s">
        <v>14876</v>
      </c>
    </row>
    <row r="4968" spans="1:5" x14ac:dyDescent="0.2">
      <c r="A4968" t="s">
        <v>14877</v>
      </c>
      <c r="B4968" t="s">
        <v>14878</v>
      </c>
      <c r="C4968" t="s">
        <v>14878</v>
      </c>
      <c r="D4968" t="str">
        <f>HYPERLINK("https://zfin.org/ZDB-GENE-131125-6")</f>
        <v>https://zfin.org/ZDB-GENE-131125-6</v>
      </c>
      <c r="E4968" t="s">
        <v>14879</v>
      </c>
    </row>
    <row r="4969" spans="1:5" x14ac:dyDescent="0.2">
      <c r="A4969" t="s">
        <v>14880</v>
      </c>
      <c r="B4969" t="s">
        <v>14881</v>
      </c>
      <c r="C4969" t="s">
        <v>14881</v>
      </c>
      <c r="D4969" t="str">
        <f>HYPERLINK("https://zfin.org/ZDB-GENE-091113-56")</f>
        <v>https://zfin.org/ZDB-GENE-091113-56</v>
      </c>
      <c r="E4969" t="s">
        <v>14882</v>
      </c>
    </row>
    <row r="4970" spans="1:5" x14ac:dyDescent="0.2">
      <c r="A4970" t="s">
        <v>14883</v>
      </c>
      <c r="B4970" t="s">
        <v>14884</v>
      </c>
      <c r="C4970" t="s">
        <v>14884</v>
      </c>
      <c r="D4970" t="str">
        <f>HYPERLINK("https://zfin.org/ZDB-GENE-990415-57")</f>
        <v>https://zfin.org/ZDB-GENE-990415-57</v>
      </c>
      <c r="E4970" t="s">
        <v>14885</v>
      </c>
    </row>
    <row r="4971" spans="1:5" x14ac:dyDescent="0.2">
      <c r="A4971" t="s">
        <v>14886</v>
      </c>
      <c r="B4971" t="s">
        <v>14887</v>
      </c>
      <c r="C4971" t="s">
        <v>14887</v>
      </c>
      <c r="D4971" t="str">
        <f>HYPERLINK("https://zfin.org/ZDB-GENE-030131-5853")</f>
        <v>https://zfin.org/ZDB-GENE-030131-5853</v>
      </c>
      <c r="E4971" t="s">
        <v>14888</v>
      </c>
    </row>
    <row r="4972" spans="1:5" x14ac:dyDescent="0.2">
      <c r="A4972" t="s">
        <v>14889</v>
      </c>
      <c r="B4972" t="s">
        <v>14890</v>
      </c>
      <c r="C4972" t="s">
        <v>14890</v>
      </c>
      <c r="D4972" t="str">
        <f>HYPERLINK("https://zfin.org/ZDB-GENE-030131-5063")</f>
        <v>https://zfin.org/ZDB-GENE-030131-5063</v>
      </c>
      <c r="E4972" t="s">
        <v>14891</v>
      </c>
    </row>
    <row r="4973" spans="1:5" x14ac:dyDescent="0.2">
      <c r="A4973" t="s">
        <v>14892</v>
      </c>
      <c r="B4973" t="s">
        <v>14893</v>
      </c>
      <c r="C4973" t="s">
        <v>14893</v>
      </c>
      <c r="D4973" t="str">
        <f>HYPERLINK("https://zfin.org/ZDB-GENE-070112-1302")</f>
        <v>https://zfin.org/ZDB-GENE-070112-1302</v>
      </c>
      <c r="E4973" t="s">
        <v>14894</v>
      </c>
    </row>
    <row r="4974" spans="1:5" x14ac:dyDescent="0.2">
      <c r="A4974" t="s">
        <v>14895</v>
      </c>
      <c r="B4974" t="s">
        <v>14896</v>
      </c>
      <c r="C4974" t="s">
        <v>14896</v>
      </c>
      <c r="D4974" t="str">
        <f>HYPERLINK("https://zfin.org/ZDB-GENE-030131-1171")</f>
        <v>https://zfin.org/ZDB-GENE-030131-1171</v>
      </c>
      <c r="E4974" t="s">
        <v>14897</v>
      </c>
    </row>
    <row r="4975" spans="1:5" x14ac:dyDescent="0.2">
      <c r="A4975" t="s">
        <v>14898</v>
      </c>
      <c r="B4975" t="s">
        <v>14899</v>
      </c>
      <c r="C4975" t="s">
        <v>14899</v>
      </c>
      <c r="D4975" t="str">
        <f>HYPERLINK("https://zfin.org/ZDB-GENE-070912-272")</f>
        <v>https://zfin.org/ZDB-GENE-070912-272</v>
      </c>
      <c r="E4975" t="s">
        <v>14900</v>
      </c>
    </row>
    <row r="4976" spans="1:5" x14ac:dyDescent="0.2">
      <c r="A4976" t="s">
        <v>14901</v>
      </c>
      <c r="B4976" t="s">
        <v>14902</v>
      </c>
      <c r="C4976" t="s">
        <v>14902</v>
      </c>
      <c r="D4976" t="str">
        <f>HYPERLINK("https://zfin.org/ZDB-GENE-030131-247")</f>
        <v>https://zfin.org/ZDB-GENE-030131-247</v>
      </c>
      <c r="E4976" t="s">
        <v>14903</v>
      </c>
    </row>
    <row r="4977" spans="1:5" x14ac:dyDescent="0.2">
      <c r="A4977" t="s">
        <v>14904</v>
      </c>
      <c r="B4977" t="s">
        <v>14905</v>
      </c>
      <c r="C4977" t="s">
        <v>14905</v>
      </c>
      <c r="D4977" t="str">
        <f>HYPERLINK("https://zfin.org/ZDB-GENE-120410-5")</f>
        <v>https://zfin.org/ZDB-GENE-120410-5</v>
      </c>
      <c r="E4977" t="s">
        <v>14906</v>
      </c>
    </row>
    <row r="4978" spans="1:5" x14ac:dyDescent="0.2">
      <c r="A4978" t="s">
        <v>14907</v>
      </c>
      <c r="B4978" t="s">
        <v>14908</v>
      </c>
      <c r="C4978" t="s">
        <v>14908</v>
      </c>
      <c r="D4978" t="str">
        <f>HYPERLINK("https://zfin.org/ZDB-GENE-061221-1")</f>
        <v>https://zfin.org/ZDB-GENE-061221-1</v>
      </c>
      <c r="E4978" t="s">
        <v>14909</v>
      </c>
    </row>
    <row r="4979" spans="1:5" x14ac:dyDescent="0.2">
      <c r="A4979" t="s">
        <v>14910</v>
      </c>
      <c r="B4979" t="s">
        <v>14911</v>
      </c>
      <c r="C4979" t="s">
        <v>14911</v>
      </c>
      <c r="D4979" t="str">
        <f>HYPERLINK("https://zfin.org/ZDB-GENE-131121-581")</f>
        <v>https://zfin.org/ZDB-GENE-131121-581</v>
      </c>
      <c r="E4979" t="s">
        <v>14912</v>
      </c>
    </row>
    <row r="4980" spans="1:5" x14ac:dyDescent="0.2">
      <c r="A4980" t="s">
        <v>14913</v>
      </c>
      <c r="B4980" t="s">
        <v>14914</v>
      </c>
      <c r="C4980" t="s">
        <v>14914</v>
      </c>
      <c r="D4980" t="str">
        <f>HYPERLINK("https://zfin.org/ZDB-GENE-041111-17")</f>
        <v>https://zfin.org/ZDB-GENE-041111-17</v>
      </c>
      <c r="E4980" t="s">
        <v>14915</v>
      </c>
    </row>
    <row r="4981" spans="1:5" x14ac:dyDescent="0.2">
      <c r="A4981" t="s">
        <v>14916</v>
      </c>
      <c r="B4981" t="s">
        <v>14917</v>
      </c>
      <c r="C4981" t="s">
        <v>14917</v>
      </c>
      <c r="D4981" t="str">
        <f>HYPERLINK("https://zfin.org/ZDB-GENE-041212-84")</f>
        <v>https://zfin.org/ZDB-GENE-041212-84</v>
      </c>
      <c r="E4981" t="s">
        <v>14918</v>
      </c>
    </row>
    <row r="4982" spans="1:5" x14ac:dyDescent="0.2">
      <c r="A4982" t="s">
        <v>14919</v>
      </c>
      <c r="B4982" t="s">
        <v>14920</v>
      </c>
      <c r="C4982" t="s">
        <v>14920</v>
      </c>
      <c r="D4982" t="str">
        <f>HYPERLINK("https://zfin.org/ZDB-GENE-030131-6392")</f>
        <v>https://zfin.org/ZDB-GENE-030131-6392</v>
      </c>
      <c r="E4982" t="s">
        <v>14921</v>
      </c>
    </row>
    <row r="4983" spans="1:5" x14ac:dyDescent="0.2">
      <c r="A4983" t="s">
        <v>14922</v>
      </c>
      <c r="B4983" t="s">
        <v>14923</v>
      </c>
      <c r="C4983" t="s">
        <v>14923</v>
      </c>
      <c r="D4983" t="str">
        <f>HYPERLINK("https://zfin.org/ZDB-GENE-030131-3104")</f>
        <v>https://zfin.org/ZDB-GENE-030131-3104</v>
      </c>
      <c r="E4983" t="s">
        <v>14924</v>
      </c>
    </row>
    <row r="4984" spans="1:5" x14ac:dyDescent="0.2">
      <c r="A4984" t="s">
        <v>14925</v>
      </c>
      <c r="B4984" t="s">
        <v>14926</v>
      </c>
      <c r="C4984" t="s">
        <v>14926</v>
      </c>
      <c r="D4984" t="str">
        <f>HYPERLINK("https://zfin.org/ZDB-GENE-031116-67")</f>
        <v>https://zfin.org/ZDB-GENE-031116-67</v>
      </c>
      <c r="E4984" t="s">
        <v>14927</v>
      </c>
    </row>
    <row r="4985" spans="1:5" x14ac:dyDescent="0.2">
      <c r="A4985" t="s">
        <v>14928</v>
      </c>
      <c r="B4985" t="s">
        <v>14929</v>
      </c>
      <c r="C4985" t="s">
        <v>14929</v>
      </c>
      <c r="D4985" t="str">
        <f>HYPERLINK("https://zfin.org/ZDB-GENE-040927-6")</f>
        <v>https://zfin.org/ZDB-GENE-040927-6</v>
      </c>
      <c r="E4985" t="s">
        <v>14930</v>
      </c>
    </row>
    <row r="4986" spans="1:5" x14ac:dyDescent="0.2">
      <c r="A4986" t="s">
        <v>14931</v>
      </c>
      <c r="B4986" t="s">
        <v>14932</v>
      </c>
      <c r="C4986" t="s">
        <v>14932</v>
      </c>
      <c r="D4986" t="str">
        <f>HYPERLINK("https://zfin.org/ZDB-GENE-000509-1")</f>
        <v>https://zfin.org/ZDB-GENE-000509-1</v>
      </c>
      <c r="E4986" t="s">
        <v>14933</v>
      </c>
    </row>
    <row r="4987" spans="1:5" x14ac:dyDescent="0.2">
      <c r="A4987" t="s">
        <v>14934</v>
      </c>
      <c r="B4987" t="s">
        <v>14935</v>
      </c>
      <c r="C4987" t="s">
        <v>14935</v>
      </c>
      <c r="D4987" t="str">
        <f>HYPERLINK("https://zfin.org/ZDB-GENE-050417-94")</f>
        <v>https://zfin.org/ZDB-GENE-050417-94</v>
      </c>
      <c r="E4987" t="s">
        <v>14936</v>
      </c>
    </row>
    <row r="4988" spans="1:5" x14ac:dyDescent="0.2">
      <c r="A4988" t="s">
        <v>14937</v>
      </c>
      <c r="B4988" t="s">
        <v>14938</v>
      </c>
      <c r="C4988" t="s">
        <v>14938</v>
      </c>
      <c r="D4988" t="str">
        <f>HYPERLINK("https://zfin.org/ZDB-GENE-070928-8")</f>
        <v>https://zfin.org/ZDB-GENE-070928-8</v>
      </c>
      <c r="E4988" t="s">
        <v>14939</v>
      </c>
    </row>
    <row r="4989" spans="1:5" x14ac:dyDescent="0.2">
      <c r="A4989" t="s">
        <v>14940</v>
      </c>
      <c r="B4989" t="s">
        <v>14941</v>
      </c>
      <c r="C4989" t="s">
        <v>14941</v>
      </c>
      <c r="D4989" t="str">
        <f>HYPERLINK("https://zfin.org/ZDB-GENE-041014-42")</f>
        <v>https://zfin.org/ZDB-GENE-041014-42</v>
      </c>
      <c r="E4989" t="s">
        <v>14942</v>
      </c>
    </row>
    <row r="4990" spans="1:5" x14ac:dyDescent="0.2">
      <c r="A4990" t="s">
        <v>14943</v>
      </c>
      <c r="B4990" t="s">
        <v>14944</v>
      </c>
      <c r="C4990" t="s">
        <v>14944</v>
      </c>
      <c r="D4990" t="str">
        <f>HYPERLINK("https://zfin.org/ZDB-GENE-040718-262")</f>
        <v>https://zfin.org/ZDB-GENE-040718-262</v>
      </c>
      <c r="E4990" t="s">
        <v>14945</v>
      </c>
    </row>
    <row r="4991" spans="1:5" x14ac:dyDescent="0.2">
      <c r="A4991" t="s">
        <v>14946</v>
      </c>
      <c r="B4991" t="s">
        <v>14947</v>
      </c>
      <c r="C4991" t="s">
        <v>14947</v>
      </c>
      <c r="D4991" t="str">
        <f>HYPERLINK("https://zfin.org/ZDB-GENE-061103-118")</f>
        <v>https://zfin.org/ZDB-GENE-061103-118</v>
      </c>
      <c r="E4991" t="s">
        <v>14948</v>
      </c>
    </row>
    <row r="4992" spans="1:5" x14ac:dyDescent="0.2">
      <c r="A4992" t="s">
        <v>14949</v>
      </c>
      <c r="B4992" t="s">
        <v>14950</v>
      </c>
      <c r="C4992" t="s">
        <v>14950</v>
      </c>
      <c r="D4992" t="str">
        <f>HYPERLINK("https://zfin.org/ZDB-GENE-060929-108")</f>
        <v>https://zfin.org/ZDB-GENE-060929-108</v>
      </c>
      <c r="E4992" t="s">
        <v>14951</v>
      </c>
    </row>
    <row r="4993" spans="1:5" x14ac:dyDescent="0.2">
      <c r="A4993" t="s">
        <v>14952</v>
      </c>
      <c r="B4993" t="s">
        <v>14953</v>
      </c>
      <c r="C4993" t="s">
        <v>14953</v>
      </c>
      <c r="D4993" t="str">
        <f>HYPERLINK("https://zfin.org/ZDB-GENE-060503-219")</f>
        <v>https://zfin.org/ZDB-GENE-060503-219</v>
      </c>
      <c r="E4993" t="s">
        <v>14954</v>
      </c>
    </row>
    <row r="4994" spans="1:5" x14ac:dyDescent="0.2">
      <c r="A4994" t="s">
        <v>14955</v>
      </c>
      <c r="B4994" t="s">
        <v>14956</v>
      </c>
      <c r="C4994" t="s">
        <v>14956</v>
      </c>
      <c r="D4994" t="str">
        <f>HYPERLINK("https://zfin.org/ZDB-GENE-121214-51")</f>
        <v>https://zfin.org/ZDB-GENE-121214-51</v>
      </c>
      <c r="E4994" t="s">
        <v>14957</v>
      </c>
    </row>
    <row r="4995" spans="1:5" x14ac:dyDescent="0.2">
      <c r="A4995" t="s">
        <v>14958</v>
      </c>
      <c r="B4995" t="s">
        <v>14959</v>
      </c>
      <c r="C4995" t="s">
        <v>14959</v>
      </c>
      <c r="D4995" t="str">
        <f>HYPERLINK("https://zfin.org/ZDB-GENE-000511-5")</f>
        <v>https://zfin.org/ZDB-GENE-000511-5</v>
      </c>
      <c r="E4995" t="s">
        <v>14960</v>
      </c>
    </row>
    <row r="4996" spans="1:5" x14ac:dyDescent="0.2">
      <c r="A4996" t="s">
        <v>14961</v>
      </c>
      <c r="B4996" t="s">
        <v>14962</v>
      </c>
      <c r="C4996" t="s">
        <v>14962</v>
      </c>
      <c r="D4996" t="str">
        <f>HYPERLINK("https://zfin.org/ZDB-GENE-081022-163")</f>
        <v>https://zfin.org/ZDB-GENE-081022-163</v>
      </c>
      <c r="E4996" t="s">
        <v>14963</v>
      </c>
    </row>
    <row r="4997" spans="1:5" x14ac:dyDescent="0.2">
      <c r="A4997" t="s">
        <v>14964</v>
      </c>
      <c r="B4997" t="s">
        <v>14965</v>
      </c>
      <c r="C4997" t="s">
        <v>14965</v>
      </c>
      <c r="D4997" t="str">
        <f>HYPERLINK("https://zfin.org/ZDB-GENE-050208-136")</f>
        <v>https://zfin.org/ZDB-GENE-050208-136</v>
      </c>
      <c r="E4997" t="s">
        <v>14966</v>
      </c>
    </row>
    <row r="4998" spans="1:5" x14ac:dyDescent="0.2">
      <c r="A4998" t="s">
        <v>14967</v>
      </c>
      <c r="B4998" t="s">
        <v>14968</v>
      </c>
      <c r="C4998" t="s">
        <v>14968</v>
      </c>
      <c r="D4998" t="str">
        <f>HYPERLINK("https://zfin.org/ZDB-GENE-130215-1")</f>
        <v>https://zfin.org/ZDB-GENE-130215-1</v>
      </c>
      <c r="E4998" t="s">
        <v>14969</v>
      </c>
    </row>
    <row r="4999" spans="1:5" x14ac:dyDescent="0.2">
      <c r="A4999" t="s">
        <v>14970</v>
      </c>
      <c r="B4999" t="s">
        <v>14971</v>
      </c>
      <c r="C4999" t="s">
        <v>14971</v>
      </c>
      <c r="D4999" t="str">
        <f>HYPERLINK("https://zfin.org/ZDB-GENE-040927-24")</f>
        <v>https://zfin.org/ZDB-GENE-040927-24</v>
      </c>
      <c r="E4999" t="s">
        <v>14972</v>
      </c>
    </row>
    <row r="5000" spans="1:5" x14ac:dyDescent="0.2">
      <c r="A5000" t="s">
        <v>14973</v>
      </c>
      <c r="B5000" t="s">
        <v>14974</v>
      </c>
      <c r="C5000" t="s">
        <v>14974</v>
      </c>
      <c r="D5000" t="str">
        <f>HYPERLINK("https://zfin.org/ZDB-GENE-070620-15")</f>
        <v>https://zfin.org/ZDB-GENE-070620-15</v>
      </c>
      <c r="E5000" t="s">
        <v>14975</v>
      </c>
    </row>
    <row r="5001" spans="1:5" x14ac:dyDescent="0.2">
      <c r="A5001" t="s">
        <v>14976</v>
      </c>
      <c r="B5001" t="s">
        <v>14977</v>
      </c>
      <c r="C5001" t="s">
        <v>14977</v>
      </c>
      <c r="D5001" t="str">
        <f>HYPERLINK("https://zfin.org/ZDB-GENE-060503-323")</f>
        <v>https://zfin.org/ZDB-GENE-060503-323</v>
      </c>
      <c r="E5001" t="s">
        <v>14978</v>
      </c>
    </row>
    <row r="5002" spans="1:5" x14ac:dyDescent="0.2">
      <c r="A5002" t="s">
        <v>14979</v>
      </c>
      <c r="B5002" t="s">
        <v>14980</v>
      </c>
      <c r="C5002" t="s">
        <v>14980</v>
      </c>
      <c r="D5002" t="str">
        <f>HYPERLINK("https://zfin.org/ZDB-GENE-040801-80")</f>
        <v>https://zfin.org/ZDB-GENE-040801-80</v>
      </c>
      <c r="E5002" t="s">
        <v>14981</v>
      </c>
    </row>
    <row r="5003" spans="1:5" x14ac:dyDescent="0.2">
      <c r="A5003" t="s">
        <v>14982</v>
      </c>
      <c r="B5003" t="s">
        <v>14983</v>
      </c>
      <c r="C5003" t="s">
        <v>14983</v>
      </c>
      <c r="D5003" t="str">
        <f>HYPERLINK("https://zfin.org/ZDB-GENE-061013-69")</f>
        <v>https://zfin.org/ZDB-GENE-061013-69</v>
      </c>
      <c r="E5003" t="s">
        <v>14984</v>
      </c>
    </row>
    <row r="5004" spans="1:5" x14ac:dyDescent="0.2">
      <c r="A5004" t="s">
        <v>14985</v>
      </c>
      <c r="B5004" t="s">
        <v>14986</v>
      </c>
      <c r="C5004" t="s">
        <v>14986</v>
      </c>
      <c r="D5004" t="str">
        <f>HYPERLINK("https://zfin.org/ZDB-GENE-070112-572")</f>
        <v>https://zfin.org/ZDB-GENE-070112-572</v>
      </c>
      <c r="E5004" t="s">
        <v>14987</v>
      </c>
    </row>
    <row r="5005" spans="1:5" x14ac:dyDescent="0.2">
      <c r="A5005" t="s">
        <v>14988</v>
      </c>
      <c r="B5005" t="s">
        <v>14989</v>
      </c>
      <c r="C5005" t="s">
        <v>14989</v>
      </c>
      <c r="D5005" t="str">
        <f>HYPERLINK("https://zfin.org/ZDB-GENE-040426-1453")</f>
        <v>https://zfin.org/ZDB-GENE-040426-1453</v>
      </c>
      <c r="E5005" t="s">
        <v>14990</v>
      </c>
    </row>
    <row r="5006" spans="1:5" x14ac:dyDescent="0.2">
      <c r="A5006" t="s">
        <v>14991</v>
      </c>
      <c r="B5006" t="s">
        <v>14992</v>
      </c>
      <c r="C5006" t="s">
        <v>14992</v>
      </c>
      <c r="D5006" t="str">
        <f>HYPERLINK("https://zfin.org/ZDB-GENE-030131-2035")</f>
        <v>https://zfin.org/ZDB-GENE-030131-2035</v>
      </c>
      <c r="E5006" t="s">
        <v>14993</v>
      </c>
    </row>
    <row r="5007" spans="1:5" x14ac:dyDescent="0.2">
      <c r="A5007" t="s">
        <v>14994</v>
      </c>
      <c r="B5007" t="s">
        <v>14995</v>
      </c>
      <c r="C5007" t="s">
        <v>14995</v>
      </c>
      <c r="D5007" t="str">
        <f>HYPERLINK("https://zfin.org/ZDB-GENE-040120-4")</f>
        <v>https://zfin.org/ZDB-GENE-040120-4</v>
      </c>
      <c r="E5007" t="s">
        <v>14996</v>
      </c>
    </row>
    <row r="5008" spans="1:5" x14ac:dyDescent="0.2">
      <c r="A5008" t="s">
        <v>14997</v>
      </c>
      <c r="B5008" t="s">
        <v>14998</v>
      </c>
      <c r="C5008" t="s">
        <v>14998</v>
      </c>
      <c r="D5008" t="str">
        <f>HYPERLINK("https://zfin.org/ZDB-GENE-070912-142")</f>
        <v>https://zfin.org/ZDB-GENE-070912-142</v>
      </c>
      <c r="E5008" t="s">
        <v>14999</v>
      </c>
    </row>
    <row r="5009" spans="1:5" x14ac:dyDescent="0.2">
      <c r="A5009" t="s">
        <v>15000</v>
      </c>
      <c r="B5009" t="s">
        <v>15001</v>
      </c>
      <c r="C5009" t="s">
        <v>15001</v>
      </c>
      <c r="D5009" t="str">
        <f>HYPERLINK("https://zfin.org/ZDB-GENE-040718-348")</f>
        <v>https://zfin.org/ZDB-GENE-040718-348</v>
      </c>
      <c r="E5009" t="s">
        <v>15002</v>
      </c>
    </row>
    <row r="5010" spans="1:5" x14ac:dyDescent="0.2">
      <c r="A5010" t="s">
        <v>15003</v>
      </c>
      <c r="B5010" t="s">
        <v>15004</v>
      </c>
      <c r="C5010" t="s">
        <v>15004</v>
      </c>
      <c r="D5010" t="str">
        <f>HYPERLINK("https://zfin.org/ZDB-GENE-080402-10")</f>
        <v>https://zfin.org/ZDB-GENE-080402-10</v>
      </c>
      <c r="E5010" t="s">
        <v>15005</v>
      </c>
    </row>
    <row r="5011" spans="1:5" x14ac:dyDescent="0.2">
      <c r="A5011" t="s">
        <v>15006</v>
      </c>
      <c r="B5011" t="s">
        <v>15007</v>
      </c>
      <c r="C5011" t="s">
        <v>15007</v>
      </c>
      <c r="D5011" t="str">
        <f>HYPERLINK("https://zfin.org/ZDB-GENE-060526-53")</f>
        <v>https://zfin.org/ZDB-GENE-060526-53</v>
      </c>
      <c r="E5011" t="s">
        <v>15008</v>
      </c>
    </row>
    <row r="5012" spans="1:5" x14ac:dyDescent="0.2">
      <c r="A5012" t="s">
        <v>15009</v>
      </c>
      <c r="B5012" t="s">
        <v>15010</v>
      </c>
      <c r="C5012" t="s">
        <v>15010</v>
      </c>
      <c r="D5012" t="str">
        <f>HYPERLINK("https://zfin.org/ZDB-GENE-010328-18")</f>
        <v>https://zfin.org/ZDB-GENE-010328-18</v>
      </c>
      <c r="E5012" t="s">
        <v>15011</v>
      </c>
    </row>
    <row r="5013" spans="1:5" x14ac:dyDescent="0.2">
      <c r="A5013" t="s">
        <v>15012</v>
      </c>
      <c r="B5013" t="s">
        <v>15013</v>
      </c>
      <c r="C5013" t="s">
        <v>15013</v>
      </c>
      <c r="D5013" t="str">
        <f>HYPERLINK("https://zfin.org/ZDB-GENE-041010-179")</f>
        <v>https://zfin.org/ZDB-GENE-041010-179</v>
      </c>
      <c r="E5013" t="s">
        <v>15014</v>
      </c>
    </row>
    <row r="5014" spans="1:5" x14ac:dyDescent="0.2">
      <c r="A5014" t="s">
        <v>15015</v>
      </c>
      <c r="B5014" t="s">
        <v>15016</v>
      </c>
      <c r="C5014" t="s">
        <v>15016</v>
      </c>
      <c r="D5014" t="str">
        <f>HYPERLINK("https://zfin.org/ZDB-GENE-021016-2")</f>
        <v>https://zfin.org/ZDB-GENE-021016-2</v>
      </c>
      <c r="E5014" t="s">
        <v>15017</v>
      </c>
    </row>
    <row r="5015" spans="1:5" x14ac:dyDescent="0.2">
      <c r="A5015" t="s">
        <v>15018</v>
      </c>
      <c r="B5015" t="s">
        <v>15019</v>
      </c>
      <c r="C5015" t="s">
        <v>15019</v>
      </c>
      <c r="D5015" t="str">
        <f>HYPERLINK("https://zfin.org/ZDB-GENE-111031-1")</f>
        <v>https://zfin.org/ZDB-GENE-111031-1</v>
      </c>
      <c r="E5015" t="s">
        <v>15020</v>
      </c>
    </row>
    <row r="5016" spans="1:5" x14ac:dyDescent="0.2">
      <c r="A5016" t="s">
        <v>15021</v>
      </c>
      <c r="B5016" t="s">
        <v>10056</v>
      </c>
      <c r="C5016" t="s">
        <v>15022</v>
      </c>
      <c r="D5016" t="str">
        <f>HYPERLINK("https://zfin.org/ZDB-GENE-070912-120")</f>
        <v>https://zfin.org/ZDB-GENE-070912-120</v>
      </c>
      <c r="E5016" t="s">
        <v>10057</v>
      </c>
    </row>
    <row r="5017" spans="1:5" x14ac:dyDescent="0.2">
      <c r="A5017" t="s">
        <v>15023</v>
      </c>
      <c r="B5017" t="s">
        <v>15024</v>
      </c>
      <c r="C5017" t="s">
        <v>15024</v>
      </c>
      <c r="D5017" t="str">
        <f>HYPERLINK("https://zfin.org/ZDB-GENE-080204-51")</f>
        <v>https://zfin.org/ZDB-GENE-080204-51</v>
      </c>
      <c r="E5017" t="s">
        <v>15025</v>
      </c>
    </row>
    <row r="5018" spans="1:5" x14ac:dyDescent="0.2">
      <c r="A5018" t="s">
        <v>15026</v>
      </c>
      <c r="B5018" t="s">
        <v>15027</v>
      </c>
      <c r="C5018" t="s">
        <v>15027</v>
      </c>
      <c r="D5018" t="str">
        <f>HYPERLINK("https://zfin.org/ZDB-GENE-080303-19")</f>
        <v>https://zfin.org/ZDB-GENE-080303-19</v>
      </c>
      <c r="E5018" t="s">
        <v>15028</v>
      </c>
    </row>
    <row r="5019" spans="1:5" x14ac:dyDescent="0.2">
      <c r="A5019" t="s">
        <v>15029</v>
      </c>
      <c r="B5019" t="s">
        <v>15030</v>
      </c>
      <c r="C5019" t="s">
        <v>15030</v>
      </c>
      <c r="D5019" t="str">
        <f>HYPERLINK("https://zfin.org/ZDB-GENE-090313-67")</f>
        <v>https://zfin.org/ZDB-GENE-090313-67</v>
      </c>
      <c r="E5019" t="s">
        <v>15031</v>
      </c>
    </row>
    <row r="5020" spans="1:5" x14ac:dyDescent="0.2">
      <c r="A5020" t="s">
        <v>15032</v>
      </c>
      <c r="B5020" t="s">
        <v>15033</v>
      </c>
      <c r="C5020" t="s">
        <v>15033</v>
      </c>
      <c r="D5020" t="str">
        <f>HYPERLINK("https://zfin.org/ZDB-GENE-081001-1")</f>
        <v>https://zfin.org/ZDB-GENE-081001-1</v>
      </c>
      <c r="E5020" t="s">
        <v>15034</v>
      </c>
    </row>
    <row r="5021" spans="1:5" x14ac:dyDescent="0.2">
      <c r="A5021" t="s">
        <v>15035</v>
      </c>
      <c r="B5021" t="s">
        <v>15036</v>
      </c>
      <c r="C5021" t="s">
        <v>15036</v>
      </c>
      <c r="D5021" t="str">
        <f>HYPERLINK("https://zfin.org/ZDB-GENE-120928-2")</f>
        <v>https://zfin.org/ZDB-GENE-120928-2</v>
      </c>
      <c r="E5021" t="s">
        <v>15037</v>
      </c>
    </row>
    <row r="5022" spans="1:5" x14ac:dyDescent="0.2">
      <c r="A5022" t="s">
        <v>15038</v>
      </c>
      <c r="B5022" t="s">
        <v>15039</v>
      </c>
      <c r="C5022" t="s">
        <v>15039</v>
      </c>
      <c r="D5022" t="str">
        <f>HYPERLINK("https://zfin.org/ZDB-GENE-060503-425")</f>
        <v>https://zfin.org/ZDB-GENE-060503-425</v>
      </c>
      <c r="E5022" t="s">
        <v>15040</v>
      </c>
    </row>
    <row r="5023" spans="1:5" x14ac:dyDescent="0.2">
      <c r="A5023" t="s">
        <v>15041</v>
      </c>
      <c r="B5023" t="s">
        <v>15042</v>
      </c>
      <c r="C5023" t="s">
        <v>15042</v>
      </c>
      <c r="D5023" t="str">
        <f>HYPERLINK("https://zfin.org/ZDB-GENE-140106-7")</f>
        <v>https://zfin.org/ZDB-GENE-140106-7</v>
      </c>
      <c r="E5023" t="s">
        <v>15043</v>
      </c>
    </row>
    <row r="5024" spans="1:5" x14ac:dyDescent="0.2">
      <c r="A5024" t="s">
        <v>15044</v>
      </c>
      <c r="B5024" t="s">
        <v>15045</v>
      </c>
      <c r="C5024" t="s">
        <v>15045</v>
      </c>
      <c r="D5024" t="str">
        <f>HYPERLINK("https://zfin.org/ZDB-GENE-040426-1230")</f>
        <v>https://zfin.org/ZDB-GENE-040426-1230</v>
      </c>
      <c r="E5024" t="s">
        <v>15046</v>
      </c>
    </row>
    <row r="5025" spans="1:5" x14ac:dyDescent="0.2">
      <c r="A5025" t="s">
        <v>15047</v>
      </c>
      <c r="B5025" t="s">
        <v>15048</v>
      </c>
      <c r="C5025" t="s">
        <v>15048</v>
      </c>
      <c r="D5025" t="str">
        <f>HYPERLINK("https://zfin.org/ZDB-GENE-030131-988")</f>
        <v>https://zfin.org/ZDB-GENE-030131-988</v>
      </c>
      <c r="E5025" t="s">
        <v>15049</v>
      </c>
    </row>
    <row r="5026" spans="1:5" x14ac:dyDescent="0.2">
      <c r="A5026" t="s">
        <v>15050</v>
      </c>
      <c r="B5026" t="s">
        <v>15051</v>
      </c>
      <c r="C5026" t="s">
        <v>15051</v>
      </c>
      <c r="D5026" t="str">
        <f>HYPERLINK("https://zfin.org/ZDB-GENE-070912-217")</f>
        <v>https://zfin.org/ZDB-GENE-070912-217</v>
      </c>
      <c r="E5026" t="s">
        <v>15052</v>
      </c>
    </row>
    <row r="5027" spans="1:5" x14ac:dyDescent="0.2">
      <c r="A5027" t="s">
        <v>15053</v>
      </c>
      <c r="B5027" t="s">
        <v>15054</v>
      </c>
      <c r="C5027" t="s">
        <v>15054</v>
      </c>
      <c r="D5027" t="str">
        <f>HYPERLINK("https://zfin.org/ZDB-GENE-020419-36")</f>
        <v>https://zfin.org/ZDB-GENE-020419-36</v>
      </c>
      <c r="E5027" t="s">
        <v>15055</v>
      </c>
    </row>
    <row r="5028" spans="1:5" x14ac:dyDescent="0.2">
      <c r="A5028" t="s">
        <v>15056</v>
      </c>
      <c r="B5028" t="s">
        <v>15057</v>
      </c>
      <c r="C5028" t="s">
        <v>15057</v>
      </c>
      <c r="D5028" t="str">
        <f>HYPERLINK("https://zfin.org/ZDB-GENE-040426-970")</f>
        <v>https://zfin.org/ZDB-GENE-040426-970</v>
      </c>
      <c r="E5028" t="s">
        <v>15058</v>
      </c>
    </row>
    <row r="5029" spans="1:5" x14ac:dyDescent="0.2">
      <c r="A5029" t="s">
        <v>15059</v>
      </c>
      <c r="B5029" t="s">
        <v>15060</v>
      </c>
      <c r="C5029" t="s">
        <v>15060</v>
      </c>
      <c r="D5029" t="str">
        <f>HYPERLINK("https://zfin.org/ZDB-GENE-120524-1")</f>
        <v>https://zfin.org/ZDB-GENE-120524-1</v>
      </c>
      <c r="E5029" t="s">
        <v>15061</v>
      </c>
    </row>
    <row r="5030" spans="1:5" x14ac:dyDescent="0.2">
      <c r="A5030" t="s">
        <v>15062</v>
      </c>
      <c r="B5030" t="s">
        <v>15063</v>
      </c>
      <c r="C5030" t="s">
        <v>15063</v>
      </c>
      <c r="D5030" t="str">
        <f>HYPERLINK("https://zfin.org/ZDB-GENE-050522-492")</f>
        <v>https://zfin.org/ZDB-GENE-050522-492</v>
      </c>
      <c r="E5030" t="s">
        <v>15064</v>
      </c>
    </row>
    <row r="5031" spans="1:5" x14ac:dyDescent="0.2">
      <c r="A5031" t="s">
        <v>15065</v>
      </c>
      <c r="B5031" t="s">
        <v>15066</v>
      </c>
      <c r="C5031" t="s">
        <v>15066</v>
      </c>
      <c r="D5031" t="str">
        <f>HYPERLINK("https://zfin.org/ZDB-GENE-041014-44")</f>
        <v>https://zfin.org/ZDB-GENE-041014-44</v>
      </c>
      <c r="E5031" t="s">
        <v>15067</v>
      </c>
    </row>
    <row r="5032" spans="1:5" x14ac:dyDescent="0.2">
      <c r="A5032" t="s">
        <v>15068</v>
      </c>
      <c r="B5032" t="s">
        <v>15069</v>
      </c>
      <c r="C5032" t="s">
        <v>15069</v>
      </c>
      <c r="D5032" t="str">
        <f>HYPERLINK("https://zfin.org/ZDB-GENE-051023-8")</f>
        <v>https://zfin.org/ZDB-GENE-051023-8</v>
      </c>
      <c r="E5032" t="s">
        <v>15070</v>
      </c>
    </row>
    <row r="5033" spans="1:5" x14ac:dyDescent="0.2">
      <c r="A5033" t="s">
        <v>15071</v>
      </c>
      <c r="B5033" t="s">
        <v>15072</v>
      </c>
      <c r="C5033" t="s">
        <v>15072</v>
      </c>
      <c r="D5033" t="str">
        <f>HYPERLINK("https://zfin.org/ZDB-GENE-041111-120")</f>
        <v>https://zfin.org/ZDB-GENE-041111-120</v>
      </c>
      <c r="E5033" t="s">
        <v>15073</v>
      </c>
    </row>
    <row r="5034" spans="1:5" x14ac:dyDescent="0.2">
      <c r="A5034" t="s">
        <v>15074</v>
      </c>
      <c r="B5034" t="s">
        <v>15075</v>
      </c>
      <c r="C5034" t="s">
        <v>15075</v>
      </c>
      <c r="D5034" t="str">
        <f>HYPERLINK("https://zfin.org/ZDB-GENE-121108-4")</f>
        <v>https://zfin.org/ZDB-GENE-121108-4</v>
      </c>
      <c r="E5034" t="s">
        <v>15076</v>
      </c>
    </row>
    <row r="5035" spans="1:5" x14ac:dyDescent="0.2">
      <c r="A5035" t="s">
        <v>15077</v>
      </c>
      <c r="B5035" t="s">
        <v>15078</v>
      </c>
      <c r="C5035" t="s">
        <v>15078</v>
      </c>
      <c r="D5035" t="str">
        <f>HYPERLINK("https://zfin.org/ZDB-GENE-030131-362")</f>
        <v>https://zfin.org/ZDB-GENE-030131-362</v>
      </c>
      <c r="E5035" t="s">
        <v>15079</v>
      </c>
    </row>
    <row r="5036" spans="1:5" x14ac:dyDescent="0.2">
      <c r="A5036" t="s">
        <v>15080</v>
      </c>
      <c r="B5036" t="s">
        <v>15081</v>
      </c>
      <c r="C5036" t="s">
        <v>15081</v>
      </c>
      <c r="D5036" t="str">
        <f>HYPERLINK("https://zfin.org/ZDB-GENE-050419-237")</f>
        <v>https://zfin.org/ZDB-GENE-050419-237</v>
      </c>
      <c r="E5036" t="s">
        <v>15082</v>
      </c>
    </row>
    <row r="5037" spans="1:5" x14ac:dyDescent="0.2">
      <c r="A5037" t="s">
        <v>15083</v>
      </c>
      <c r="B5037" t="s">
        <v>15084</v>
      </c>
      <c r="C5037" t="s">
        <v>15084</v>
      </c>
      <c r="D5037" t="str">
        <f>HYPERLINK("https://zfin.org/ZDB-GENE-060710-1")</f>
        <v>https://zfin.org/ZDB-GENE-060710-1</v>
      </c>
      <c r="E5037" t="s">
        <v>15085</v>
      </c>
    </row>
    <row r="5038" spans="1:5" x14ac:dyDescent="0.2">
      <c r="A5038" t="s">
        <v>15086</v>
      </c>
      <c r="B5038" t="s">
        <v>15087</v>
      </c>
      <c r="C5038" t="s">
        <v>15087</v>
      </c>
      <c r="D5038" t="str">
        <f>HYPERLINK("https://zfin.org/ZDB-GENE-030131-3093")</f>
        <v>https://zfin.org/ZDB-GENE-030131-3093</v>
      </c>
      <c r="E5038" t="s">
        <v>15088</v>
      </c>
    </row>
    <row r="5039" spans="1:5" x14ac:dyDescent="0.2">
      <c r="A5039" t="s">
        <v>15089</v>
      </c>
      <c r="B5039" t="s">
        <v>15090</v>
      </c>
      <c r="C5039" t="s">
        <v>15090</v>
      </c>
      <c r="D5039" t="str">
        <f>HYPERLINK("https://zfin.org/ZDB-GENE-060421-8264")</f>
        <v>https://zfin.org/ZDB-GENE-060421-8264</v>
      </c>
      <c r="E5039" t="s">
        <v>15091</v>
      </c>
    </row>
    <row r="5040" spans="1:5" x14ac:dyDescent="0.2">
      <c r="A5040" t="s">
        <v>15092</v>
      </c>
      <c r="B5040" t="s">
        <v>15093</v>
      </c>
      <c r="C5040" t="s">
        <v>15093</v>
      </c>
      <c r="D5040" t="str">
        <f>HYPERLINK("https://zfin.org/ZDB-GENE-060825-69")</f>
        <v>https://zfin.org/ZDB-GENE-060825-69</v>
      </c>
      <c r="E5040" t="s">
        <v>15094</v>
      </c>
    </row>
    <row r="5041" spans="1:5" x14ac:dyDescent="0.2">
      <c r="A5041" t="s">
        <v>15095</v>
      </c>
      <c r="B5041" t="s">
        <v>15096</v>
      </c>
      <c r="C5041" t="s">
        <v>15096</v>
      </c>
      <c r="D5041" t="str">
        <f>HYPERLINK("https://zfin.org/ZDB-GENE-141222-90")</f>
        <v>https://zfin.org/ZDB-GENE-141222-90</v>
      </c>
      <c r="E5041" t="s">
        <v>15097</v>
      </c>
    </row>
    <row r="5042" spans="1:5" x14ac:dyDescent="0.2">
      <c r="A5042" t="s">
        <v>15098</v>
      </c>
      <c r="B5042" t="s">
        <v>15099</v>
      </c>
      <c r="C5042" t="s">
        <v>15099</v>
      </c>
      <c r="D5042" t="str">
        <f>HYPERLINK("https://zfin.org/ZDB-GENE-040426-2615")</f>
        <v>https://zfin.org/ZDB-GENE-040426-2615</v>
      </c>
      <c r="E5042" t="s">
        <v>15100</v>
      </c>
    </row>
    <row r="5043" spans="1:5" x14ac:dyDescent="0.2">
      <c r="A5043" t="s">
        <v>15101</v>
      </c>
      <c r="B5043" t="s">
        <v>15102</v>
      </c>
      <c r="C5043" t="s">
        <v>15102</v>
      </c>
      <c r="D5043" t="str">
        <f>HYPERLINK("https://zfin.org/ZDB-GENE-141216-157")</f>
        <v>https://zfin.org/ZDB-GENE-141216-157</v>
      </c>
      <c r="E5043" t="s">
        <v>15103</v>
      </c>
    </row>
    <row r="5044" spans="1:5" x14ac:dyDescent="0.2">
      <c r="A5044" t="s">
        <v>15104</v>
      </c>
      <c r="B5044" t="s">
        <v>15105</v>
      </c>
      <c r="C5044" t="s">
        <v>15105</v>
      </c>
      <c r="D5044" t="str">
        <f>HYPERLINK("https://zfin.org/ZDB-GENE-070112-2292")</f>
        <v>https://zfin.org/ZDB-GENE-070112-2292</v>
      </c>
      <c r="E5044" t="s">
        <v>15106</v>
      </c>
    </row>
    <row r="5045" spans="1:5" x14ac:dyDescent="0.2">
      <c r="A5045" t="s">
        <v>15107</v>
      </c>
      <c r="B5045" t="s">
        <v>15108</v>
      </c>
      <c r="C5045" t="s">
        <v>15108</v>
      </c>
      <c r="D5045" t="str">
        <f>HYPERLINK("https://zfin.org/ZDB-GENE-030131-4721")</f>
        <v>https://zfin.org/ZDB-GENE-030131-4721</v>
      </c>
      <c r="E5045" t="s">
        <v>15109</v>
      </c>
    </row>
    <row r="5046" spans="1:5" x14ac:dyDescent="0.2">
      <c r="A5046" t="s">
        <v>15110</v>
      </c>
      <c r="B5046" t="s">
        <v>15111</v>
      </c>
      <c r="C5046" t="s">
        <v>15111</v>
      </c>
      <c r="D5046" t="str">
        <f>HYPERLINK("https://zfin.org/ZDB-GENE-070209-188")</f>
        <v>https://zfin.org/ZDB-GENE-070209-188</v>
      </c>
      <c r="E5046" t="s">
        <v>15112</v>
      </c>
    </row>
    <row r="5047" spans="1:5" x14ac:dyDescent="0.2">
      <c r="A5047" t="s">
        <v>15113</v>
      </c>
      <c r="B5047" t="s">
        <v>15114</v>
      </c>
      <c r="C5047" t="s">
        <v>15114</v>
      </c>
      <c r="D5047" t="str">
        <f>HYPERLINK("https://zfin.org/ZDB-GENE-120813-6")</f>
        <v>https://zfin.org/ZDB-GENE-120813-6</v>
      </c>
      <c r="E5047" t="s">
        <v>15115</v>
      </c>
    </row>
    <row r="5048" spans="1:5" x14ac:dyDescent="0.2">
      <c r="A5048" t="s">
        <v>15116</v>
      </c>
      <c r="B5048" t="s">
        <v>15117</v>
      </c>
      <c r="C5048" t="s">
        <v>15117</v>
      </c>
      <c r="D5048" t="str">
        <f>HYPERLINK("https://zfin.org/ZDB-GENE-041014-95")</f>
        <v>https://zfin.org/ZDB-GENE-041014-95</v>
      </c>
      <c r="E5048" t="s">
        <v>15118</v>
      </c>
    </row>
    <row r="5049" spans="1:5" x14ac:dyDescent="0.2">
      <c r="A5049" t="s">
        <v>15119</v>
      </c>
      <c r="B5049" t="s">
        <v>15120</v>
      </c>
      <c r="C5049" t="s">
        <v>15120</v>
      </c>
      <c r="D5049" t="str">
        <f>HYPERLINK("https://zfin.org/ZDB-GENE-080204-88")</f>
        <v>https://zfin.org/ZDB-GENE-080204-88</v>
      </c>
      <c r="E5049" t="s">
        <v>15121</v>
      </c>
    </row>
    <row r="5050" spans="1:5" x14ac:dyDescent="0.2">
      <c r="A5050" t="s">
        <v>15122</v>
      </c>
      <c r="B5050" t="s">
        <v>15123</v>
      </c>
      <c r="C5050" t="s">
        <v>15123</v>
      </c>
      <c r="D5050" t="str">
        <f>HYPERLINK("https://zfin.org/ZDB-GENE-060825-192")</f>
        <v>https://zfin.org/ZDB-GENE-060825-192</v>
      </c>
      <c r="E5050" t="s">
        <v>15124</v>
      </c>
    </row>
    <row r="5051" spans="1:5" x14ac:dyDescent="0.2">
      <c r="A5051" t="s">
        <v>15125</v>
      </c>
      <c r="B5051" t="s">
        <v>15126</v>
      </c>
      <c r="C5051" t="s">
        <v>15126</v>
      </c>
      <c r="D5051" t="str">
        <f>HYPERLINK("https://zfin.org/ZDB-GENE-040718-448")</f>
        <v>https://zfin.org/ZDB-GENE-040718-448</v>
      </c>
      <c r="E5051" t="s">
        <v>15127</v>
      </c>
    </row>
    <row r="5052" spans="1:5" x14ac:dyDescent="0.2">
      <c r="A5052" t="s">
        <v>15128</v>
      </c>
      <c r="B5052" t="s">
        <v>15129</v>
      </c>
      <c r="C5052" t="s">
        <v>15129</v>
      </c>
      <c r="D5052" t="str">
        <f>HYPERLINK("https://zfin.org/ZDB-GENE-010605-3")</f>
        <v>https://zfin.org/ZDB-GENE-010605-3</v>
      </c>
      <c r="E5052" t="s">
        <v>15130</v>
      </c>
    </row>
    <row r="5053" spans="1:5" x14ac:dyDescent="0.2">
      <c r="A5053" t="s">
        <v>15131</v>
      </c>
      <c r="B5053" t="s">
        <v>15132</v>
      </c>
      <c r="C5053" t="s">
        <v>15132</v>
      </c>
      <c r="D5053" t="str">
        <f>HYPERLINK("https://zfin.org/ZDB-GENE-040704-77")</f>
        <v>https://zfin.org/ZDB-GENE-040704-77</v>
      </c>
      <c r="E5053" t="s">
        <v>15133</v>
      </c>
    </row>
    <row r="5054" spans="1:5" x14ac:dyDescent="0.2">
      <c r="A5054" t="s">
        <v>15134</v>
      </c>
      <c r="B5054" t="s">
        <v>15135</v>
      </c>
      <c r="C5054" t="s">
        <v>15135</v>
      </c>
      <c r="D5054" t="str">
        <f>HYPERLINK("https://zfin.org/ZDB-GENE-131127-62")</f>
        <v>https://zfin.org/ZDB-GENE-131127-62</v>
      </c>
      <c r="E5054" t="s">
        <v>15136</v>
      </c>
    </row>
    <row r="5055" spans="1:5" x14ac:dyDescent="0.2">
      <c r="A5055" t="s">
        <v>15137</v>
      </c>
      <c r="B5055" t="s">
        <v>15138</v>
      </c>
      <c r="C5055" t="s">
        <v>15138</v>
      </c>
      <c r="D5055" t="str">
        <f>HYPERLINK("https://zfin.org/ZDB-GENE-091118-108")</f>
        <v>https://zfin.org/ZDB-GENE-091118-108</v>
      </c>
      <c r="E5055" t="s">
        <v>15139</v>
      </c>
    </row>
    <row r="5056" spans="1:5" x14ac:dyDescent="0.2">
      <c r="A5056" t="s">
        <v>15140</v>
      </c>
      <c r="B5056" t="s">
        <v>15141</v>
      </c>
      <c r="C5056" t="s">
        <v>15141</v>
      </c>
      <c r="D5056" t="str">
        <f>HYPERLINK("https://zfin.org/ZDB-GENE-051129-1")</f>
        <v>https://zfin.org/ZDB-GENE-051129-1</v>
      </c>
      <c r="E5056" t="s">
        <v>15142</v>
      </c>
    </row>
    <row r="5057" spans="1:5" x14ac:dyDescent="0.2">
      <c r="A5057" t="s">
        <v>15143</v>
      </c>
      <c r="B5057" t="s">
        <v>15144</v>
      </c>
      <c r="C5057" t="s">
        <v>15144</v>
      </c>
      <c r="D5057" t="str">
        <f>HYPERLINK("https://zfin.org/ZDB-GENE-040426-2086")</f>
        <v>https://zfin.org/ZDB-GENE-040426-2086</v>
      </c>
      <c r="E5057" t="s">
        <v>15145</v>
      </c>
    </row>
    <row r="5058" spans="1:5" x14ac:dyDescent="0.2">
      <c r="A5058" t="s">
        <v>15146</v>
      </c>
      <c r="B5058" t="s">
        <v>15147</v>
      </c>
      <c r="C5058" t="s">
        <v>15147</v>
      </c>
      <c r="D5058" t="str">
        <f>HYPERLINK("https://zfin.org/ZDB-GENE-120411-43")</f>
        <v>https://zfin.org/ZDB-GENE-120411-43</v>
      </c>
      <c r="E5058" t="s">
        <v>15148</v>
      </c>
    </row>
    <row r="5059" spans="1:5" x14ac:dyDescent="0.2">
      <c r="A5059" t="s">
        <v>15149</v>
      </c>
      <c r="B5059" t="s">
        <v>15150</v>
      </c>
      <c r="C5059" t="s">
        <v>15150</v>
      </c>
      <c r="D5059" t="str">
        <f>HYPERLINK("https://zfin.org/ZDB-GENE-060503-754")</f>
        <v>https://zfin.org/ZDB-GENE-060503-754</v>
      </c>
      <c r="E5059" t="s">
        <v>15151</v>
      </c>
    </row>
    <row r="5060" spans="1:5" x14ac:dyDescent="0.2">
      <c r="A5060" t="s">
        <v>15152</v>
      </c>
      <c r="B5060" t="s">
        <v>15153</v>
      </c>
      <c r="C5060" t="s">
        <v>15153</v>
      </c>
      <c r="D5060" t="str">
        <f>HYPERLINK("https://zfin.org/ZDB-GENE-040426-2380")</f>
        <v>https://zfin.org/ZDB-GENE-040426-2380</v>
      </c>
      <c r="E5060" t="s">
        <v>15154</v>
      </c>
    </row>
    <row r="5061" spans="1:5" x14ac:dyDescent="0.2">
      <c r="A5061" t="s">
        <v>15155</v>
      </c>
      <c r="B5061" t="s">
        <v>15156</v>
      </c>
      <c r="C5061" t="s">
        <v>15156</v>
      </c>
      <c r="D5061" t="str">
        <f>HYPERLINK("https://zfin.org/ZDB-GENE-050913-22")</f>
        <v>https://zfin.org/ZDB-GENE-050913-22</v>
      </c>
      <c r="E5061" t="s">
        <v>15157</v>
      </c>
    </row>
    <row r="5062" spans="1:5" x14ac:dyDescent="0.2">
      <c r="A5062" t="s">
        <v>15158</v>
      </c>
      <c r="B5062" t="s">
        <v>15159</v>
      </c>
      <c r="C5062" t="s">
        <v>15159</v>
      </c>
      <c r="D5062" t="str">
        <f>HYPERLINK("https://zfin.org/ZDB-GENE-030219-51")</f>
        <v>https://zfin.org/ZDB-GENE-030219-51</v>
      </c>
      <c r="E5062" t="s">
        <v>15160</v>
      </c>
    </row>
    <row r="5063" spans="1:5" x14ac:dyDescent="0.2">
      <c r="A5063" t="s">
        <v>15161</v>
      </c>
      <c r="B5063" t="s">
        <v>15162</v>
      </c>
      <c r="C5063" t="s">
        <v>15162</v>
      </c>
      <c r="D5063" t="str">
        <f>HYPERLINK("https://zfin.org/ZDB-GENE-030131-4027")</f>
        <v>https://zfin.org/ZDB-GENE-030131-4027</v>
      </c>
      <c r="E5063" t="s">
        <v>15163</v>
      </c>
    </row>
    <row r="5064" spans="1:5" x14ac:dyDescent="0.2">
      <c r="A5064" t="s">
        <v>15164</v>
      </c>
      <c r="B5064" t="s">
        <v>15165</v>
      </c>
      <c r="C5064" t="s">
        <v>15165</v>
      </c>
      <c r="D5064" t="str">
        <f>HYPERLINK("https://zfin.org/ZDB-GENE-050208-563")</f>
        <v>https://zfin.org/ZDB-GENE-050208-563</v>
      </c>
      <c r="E5064" t="s">
        <v>15166</v>
      </c>
    </row>
    <row r="5065" spans="1:5" x14ac:dyDescent="0.2">
      <c r="A5065" t="s">
        <v>15167</v>
      </c>
      <c r="B5065" t="s">
        <v>15168</v>
      </c>
      <c r="C5065" t="s">
        <v>15168</v>
      </c>
      <c r="D5065" t="str">
        <f>HYPERLINK("https://zfin.org/ZDB-GENE-040426-2709")</f>
        <v>https://zfin.org/ZDB-GENE-040426-2709</v>
      </c>
      <c r="E5065" t="s">
        <v>15169</v>
      </c>
    </row>
    <row r="5066" spans="1:5" x14ac:dyDescent="0.2">
      <c r="A5066" t="s">
        <v>15170</v>
      </c>
      <c r="B5066" t="s">
        <v>15171</v>
      </c>
      <c r="C5066" t="s">
        <v>15171</v>
      </c>
      <c r="D5066" t="str">
        <f>HYPERLINK("https://zfin.org/ZDB-GENE-060503-150")</f>
        <v>https://zfin.org/ZDB-GENE-060503-150</v>
      </c>
      <c r="E5066" t="s">
        <v>15172</v>
      </c>
    </row>
    <row r="5067" spans="1:5" x14ac:dyDescent="0.2">
      <c r="A5067" t="s">
        <v>15173</v>
      </c>
      <c r="B5067" t="s">
        <v>15174</v>
      </c>
      <c r="C5067" t="s">
        <v>15174</v>
      </c>
      <c r="D5067" t="str">
        <f>HYPERLINK("https://zfin.org/")</f>
        <v>https://zfin.org/</v>
      </c>
    </row>
    <row r="5068" spans="1:5" x14ac:dyDescent="0.2">
      <c r="A5068" t="s">
        <v>15175</v>
      </c>
      <c r="B5068" t="s">
        <v>15176</v>
      </c>
      <c r="C5068" t="s">
        <v>15176</v>
      </c>
      <c r="D5068" t="str">
        <f>HYPERLINK("https://zfin.org/ZDB-GENE-011109-2")</f>
        <v>https://zfin.org/ZDB-GENE-011109-2</v>
      </c>
      <c r="E5068" t="s">
        <v>15177</v>
      </c>
    </row>
    <row r="5069" spans="1:5" x14ac:dyDescent="0.2">
      <c r="A5069" t="s">
        <v>15178</v>
      </c>
      <c r="B5069" t="s">
        <v>15179</v>
      </c>
      <c r="C5069" t="s">
        <v>15179</v>
      </c>
      <c r="D5069" t="str">
        <f>HYPERLINK("https://zfin.org/ZDB-GENE-131127-66")</f>
        <v>https://zfin.org/ZDB-GENE-131127-66</v>
      </c>
      <c r="E5069" t="s">
        <v>15180</v>
      </c>
    </row>
    <row r="5070" spans="1:5" x14ac:dyDescent="0.2">
      <c r="A5070" t="s">
        <v>15181</v>
      </c>
      <c r="B5070" t="s">
        <v>15182</v>
      </c>
      <c r="C5070" t="s">
        <v>15182</v>
      </c>
      <c r="D5070" t="str">
        <f>HYPERLINK("https://zfin.org/ZDB-GENE-050102-3")</f>
        <v>https://zfin.org/ZDB-GENE-050102-3</v>
      </c>
      <c r="E5070" t="s">
        <v>15183</v>
      </c>
    </row>
    <row r="5071" spans="1:5" x14ac:dyDescent="0.2">
      <c r="A5071" t="s">
        <v>15184</v>
      </c>
      <c r="B5071" t="s">
        <v>15185</v>
      </c>
      <c r="C5071" t="s">
        <v>15185</v>
      </c>
      <c r="D5071" t="str">
        <f>HYPERLINK("https://zfin.org/ZDB-GENE-030804-13")</f>
        <v>https://zfin.org/ZDB-GENE-030804-13</v>
      </c>
      <c r="E5071" t="s">
        <v>15186</v>
      </c>
    </row>
    <row r="5072" spans="1:5" x14ac:dyDescent="0.2">
      <c r="A5072" t="s">
        <v>15187</v>
      </c>
      <c r="B5072" t="s">
        <v>15188</v>
      </c>
      <c r="C5072" t="s">
        <v>15188</v>
      </c>
      <c r="D5072" t="str">
        <f>HYPERLINK("https://zfin.org/ZDB-GENE-040426-1688")</f>
        <v>https://zfin.org/ZDB-GENE-040426-1688</v>
      </c>
      <c r="E5072" t="s">
        <v>15189</v>
      </c>
    </row>
    <row r="5073" spans="1:5" x14ac:dyDescent="0.2">
      <c r="A5073" t="s">
        <v>15190</v>
      </c>
      <c r="B5073" t="s">
        <v>15191</v>
      </c>
      <c r="C5073" t="s">
        <v>15191</v>
      </c>
      <c r="D5073" t="str">
        <f>HYPERLINK("https://zfin.org/ZDB-GENE-040426-712")</f>
        <v>https://zfin.org/ZDB-GENE-040426-712</v>
      </c>
      <c r="E5073" t="s">
        <v>15192</v>
      </c>
    </row>
    <row r="5074" spans="1:5" x14ac:dyDescent="0.2">
      <c r="A5074" t="s">
        <v>15193</v>
      </c>
      <c r="B5074" t="s">
        <v>15194</v>
      </c>
      <c r="C5074" t="s">
        <v>15194</v>
      </c>
      <c r="D5074" t="str">
        <f>HYPERLINK("https://zfin.org/ZDB-GENE-030826-23")</f>
        <v>https://zfin.org/ZDB-GENE-030826-23</v>
      </c>
      <c r="E5074" t="s">
        <v>15195</v>
      </c>
    </row>
    <row r="5075" spans="1:5" x14ac:dyDescent="0.2">
      <c r="A5075" t="s">
        <v>15196</v>
      </c>
      <c r="B5075" t="s">
        <v>15197</v>
      </c>
      <c r="C5075" t="s">
        <v>15197</v>
      </c>
      <c r="D5075" t="str">
        <f>HYPERLINK("https://zfin.org/ZDB-GENE-040426-2925")</f>
        <v>https://zfin.org/ZDB-GENE-040426-2925</v>
      </c>
      <c r="E5075" t="s">
        <v>15198</v>
      </c>
    </row>
    <row r="5076" spans="1:5" x14ac:dyDescent="0.2">
      <c r="A5076" t="s">
        <v>15199</v>
      </c>
      <c r="B5076" t="s">
        <v>15200</v>
      </c>
      <c r="C5076" t="s">
        <v>15200</v>
      </c>
      <c r="D5076" t="str">
        <f>HYPERLINK("https://zfin.org/ZDB-GENE-050220-1")</f>
        <v>https://zfin.org/ZDB-GENE-050220-1</v>
      </c>
      <c r="E5076" t="s">
        <v>15201</v>
      </c>
    </row>
    <row r="5077" spans="1:5" x14ac:dyDescent="0.2">
      <c r="A5077" t="s">
        <v>15202</v>
      </c>
      <c r="B5077" t="s">
        <v>15203</v>
      </c>
      <c r="C5077" t="s">
        <v>15203</v>
      </c>
      <c r="D5077" t="str">
        <f>HYPERLINK("https://zfin.org/ZDB-GENE-040426-1039")</f>
        <v>https://zfin.org/ZDB-GENE-040426-1039</v>
      </c>
      <c r="E5077" t="s">
        <v>15204</v>
      </c>
    </row>
    <row r="5078" spans="1:5" x14ac:dyDescent="0.2">
      <c r="A5078" t="s">
        <v>15205</v>
      </c>
      <c r="B5078" t="s">
        <v>15206</v>
      </c>
      <c r="C5078" t="s">
        <v>15206</v>
      </c>
      <c r="D5078" t="str">
        <f>HYPERLINK("https://zfin.org/ZDB-GENE-030825-6")</f>
        <v>https://zfin.org/ZDB-GENE-030825-6</v>
      </c>
      <c r="E5078" t="s">
        <v>15207</v>
      </c>
    </row>
    <row r="5079" spans="1:5" x14ac:dyDescent="0.2">
      <c r="A5079" t="s">
        <v>15208</v>
      </c>
      <c r="B5079" t="s">
        <v>15209</v>
      </c>
      <c r="C5079" t="s">
        <v>15209</v>
      </c>
      <c r="D5079" t="str">
        <f>HYPERLINK("https://zfin.org/ZDB-GENE-050320-25")</f>
        <v>https://zfin.org/ZDB-GENE-050320-25</v>
      </c>
      <c r="E5079" t="s">
        <v>15210</v>
      </c>
    </row>
    <row r="5080" spans="1:5" x14ac:dyDescent="0.2">
      <c r="A5080" t="s">
        <v>15211</v>
      </c>
      <c r="B5080" t="s">
        <v>15212</v>
      </c>
      <c r="C5080" t="s">
        <v>15212</v>
      </c>
      <c r="D5080" t="str">
        <f>HYPERLINK("https://zfin.org/ZDB-GENE-050522-523")</f>
        <v>https://zfin.org/ZDB-GENE-050522-523</v>
      </c>
      <c r="E5080" t="s">
        <v>15213</v>
      </c>
    </row>
    <row r="5081" spans="1:5" x14ac:dyDescent="0.2">
      <c r="A5081" t="s">
        <v>15214</v>
      </c>
      <c r="B5081" t="s">
        <v>15215</v>
      </c>
      <c r="C5081" t="s">
        <v>15215</v>
      </c>
      <c r="D5081" t="str">
        <f>HYPERLINK("https://zfin.org/ZDB-GENE-030131-2804")</f>
        <v>https://zfin.org/ZDB-GENE-030131-2804</v>
      </c>
      <c r="E5081" t="s">
        <v>15216</v>
      </c>
    </row>
    <row r="5082" spans="1:5" x14ac:dyDescent="0.2">
      <c r="A5082" t="s">
        <v>15217</v>
      </c>
      <c r="B5082" t="s">
        <v>15218</v>
      </c>
      <c r="C5082" t="s">
        <v>15218</v>
      </c>
      <c r="D5082" t="str">
        <f>HYPERLINK("https://zfin.org/ZDB-GENE-081104-377")</f>
        <v>https://zfin.org/ZDB-GENE-081104-377</v>
      </c>
      <c r="E5082" t="s">
        <v>15219</v>
      </c>
    </row>
    <row r="5083" spans="1:5" x14ac:dyDescent="0.2">
      <c r="A5083" t="s">
        <v>15220</v>
      </c>
      <c r="B5083" t="s">
        <v>15221</v>
      </c>
      <c r="C5083" t="s">
        <v>15221</v>
      </c>
      <c r="D5083" t="str">
        <f>HYPERLINK("https://zfin.org/ZDB-GENE-040426-1904")</f>
        <v>https://zfin.org/ZDB-GENE-040426-1904</v>
      </c>
      <c r="E5083" t="s">
        <v>15222</v>
      </c>
    </row>
    <row r="5084" spans="1:5" x14ac:dyDescent="0.2">
      <c r="A5084" t="s">
        <v>15223</v>
      </c>
      <c r="B5084" t="s">
        <v>15224</v>
      </c>
      <c r="C5084" t="s">
        <v>15224</v>
      </c>
      <c r="D5084" t="str">
        <f>HYPERLINK("https://zfin.org/ZDB-GENE-110606-6")</f>
        <v>https://zfin.org/ZDB-GENE-110606-6</v>
      </c>
      <c r="E5084" t="s">
        <v>15225</v>
      </c>
    </row>
    <row r="5085" spans="1:5" x14ac:dyDescent="0.2">
      <c r="A5085" t="s">
        <v>15226</v>
      </c>
      <c r="B5085" t="s">
        <v>15227</v>
      </c>
      <c r="C5085" t="s">
        <v>15227</v>
      </c>
      <c r="D5085" t="str">
        <f>HYPERLINK("https://zfin.org/ZDB-GENE-070912-634")</f>
        <v>https://zfin.org/ZDB-GENE-070912-634</v>
      </c>
      <c r="E5085" t="s">
        <v>15228</v>
      </c>
    </row>
    <row r="5086" spans="1:5" x14ac:dyDescent="0.2">
      <c r="A5086" t="s">
        <v>15229</v>
      </c>
      <c r="B5086" t="s">
        <v>15230</v>
      </c>
      <c r="C5086" t="s">
        <v>15230</v>
      </c>
      <c r="D5086" t="str">
        <f>HYPERLINK("https://zfin.org/ZDB-GENE-081029-8")</f>
        <v>https://zfin.org/ZDB-GENE-081029-8</v>
      </c>
      <c r="E5086" t="s">
        <v>15231</v>
      </c>
    </row>
    <row r="5087" spans="1:5" x14ac:dyDescent="0.2">
      <c r="A5087" t="s">
        <v>15232</v>
      </c>
      <c r="B5087" t="s">
        <v>15233</v>
      </c>
      <c r="C5087" t="s">
        <v>15233</v>
      </c>
      <c r="D5087" t="str">
        <f>HYPERLINK("https://zfin.org/ZDB-GENE-030131-9885")</f>
        <v>https://zfin.org/ZDB-GENE-030131-9885</v>
      </c>
      <c r="E5087" t="s">
        <v>15234</v>
      </c>
    </row>
    <row r="5088" spans="1:5" x14ac:dyDescent="0.2">
      <c r="A5088" t="s">
        <v>15235</v>
      </c>
      <c r="B5088" t="s">
        <v>15236</v>
      </c>
      <c r="C5088" t="s">
        <v>15236</v>
      </c>
      <c r="D5088" t="str">
        <f>HYPERLINK("https://zfin.org/ZDB-GENE-040426-2883")</f>
        <v>https://zfin.org/ZDB-GENE-040426-2883</v>
      </c>
      <c r="E5088" t="s">
        <v>15237</v>
      </c>
    </row>
    <row r="5089" spans="1:5" x14ac:dyDescent="0.2">
      <c r="A5089" t="s">
        <v>15238</v>
      </c>
      <c r="B5089" t="s">
        <v>15239</v>
      </c>
      <c r="C5089" t="s">
        <v>15239</v>
      </c>
      <c r="D5089" t="str">
        <f>HYPERLINK("https://zfin.org/ZDB-GENE-050208-210")</f>
        <v>https://zfin.org/ZDB-GENE-050208-210</v>
      </c>
      <c r="E5089" t="s">
        <v>15240</v>
      </c>
    </row>
    <row r="5090" spans="1:5" x14ac:dyDescent="0.2">
      <c r="A5090" t="s">
        <v>15241</v>
      </c>
      <c r="B5090" t="s">
        <v>15242</v>
      </c>
      <c r="C5090" t="s">
        <v>15242</v>
      </c>
      <c r="D5090" t="str">
        <f>HYPERLINK("https://zfin.org/ZDB-GENE-040426-1336")</f>
        <v>https://zfin.org/ZDB-GENE-040426-1336</v>
      </c>
      <c r="E5090" t="s">
        <v>15243</v>
      </c>
    </row>
    <row r="5091" spans="1:5" x14ac:dyDescent="0.2">
      <c r="A5091" t="s">
        <v>15244</v>
      </c>
      <c r="B5091" t="s">
        <v>15245</v>
      </c>
      <c r="C5091" t="s">
        <v>15245</v>
      </c>
      <c r="D5091" t="str">
        <f>HYPERLINK("https://zfin.org/ZDB-GENE-090831-3")</f>
        <v>https://zfin.org/ZDB-GENE-090831-3</v>
      </c>
      <c r="E5091" t="s">
        <v>15246</v>
      </c>
    </row>
    <row r="5092" spans="1:5" x14ac:dyDescent="0.2">
      <c r="A5092" t="s">
        <v>15247</v>
      </c>
      <c r="B5092" t="s">
        <v>15248</v>
      </c>
      <c r="C5092" t="s">
        <v>15248</v>
      </c>
      <c r="D5092" t="str">
        <f>HYPERLINK("https://zfin.org/ZDB-GENE-040426-2762")</f>
        <v>https://zfin.org/ZDB-GENE-040426-2762</v>
      </c>
      <c r="E5092" t="s">
        <v>15249</v>
      </c>
    </row>
    <row r="5093" spans="1:5" x14ac:dyDescent="0.2">
      <c r="A5093" t="s">
        <v>15250</v>
      </c>
      <c r="B5093" t="s">
        <v>15251</v>
      </c>
      <c r="C5093" t="s">
        <v>15251</v>
      </c>
      <c r="D5093" t="str">
        <f>HYPERLINK("https://zfin.org/ZDB-GENE-040426-2012")</f>
        <v>https://zfin.org/ZDB-GENE-040426-2012</v>
      </c>
      <c r="E5093" t="s">
        <v>15252</v>
      </c>
    </row>
    <row r="5094" spans="1:5" x14ac:dyDescent="0.2">
      <c r="A5094" t="s">
        <v>15253</v>
      </c>
      <c r="B5094" t="s">
        <v>15254</v>
      </c>
      <c r="C5094" t="s">
        <v>15254</v>
      </c>
      <c r="D5094" t="str">
        <f>HYPERLINK("https://zfin.org/ZDB-GENE-990415-153")</f>
        <v>https://zfin.org/ZDB-GENE-990415-153</v>
      </c>
      <c r="E5094" t="s">
        <v>15255</v>
      </c>
    </row>
    <row r="5095" spans="1:5" x14ac:dyDescent="0.2">
      <c r="A5095" t="s">
        <v>15256</v>
      </c>
      <c r="B5095" t="s">
        <v>15257</v>
      </c>
      <c r="C5095" t="s">
        <v>15257</v>
      </c>
      <c r="D5095" t="str">
        <f>HYPERLINK("https://zfin.org/ZDB-GENE-030131-6419")</f>
        <v>https://zfin.org/ZDB-GENE-030131-6419</v>
      </c>
      <c r="E5095" t="s">
        <v>15258</v>
      </c>
    </row>
    <row r="5096" spans="1:5" x14ac:dyDescent="0.2">
      <c r="A5096" t="s">
        <v>15259</v>
      </c>
      <c r="B5096" t="s">
        <v>15260</v>
      </c>
      <c r="C5096" t="s">
        <v>15260</v>
      </c>
      <c r="D5096" t="str">
        <f>HYPERLINK("https://zfin.org/ZDB-GENE-040718-78")</f>
        <v>https://zfin.org/ZDB-GENE-040718-78</v>
      </c>
      <c r="E5096" t="s">
        <v>15261</v>
      </c>
    </row>
    <row r="5097" spans="1:5" x14ac:dyDescent="0.2">
      <c r="A5097" t="s">
        <v>15262</v>
      </c>
      <c r="B5097" t="s">
        <v>15263</v>
      </c>
      <c r="C5097" t="s">
        <v>15263</v>
      </c>
      <c r="D5097" t="str">
        <f>HYPERLINK("https://zfin.org/ZDB-GENE-040426-1693")</f>
        <v>https://zfin.org/ZDB-GENE-040426-1693</v>
      </c>
      <c r="E5097" t="s">
        <v>15264</v>
      </c>
    </row>
    <row r="5098" spans="1:5" x14ac:dyDescent="0.2">
      <c r="A5098" t="s">
        <v>15265</v>
      </c>
      <c r="B5098" t="s">
        <v>15266</v>
      </c>
      <c r="C5098" t="s">
        <v>15266</v>
      </c>
      <c r="D5098" t="str">
        <f>HYPERLINK("https://zfin.org/ZDB-GENE-040822-42")</f>
        <v>https://zfin.org/ZDB-GENE-040822-42</v>
      </c>
      <c r="E5098" t="s">
        <v>15267</v>
      </c>
    </row>
    <row r="5099" spans="1:5" x14ac:dyDescent="0.2">
      <c r="A5099" t="s">
        <v>15268</v>
      </c>
      <c r="B5099" t="s">
        <v>15269</v>
      </c>
      <c r="C5099" t="s">
        <v>15269</v>
      </c>
      <c r="D5099" t="str">
        <f>HYPERLINK("https://zfin.org/ZDB-GENE-020318-1")</f>
        <v>https://zfin.org/ZDB-GENE-020318-1</v>
      </c>
      <c r="E5099" t="s">
        <v>15270</v>
      </c>
    </row>
    <row r="5100" spans="1:5" x14ac:dyDescent="0.2">
      <c r="A5100" t="s">
        <v>15271</v>
      </c>
      <c r="B5100" t="s">
        <v>15272</v>
      </c>
      <c r="C5100" t="s">
        <v>15272</v>
      </c>
      <c r="D5100" t="str">
        <f>HYPERLINK("https://zfin.org/ZDB-GENE-060321-2")</f>
        <v>https://zfin.org/ZDB-GENE-060321-2</v>
      </c>
      <c r="E5100" t="s">
        <v>15273</v>
      </c>
    </row>
    <row r="5101" spans="1:5" x14ac:dyDescent="0.2">
      <c r="A5101" t="s">
        <v>15274</v>
      </c>
      <c r="B5101" t="s">
        <v>15275</v>
      </c>
      <c r="C5101" t="s">
        <v>15275</v>
      </c>
      <c r="D5101" t="str">
        <f>HYPERLINK("https://zfin.org/ZDB-GENE-040818-1")</f>
        <v>https://zfin.org/ZDB-GENE-040818-1</v>
      </c>
      <c r="E5101" t="s">
        <v>15276</v>
      </c>
    </row>
    <row r="5102" spans="1:5" x14ac:dyDescent="0.2">
      <c r="A5102" t="s">
        <v>15277</v>
      </c>
      <c r="B5102" t="s">
        <v>15278</v>
      </c>
      <c r="C5102" t="s">
        <v>15278</v>
      </c>
      <c r="D5102" t="str">
        <f>HYPERLINK("https://zfin.org/ZDB-GENE-040426-748")</f>
        <v>https://zfin.org/ZDB-GENE-040426-748</v>
      </c>
      <c r="E5102" t="s">
        <v>15279</v>
      </c>
    </row>
    <row r="5103" spans="1:5" x14ac:dyDescent="0.2">
      <c r="A5103" t="s">
        <v>15280</v>
      </c>
      <c r="B5103" t="s">
        <v>15281</v>
      </c>
      <c r="C5103" t="s">
        <v>15281</v>
      </c>
      <c r="D5103" t="str">
        <f>HYPERLINK("https://zfin.org/ZDB-GENE-050419-192")</f>
        <v>https://zfin.org/ZDB-GENE-050419-192</v>
      </c>
      <c r="E5103" t="s">
        <v>15282</v>
      </c>
    </row>
    <row r="5104" spans="1:5" x14ac:dyDescent="0.2">
      <c r="A5104" t="s">
        <v>15283</v>
      </c>
      <c r="B5104" t="s">
        <v>15284</v>
      </c>
      <c r="C5104" t="s">
        <v>15284</v>
      </c>
      <c r="D5104" t="str">
        <f>HYPERLINK("https://zfin.org/ZDB-GENE-040426-1237")</f>
        <v>https://zfin.org/ZDB-GENE-040426-1237</v>
      </c>
      <c r="E5104" t="s">
        <v>15285</v>
      </c>
    </row>
    <row r="5105" spans="1:5" x14ac:dyDescent="0.2">
      <c r="A5105" t="s">
        <v>15286</v>
      </c>
      <c r="B5105" t="s">
        <v>15287</v>
      </c>
      <c r="C5105" t="s">
        <v>15287</v>
      </c>
      <c r="D5105" t="str">
        <f>HYPERLINK("https://zfin.org/ZDB-GENE-061117-5")</f>
        <v>https://zfin.org/ZDB-GENE-061117-5</v>
      </c>
      <c r="E5105" t="s">
        <v>15288</v>
      </c>
    </row>
    <row r="5106" spans="1:5" x14ac:dyDescent="0.2">
      <c r="A5106" t="s">
        <v>15289</v>
      </c>
      <c r="B5106" t="s">
        <v>15290</v>
      </c>
      <c r="C5106" t="s">
        <v>15290</v>
      </c>
      <c r="D5106" t="str">
        <f>HYPERLINK("https://zfin.org/ZDB-GENE-050320-142")</f>
        <v>https://zfin.org/ZDB-GENE-050320-142</v>
      </c>
      <c r="E5106" t="s">
        <v>15291</v>
      </c>
    </row>
    <row r="5107" spans="1:5" x14ac:dyDescent="0.2">
      <c r="A5107" t="s">
        <v>15292</v>
      </c>
      <c r="B5107" t="s">
        <v>15293</v>
      </c>
      <c r="C5107" t="s">
        <v>15293</v>
      </c>
      <c r="D5107" t="str">
        <f>HYPERLINK("https://zfin.org/ZDB-GENE-040801-248")</f>
        <v>https://zfin.org/ZDB-GENE-040801-248</v>
      </c>
      <c r="E5107" t="s">
        <v>15294</v>
      </c>
    </row>
    <row r="5108" spans="1:5" x14ac:dyDescent="0.2">
      <c r="A5108" t="s">
        <v>15295</v>
      </c>
      <c r="B5108" t="s">
        <v>15296</v>
      </c>
      <c r="C5108" t="s">
        <v>15296</v>
      </c>
      <c r="D5108" t="str">
        <f>HYPERLINK("https://zfin.org/ZDB-GENE-040912-8")</f>
        <v>https://zfin.org/ZDB-GENE-040912-8</v>
      </c>
      <c r="E5108" t="s">
        <v>15297</v>
      </c>
    </row>
    <row r="5109" spans="1:5" x14ac:dyDescent="0.2">
      <c r="A5109" t="s">
        <v>15298</v>
      </c>
      <c r="B5109" t="s">
        <v>15299</v>
      </c>
      <c r="C5109" t="s">
        <v>15299</v>
      </c>
      <c r="D5109" t="str">
        <f>HYPERLINK("https://zfin.org/ZDB-GENE-040426-2462")</f>
        <v>https://zfin.org/ZDB-GENE-040426-2462</v>
      </c>
      <c r="E5109" t="s">
        <v>15300</v>
      </c>
    </row>
    <row r="5110" spans="1:5" x14ac:dyDescent="0.2">
      <c r="A5110" t="s">
        <v>15301</v>
      </c>
      <c r="B5110" t="s">
        <v>15302</v>
      </c>
      <c r="C5110" t="s">
        <v>15302</v>
      </c>
      <c r="D5110" t="str">
        <f>HYPERLINK("https://zfin.org/ZDB-GENE-030131-9889")</f>
        <v>https://zfin.org/ZDB-GENE-030131-9889</v>
      </c>
      <c r="E5110" t="s">
        <v>15303</v>
      </c>
    </row>
    <row r="5111" spans="1:5" x14ac:dyDescent="0.2">
      <c r="A5111" t="s">
        <v>15304</v>
      </c>
      <c r="B5111" t="s">
        <v>15305</v>
      </c>
      <c r="C5111" t="s">
        <v>15305</v>
      </c>
      <c r="D5111" t="str">
        <f>HYPERLINK("https://zfin.org/ZDB-GENE-091116-57")</f>
        <v>https://zfin.org/ZDB-GENE-091116-57</v>
      </c>
      <c r="E5111" t="s">
        <v>15306</v>
      </c>
    </row>
    <row r="5112" spans="1:5" x14ac:dyDescent="0.2">
      <c r="A5112" t="s">
        <v>15307</v>
      </c>
      <c r="B5112" t="s">
        <v>15308</v>
      </c>
      <c r="C5112" t="s">
        <v>15308</v>
      </c>
      <c r="D5112" t="str">
        <f>HYPERLINK("https://zfin.org/ZDB-GENE-050417-31")</f>
        <v>https://zfin.org/ZDB-GENE-050417-31</v>
      </c>
      <c r="E5112" t="s">
        <v>15309</v>
      </c>
    </row>
    <row r="5113" spans="1:5" x14ac:dyDescent="0.2">
      <c r="A5113" t="s">
        <v>15310</v>
      </c>
      <c r="B5113" t="s">
        <v>15311</v>
      </c>
      <c r="C5113" t="s">
        <v>15311</v>
      </c>
      <c r="D5113" t="str">
        <f>HYPERLINK("https://zfin.org/ZDB-GENE-041001-212")</f>
        <v>https://zfin.org/ZDB-GENE-041001-212</v>
      </c>
      <c r="E5113" t="s">
        <v>15312</v>
      </c>
    </row>
    <row r="5114" spans="1:5" x14ac:dyDescent="0.2">
      <c r="A5114" t="s">
        <v>15313</v>
      </c>
      <c r="B5114" t="s">
        <v>15314</v>
      </c>
      <c r="C5114" t="s">
        <v>15314</v>
      </c>
      <c r="D5114" t="str">
        <f>HYPERLINK("https://zfin.org/ZDB-GENE-090317-1")</f>
        <v>https://zfin.org/ZDB-GENE-090317-1</v>
      </c>
      <c r="E5114" t="s">
        <v>15315</v>
      </c>
    </row>
    <row r="5115" spans="1:5" x14ac:dyDescent="0.2">
      <c r="A5115" t="s">
        <v>15316</v>
      </c>
      <c r="B5115" t="s">
        <v>15317</v>
      </c>
      <c r="C5115" t="s">
        <v>15317</v>
      </c>
      <c r="D5115" t="str">
        <f>HYPERLINK("https://zfin.org/ZDB-GENE-000511-2")</f>
        <v>https://zfin.org/ZDB-GENE-000511-2</v>
      </c>
      <c r="E5115" t="s">
        <v>15318</v>
      </c>
    </row>
    <row r="5116" spans="1:5" x14ac:dyDescent="0.2">
      <c r="A5116" t="s">
        <v>15319</v>
      </c>
      <c r="B5116" t="s">
        <v>15320</v>
      </c>
      <c r="C5116" t="s">
        <v>15320</v>
      </c>
      <c r="D5116" t="str">
        <f>HYPERLINK("https://zfin.org/ZDB-GENE-040625-51")</f>
        <v>https://zfin.org/ZDB-GENE-040625-51</v>
      </c>
      <c r="E5116" t="s">
        <v>15321</v>
      </c>
    </row>
    <row r="5117" spans="1:5" x14ac:dyDescent="0.2">
      <c r="A5117" t="s">
        <v>15322</v>
      </c>
      <c r="B5117" t="s">
        <v>15323</v>
      </c>
      <c r="C5117" t="s">
        <v>15323</v>
      </c>
      <c r="D5117" t="str">
        <f>HYPERLINK("https://zfin.org/ZDB-GENE-040724-232")</f>
        <v>https://zfin.org/ZDB-GENE-040724-232</v>
      </c>
      <c r="E5117" t="s">
        <v>15324</v>
      </c>
    </row>
    <row r="5118" spans="1:5" x14ac:dyDescent="0.2">
      <c r="A5118" t="s">
        <v>15325</v>
      </c>
      <c r="B5118" t="s">
        <v>15326</v>
      </c>
      <c r="C5118" t="s">
        <v>15326</v>
      </c>
      <c r="D5118" t="str">
        <f>HYPERLINK("https://zfin.org/ZDB-GENE-030131-1030")</f>
        <v>https://zfin.org/ZDB-GENE-030131-1030</v>
      </c>
      <c r="E5118" t="s">
        <v>15327</v>
      </c>
    </row>
    <row r="5119" spans="1:5" x14ac:dyDescent="0.2">
      <c r="A5119" t="s">
        <v>15328</v>
      </c>
      <c r="B5119" t="s">
        <v>15329</v>
      </c>
      <c r="C5119" t="s">
        <v>15329</v>
      </c>
      <c r="D5119" t="str">
        <f>HYPERLINK("https://zfin.org/ZDB-GENE-980526-448")</f>
        <v>https://zfin.org/ZDB-GENE-980526-448</v>
      </c>
      <c r="E5119" t="s">
        <v>15330</v>
      </c>
    </row>
    <row r="5120" spans="1:5" x14ac:dyDescent="0.2">
      <c r="A5120" t="s">
        <v>15331</v>
      </c>
      <c r="B5120" t="s">
        <v>15332</v>
      </c>
      <c r="C5120" t="s">
        <v>15332</v>
      </c>
      <c r="D5120" t="str">
        <f>HYPERLINK("https://zfin.org/ZDB-GENE-061110-88")</f>
        <v>https://zfin.org/ZDB-GENE-061110-88</v>
      </c>
      <c r="E5120" t="s">
        <v>15333</v>
      </c>
    </row>
    <row r="5121" spans="1:5" x14ac:dyDescent="0.2">
      <c r="A5121" t="s">
        <v>15334</v>
      </c>
      <c r="B5121" t="s">
        <v>15335</v>
      </c>
      <c r="C5121" t="s">
        <v>15335</v>
      </c>
      <c r="D5121" t="str">
        <f>HYPERLINK("https://zfin.org/ZDB-GENE-040426-2090")</f>
        <v>https://zfin.org/ZDB-GENE-040426-2090</v>
      </c>
      <c r="E5121" t="s">
        <v>15336</v>
      </c>
    </row>
    <row r="5122" spans="1:5" x14ac:dyDescent="0.2">
      <c r="A5122" t="s">
        <v>15337</v>
      </c>
      <c r="B5122" t="s">
        <v>15338</v>
      </c>
      <c r="C5122" t="s">
        <v>15338</v>
      </c>
      <c r="D5122" t="str">
        <f>HYPERLINK("https://zfin.org/ZDB-GENE-050320-14")</f>
        <v>https://zfin.org/ZDB-GENE-050320-14</v>
      </c>
      <c r="E5122" t="s">
        <v>15339</v>
      </c>
    </row>
    <row r="5123" spans="1:5" x14ac:dyDescent="0.2">
      <c r="A5123" t="s">
        <v>15340</v>
      </c>
      <c r="B5123" t="s">
        <v>15341</v>
      </c>
      <c r="C5123" t="s">
        <v>15341</v>
      </c>
      <c r="D5123" t="str">
        <f>HYPERLINK("https://zfin.org/ZDB-GENE-070424-26")</f>
        <v>https://zfin.org/ZDB-GENE-070424-26</v>
      </c>
      <c r="E5123" t="s">
        <v>15342</v>
      </c>
    </row>
    <row r="5124" spans="1:5" x14ac:dyDescent="0.2">
      <c r="A5124" t="s">
        <v>15343</v>
      </c>
      <c r="B5124" t="s">
        <v>15344</v>
      </c>
      <c r="C5124" t="s">
        <v>15344</v>
      </c>
      <c r="D5124" t="str">
        <f>HYPERLINK("https://zfin.org/ZDB-GENE-030219-15")</f>
        <v>https://zfin.org/ZDB-GENE-030219-15</v>
      </c>
      <c r="E5124" t="s">
        <v>15345</v>
      </c>
    </row>
    <row r="5125" spans="1:5" x14ac:dyDescent="0.2">
      <c r="A5125" t="s">
        <v>15346</v>
      </c>
      <c r="B5125" t="s">
        <v>15347</v>
      </c>
      <c r="C5125" t="s">
        <v>15347</v>
      </c>
      <c r="D5125" t="str">
        <f>HYPERLINK("https://zfin.org/ZDB-GENE-061009-11")</f>
        <v>https://zfin.org/ZDB-GENE-061009-11</v>
      </c>
      <c r="E5125" t="s">
        <v>15348</v>
      </c>
    </row>
    <row r="5126" spans="1:5" x14ac:dyDescent="0.2">
      <c r="A5126" t="s">
        <v>15349</v>
      </c>
      <c r="B5126" t="s">
        <v>15350</v>
      </c>
      <c r="C5126" t="s">
        <v>15350</v>
      </c>
      <c r="D5126" t="str">
        <f>HYPERLINK("https://zfin.org/ZDB-GENE-040426-1250")</f>
        <v>https://zfin.org/ZDB-GENE-040426-1250</v>
      </c>
      <c r="E5126" t="s">
        <v>15351</v>
      </c>
    </row>
    <row r="5127" spans="1:5" x14ac:dyDescent="0.2">
      <c r="A5127" t="s">
        <v>15352</v>
      </c>
      <c r="B5127" t="s">
        <v>15353</v>
      </c>
      <c r="C5127" t="s">
        <v>15353</v>
      </c>
      <c r="D5127" t="str">
        <f>HYPERLINK("https://zfin.org/ZDB-GENE-070424-67")</f>
        <v>https://zfin.org/ZDB-GENE-070424-67</v>
      </c>
      <c r="E5127" t="s">
        <v>15354</v>
      </c>
    </row>
    <row r="5128" spans="1:5" x14ac:dyDescent="0.2">
      <c r="A5128" t="s">
        <v>15355</v>
      </c>
      <c r="B5128" t="s">
        <v>15356</v>
      </c>
      <c r="C5128" t="s">
        <v>15356</v>
      </c>
      <c r="D5128" t="str">
        <f>HYPERLINK("https://zfin.org/ZDB-GENE-040426-2876")</f>
        <v>https://zfin.org/ZDB-GENE-040426-2876</v>
      </c>
      <c r="E5128" t="s">
        <v>15357</v>
      </c>
    </row>
    <row r="5129" spans="1:5" x14ac:dyDescent="0.2">
      <c r="A5129" t="s">
        <v>15358</v>
      </c>
      <c r="B5129" t="s">
        <v>15359</v>
      </c>
      <c r="C5129" t="s">
        <v>15359</v>
      </c>
      <c r="D5129" t="str">
        <f>HYPERLINK("https://zfin.org/ZDB-GENE-050419-37")</f>
        <v>https://zfin.org/ZDB-GENE-050419-37</v>
      </c>
      <c r="E5129" t="s">
        <v>15360</v>
      </c>
    </row>
    <row r="5130" spans="1:5" x14ac:dyDescent="0.2">
      <c r="A5130" t="s">
        <v>15361</v>
      </c>
      <c r="B5130" t="s">
        <v>15362</v>
      </c>
      <c r="C5130" t="s">
        <v>15362</v>
      </c>
      <c r="D5130" t="str">
        <f>HYPERLINK("https://zfin.org/ZDB-GENE-040426-876")</f>
        <v>https://zfin.org/ZDB-GENE-040426-876</v>
      </c>
      <c r="E5130" t="s">
        <v>15363</v>
      </c>
    </row>
    <row r="5131" spans="1:5" x14ac:dyDescent="0.2">
      <c r="A5131" t="s">
        <v>15364</v>
      </c>
      <c r="B5131" t="s">
        <v>15365</v>
      </c>
      <c r="C5131" t="s">
        <v>15365</v>
      </c>
      <c r="D5131" t="str">
        <f>HYPERLINK("https://zfin.org/ZDB-GENE-091204-17")</f>
        <v>https://zfin.org/ZDB-GENE-091204-17</v>
      </c>
      <c r="E5131" t="s">
        <v>15366</v>
      </c>
    </row>
    <row r="5132" spans="1:5" x14ac:dyDescent="0.2">
      <c r="A5132" t="s">
        <v>15367</v>
      </c>
      <c r="B5132" t="s">
        <v>15368</v>
      </c>
      <c r="C5132" t="s">
        <v>15368</v>
      </c>
      <c r="D5132" t="str">
        <f>HYPERLINK("https://zfin.org/ZDB-GENE-110914-91")</f>
        <v>https://zfin.org/ZDB-GENE-110914-91</v>
      </c>
      <c r="E5132" t="s">
        <v>15369</v>
      </c>
    </row>
    <row r="5133" spans="1:5" x14ac:dyDescent="0.2">
      <c r="A5133" t="s">
        <v>15370</v>
      </c>
      <c r="B5133" t="s">
        <v>15371</v>
      </c>
      <c r="C5133" t="s">
        <v>15371</v>
      </c>
      <c r="D5133" t="str">
        <f>HYPERLINK("https://zfin.org/ZDB-GENE-030616-615")</f>
        <v>https://zfin.org/ZDB-GENE-030616-615</v>
      </c>
      <c r="E5133" t="s">
        <v>15372</v>
      </c>
    </row>
    <row r="5134" spans="1:5" x14ac:dyDescent="0.2">
      <c r="A5134" t="s">
        <v>15373</v>
      </c>
      <c r="B5134" t="s">
        <v>15374</v>
      </c>
      <c r="C5134" t="s">
        <v>15374</v>
      </c>
      <c r="D5134" t="str">
        <f>HYPERLINK("https://zfin.org/ZDB-GENE-060421-5102")</f>
        <v>https://zfin.org/ZDB-GENE-060421-5102</v>
      </c>
      <c r="E5134" t="s">
        <v>15375</v>
      </c>
    </row>
    <row r="5135" spans="1:5" x14ac:dyDescent="0.2">
      <c r="A5135" t="s">
        <v>15376</v>
      </c>
      <c r="B5135" t="s">
        <v>15377</v>
      </c>
      <c r="C5135" t="s">
        <v>15377</v>
      </c>
      <c r="D5135" t="str">
        <f>HYPERLINK("https://zfin.org/ZDB-GENE-040801-183")</f>
        <v>https://zfin.org/ZDB-GENE-040801-183</v>
      </c>
      <c r="E5135" t="s">
        <v>15378</v>
      </c>
    </row>
    <row r="5136" spans="1:5" x14ac:dyDescent="0.2">
      <c r="A5136" t="s">
        <v>15379</v>
      </c>
      <c r="B5136" t="s">
        <v>15380</v>
      </c>
      <c r="C5136" t="s">
        <v>15380</v>
      </c>
      <c r="D5136" t="str">
        <f>HYPERLINK("https://zfin.org/ZDB-GENE-030131-5128")</f>
        <v>https://zfin.org/ZDB-GENE-030131-5128</v>
      </c>
      <c r="E5136" t="s">
        <v>15381</v>
      </c>
    </row>
    <row r="5137" spans="1:5" x14ac:dyDescent="0.2">
      <c r="A5137" t="s">
        <v>15382</v>
      </c>
      <c r="B5137" t="s">
        <v>15383</v>
      </c>
      <c r="C5137" t="s">
        <v>15383</v>
      </c>
      <c r="D5137" t="str">
        <f>HYPERLINK("https://zfin.org/ZDB-GENE-121105-11")</f>
        <v>https://zfin.org/ZDB-GENE-121105-11</v>
      </c>
      <c r="E5137" t="s">
        <v>15384</v>
      </c>
    </row>
    <row r="5138" spans="1:5" x14ac:dyDescent="0.2">
      <c r="A5138" t="s">
        <v>15385</v>
      </c>
      <c r="B5138" t="s">
        <v>15386</v>
      </c>
      <c r="C5138" t="s">
        <v>15386</v>
      </c>
      <c r="D5138" t="str">
        <f>HYPERLINK("https://zfin.org/ZDB-GENE-080724-10")</f>
        <v>https://zfin.org/ZDB-GENE-080724-10</v>
      </c>
      <c r="E5138" t="s">
        <v>15387</v>
      </c>
    </row>
    <row r="5139" spans="1:5" x14ac:dyDescent="0.2">
      <c r="A5139" t="s">
        <v>15388</v>
      </c>
      <c r="B5139" t="s">
        <v>15389</v>
      </c>
      <c r="C5139" t="s">
        <v>15389</v>
      </c>
      <c r="D5139" t="str">
        <f>HYPERLINK("https://zfin.org/ZDB-GENE-061013-104")</f>
        <v>https://zfin.org/ZDB-GENE-061013-104</v>
      </c>
      <c r="E5139" t="s">
        <v>15390</v>
      </c>
    </row>
    <row r="5140" spans="1:5" x14ac:dyDescent="0.2">
      <c r="A5140" t="s">
        <v>15391</v>
      </c>
      <c r="B5140" t="s">
        <v>15392</v>
      </c>
      <c r="C5140" t="s">
        <v>15392</v>
      </c>
      <c r="D5140" t="str">
        <f>HYPERLINK("https://zfin.org/ZDB-GENE-990415-49")</f>
        <v>https://zfin.org/ZDB-GENE-990415-49</v>
      </c>
      <c r="E5140" t="s">
        <v>15393</v>
      </c>
    </row>
    <row r="5141" spans="1:5" x14ac:dyDescent="0.2">
      <c r="A5141" t="s">
        <v>15394</v>
      </c>
      <c r="B5141" t="s">
        <v>15395</v>
      </c>
      <c r="C5141" t="s">
        <v>15395</v>
      </c>
      <c r="D5141" t="str">
        <f>HYPERLINK("https://zfin.org/ZDB-GENE-040312-4")</f>
        <v>https://zfin.org/ZDB-GENE-040312-4</v>
      </c>
      <c r="E5141" t="s">
        <v>15396</v>
      </c>
    </row>
    <row r="5142" spans="1:5" x14ac:dyDescent="0.2">
      <c r="A5142" t="s">
        <v>15397</v>
      </c>
      <c r="B5142" t="s">
        <v>15398</v>
      </c>
      <c r="C5142" t="s">
        <v>15398</v>
      </c>
      <c r="D5142" t="str">
        <f>HYPERLINK("https://zfin.org/ZDB-GENE-030131-9909")</f>
        <v>https://zfin.org/ZDB-GENE-030131-9909</v>
      </c>
      <c r="E5142" t="s">
        <v>15399</v>
      </c>
    </row>
    <row r="5143" spans="1:5" x14ac:dyDescent="0.2">
      <c r="A5143" t="s">
        <v>15400</v>
      </c>
      <c r="B5143" t="s">
        <v>15401</v>
      </c>
      <c r="C5143" t="s">
        <v>15401</v>
      </c>
      <c r="D5143" t="str">
        <f>HYPERLINK("https://zfin.org/ZDB-GENE-010724-16")</f>
        <v>https://zfin.org/ZDB-GENE-010724-16</v>
      </c>
      <c r="E5143" t="s">
        <v>15402</v>
      </c>
    </row>
    <row r="5144" spans="1:5" x14ac:dyDescent="0.2">
      <c r="A5144" t="s">
        <v>15403</v>
      </c>
      <c r="B5144" t="s">
        <v>15404</v>
      </c>
      <c r="C5144" t="s">
        <v>15404</v>
      </c>
      <c r="D5144" t="str">
        <f>HYPERLINK("https://zfin.org/ZDB-GENE-131120-46")</f>
        <v>https://zfin.org/ZDB-GENE-131120-46</v>
      </c>
      <c r="E5144" t="s">
        <v>15405</v>
      </c>
    </row>
    <row r="5145" spans="1:5" x14ac:dyDescent="0.2">
      <c r="A5145" t="s">
        <v>15406</v>
      </c>
      <c r="B5145" t="s">
        <v>15407</v>
      </c>
      <c r="C5145" t="s">
        <v>15407</v>
      </c>
      <c r="D5145" t="str">
        <f>HYPERLINK("https://zfin.org/ZDB-GENE-040426-2125")</f>
        <v>https://zfin.org/ZDB-GENE-040426-2125</v>
      </c>
      <c r="E5145" t="s">
        <v>15408</v>
      </c>
    </row>
    <row r="5146" spans="1:5" x14ac:dyDescent="0.2">
      <c r="A5146" t="s">
        <v>15409</v>
      </c>
      <c r="B5146" t="s">
        <v>15410</v>
      </c>
      <c r="C5146" t="s">
        <v>15410</v>
      </c>
      <c r="D5146" t="str">
        <f>HYPERLINK("https://zfin.org/ZDB-GENE-081203-16")</f>
        <v>https://zfin.org/ZDB-GENE-081203-16</v>
      </c>
      <c r="E5146" t="s">
        <v>15411</v>
      </c>
    </row>
    <row r="5147" spans="1:5" x14ac:dyDescent="0.2">
      <c r="A5147" t="s">
        <v>15412</v>
      </c>
      <c r="B5147" t="s">
        <v>15413</v>
      </c>
      <c r="C5147" t="s">
        <v>15413</v>
      </c>
      <c r="D5147" t="str">
        <f>HYPERLINK("https://zfin.org/ZDB-GENE-060503-384")</f>
        <v>https://zfin.org/ZDB-GENE-060503-384</v>
      </c>
      <c r="E5147" t="s">
        <v>15414</v>
      </c>
    </row>
    <row r="5148" spans="1:5" x14ac:dyDescent="0.2">
      <c r="A5148" t="s">
        <v>15415</v>
      </c>
      <c r="B5148" t="s">
        <v>15416</v>
      </c>
      <c r="C5148" t="s">
        <v>15416</v>
      </c>
      <c r="D5148" t="str">
        <f>HYPERLINK("https://zfin.org/ZDB-GENE-080430-1")</f>
        <v>https://zfin.org/ZDB-GENE-080430-1</v>
      </c>
      <c r="E5148" t="s">
        <v>15417</v>
      </c>
    </row>
    <row r="5149" spans="1:5" x14ac:dyDescent="0.2">
      <c r="A5149" t="s">
        <v>15418</v>
      </c>
      <c r="B5149" t="s">
        <v>15419</v>
      </c>
      <c r="C5149" t="s">
        <v>15419</v>
      </c>
      <c r="D5149" t="str">
        <f>HYPERLINK("https://zfin.org/ZDB-GENE-030131-8901")</f>
        <v>https://zfin.org/ZDB-GENE-030131-8901</v>
      </c>
      <c r="E5149" t="s">
        <v>15420</v>
      </c>
    </row>
    <row r="5150" spans="1:5" x14ac:dyDescent="0.2">
      <c r="A5150" t="s">
        <v>15421</v>
      </c>
      <c r="B5150" t="s">
        <v>15422</v>
      </c>
      <c r="C5150" t="s">
        <v>15422</v>
      </c>
      <c r="D5150" t="str">
        <f>HYPERLINK("https://zfin.org/ZDB-GENE-131121-179")</f>
        <v>https://zfin.org/ZDB-GENE-131121-179</v>
      </c>
      <c r="E5150" t="s">
        <v>15423</v>
      </c>
    </row>
    <row r="5151" spans="1:5" x14ac:dyDescent="0.2">
      <c r="A5151" t="s">
        <v>15424</v>
      </c>
      <c r="B5151" t="s">
        <v>15425</v>
      </c>
      <c r="C5151" t="s">
        <v>15425</v>
      </c>
      <c r="D5151" t="str">
        <f>HYPERLINK("https://zfin.org/ZDB-GENE-060825-247")</f>
        <v>https://zfin.org/ZDB-GENE-060825-247</v>
      </c>
      <c r="E5151" t="s">
        <v>15426</v>
      </c>
    </row>
    <row r="5152" spans="1:5" x14ac:dyDescent="0.2">
      <c r="A5152" t="s">
        <v>15427</v>
      </c>
      <c r="B5152" t="s">
        <v>15428</v>
      </c>
      <c r="C5152" t="s">
        <v>15428</v>
      </c>
      <c r="D5152" t="str">
        <f>HYPERLINK("https://zfin.org/ZDB-GENE-050419-212")</f>
        <v>https://zfin.org/ZDB-GENE-050419-212</v>
      </c>
      <c r="E5152" t="s">
        <v>15429</v>
      </c>
    </row>
    <row r="5153" spans="1:5" x14ac:dyDescent="0.2">
      <c r="A5153" t="s">
        <v>15430</v>
      </c>
      <c r="B5153" t="s">
        <v>15431</v>
      </c>
      <c r="C5153" t="s">
        <v>15431</v>
      </c>
      <c r="D5153" t="str">
        <f>HYPERLINK("https://zfin.org/ZDB-GENE-051127-33")</f>
        <v>https://zfin.org/ZDB-GENE-051127-33</v>
      </c>
      <c r="E5153" t="s">
        <v>15432</v>
      </c>
    </row>
    <row r="5154" spans="1:5" x14ac:dyDescent="0.2">
      <c r="A5154" t="s">
        <v>15433</v>
      </c>
      <c r="B5154" t="s">
        <v>15434</v>
      </c>
      <c r="C5154" t="s">
        <v>15434</v>
      </c>
      <c r="D5154" t="str">
        <f>HYPERLINK("https://zfin.org/ZDB-GENE-050419-74")</f>
        <v>https://zfin.org/ZDB-GENE-050419-74</v>
      </c>
      <c r="E5154" t="s">
        <v>15435</v>
      </c>
    </row>
    <row r="5155" spans="1:5" x14ac:dyDescent="0.2">
      <c r="A5155" t="s">
        <v>15436</v>
      </c>
      <c r="B5155" t="s">
        <v>15437</v>
      </c>
      <c r="C5155" t="s">
        <v>15437</v>
      </c>
      <c r="D5155" t="str">
        <f>HYPERLINK("https://zfin.org/ZDB-GENE-070209-59")</f>
        <v>https://zfin.org/ZDB-GENE-070209-59</v>
      </c>
      <c r="E5155" t="s">
        <v>15438</v>
      </c>
    </row>
    <row r="5156" spans="1:5" x14ac:dyDescent="0.2">
      <c r="A5156" t="s">
        <v>15439</v>
      </c>
      <c r="B5156" t="s">
        <v>15440</v>
      </c>
      <c r="C5156" t="s">
        <v>15440</v>
      </c>
      <c r="D5156" t="str">
        <f>HYPERLINK("https://zfin.org/ZDB-GENE-030131-1852")</f>
        <v>https://zfin.org/ZDB-GENE-030131-1852</v>
      </c>
      <c r="E5156" t="s">
        <v>15441</v>
      </c>
    </row>
    <row r="5157" spans="1:5" x14ac:dyDescent="0.2">
      <c r="A5157" t="s">
        <v>15442</v>
      </c>
      <c r="B5157" t="s">
        <v>15443</v>
      </c>
      <c r="C5157" t="s">
        <v>15443</v>
      </c>
      <c r="D5157" t="str">
        <f>HYPERLINK("https://zfin.org/ZDB-GENE-040718-407")</f>
        <v>https://zfin.org/ZDB-GENE-040718-407</v>
      </c>
      <c r="E5157" t="s">
        <v>15444</v>
      </c>
    </row>
    <row r="5158" spans="1:5" x14ac:dyDescent="0.2">
      <c r="A5158" t="s">
        <v>15445</v>
      </c>
      <c r="B5158" t="s">
        <v>15446</v>
      </c>
      <c r="C5158" t="s">
        <v>15446</v>
      </c>
      <c r="D5158" t="str">
        <f>HYPERLINK("https://zfin.org/ZDB-GENE-040718-215")</f>
        <v>https://zfin.org/ZDB-GENE-040718-215</v>
      </c>
      <c r="E5158" t="s">
        <v>15447</v>
      </c>
    </row>
    <row r="5159" spans="1:5" x14ac:dyDescent="0.2">
      <c r="A5159" t="s">
        <v>15448</v>
      </c>
      <c r="B5159" t="s">
        <v>15449</v>
      </c>
      <c r="C5159" t="s">
        <v>15449</v>
      </c>
      <c r="D5159" t="str">
        <f>HYPERLINK("https://zfin.org/ZDB-GENE-000208-8")</f>
        <v>https://zfin.org/ZDB-GENE-000208-8</v>
      </c>
      <c r="E5159" t="s">
        <v>15450</v>
      </c>
    </row>
    <row r="5160" spans="1:5" x14ac:dyDescent="0.2">
      <c r="A5160" t="s">
        <v>15451</v>
      </c>
      <c r="B5160" t="s">
        <v>15452</v>
      </c>
      <c r="C5160" t="s">
        <v>15452</v>
      </c>
      <c r="D5160" t="str">
        <f>HYPERLINK("https://zfin.org/ZDB-GENE-040407-1")</f>
        <v>https://zfin.org/ZDB-GENE-040407-1</v>
      </c>
      <c r="E5160" t="s">
        <v>15453</v>
      </c>
    </row>
    <row r="5161" spans="1:5" x14ac:dyDescent="0.2">
      <c r="A5161" t="s">
        <v>15454</v>
      </c>
      <c r="B5161" t="s">
        <v>15455</v>
      </c>
      <c r="C5161" t="s">
        <v>15455</v>
      </c>
      <c r="D5161" t="str">
        <f>HYPERLINK("https://zfin.org/ZDB-GENE-991019-5")</f>
        <v>https://zfin.org/ZDB-GENE-991019-5</v>
      </c>
      <c r="E5161" t="s">
        <v>15456</v>
      </c>
    </row>
    <row r="5162" spans="1:5" x14ac:dyDescent="0.2">
      <c r="A5162" t="s">
        <v>15457</v>
      </c>
      <c r="B5162" t="s">
        <v>15458</v>
      </c>
      <c r="C5162" t="s">
        <v>15458</v>
      </c>
      <c r="D5162" t="str">
        <f>HYPERLINK("https://zfin.org/ZDB-GENE-040801-77")</f>
        <v>https://zfin.org/ZDB-GENE-040801-77</v>
      </c>
      <c r="E5162" t="s">
        <v>15459</v>
      </c>
    </row>
    <row r="5163" spans="1:5" x14ac:dyDescent="0.2">
      <c r="A5163" t="s">
        <v>15460</v>
      </c>
      <c r="B5163" t="s">
        <v>15461</v>
      </c>
      <c r="C5163" t="s">
        <v>15461</v>
      </c>
      <c r="D5163" t="str">
        <f>HYPERLINK("https://zfin.org/ZDB-GENE-030131-337")</f>
        <v>https://zfin.org/ZDB-GENE-030131-337</v>
      </c>
      <c r="E5163" t="s">
        <v>15462</v>
      </c>
    </row>
    <row r="5164" spans="1:5" x14ac:dyDescent="0.2">
      <c r="A5164" t="s">
        <v>15463</v>
      </c>
      <c r="B5164" t="s">
        <v>15464</v>
      </c>
      <c r="C5164" t="s">
        <v>15464</v>
      </c>
      <c r="D5164" t="str">
        <f>HYPERLINK("https://zfin.org/ZDB-GENE-110114-1")</f>
        <v>https://zfin.org/ZDB-GENE-110114-1</v>
      </c>
      <c r="E5164" t="s">
        <v>15465</v>
      </c>
    </row>
    <row r="5165" spans="1:5" x14ac:dyDescent="0.2">
      <c r="A5165" t="s">
        <v>15466</v>
      </c>
      <c r="B5165" t="s">
        <v>15467</v>
      </c>
      <c r="C5165" t="s">
        <v>15467</v>
      </c>
      <c r="D5165" t="str">
        <f>HYPERLINK("https://zfin.org/ZDB-GENE-030131-3543")</f>
        <v>https://zfin.org/ZDB-GENE-030131-3543</v>
      </c>
      <c r="E5165" t="s">
        <v>15468</v>
      </c>
    </row>
    <row r="5166" spans="1:5" x14ac:dyDescent="0.2">
      <c r="A5166" t="s">
        <v>15469</v>
      </c>
      <c r="B5166" t="s">
        <v>15470</v>
      </c>
      <c r="C5166" t="s">
        <v>15470</v>
      </c>
      <c r="D5166" t="str">
        <f>HYPERLINK("https://zfin.org/ZDB-GENE-041008-221")</f>
        <v>https://zfin.org/ZDB-GENE-041008-221</v>
      </c>
      <c r="E5166" t="s">
        <v>15471</v>
      </c>
    </row>
    <row r="5167" spans="1:5" x14ac:dyDescent="0.2">
      <c r="A5167" t="s">
        <v>15472</v>
      </c>
      <c r="B5167" t="s">
        <v>10134</v>
      </c>
      <c r="C5167" t="s">
        <v>15473</v>
      </c>
      <c r="D5167" t="str">
        <f>HYPERLINK("https://zfin.org/ZDB-GENE-070424-124")</f>
        <v>https://zfin.org/ZDB-GENE-070424-124</v>
      </c>
      <c r="E5167" t="s">
        <v>15474</v>
      </c>
    </row>
    <row r="5168" spans="1:5" x14ac:dyDescent="0.2">
      <c r="A5168" t="s">
        <v>15475</v>
      </c>
      <c r="B5168" t="s">
        <v>15476</v>
      </c>
      <c r="C5168" t="s">
        <v>15476</v>
      </c>
      <c r="D5168" t="str">
        <f>HYPERLINK("https://zfin.org/ZDB-GENE-050913-93")</f>
        <v>https://zfin.org/ZDB-GENE-050913-93</v>
      </c>
      <c r="E5168" t="s">
        <v>15477</v>
      </c>
    </row>
    <row r="5169" spans="1:5" x14ac:dyDescent="0.2">
      <c r="A5169" t="s">
        <v>15478</v>
      </c>
      <c r="B5169" t="s">
        <v>15479</v>
      </c>
      <c r="C5169" t="s">
        <v>15479</v>
      </c>
      <c r="D5169" t="str">
        <f>HYPERLINK("https://zfin.org/ZDB-GENE-110914-136")</f>
        <v>https://zfin.org/ZDB-GENE-110914-136</v>
      </c>
      <c r="E5169" t="s">
        <v>15480</v>
      </c>
    </row>
    <row r="5170" spans="1:5" x14ac:dyDescent="0.2">
      <c r="A5170" t="s">
        <v>15481</v>
      </c>
      <c r="B5170" t="s">
        <v>15482</v>
      </c>
      <c r="C5170" t="s">
        <v>15482</v>
      </c>
      <c r="D5170" t="str">
        <f>HYPERLINK("https://zfin.org/ZDB-GENE-020806-2")</f>
        <v>https://zfin.org/ZDB-GENE-020806-2</v>
      </c>
      <c r="E5170" t="s">
        <v>15483</v>
      </c>
    </row>
    <row r="5171" spans="1:5" x14ac:dyDescent="0.2">
      <c r="A5171" t="s">
        <v>15484</v>
      </c>
      <c r="B5171" t="s">
        <v>15485</v>
      </c>
      <c r="C5171" t="s">
        <v>15485</v>
      </c>
      <c r="D5171" t="str">
        <f>HYPERLINK("https://zfin.org/ZDB-GENE-060825-249")</f>
        <v>https://zfin.org/ZDB-GENE-060825-249</v>
      </c>
      <c r="E5171" t="s">
        <v>15486</v>
      </c>
    </row>
    <row r="5172" spans="1:5" x14ac:dyDescent="0.2">
      <c r="A5172" t="s">
        <v>15487</v>
      </c>
      <c r="B5172" t="s">
        <v>15488</v>
      </c>
      <c r="C5172" t="s">
        <v>15488</v>
      </c>
      <c r="D5172" t="str">
        <f>HYPERLINK("https://zfin.org/ZDB-GENE-070410-21")</f>
        <v>https://zfin.org/ZDB-GENE-070410-21</v>
      </c>
      <c r="E5172" t="s">
        <v>15489</v>
      </c>
    </row>
    <row r="5173" spans="1:5" x14ac:dyDescent="0.2">
      <c r="A5173" t="s">
        <v>15490</v>
      </c>
      <c r="B5173" t="s">
        <v>15491</v>
      </c>
      <c r="C5173" t="s">
        <v>15491</v>
      </c>
      <c r="D5173" t="str">
        <f>HYPERLINK("https://zfin.org/ZDB-GENE-041014-251")</f>
        <v>https://zfin.org/ZDB-GENE-041014-251</v>
      </c>
      <c r="E5173" t="s">
        <v>15492</v>
      </c>
    </row>
    <row r="5174" spans="1:5" x14ac:dyDescent="0.2">
      <c r="A5174" t="s">
        <v>15493</v>
      </c>
      <c r="B5174" t="s">
        <v>15494</v>
      </c>
      <c r="C5174" t="s">
        <v>15494</v>
      </c>
      <c r="D5174" t="str">
        <f>HYPERLINK("https://zfin.org/ZDB-GENE-050517-21")</f>
        <v>https://zfin.org/ZDB-GENE-050517-21</v>
      </c>
      <c r="E5174" t="s">
        <v>15495</v>
      </c>
    </row>
    <row r="5175" spans="1:5" x14ac:dyDescent="0.2">
      <c r="A5175" t="s">
        <v>15496</v>
      </c>
      <c r="B5175" t="s">
        <v>15497</v>
      </c>
      <c r="C5175" t="s">
        <v>15497</v>
      </c>
      <c r="D5175" t="str">
        <f>HYPERLINK("https://zfin.org/ZDB-GENE-110914-65")</f>
        <v>https://zfin.org/ZDB-GENE-110914-65</v>
      </c>
      <c r="E5175" t="s">
        <v>15498</v>
      </c>
    </row>
    <row r="5176" spans="1:5" x14ac:dyDescent="0.2">
      <c r="A5176" t="s">
        <v>15499</v>
      </c>
      <c r="B5176" t="s">
        <v>15500</v>
      </c>
      <c r="C5176" t="s">
        <v>15500</v>
      </c>
      <c r="D5176" t="str">
        <f>HYPERLINK("https://zfin.org/ZDB-GENE-030131-9399")</f>
        <v>https://zfin.org/ZDB-GENE-030131-9399</v>
      </c>
      <c r="E5176" t="s">
        <v>15501</v>
      </c>
    </row>
    <row r="5177" spans="1:5" x14ac:dyDescent="0.2">
      <c r="A5177" t="s">
        <v>15502</v>
      </c>
      <c r="B5177" t="s">
        <v>15503</v>
      </c>
      <c r="C5177" t="s">
        <v>15503</v>
      </c>
      <c r="D5177" t="str">
        <f>HYPERLINK("https://zfin.org/ZDB-GENE-031126-1")</f>
        <v>https://zfin.org/ZDB-GENE-031126-1</v>
      </c>
      <c r="E5177" t="s">
        <v>15504</v>
      </c>
    </row>
    <row r="5178" spans="1:5" x14ac:dyDescent="0.2">
      <c r="A5178" t="s">
        <v>15505</v>
      </c>
      <c r="B5178" t="s">
        <v>15506</v>
      </c>
      <c r="C5178" t="s">
        <v>15506</v>
      </c>
      <c r="D5178" t="str">
        <f>HYPERLINK("https://zfin.org/ZDB-GENE-090127-2")</f>
        <v>https://zfin.org/ZDB-GENE-090127-2</v>
      </c>
      <c r="E5178" t="s">
        <v>15507</v>
      </c>
    </row>
    <row r="5179" spans="1:5" x14ac:dyDescent="0.2">
      <c r="A5179" t="s">
        <v>15508</v>
      </c>
      <c r="B5179" t="s">
        <v>15509</v>
      </c>
      <c r="C5179" t="s">
        <v>15509</v>
      </c>
      <c r="D5179" t="str">
        <f>HYPERLINK("https://zfin.org/ZDB-GENE-060929-596")</f>
        <v>https://zfin.org/ZDB-GENE-060929-596</v>
      </c>
      <c r="E5179" t="s">
        <v>15510</v>
      </c>
    </row>
    <row r="5180" spans="1:5" x14ac:dyDescent="0.2">
      <c r="A5180" t="s">
        <v>15511</v>
      </c>
      <c r="B5180" t="s">
        <v>15512</v>
      </c>
      <c r="C5180" t="s">
        <v>15512</v>
      </c>
      <c r="D5180" t="str">
        <f>HYPERLINK("https://zfin.org/ZDB-GENE-041114-180")</f>
        <v>https://zfin.org/ZDB-GENE-041114-180</v>
      </c>
      <c r="E5180" t="s">
        <v>15513</v>
      </c>
    </row>
    <row r="5181" spans="1:5" x14ac:dyDescent="0.2">
      <c r="A5181" t="s">
        <v>15514</v>
      </c>
      <c r="B5181" t="s">
        <v>15515</v>
      </c>
      <c r="C5181" t="s">
        <v>15515</v>
      </c>
      <c r="D5181" t="str">
        <f>HYPERLINK("https://zfin.org/ZDB-GENE-070112-1442")</f>
        <v>https://zfin.org/ZDB-GENE-070112-1442</v>
      </c>
      <c r="E5181" t="s">
        <v>15516</v>
      </c>
    </row>
    <row r="5182" spans="1:5" x14ac:dyDescent="0.2">
      <c r="A5182" t="s">
        <v>15517</v>
      </c>
      <c r="B5182" t="s">
        <v>15518</v>
      </c>
      <c r="C5182" t="s">
        <v>15518</v>
      </c>
      <c r="D5182" t="str">
        <f>HYPERLINK("https://zfin.org/ZDB-GENE-040822-20")</f>
        <v>https://zfin.org/ZDB-GENE-040822-20</v>
      </c>
      <c r="E5182" t="s">
        <v>15519</v>
      </c>
    </row>
    <row r="5183" spans="1:5" x14ac:dyDescent="0.2">
      <c r="A5183" t="s">
        <v>15520</v>
      </c>
      <c r="B5183" t="s">
        <v>15521</v>
      </c>
      <c r="C5183" t="s">
        <v>15521</v>
      </c>
      <c r="D5183" t="str">
        <f>HYPERLINK("https://zfin.org/ZDB-GENE-070521-1")</f>
        <v>https://zfin.org/ZDB-GENE-070521-1</v>
      </c>
      <c r="E5183" t="s">
        <v>15522</v>
      </c>
    </row>
    <row r="5184" spans="1:5" x14ac:dyDescent="0.2">
      <c r="A5184" t="s">
        <v>15523</v>
      </c>
      <c r="B5184" t="s">
        <v>15524</v>
      </c>
      <c r="C5184" t="s">
        <v>15524</v>
      </c>
      <c r="D5184" t="str">
        <f>HYPERLINK("https://zfin.org/ZDB-GENE-050522-515")</f>
        <v>https://zfin.org/ZDB-GENE-050522-515</v>
      </c>
      <c r="E5184" t="s">
        <v>15525</v>
      </c>
    </row>
    <row r="5185" spans="1:5" x14ac:dyDescent="0.2">
      <c r="A5185" t="s">
        <v>15526</v>
      </c>
      <c r="B5185" t="s">
        <v>15527</v>
      </c>
      <c r="C5185" t="s">
        <v>15527</v>
      </c>
      <c r="D5185" t="str">
        <f>HYPERLINK("https://zfin.org/ZDB-GENE-001020-1")</f>
        <v>https://zfin.org/ZDB-GENE-001020-1</v>
      </c>
      <c r="E5185" t="s">
        <v>15528</v>
      </c>
    </row>
    <row r="5186" spans="1:5" x14ac:dyDescent="0.2">
      <c r="A5186" t="s">
        <v>15529</v>
      </c>
      <c r="B5186" t="s">
        <v>15530</v>
      </c>
      <c r="C5186" t="s">
        <v>15530</v>
      </c>
      <c r="D5186" t="str">
        <f>HYPERLINK("https://zfin.org/ZDB-GENE-040426-2493")</f>
        <v>https://zfin.org/ZDB-GENE-040426-2493</v>
      </c>
      <c r="E5186" t="s">
        <v>15531</v>
      </c>
    </row>
    <row r="5187" spans="1:5" x14ac:dyDescent="0.2">
      <c r="A5187" t="s">
        <v>15532</v>
      </c>
      <c r="B5187" t="s">
        <v>15533</v>
      </c>
      <c r="C5187" t="s">
        <v>15533</v>
      </c>
      <c r="D5187" t="str">
        <f>HYPERLINK("https://zfin.org/ZDB-GENE-131121-251")</f>
        <v>https://zfin.org/ZDB-GENE-131121-251</v>
      </c>
      <c r="E5187" t="s">
        <v>15534</v>
      </c>
    </row>
    <row r="5188" spans="1:5" x14ac:dyDescent="0.2">
      <c r="A5188" t="s">
        <v>15535</v>
      </c>
      <c r="B5188" t="s">
        <v>15536</v>
      </c>
      <c r="C5188" t="s">
        <v>15536</v>
      </c>
      <c r="D5188" t="str">
        <f>HYPERLINK("https://zfin.org/ZDB-GENE-040718-79")</f>
        <v>https://zfin.org/ZDB-GENE-040718-79</v>
      </c>
      <c r="E5188" t="s">
        <v>15537</v>
      </c>
    </row>
    <row r="5189" spans="1:5" x14ac:dyDescent="0.2">
      <c r="A5189" t="s">
        <v>15538</v>
      </c>
      <c r="B5189" t="s">
        <v>15539</v>
      </c>
      <c r="C5189" t="s">
        <v>15539</v>
      </c>
      <c r="D5189" t="str">
        <f>HYPERLINK("https://zfin.org/ZDB-GENE-080506-2")</f>
        <v>https://zfin.org/ZDB-GENE-080506-2</v>
      </c>
      <c r="E5189" t="s">
        <v>15540</v>
      </c>
    </row>
    <row r="5190" spans="1:5" x14ac:dyDescent="0.2">
      <c r="A5190" t="s">
        <v>15541</v>
      </c>
      <c r="B5190" t="s">
        <v>15542</v>
      </c>
      <c r="C5190" t="s">
        <v>15542</v>
      </c>
      <c r="D5190" t="str">
        <f>HYPERLINK("https://zfin.org/ZDB-GENE-050208-290")</f>
        <v>https://zfin.org/ZDB-GENE-050208-290</v>
      </c>
      <c r="E5190" t="s">
        <v>15543</v>
      </c>
    </row>
    <row r="5191" spans="1:5" x14ac:dyDescent="0.2">
      <c r="A5191" t="s">
        <v>15544</v>
      </c>
      <c r="B5191" t="s">
        <v>15545</v>
      </c>
      <c r="C5191" t="s">
        <v>15545</v>
      </c>
      <c r="D5191" t="str">
        <f>HYPERLINK("https://zfin.org/ZDB-GENE-040426-2776")</f>
        <v>https://zfin.org/ZDB-GENE-040426-2776</v>
      </c>
      <c r="E5191" t="s">
        <v>15546</v>
      </c>
    </row>
    <row r="5192" spans="1:5" x14ac:dyDescent="0.2">
      <c r="A5192" t="s">
        <v>15547</v>
      </c>
      <c r="B5192" t="s">
        <v>15548</v>
      </c>
      <c r="C5192" t="s">
        <v>15548</v>
      </c>
      <c r="D5192" t="str">
        <f>HYPERLINK("https://zfin.org/ZDB-GENE-040109-1")</f>
        <v>https://zfin.org/ZDB-GENE-040109-1</v>
      </c>
      <c r="E5192" t="s">
        <v>15549</v>
      </c>
    </row>
    <row r="5193" spans="1:5" x14ac:dyDescent="0.2">
      <c r="A5193" t="s">
        <v>15550</v>
      </c>
      <c r="B5193" t="s">
        <v>15551</v>
      </c>
      <c r="C5193" t="s">
        <v>15551</v>
      </c>
      <c r="D5193" t="str">
        <f>HYPERLINK("https://zfin.org/ZDB-GENE-131127-190")</f>
        <v>https://zfin.org/ZDB-GENE-131127-190</v>
      </c>
      <c r="E5193" t="s">
        <v>15552</v>
      </c>
    </row>
    <row r="5194" spans="1:5" x14ac:dyDescent="0.2">
      <c r="A5194" t="s">
        <v>15553</v>
      </c>
      <c r="B5194" t="s">
        <v>15554</v>
      </c>
      <c r="C5194" t="s">
        <v>15554</v>
      </c>
      <c r="D5194" t="str">
        <f>HYPERLINK("https://zfin.org/ZDB-GENE-060526-362")</f>
        <v>https://zfin.org/ZDB-GENE-060526-362</v>
      </c>
      <c r="E5194" t="s">
        <v>15555</v>
      </c>
    </row>
    <row r="5195" spans="1:5" x14ac:dyDescent="0.2">
      <c r="A5195" t="s">
        <v>15556</v>
      </c>
      <c r="B5195" t="s">
        <v>15557</v>
      </c>
      <c r="C5195" t="s">
        <v>15557</v>
      </c>
      <c r="D5195" t="str">
        <f>HYPERLINK("https://zfin.org/ZDB-GENE-041010-74")</f>
        <v>https://zfin.org/ZDB-GENE-041010-74</v>
      </c>
      <c r="E5195" t="s">
        <v>15558</v>
      </c>
    </row>
    <row r="5196" spans="1:5" x14ac:dyDescent="0.2">
      <c r="A5196" t="s">
        <v>15559</v>
      </c>
      <c r="B5196" t="s">
        <v>15560</v>
      </c>
      <c r="C5196" t="s">
        <v>15560</v>
      </c>
      <c r="D5196" t="str">
        <f>HYPERLINK("https://zfin.org/ZDB-GENE-050506-100")</f>
        <v>https://zfin.org/ZDB-GENE-050506-100</v>
      </c>
      <c r="E5196" t="s">
        <v>15561</v>
      </c>
    </row>
    <row r="5197" spans="1:5" x14ac:dyDescent="0.2">
      <c r="A5197" t="s">
        <v>15562</v>
      </c>
      <c r="B5197" t="s">
        <v>15563</v>
      </c>
      <c r="C5197" t="s">
        <v>15563</v>
      </c>
      <c r="D5197" t="str">
        <f>HYPERLINK("https://zfin.org/ZDB-GENE-030804-21")</f>
        <v>https://zfin.org/ZDB-GENE-030804-21</v>
      </c>
      <c r="E5197" t="s">
        <v>15564</v>
      </c>
    </row>
    <row r="5198" spans="1:5" x14ac:dyDescent="0.2">
      <c r="A5198" t="s">
        <v>15565</v>
      </c>
      <c r="B5198" t="s">
        <v>15566</v>
      </c>
      <c r="C5198" t="s">
        <v>15566</v>
      </c>
      <c r="D5198" t="str">
        <f>HYPERLINK("https://zfin.org/ZDB-GENE-040426-1331")</f>
        <v>https://zfin.org/ZDB-GENE-040426-1331</v>
      </c>
      <c r="E5198" t="s">
        <v>15567</v>
      </c>
    </row>
    <row r="5199" spans="1:5" x14ac:dyDescent="0.2">
      <c r="A5199" t="s">
        <v>15568</v>
      </c>
      <c r="B5199" t="s">
        <v>15569</v>
      </c>
      <c r="C5199" t="s">
        <v>15569</v>
      </c>
      <c r="D5199" t="str">
        <f>HYPERLINK("https://zfin.org/ZDB-GENE-060531-160")</f>
        <v>https://zfin.org/ZDB-GENE-060531-160</v>
      </c>
      <c r="E5199" t="s">
        <v>15570</v>
      </c>
    </row>
    <row r="5200" spans="1:5" x14ac:dyDescent="0.2">
      <c r="A5200" t="s">
        <v>15571</v>
      </c>
      <c r="B5200" t="s">
        <v>15572</v>
      </c>
      <c r="C5200" t="s">
        <v>15572</v>
      </c>
      <c r="D5200" t="str">
        <f>HYPERLINK("https://zfin.org/ZDB-GENE-070209-80")</f>
        <v>https://zfin.org/ZDB-GENE-070209-80</v>
      </c>
      <c r="E5200" t="s">
        <v>15573</v>
      </c>
    </row>
    <row r="5201" spans="1:5" x14ac:dyDescent="0.2">
      <c r="A5201" t="s">
        <v>15574</v>
      </c>
      <c r="B5201" t="s">
        <v>15575</v>
      </c>
      <c r="C5201" t="s">
        <v>15575</v>
      </c>
      <c r="D5201" t="str">
        <f>HYPERLINK("https://zfin.org/ZDB-GENE-131127-243")</f>
        <v>https://zfin.org/ZDB-GENE-131127-243</v>
      </c>
      <c r="E5201" t="s">
        <v>15576</v>
      </c>
    </row>
    <row r="5202" spans="1:5" x14ac:dyDescent="0.2">
      <c r="A5202" t="s">
        <v>15577</v>
      </c>
      <c r="B5202" t="s">
        <v>15578</v>
      </c>
      <c r="C5202" t="s">
        <v>15578</v>
      </c>
      <c r="D5202" t="str">
        <f>HYPERLINK("https://zfin.org/ZDB-GENE-070424-139")</f>
        <v>https://zfin.org/ZDB-GENE-070424-139</v>
      </c>
      <c r="E5202" t="s">
        <v>15579</v>
      </c>
    </row>
    <row r="5203" spans="1:5" x14ac:dyDescent="0.2">
      <c r="A5203" t="s">
        <v>15580</v>
      </c>
      <c r="B5203" t="s">
        <v>15581</v>
      </c>
      <c r="C5203" t="s">
        <v>15581</v>
      </c>
      <c r="D5203" t="str">
        <f>HYPERLINK("https://zfin.org/ZDB-GENE-070809-4")</f>
        <v>https://zfin.org/ZDB-GENE-070809-4</v>
      </c>
      <c r="E5203" t="s">
        <v>15582</v>
      </c>
    </row>
    <row r="5204" spans="1:5" x14ac:dyDescent="0.2">
      <c r="A5204" t="s">
        <v>15583</v>
      </c>
      <c r="B5204" t="s">
        <v>15584</v>
      </c>
      <c r="C5204" t="s">
        <v>15584</v>
      </c>
      <c r="D5204" t="str">
        <f>HYPERLINK("https://zfin.org/ZDB-GENE-050309-237")</f>
        <v>https://zfin.org/ZDB-GENE-050309-237</v>
      </c>
      <c r="E5204" t="s">
        <v>15585</v>
      </c>
    </row>
    <row r="5205" spans="1:5" x14ac:dyDescent="0.2">
      <c r="A5205" t="s">
        <v>15586</v>
      </c>
      <c r="B5205" t="s">
        <v>15587</v>
      </c>
      <c r="C5205" t="s">
        <v>15587</v>
      </c>
      <c r="D5205" t="str">
        <f>HYPERLINK("https://zfin.org/ZDB-GENE-041212-50")</f>
        <v>https://zfin.org/ZDB-GENE-041212-50</v>
      </c>
      <c r="E5205" t="s">
        <v>15588</v>
      </c>
    </row>
    <row r="5206" spans="1:5" x14ac:dyDescent="0.2">
      <c r="A5206" t="s">
        <v>15589</v>
      </c>
      <c r="B5206" t="s">
        <v>15590</v>
      </c>
      <c r="C5206" t="s">
        <v>15590</v>
      </c>
      <c r="D5206" t="str">
        <f>HYPERLINK("https://zfin.org/ZDB-GENE-060312-27")</f>
        <v>https://zfin.org/ZDB-GENE-060312-27</v>
      </c>
      <c r="E5206" t="s">
        <v>15591</v>
      </c>
    </row>
    <row r="5207" spans="1:5" x14ac:dyDescent="0.2">
      <c r="A5207" t="s">
        <v>15592</v>
      </c>
      <c r="B5207" t="s">
        <v>15593</v>
      </c>
      <c r="C5207" t="s">
        <v>15593</v>
      </c>
      <c r="D5207" t="str">
        <f>HYPERLINK("https://zfin.org/ZDB-GENE-081104-57")</f>
        <v>https://zfin.org/ZDB-GENE-081104-57</v>
      </c>
      <c r="E5207" t="s">
        <v>15594</v>
      </c>
    </row>
    <row r="5208" spans="1:5" x14ac:dyDescent="0.2">
      <c r="A5208" t="s">
        <v>15595</v>
      </c>
      <c r="B5208" t="s">
        <v>15596</v>
      </c>
      <c r="C5208" t="s">
        <v>15596</v>
      </c>
      <c r="D5208" t="str">
        <f>HYPERLINK("https://zfin.org/ZDB-GENE-040426-810")</f>
        <v>https://zfin.org/ZDB-GENE-040426-810</v>
      </c>
      <c r="E5208" t="s">
        <v>15597</v>
      </c>
    </row>
    <row r="5209" spans="1:5" x14ac:dyDescent="0.2">
      <c r="A5209" t="s">
        <v>15598</v>
      </c>
      <c r="B5209" t="s">
        <v>15599</v>
      </c>
      <c r="C5209" t="s">
        <v>15599</v>
      </c>
      <c r="D5209" t="str">
        <f>HYPERLINK("https://zfin.org/ZDB-GENE-050417-9")</f>
        <v>https://zfin.org/ZDB-GENE-050417-9</v>
      </c>
      <c r="E5209" t="s">
        <v>15600</v>
      </c>
    </row>
    <row r="5210" spans="1:5" x14ac:dyDescent="0.2">
      <c r="A5210" t="s">
        <v>15601</v>
      </c>
      <c r="B5210" t="s">
        <v>15602</v>
      </c>
      <c r="C5210" t="s">
        <v>15602</v>
      </c>
      <c r="D5210" t="str">
        <f>HYPERLINK("https://zfin.org/ZDB-GENE-060130-5")</f>
        <v>https://zfin.org/ZDB-GENE-060130-5</v>
      </c>
      <c r="E5210" t="s">
        <v>15603</v>
      </c>
    </row>
    <row r="5211" spans="1:5" x14ac:dyDescent="0.2">
      <c r="A5211" t="s">
        <v>15604</v>
      </c>
      <c r="B5211" t="s">
        <v>15605</v>
      </c>
      <c r="C5211" t="s">
        <v>15605</v>
      </c>
      <c r="D5211" t="str">
        <f>HYPERLINK("https://zfin.org/ZDB-GENE-030131-418")</f>
        <v>https://zfin.org/ZDB-GENE-030131-418</v>
      </c>
      <c r="E5211" t="s">
        <v>15606</v>
      </c>
    </row>
    <row r="5212" spans="1:5" x14ac:dyDescent="0.2">
      <c r="A5212" t="s">
        <v>15607</v>
      </c>
      <c r="B5212" t="s">
        <v>15608</v>
      </c>
      <c r="C5212" t="s">
        <v>15608</v>
      </c>
      <c r="D5212" t="str">
        <f>HYPERLINK("https://zfin.org/ZDB-GENE-020812-1")</f>
        <v>https://zfin.org/ZDB-GENE-020812-1</v>
      </c>
      <c r="E5212" t="s">
        <v>15609</v>
      </c>
    </row>
    <row r="5213" spans="1:5" x14ac:dyDescent="0.2">
      <c r="A5213" t="s">
        <v>15610</v>
      </c>
      <c r="B5213" t="s">
        <v>15611</v>
      </c>
      <c r="C5213" t="s">
        <v>15611</v>
      </c>
      <c r="D5213" t="str">
        <f>HYPERLINK("https://zfin.org/ZDB-GENE-040625-74")</f>
        <v>https://zfin.org/ZDB-GENE-040625-74</v>
      </c>
      <c r="E5213" t="s">
        <v>15612</v>
      </c>
    </row>
    <row r="5214" spans="1:5" x14ac:dyDescent="0.2">
      <c r="A5214" t="s">
        <v>15613</v>
      </c>
      <c r="B5214" t="s">
        <v>15614</v>
      </c>
      <c r="C5214" t="s">
        <v>15614</v>
      </c>
      <c r="D5214" t="str">
        <f>HYPERLINK("https://zfin.org/ZDB-GENE-030131-6110")</f>
        <v>https://zfin.org/ZDB-GENE-030131-6110</v>
      </c>
      <c r="E5214" t="s">
        <v>15615</v>
      </c>
    </row>
    <row r="5215" spans="1:5" x14ac:dyDescent="0.2">
      <c r="A5215" t="s">
        <v>15616</v>
      </c>
      <c r="B5215" t="s">
        <v>15617</v>
      </c>
      <c r="C5215" t="s">
        <v>15617</v>
      </c>
      <c r="D5215" t="str">
        <f>HYPERLINK("https://zfin.org/ZDB-GENE-030219-147")</f>
        <v>https://zfin.org/ZDB-GENE-030219-147</v>
      </c>
      <c r="E5215" t="s">
        <v>15618</v>
      </c>
    </row>
    <row r="5216" spans="1:5" x14ac:dyDescent="0.2">
      <c r="A5216" t="s">
        <v>15619</v>
      </c>
      <c r="B5216" t="s">
        <v>15620</v>
      </c>
      <c r="C5216" t="s">
        <v>15620</v>
      </c>
      <c r="D5216" t="str">
        <f>HYPERLINK("https://zfin.org/ZDB-GENE-081104-452")</f>
        <v>https://zfin.org/ZDB-GENE-081104-452</v>
      </c>
      <c r="E5216" t="s">
        <v>15621</v>
      </c>
    </row>
    <row r="5217" spans="1:5" x14ac:dyDescent="0.2">
      <c r="A5217" t="s">
        <v>15622</v>
      </c>
      <c r="B5217" t="s">
        <v>15623</v>
      </c>
      <c r="C5217" t="s">
        <v>15623</v>
      </c>
      <c r="D5217" t="str">
        <f>HYPERLINK("https://zfin.org/ZDB-GENE-081104-468")</f>
        <v>https://zfin.org/ZDB-GENE-081104-468</v>
      </c>
      <c r="E5217" t="s">
        <v>15624</v>
      </c>
    </row>
    <row r="5218" spans="1:5" x14ac:dyDescent="0.2">
      <c r="A5218" t="s">
        <v>15625</v>
      </c>
      <c r="B5218" t="s">
        <v>15626</v>
      </c>
      <c r="C5218" t="s">
        <v>15626</v>
      </c>
      <c r="D5218" t="str">
        <f>HYPERLINK("https://zfin.org/ZDB-GENE-030827-1")</f>
        <v>https://zfin.org/ZDB-GENE-030827-1</v>
      </c>
      <c r="E5218" t="s">
        <v>15627</v>
      </c>
    </row>
    <row r="5219" spans="1:5" x14ac:dyDescent="0.2">
      <c r="A5219" t="s">
        <v>15628</v>
      </c>
      <c r="B5219" t="s">
        <v>15629</v>
      </c>
      <c r="C5219" t="s">
        <v>15629</v>
      </c>
      <c r="D5219" t="str">
        <f>HYPERLINK("https://zfin.org/ZDB-GENE-110131-8")</f>
        <v>https://zfin.org/ZDB-GENE-110131-8</v>
      </c>
      <c r="E5219" t="s">
        <v>15630</v>
      </c>
    </row>
    <row r="5220" spans="1:5" x14ac:dyDescent="0.2">
      <c r="A5220" t="s">
        <v>15631</v>
      </c>
      <c r="B5220" t="s">
        <v>15632</v>
      </c>
      <c r="C5220" t="s">
        <v>15632</v>
      </c>
      <c r="D5220" t="str">
        <f>HYPERLINK("https://zfin.org/ZDB-GENE-041114-146")</f>
        <v>https://zfin.org/ZDB-GENE-041114-146</v>
      </c>
      <c r="E5220" t="s">
        <v>15633</v>
      </c>
    </row>
    <row r="5221" spans="1:5" x14ac:dyDescent="0.2">
      <c r="A5221" t="s">
        <v>15634</v>
      </c>
      <c r="B5221" t="s">
        <v>15635</v>
      </c>
      <c r="C5221" t="s">
        <v>15635</v>
      </c>
      <c r="D5221" t="str">
        <f>HYPERLINK("https://zfin.org/ZDB-GENE-030131-9661")</f>
        <v>https://zfin.org/ZDB-GENE-030131-9661</v>
      </c>
      <c r="E5221" t="s">
        <v>15636</v>
      </c>
    </row>
    <row r="5222" spans="1:5" x14ac:dyDescent="0.2">
      <c r="A5222" t="s">
        <v>15637</v>
      </c>
      <c r="B5222" t="s">
        <v>15638</v>
      </c>
      <c r="C5222" t="s">
        <v>15638</v>
      </c>
      <c r="D5222" t="str">
        <f>HYPERLINK("https://zfin.org/ZDB-GENE-120709-66")</f>
        <v>https://zfin.org/ZDB-GENE-120709-66</v>
      </c>
      <c r="E5222" t="s">
        <v>15639</v>
      </c>
    </row>
    <row r="5223" spans="1:5" x14ac:dyDescent="0.2">
      <c r="A5223" t="s">
        <v>15640</v>
      </c>
      <c r="B5223" t="s">
        <v>15641</v>
      </c>
      <c r="C5223" t="s">
        <v>15641</v>
      </c>
      <c r="D5223" t="str">
        <f>HYPERLINK("https://zfin.org/ZDB-GENE-040914-13")</f>
        <v>https://zfin.org/ZDB-GENE-040914-13</v>
      </c>
      <c r="E5223" t="s">
        <v>15642</v>
      </c>
    </row>
    <row r="5224" spans="1:5" x14ac:dyDescent="0.2">
      <c r="A5224" t="s">
        <v>15643</v>
      </c>
      <c r="B5224" t="s">
        <v>15644</v>
      </c>
      <c r="C5224" t="s">
        <v>15644</v>
      </c>
      <c r="D5224" t="str">
        <f>HYPERLINK("https://zfin.org/ZDB-GENE-040801-105")</f>
        <v>https://zfin.org/ZDB-GENE-040801-105</v>
      </c>
      <c r="E5224" t="s">
        <v>15645</v>
      </c>
    </row>
    <row r="5225" spans="1:5" x14ac:dyDescent="0.2">
      <c r="A5225" t="s">
        <v>15646</v>
      </c>
      <c r="B5225" t="s">
        <v>15647</v>
      </c>
      <c r="C5225" t="s">
        <v>15647</v>
      </c>
      <c r="D5225" t="str">
        <f>HYPERLINK("https://zfin.org/ZDB-GENE-091120-5")</f>
        <v>https://zfin.org/ZDB-GENE-091120-5</v>
      </c>
      <c r="E5225" t="s">
        <v>15648</v>
      </c>
    </row>
    <row r="5226" spans="1:5" x14ac:dyDescent="0.2">
      <c r="A5226" t="s">
        <v>15649</v>
      </c>
      <c r="B5226" t="s">
        <v>15650</v>
      </c>
      <c r="C5226" t="s">
        <v>15650</v>
      </c>
      <c r="D5226" t="str">
        <f>HYPERLINK("https://zfin.org/ZDB-GENE-041008-151")</f>
        <v>https://zfin.org/ZDB-GENE-041008-151</v>
      </c>
      <c r="E5226" t="s">
        <v>15651</v>
      </c>
    </row>
    <row r="5227" spans="1:5" x14ac:dyDescent="0.2">
      <c r="A5227" t="s">
        <v>15652</v>
      </c>
      <c r="B5227" t="s">
        <v>15653</v>
      </c>
      <c r="C5227" t="s">
        <v>15653</v>
      </c>
      <c r="D5227" t="str">
        <f>HYPERLINK("https://zfin.org/ZDB-GENE-070424-66")</f>
        <v>https://zfin.org/ZDB-GENE-070424-66</v>
      </c>
      <c r="E5227" t="s">
        <v>15654</v>
      </c>
    </row>
    <row r="5228" spans="1:5" x14ac:dyDescent="0.2">
      <c r="A5228" t="s">
        <v>15655</v>
      </c>
      <c r="B5228" t="s">
        <v>15656</v>
      </c>
      <c r="C5228" t="s">
        <v>15656</v>
      </c>
      <c r="D5228" t="str">
        <f>HYPERLINK("https://zfin.org/ZDB-GENE-080220-18")</f>
        <v>https://zfin.org/ZDB-GENE-080220-18</v>
      </c>
      <c r="E5228" t="s">
        <v>15657</v>
      </c>
    </row>
    <row r="5229" spans="1:5" x14ac:dyDescent="0.2">
      <c r="A5229" t="s">
        <v>15658</v>
      </c>
      <c r="B5229" t="s">
        <v>15659</v>
      </c>
      <c r="C5229" t="s">
        <v>15659</v>
      </c>
      <c r="D5229" t="str">
        <f>HYPERLINK("https://zfin.org/ZDB-GENE-070424-71")</f>
        <v>https://zfin.org/ZDB-GENE-070424-71</v>
      </c>
      <c r="E5229" t="s">
        <v>15660</v>
      </c>
    </row>
    <row r="5230" spans="1:5" x14ac:dyDescent="0.2">
      <c r="A5230" t="s">
        <v>15661</v>
      </c>
      <c r="B5230" t="s">
        <v>15662</v>
      </c>
      <c r="C5230" t="s">
        <v>15662</v>
      </c>
      <c r="D5230" t="str">
        <f>HYPERLINK("https://zfin.org/ZDB-GENE-040426-828")</f>
        <v>https://zfin.org/ZDB-GENE-040426-828</v>
      </c>
      <c r="E5230" t="s">
        <v>15663</v>
      </c>
    </row>
    <row r="5231" spans="1:5" x14ac:dyDescent="0.2">
      <c r="A5231" t="s">
        <v>15664</v>
      </c>
      <c r="B5231" t="s">
        <v>15665</v>
      </c>
      <c r="C5231" t="s">
        <v>15665</v>
      </c>
      <c r="D5231" t="str">
        <f>HYPERLINK("https://zfin.org/ZDB-GENE-060503-810")</f>
        <v>https://zfin.org/ZDB-GENE-060503-810</v>
      </c>
      <c r="E5231" t="s">
        <v>15666</v>
      </c>
    </row>
    <row r="5232" spans="1:5" x14ac:dyDescent="0.2">
      <c r="A5232" t="s">
        <v>15667</v>
      </c>
      <c r="B5232" t="s">
        <v>15668</v>
      </c>
      <c r="C5232" t="s">
        <v>15668</v>
      </c>
      <c r="D5232" t="str">
        <f>HYPERLINK("https://zfin.org/ZDB-GENE-041111-13")</f>
        <v>https://zfin.org/ZDB-GENE-041111-13</v>
      </c>
      <c r="E5232" t="s">
        <v>15669</v>
      </c>
    </row>
    <row r="5233" spans="1:5" x14ac:dyDescent="0.2">
      <c r="A5233" t="s">
        <v>15670</v>
      </c>
      <c r="B5233" t="s">
        <v>15671</v>
      </c>
      <c r="C5233" t="s">
        <v>15671</v>
      </c>
      <c r="D5233" t="str">
        <f>HYPERLINK("https://zfin.org/ZDB-GENE-040426-1109")</f>
        <v>https://zfin.org/ZDB-GENE-040426-1109</v>
      </c>
      <c r="E5233" t="s">
        <v>15672</v>
      </c>
    </row>
    <row r="5234" spans="1:5" x14ac:dyDescent="0.2">
      <c r="A5234" t="s">
        <v>15673</v>
      </c>
      <c r="B5234" t="s">
        <v>15674</v>
      </c>
      <c r="C5234" t="s">
        <v>15674</v>
      </c>
      <c r="D5234" t="str">
        <f>HYPERLINK("https://zfin.org/ZDB-GENE-040426-1248")</f>
        <v>https://zfin.org/ZDB-GENE-040426-1248</v>
      </c>
      <c r="E5234" t="s">
        <v>15675</v>
      </c>
    </row>
    <row r="5235" spans="1:5" x14ac:dyDescent="0.2">
      <c r="A5235" t="s">
        <v>15676</v>
      </c>
      <c r="B5235" t="s">
        <v>15677</v>
      </c>
      <c r="C5235" t="s">
        <v>15677</v>
      </c>
      <c r="D5235" t="str">
        <f>HYPERLINK("https://zfin.org/ZDB-GENE-100921-8")</f>
        <v>https://zfin.org/ZDB-GENE-100921-8</v>
      </c>
      <c r="E5235" t="s">
        <v>15678</v>
      </c>
    </row>
    <row r="5236" spans="1:5" x14ac:dyDescent="0.2">
      <c r="A5236" t="s">
        <v>15679</v>
      </c>
      <c r="B5236" t="s">
        <v>15680</v>
      </c>
      <c r="C5236" t="s">
        <v>15680</v>
      </c>
      <c r="D5236" t="str">
        <f>HYPERLINK("https://zfin.org/ZDB-GENE-050522-517")</f>
        <v>https://zfin.org/ZDB-GENE-050522-517</v>
      </c>
      <c r="E5236" t="s">
        <v>15681</v>
      </c>
    </row>
    <row r="5237" spans="1:5" x14ac:dyDescent="0.2">
      <c r="A5237" t="s">
        <v>15682</v>
      </c>
      <c r="B5237" t="s">
        <v>15683</v>
      </c>
      <c r="C5237" t="s">
        <v>15683</v>
      </c>
      <c r="D5237" t="str">
        <f>HYPERLINK("https://zfin.org/ZDB-GENE-030616-614")</f>
        <v>https://zfin.org/ZDB-GENE-030616-614</v>
      </c>
      <c r="E5237" t="s">
        <v>15684</v>
      </c>
    </row>
    <row r="5238" spans="1:5" x14ac:dyDescent="0.2">
      <c r="A5238" t="s">
        <v>15685</v>
      </c>
      <c r="B5238" t="s">
        <v>15686</v>
      </c>
      <c r="C5238" t="s">
        <v>15686</v>
      </c>
      <c r="D5238" t="str">
        <f>HYPERLINK("https://zfin.org/ZDB-GENE-031112-2")</f>
        <v>https://zfin.org/ZDB-GENE-031112-2</v>
      </c>
      <c r="E5238" t="s">
        <v>15687</v>
      </c>
    </row>
    <row r="5239" spans="1:5" x14ac:dyDescent="0.2">
      <c r="A5239" t="s">
        <v>15688</v>
      </c>
      <c r="B5239" t="s">
        <v>15689</v>
      </c>
      <c r="C5239" t="s">
        <v>15689</v>
      </c>
      <c r="D5239" t="str">
        <f>HYPERLINK("https://zfin.org/ZDB-GENE-081105-141")</f>
        <v>https://zfin.org/ZDB-GENE-081105-141</v>
      </c>
      <c r="E5239" t="s">
        <v>15690</v>
      </c>
    </row>
    <row r="5240" spans="1:5" x14ac:dyDescent="0.2">
      <c r="A5240" t="s">
        <v>15691</v>
      </c>
      <c r="B5240" t="s">
        <v>15692</v>
      </c>
      <c r="C5240" t="s">
        <v>15692</v>
      </c>
      <c r="D5240" t="str">
        <f>HYPERLINK("https://zfin.org/ZDB-GENE-050417-268")</f>
        <v>https://zfin.org/ZDB-GENE-050417-268</v>
      </c>
      <c r="E5240" t="s">
        <v>15693</v>
      </c>
    </row>
    <row r="5241" spans="1:5" x14ac:dyDescent="0.2">
      <c r="A5241" t="s">
        <v>15694</v>
      </c>
      <c r="B5241" t="s">
        <v>15695</v>
      </c>
      <c r="C5241" t="s">
        <v>15695</v>
      </c>
      <c r="D5241" t="str">
        <f>HYPERLINK("https://zfin.org/ZDB-GENE-030131-204")</f>
        <v>https://zfin.org/ZDB-GENE-030131-204</v>
      </c>
      <c r="E5241" t="s">
        <v>15696</v>
      </c>
    </row>
    <row r="5242" spans="1:5" x14ac:dyDescent="0.2">
      <c r="A5242" t="s">
        <v>15697</v>
      </c>
      <c r="B5242" t="s">
        <v>15698</v>
      </c>
      <c r="C5242" t="s">
        <v>15698</v>
      </c>
      <c r="D5242" t="str">
        <f>HYPERLINK("https://zfin.org/ZDB-GENE-040426-880")</f>
        <v>https://zfin.org/ZDB-GENE-040426-880</v>
      </c>
      <c r="E5242" t="s">
        <v>15699</v>
      </c>
    </row>
    <row r="5243" spans="1:5" x14ac:dyDescent="0.2">
      <c r="A5243" t="s">
        <v>15700</v>
      </c>
      <c r="B5243" t="s">
        <v>15701</v>
      </c>
      <c r="C5243" t="s">
        <v>15701</v>
      </c>
      <c r="D5243" t="str">
        <f>HYPERLINK("https://zfin.org/ZDB-GENE-041010-94")</f>
        <v>https://zfin.org/ZDB-GENE-041010-94</v>
      </c>
      <c r="E5243" t="s">
        <v>15702</v>
      </c>
    </row>
    <row r="5244" spans="1:5" x14ac:dyDescent="0.2">
      <c r="A5244" t="s">
        <v>15703</v>
      </c>
      <c r="B5244" t="s">
        <v>15704</v>
      </c>
      <c r="C5244" t="s">
        <v>15704</v>
      </c>
      <c r="D5244" t="str">
        <f>HYPERLINK("https://zfin.org/ZDB-GENE-070112-2112")</f>
        <v>https://zfin.org/ZDB-GENE-070112-2112</v>
      </c>
      <c r="E5244" t="s">
        <v>15705</v>
      </c>
    </row>
    <row r="5245" spans="1:5" x14ac:dyDescent="0.2">
      <c r="A5245" t="s">
        <v>15706</v>
      </c>
      <c r="B5245" t="s">
        <v>15707</v>
      </c>
      <c r="C5245" t="s">
        <v>15707</v>
      </c>
      <c r="D5245" t="str">
        <f>HYPERLINK("https://zfin.org/ZDB-GENE-030131-8173")</f>
        <v>https://zfin.org/ZDB-GENE-030131-8173</v>
      </c>
      <c r="E5245" t="s">
        <v>15708</v>
      </c>
    </row>
    <row r="5246" spans="1:5" x14ac:dyDescent="0.2">
      <c r="A5246" t="s">
        <v>15709</v>
      </c>
      <c r="B5246" t="s">
        <v>15710</v>
      </c>
      <c r="C5246" t="s">
        <v>15710</v>
      </c>
      <c r="D5246" t="str">
        <f>HYPERLINK("https://zfin.org/ZDB-GENE-041114-174")</f>
        <v>https://zfin.org/ZDB-GENE-041114-174</v>
      </c>
      <c r="E5246" t="s">
        <v>15711</v>
      </c>
    </row>
    <row r="5247" spans="1:5" x14ac:dyDescent="0.2">
      <c r="A5247" t="s">
        <v>15712</v>
      </c>
      <c r="B5247" t="s">
        <v>15713</v>
      </c>
      <c r="C5247" t="s">
        <v>15713</v>
      </c>
      <c r="D5247" t="str">
        <f>HYPERLINK("https://zfin.org/")</f>
        <v>https://zfin.org/</v>
      </c>
    </row>
    <row r="5248" spans="1:5" x14ac:dyDescent="0.2">
      <c r="A5248" t="s">
        <v>15714</v>
      </c>
      <c r="B5248" t="s">
        <v>15715</v>
      </c>
      <c r="C5248" t="s">
        <v>15715</v>
      </c>
      <c r="D5248" t="str">
        <f>HYPERLINK("https://zfin.org/ZDB-GENE-040625-175")</f>
        <v>https://zfin.org/ZDB-GENE-040625-175</v>
      </c>
      <c r="E5248" t="s">
        <v>15716</v>
      </c>
    </row>
    <row r="5249" spans="1:5" x14ac:dyDescent="0.2">
      <c r="A5249" t="s">
        <v>15717</v>
      </c>
      <c r="B5249" t="s">
        <v>15718</v>
      </c>
      <c r="C5249" t="s">
        <v>15718</v>
      </c>
      <c r="D5249" t="str">
        <f>HYPERLINK("https://zfin.org/ZDB-GENE-060929-448")</f>
        <v>https://zfin.org/ZDB-GENE-060929-448</v>
      </c>
      <c r="E5249" t="s">
        <v>15719</v>
      </c>
    </row>
    <row r="5250" spans="1:5" x14ac:dyDescent="0.2">
      <c r="A5250" t="s">
        <v>15720</v>
      </c>
      <c r="B5250" t="s">
        <v>15721</v>
      </c>
      <c r="C5250" t="s">
        <v>15721</v>
      </c>
      <c r="D5250" t="str">
        <f>HYPERLINK("https://zfin.org/ZDB-GENE-040426-2117")</f>
        <v>https://zfin.org/ZDB-GENE-040426-2117</v>
      </c>
      <c r="E5250" t="s">
        <v>15722</v>
      </c>
    </row>
    <row r="5251" spans="1:5" x14ac:dyDescent="0.2">
      <c r="A5251" t="s">
        <v>15723</v>
      </c>
      <c r="B5251" t="s">
        <v>15724</v>
      </c>
      <c r="C5251" t="s">
        <v>15724</v>
      </c>
      <c r="D5251" t="str">
        <f>HYPERLINK("https://zfin.org/ZDB-GENE-030131-2617")</f>
        <v>https://zfin.org/ZDB-GENE-030131-2617</v>
      </c>
      <c r="E5251" t="s">
        <v>15725</v>
      </c>
    </row>
    <row r="5252" spans="1:5" x14ac:dyDescent="0.2">
      <c r="A5252" t="s">
        <v>15726</v>
      </c>
      <c r="B5252" t="s">
        <v>15727</v>
      </c>
      <c r="C5252" t="s">
        <v>15727</v>
      </c>
      <c r="D5252" t="str">
        <f>HYPERLINK("https://zfin.org/ZDB-GENE-030131-2411")</f>
        <v>https://zfin.org/ZDB-GENE-030131-2411</v>
      </c>
      <c r="E5252" t="s">
        <v>15728</v>
      </c>
    </row>
    <row r="5253" spans="1:5" x14ac:dyDescent="0.2">
      <c r="A5253" t="s">
        <v>15729</v>
      </c>
      <c r="B5253" t="s">
        <v>15730</v>
      </c>
      <c r="C5253" t="s">
        <v>15730</v>
      </c>
      <c r="D5253" t="str">
        <f>HYPERLINK("https://zfin.org/ZDB-GENE-091204-117")</f>
        <v>https://zfin.org/ZDB-GENE-091204-117</v>
      </c>
      <c r="E5253" t="s">
        <v>15731</v>
      </c>
    </row>
    <row r="5254" spans="1:5" x14ac:dyDescent="0.2">
      <c r="A5254" t="s">
        <v>15732</v>
      </c>
      <c r="B5254" t="s">
        <v>15733</v>
      </c>
      <c r="C5254" t="s">
        <v>15733</v>
      </c>
      <c r="D5254" t="str">
        <f>HYPERLINK("https://zfin.org/ZDB-GENE-131121-308")</f>
        <v>https://zfin.org/ZDB-GENE-131121-308</v>
      </c>
      <c r="E5254" t="s">
        <v>15734</v>
      </c>
    </row>
    <row r="5255" spans="1:5" x14ac:dyDescent="0.2">
      <c r="A5255" t="s">
        <v>15735</v>
      </c>
      <c r="B5255" t="s">
        <v>15736</v>
      </c>
      <c r="C5255" t="s">
        <v>15736</v>
      </c>
      <c r="D5255" t="str">
        <f>HYPERLINK("https://zfin.org/ZDB-GENE-091204-289")</f>
        <v>https://zfin.org/ZDB-GENE-091204-289</v>
      </c>
      <c r="E5255" t="s">
        <v>15737</v>
      </c>
    </row>
    <row r="5256" spans="1:5" x14ac:dyDescent="0.2">
      <c r="A5256" t="s">
        <v>15738</v>
      </c>
      <c r="B5256" t="s">
        <v>15739</v>
      </c>
      <c r="C5256" t="s">
        <v>15739</v>
      </c>
      <c r="D5256" t="str">
        <f>HYPERLINK("https://zfin.org/ZDB-GENE-061013-84")</f>
        <v>https://zfin.org/ZDB-GENE-061013-84</v>
      </c>
      <c r="E5256" t="s">
        <v>15740</v>
      </c>
    </row>
    <row r="5257" spans="1:5" x14ac:dyDescent="0.2">
      <c r="A5257" t="s">
        <v>15741</v>
      </c>
      <c r="B5257" t="s">
        <v>15742</v>
      </c>
      <c r="C5257" t="s">
        <v>15742</v>
      </c>
      <c r="D5257" t="str">
        <f>HYPERLINK("https://zfin.org/ZDB-GENE-030131-7091")</f>
        <v>https://zfin.org/ZDB-GENE-030131-7091</v>
      </c>
      <c r="E5257" t="s">
        <v>15743</v>
      </c>
    </row>
    <row r="5258" spans="1:5" x14ac:dyDescent="0.2">
      <c r="A5258" t="s">
        <v>15744</v>
      </c>
      <c r="B5258" t="s">
        <v>15745</v>
      </c>
      <c r="C5258" t="s">
        <v>15745</v>
      </c>
      <c r="D5258" t="str">
        <f>HYPERLINK("https://zfin.org/ZDB-GENE-030721-1")</f>
        <v>https://zfin.org/ZDB-GENE-030721-1</v>
      </c>
      <c r="E5258" t="s">
        <v>15746</v>
      </c>
    </row>
    <row r="5259" spans="1:5" x14ac:dyDescent="0.2">
      <c r="A5259" t="s">
        <v>15747</v>
      </c>
      <c r="B5259" t="s">
        <v>15748</v>
      </c>
      <c r="C5259" t="s">
        <v>15748</v>
      </c>
      <c r="D5259" t="str">
        <f>HYPERLINK("https://zfin.org/ZDB-GENE-070912-341")</f>
        <v>https://zfin.org/ZDB-GENE-070912-341</v>
      </c>
      <c r="E5259" t="s">
        <v>15749</v>
      </c>
    </row>
    <row r="5260" spans="1:5" x14ac:dyDescent="0.2">
      <c r="A5260" t="s">
        <v>15750</v>
      </c>
      <c r="B5260" t="s">
        <v>15751</v>
      </c>
      <c r="C5260" t="s">
        <v>15751</v>
      </c>
      <c r="D5260" t="str">
        <f>HYPERLINK("https://zfin.org/ZDB-GENE-061027-67")</f>
        <v>https://zfin.org/ZDB-GENE-061027-67</v>
      </c>
      <c r="E5260" t="s">
        <v>15752</v>
      </c>
    </row>
    <row r="5261" spans="1:5" x14ac:dyDescent="0.2">
      <c r="A5261" t="s">
        <v>15753</v>
      </c>
      <c r="B5261" t="s">
        <v>15754</v>
      </c>
      <c r="C5261" t="s">
        <v>15754</v>
      </c>
      <c r="D5261" t="str">
        <f>HYPERLINK("https://zfin.org/ZDB-GENE-040801-162")</f>
        <v>https://zfin.org/ZDB-GENE-040801-162</v>
      </c>
      <c r="E5261" t="s">
        <v>15755</v>
      </c>
    </row>
    <row r="5262" spans="1:5" x14ac:dyDescent="0.2">
      <c r="A5262" t="s">
        <v>15756</v>
      </c>
      <c r="B5262" t="s">
        <v>15757</v>
      </c>
      <c r="C5262" t="s">
        <v>15757</v>
      </c>
      <c r="D5262" t="str">
        <f>HYPERLINK("https://zfin.org/ZDB-GENE-040426-2706")</f>
        <v>https://zfin.org/ZDB-GENE-040426-2706</v>
      </c>
      <c r="E5262" t="s">
        <v>15758</v>
      </c>
    </row>
    <row r="5263" spans="1:5" x14ac:dyDescent="0.2">
      <c r="A5263" t="s">
        <v>15759</v>
      </c>
      <c r="B5263" t="s">
        <v>15760</v>
      </c>
      <c r="C5263" t="s">
        <v>15760</v>
      </c>
      <c r="D5263" t="str">
        <f>HYPERLINK("https://zfin.org/ZDB-GENE-131127-595")</f>
        <v>https://zfin.org/ZDB-GENE-131127-595</v>
      </c>
      <c r="E5263" t="s">
        <v>15761</v>
      </c>
    </row>
    <row r="5264" spans="1:5" x14ac:dyDescent="0.2">
      <c r="A5264" t="s">
        <v>15762</v>
      </c>
      <c r="B5264" t="s">
        <v>15763</v>
      </c>
      <c r="C5264" t="s">
        <v>15763</v>
      </c>
      <c r="D5264" t="str">
        <f>HYPERLINK("https://zfin.org/ZDB-GENE-141216-274")</f>
        <v>https://zfin.org/ZDB-GENE-141216-274</v>
      </c>
      <c r="E5264" t="s">
        <v>15764</v>
      </c>
    </row>
    <row r="5265" spans="1:5" x14ac:dyDescent="0.2">
      <c r="A5265" t="s">
        <v>15765</v>
      </c>
      <c r="B5265" t="s">
        <v>15766</v>
      </c>
      <c r="C5265" t="s">
        <v>15766</v>
      </c>
      <c r="D5265" t="str">
        <f>HYPERLINK("https://zfin.org/ZDB-GENE-050706-140")</f>
        <v>https://zfin.org/ZDB-GENE-050706-140</v>
      </c>
      <c r="E5265" t="s">
        <v>15767</v>
      </c>
    </row>
    <row r="5266" spans="1:5" x14ac:dyDescent="0.2">
      <c r="A5266" t="s">
        <v>15768</v>
      </c>
      <c r="B5266" t="s">
        <v>15769</v>
      </c>
      <c r="C5266" t="s">
        <v>15769</v>
      </c>
      <c r="D5266" t="str">
        <f>HYPERLINK("https://zfin.org/ZDB-GENE-060825-85")</f>
        <v>https://zfin.org/ZDB-GENE-060825-85</v>
      </c>
      <c r="E5266" t="s">
        <v>15770</v>
      </c>
    </row>
    <row r="5267" spans="1:5" x14ac:dyDescent="0.2">
      <c r="A5267" t="s">
        <v>15771</v>
      </c>
      <c r="B5267" t="s">
        <v>15772</v>
      </c>
      <c r="C5267" t="s">
        <v>15772</v>
      </c>
      <c r="D5267" t="str">
        <f>HYPERLINK("https://zfin.org/ZDB-GENE-030131-2830")</f>
        <v>https://zfin.org/ZDB-GENE-030131-2830</v>
      </c>
      <c r="E5267" t="s">
        <v>15773</v>
      </c>
    </row>
    <row r="5268" spans="1:5" x14ac:dyDescent="0.2">
      <c r="A5268" t="s">
        <v>15774</v>
      </c>
      <c r="B5268" t="s">
        <v>15775</v>
      </c>
      <c r="C5268" t="s">
        <v>15775</v>
      </c>
      <c r="D5268" t="str">
        <f>HYPERLINK("https://zfin.org/ZDB-GENE-030131-7249")</f>
        <v>https://zfin.org/ZDB-GENE-030131-7249</v>
      </c>
      <c r="E5268" t="s">
        <v>15776</v>
      </c>
    </row>
    <row r="5269" spans="1:5" x14ac:dyDescent="0.2">
      <c r="A5269" t="s">
        <v>15777</v>
      </c>
      <c r="B5269" t="s">
        <v>15778</v>
      </c>
      <c r="C5269" t="s">
        <v>15778</v>
      </c>
      <c r="D5269" t="str">
        <f>HYPERLINK("https://zfin.org/ZDB-GENE-090313-184")</f>
        <v>https://zfin.org/ZDB-GENE-090313-184</v>
      </c>
      <c r="E5269" t="s">
        <v>15779</v>
      </c>
    </row>
    <row r="5270" spans="1:5" x14ac:dyDescent="0.2">
      <c r="A5270" t="s">
        <v>15780</v>
      </c>
      <c r="B5270" t="s">
        <v>15781</v>
      </c>
      <c r="C5270" t="s">
        <v>15781</v>
      </c>
      <c r="D5270" t="str">
        <f>HYPERLINK("https://zfin.org/ZDB-GENE-041010-133")</f>
        <v>https://zfin.org/ZDB-GENE-041010-133</v>
      </c>
      <c r="E5270" t="s">
        <v>15782</v>
      </c>
    </row>
    <row r="5271" spans="1:5" x14ac:dyDescent="0.2">
      <c r="A5271" t="s">
        <v>15783</v>
      </c>
      <c r="B5271" t="s">
        <v>15784</v>
      </c>
      <c r="C5271" t="s">
        <v>15784</v>
      </c>
      <c r="D5271" t="str">
        <f>HYPERLINK("https://zfin.org/ZDB-GENE-090514-2")</f>
        <v>https://zfin.org/ZDB-GENE-090514-2</v>
      </c>
      <c r="E5271" t="s">
        <v>15785</v>
      </c>
    </row>
    <row r="5272" spans="1:5" x14ac:dyDescent="0.2">
      <c r="A5272" t="s">
        <v>15786</v>
      </c>
      <c r="B5272" t="s">
        <v>15787</v>
      </c>
      <c r="C5272" t="s">
        <v>15787</v>
      </c>
      <c r="D5272" t="str">
        <f>HYPERLINK("https://zfin.org/ZDB-GENE-060810-17")</f>
        <v>https://zfin.org/ZDB-GENE-060810-17</v>
      </c>
      <c r="E5272" t="s">
        <v>15788</v>
      </c>
    </row>
    <row r="5273" spans="1:5" x14ac:dyDescent="0.2">
      <c r="A5273" t="s">
        <v>15789</v>
      </c>
      <c r="B5273" t="s">
        <v>15790</v>
      </c>
      <c r="C5273" t="s">
        <v>15790</v>
      </c>
      <c r="D5273" t="str">
        <f>HYPERLINK("https://zfin.org/ZDB-GENE-040724-209")</f>
        <v>https://zfin.org/ZDB-GENE-040724-209</v>
      </c>
      <c r="E5273" t="s">
        <v>15791</v>
      </c>
    </row>
    <row r="5274" spans="1:5" x14ac:dyDescent="0.2">
      <c r="A5274" t="s">
        <v>15792</v>
      </c>
      <c r="B5274" t="s">
        <v>15793</v>
      </c>
      <c r="C5274" t="s">
        <v>15793</v>
      </c>
      <c r="D5274" t="str">
        <f>HYPERLINK("https://zfin.org/ZDB-GENE-070705-152")</f>
        <v>https://zfin.org/ZDB-GENE-070705-152</v>
      </c>
      <c r="E5274" t="s">
        <v>15794</v>
      </c>
    </row>
    <row r="5275" spans="1:5" x14ac:dyDescent="0.2">
      <c r="A5275" t="s">
        <v>15795</v>
      </c>
      <c r="B5275" t="s">
        <v>15796</v>
      </c>
      <c r="C5275" t="s">
        <v>15796</v>
      </c>
      <c r="D5275" t="str">
        <f>HYPERLINK("https://zfin.org/ZDB-GENE-081104-210")</f>
        <v>https://zfin.org/ZDB-GENE-081104-210</v>
      </c>
      <c r="E5275" t="s">
        <v>15797</v>
      </c>
    </row>
    <row r="5276" spans="1:5" x14ac:dyDescent="0.2">
      <c r="A5276" t="s">
        <v>15798</v>
      </c>
      <c r="B5276" t="s">
        <v>15799</v>
      </c>
      <c r="C5276" t="s">
        <v>15799</v>
      </c>
      <c r="D5276" t="str">
        <f>HYPERLINK("https://zfin.org/ZDB-GENE-130530-1010")</f>
        <v>https://zfin.org/ZDB-GENE-130530-1010</v>
      </c>
      <c r="E5276" t="s">
        <v>15800</v>
      </c>
    </row>
    <row r="5277" spans="1:5" x14ac:dyDescent="0.2">
      <c r="A5277" t="s">
        <v>15801</v>
      </c>
      <c r="B5277" t="s">
        <v>15802</v>
      </c>
      <c r="C5277" t="s">
        <v>15802</v>
      </c>
      <c r="D5277" t="str">
        <f>HYPERLINK("https://zfin.org/ZDB-GENE-040624-9")</f>
        <v>https://zfin.org/ZDB-GENE-040624-9</v>
      </c>
      <c r="E5277" t="s">
        <v>15803</v>
      </c>
    </row>
    <row r="5278" spans="1:5" x14ac:dyDescent="0.2">
      <c r="A5278" t="s">
        <v>15804</v>
      </c>
      <c r="B5278" t="s">
        <v>15805</v>
      </c>
      <c r="C5278" t="s">
        <v>15805</v>
      </c>
      <c r="D5278" t="str">
        <f>HYPERLINK("https://zfin.org/ZDB-GENE-040426-2141")</f>
        <v>https://zfin.org/ZDB-GENE-040426-2141</v>
      </c>
      <c r="E5278" t="s">
        <v>15806</v>
      </c>
    </row>
    <row r="5279" spans="1:5" x14ac:dyDescent="0.2">
      <c r="A5279" t="s">
        <v>15807</v>
      </c>
      <c r="B5279" t="s">
        <v>15808</v>
      </c>
      <c r="C5279" t="s">
        <v>15808</v>
      </c>
      <c r="D5279" t="str">
        <f>HYPERLINK("https://zfin.org/ZDB-GENE-070705-284")</f>
        <v>https://zfin.org/ZDB-GENE-070705-284</v>
      </c>
      <c r="E5279" t="s">
        <v>15809</v>
      </c>
    </row>
    <row r="5280" spans="1:5" x14ac:dyDescent="0.2">
      <c r="A5280" t="s">
        <v>15810</v>
      </c>
      <c r="B5280" t="s">
        <v>15811</v>
      </c>
      <c r="C5280" t="s">
        <v>15811</v>
      </c>
      <c r="D5280" t="str">
        <f>HYPERLINK("https://zfin.org/ZDB-GENE-070705-237")</f>
        <v>https://zfin.org/ZDB-GENE-070705-237</v>
      </c>
      <c r="E5280" t="s">
        <v>15812</v>
      </c>
    </row>
    <row r="5281" spans="1:5" x14ac:dyDescent="0.2">
      <c r="A5281" t="s">
        <v>15813</v>
      </c>
      <c r="B5281" t="s">
        <v>15814</v>
      </c>
      <c r="C5281" t="s">
        <v>15814</v>
      </c>
      <c r="D5281" t="str">
        <f>HYPERLINK("https://zfin.org/ZDB-GENE-030131-6136")</f>
        <v>https://zfin.org/ZDB-GENE-030131-6136</v>
      </c>
      <c r="E5281" t="s">
        <v>15815</v>
      </c>
    </row>
    <row r="5282" spans="1:5" x14ac:dyDescent="0.2">
      <c r="A5282" t="s">
        <v>15816</v>
      </c>
      <c r="B5282" t="s">
        <v>15817</v>
      </c>
      <c r="C5282" t="s">
        <v>15817</v>
      </c>
      <c r="D5282" t="str">
        <f>HYPERLINK("https://zfin.org/ZDB-GENE-070912-434")</f>
        <v>https://zfin.org/ZDB-GENE-070912-434</v>
      </c>
      <c r="E5282" t="s">
        <v>15818</v>
      </c>
    </row>
    <row r="5283" spans="1:5" x14ac:dyDescent="0.2">
      <c r="A5283" t="s">
        <v>15819</v>
      </c>
      <c r="B5283" t="s">
        <v>15820</v>
      </c>
      <c r="C5283" t="s">
        <v>15820</v>
      </c>
      <c r="D5283" t="str">
        <f>HYPERLINK("https://zfin.org/ZDB-GENE-080415-1")</f>
        <v>https://zfin.org/ZDB-GENE-080415-1</v>
      </c>
      <c r="E5283" t="s">
        <v>15821</v>
      </c>
    </row>
    <row r="5284" spans="1:5" x14ac:dyDescent="0.2">
      <c r="A5284" t="s">
        <v>15822</v>
      </c>
      <c r="B5284" t="s">
        <v>15823</v>
      </c>
      <c r="C5284" t="s">
        <v>15823</v>
      </c>
      <c r="D5284" t="str">
        <f>HYPERLINK("https://zfin.org/ZDB-GENE-081104-61")</f>
        <v>https://zfin.org/ZDB-GENE-081104-61</v>
      </c>
      <c r="E5284" t="s">
        <v>15824</v>
      </c>
    </row>
    <row r="5285" spans="1:5" x14ac:dyDescent="0.2">
      <c r="A5285" t="s">
        <v>15825</v>
      </c>
      <c r="B5285" t="s">
        <v>15826</v>
      </c>
      <c r="C5285" t="s">
        <v>15826</v>
      </c>
      <c r="D5285" t="str">
        <f>HYPERLINK("https://zfin.org/ZDB-GENE-040625-116")</f>
        <v>https://zfin.org/ZDB-GENE-040625-116</v>
      </c>
      <c r="E5285" t="s">
        <v>15827</v>
      </c>
    </row>
    <row r="5286" spans="1:5" x14ac:dyDescent="0.2">
      <c r="A5286" t="s">
        <v>15828</v>
      </c>
      <c r="B5286" t="s">
        <v>15829</v>
      </c>
      <c r="C5286" t="s">
        <v>15829</v>
      </c>
      <c r="D5286" t="str">
        <f>HYPERLINK("https://zfin.org/ZDB-GENE-030131-4642")</f>
        <v>https://zfin.org/ZDB-GENE-030131-4642</v>
      </c>
      <c r="E5286" t="s">
        <v>15830</v>
      </c>
    </row>
    <row r="5287" spans="1:5" x14ac:dyDescent="0.2">
      <c r="A5287" t="s">
        <v>15831</v>
      </c>
      <c r="B5287" t="s">
        <v>15832</v>
      </c>
      <c r="C5287" t="s">
        <v>15832</v>
      </c>
      <c r="D5287" t="str">
        <f>HYPERLINK("https://zfin.org/ZDB-GENE-081105-134")</f>
        <v>https://zfin.org/ZDB-GENE-081105-134</v>
      </c>
      <c r="E5287" t="s">
        <v>15833</v>
      </c>
    </row>
    <row r="5288" spans="1:5" x14ac:dyDescent="0.2">
      <c r="A5288" t="s">
        <v>15834</v>
      </c>
      <c r="B5288" t="s">
        <v>15835</v>
      </c>
      <c r="C5288" t="s">
        <v>15835</v>
      </c>
      <c r="D5288" t="str">
        <f>HYPERLINK("https://zfin.org/ZDB-GENE-040625-167")</f>
        <v>https://zfin.org/ZDB-GENE-040625-167</v>
      </c>
      <c r="E5288" t="s">
        <v>15836</v>
      </c>
    </row>
    <row r="5289" spans="1:5" x14ac:dyDescent="0.2">
      <c r="A5289" t="s">
        <v>15837</v>
      </c>
      <c r="B5289" t="s">
        <v>15838</v>
      </c>
      <c r="C5289" t="s">
        <v>15838</v>
      </c>
      <c r="D5289" t="str">
        <f>HYPERLINK("https://zfin.org/ZDB-GENE-070705-181")</f>
        <v>https://zfin.org/ZDB-GENE-070705-181</v>
      </c>
      <c r="E5289" t="s">
        <v>15839</v>
      </c>
    </row>
    <row r="5290" spans="1:5" x14ac:dyDescent="0.2">
      <c r="A5290" t="s">
        <v>15840</v>
      </c>
      <c r="B5290" t="s">
        <v>15841</v>
      </c>
      <c r="C5290" t="s">
        <v>15841</v>
      </c>
      <c r="D5290" t="str">
        <f>HYPERLINK("https://zfin.org/ZDB-GENE-980526-36")</f>
        <v>https://zfin.org/ZDB-GENE-980526-36</v>
      </c>
      <c r="E5290" t="s">
        <v>15842</v>
      </c>
    </row>
    <row r="5291" spans="1:5" x14ac:dyDescent="0.2">
      <c r="A5291" t="s">
        <v>15843</v>
      </c>
      <c r="B5291" t="s">
        <v>15844</v>
      </c>
      <c r="C5291" t="s">
        <v>15844</v>
      </c>
      <c r="D5291" t="str">
        <f>HYPERLINK("https://zfin.org/ZDB-GENE-031118-39")</f>
        <v>https://zfin.org/ZDB-GENE-031118-39</v>
      </c>
      <c r="E5291" t="s">
        <v>15845</v>
      </c>
    </row>
    <row r="5292" spans="1:5" x14ac:dyDescent="0.2">
      <c r="A5292" t="s">
        <v>15846</v>
      </c>
      <c r="B5292" t="s">
        <v>15847</v>
      </c>
      <c r="C5292" t="s">
        <v>15847</v>
      </c>
      <c r="D5292" t="str">
        <f>HYPERLINK("https://zfin.org/ZDB-GENE-030131-1791")</f>
        <v>https://zfin.org/ZDB-GENE-030131-1791</v>
      </c>
      <c r="E5292" t="s">
        <v>15848</v>
      </c>
    </row>
    <row r="5293" spans="1:5" x14ac:dyDescent="0.2">
      <c r="A5293" t="s">
        <v>15849</v>
      </c>
      <c r="B5293" t="s">
        <v>15850</v>
      </c>
      <c r="C5293" t="s">
        <v>15850</v>
      </c>
      <c r="D5293" t="str">
        <f>HYPERLINK("https://zfin.org/ZDB-GENE-070810-5")</f>
        <v>https://zfin.org/ZDB-GENE-070810-5</v>
      </c>
      <c r="E5293" t="s">
        <v>15851</v>
      </c>
    </row>
    <row r="5294" spans="1:5" x14ac:dyDescent="0.2">
      <c r="A5294" t="s">
        <v>15852</v>
      </c>
      <c r="B5294" t="s">
        <v>15853</v>
      </c>
      <c r="C5294" t="s">
        <v>15853</v>
      </c>
      <c r="D5294" t="str">
        <f>HYPERLINK("https://zfin.org/ZDB-GENE-050522-466")</f>
        <v>https://zfin.org/ZDB-GENE-050522-466</v>
      </c>
      <c r="E5294" t="s">
        <v>15854</v>
      </c>
    </row>
    <row r="5295" spans="1:5" x14ac:dyDescent="0.2">
      <c r="A5295" t="s">
        <v>15855</v>
      </c>
      <c r="B5295" t="s">
        <v>15856</v>
      </c>
      <c r="C5295" t="s">
        <v>15856</v>
      </c>
      <c r="D5295" t="str">
        <f>HYPERLINK("https://zfin.org/ZDB-GENE-081022-150")</f>
        <v>https://zfin.org/ZDB-GENE-081022-150</v>
      </c>
      <c r="E5295" t="s">
        <v>15857</v>
      </c>
    </row>
    <row r="5296" spans="1:5" x14ac:dyDescent="0.2">
      <c r="A5296" t="s">
        <v>15858</v>
      </c>
      <c r="B5296" t="s">
        <v>15859</v>
      </c>
      <c r="C5296" t="s">
        <v>15859</v>
      </c>
      <c r="D5296" t="str">
        <f>HYPERLINK("https://zfin.org/ZDB-GENE-101208-3")</f>
        <v>https://zfin.org/ZDB-GENE-101208-3</v>
      </c>
      <c r="E5296" t="s">
        <v>15860</v>
      </c>
    </row>
    <row r="5297" spans="1:5" x14ac:dyDescent="0.2">
      <c r="A5297" t="s">
        <v>15861</v>
      </c>
      <c r="B5297" t="s">
        <v>15862</v>
      </c>
      <c r="C5297" t="s">
        <v>15862</v>
      </c>
      <c r="D5297" t="str">
        <f>HYPERLINK("https://zfin.org/ZDB-GENE-141222-16")</f>
        <v>https://zfin.org/ZDB-GENE-141222-16</v>
      </c>
      <c r="E5297" t="s">
        <v>15863</v>
      </c>
    </row>
    <row r="5298" spans="1:5" x14ac:dyDescent="0.2">
      <c r="A5298" t="s">
        <v>15864</v>
      </c>
      <c r="B5298" t="s">
        <v>15865</v>
      </c>
      <c r="C5298" t="s">
        <v>15865</v>
      </c>
      <c r="D5298" t="str">
        <f>HYPERLINK("https://zfin.org/ZDB-GENE-040426-960")</f>
        <v>https://zfin.org/ZDB-GENE-040426-960</v>
      </c>
      <c r="E5298" t="s">
        <v>15866</v>
      </c>
    </row>
    <row r="5299" spans="1:5" x14ac:dyDescent="0.2">
      <c r="A5299" t="s">
        <v>15867</v>
      </c>
      <c r="B5299" t="s">
        <v>15868</v>
      </c>
      <c r="C5299" t="s">
        <v>15868</v>
      </c>
      <c r="D5299" t="str">
        <f>HYPERLINK("https://zfin.org/ZDB-GENE-050208-22")</f>
        <v>https://zfin.org/ZDB-GENE-050208-22</v>
      </c>
      <c r="E5299" t="s">
        <v>15869</v>
      </c>
    </row>
    <row r="5300" spans="1:5" x14ac:dyDescent="0.2">
      <c r="A5300" t="s">
        <v>15870</v>
      </c>
      <c r="B5300" t="s">
        <v>15871</v>
      </c>
      <c r="C5300" t="s">
        <v>15871</v>
      </c>
      <c r="D5300" t="str">
        <f>HYPERLINK("https://zfin.org/ZDB-GENE-041014-161")</f>
        <v>https://zfin.org/ZDB-GENE-041014-161</v>
      </c>
      <c r="E5300" t="s">
        <v>15872</v>
      </c>
    </row>
    <row r="5301" spans="1:5" x14ac:dyDescent="0.2">
      <c r="A5301" t="s">
        <v>15873</v>
      </c>
      <c r="B5301" t="s">
        <v>15874</v>
      </c>
      <c r="C5301" t="s">
        <v>15874</v>
      </c>
      <c r="D5301" t="str">
        <f>HYPERLINK("https://zfin.org/ZDB-GENE-040426-1299")</f>
        <v>https://zfin.org/ZDB-GENE-040426-1299</v>
      </c>
      <c r="E5301" t="s">
        <v>15875</v>
      </c>
    </row>
    <row r="5302" spans="1:5" x14ac:dyDescent="0.2">
      <c r="A5302" t="s">
        <v>15876</v>
      </c>
      <c r="B5302" t="s">
        <v>15877</v>
      </c>
      <c r="C5302" t="s">
        <v>15877</v>
      </c>
      <c r="D5302" t="str">
        <f>HYPERLINK("https://zfin.org/ZDB-GENE-041212-1")</f>
        <v>https://zfin.org/ZDB-GENE-041212-1</v>
      </c>
      <c r="E5302" t="s">
        <v>15878</v>
      </c>
    </row>
    <row r="5303" spans="1:5" x14ac:dyDescent="0.2">
      <c r="A5303" t="s">
        <v>15879</v>
      </c>
      <c r="B5303" t="s">
        <v>15880</v>
      </c>
      <c r="C5303" t="s">
        <v>15880</v>
      </c>
      <c r="D5303" t="str">
        <f>HYPERLINK("https://zfin.org/ZDB-GENE-040825-3")</f>
        <v>https://zfin.org/ZDB-GENE-040825-3</v>
      </c>
      <c r="E5303" t="s">
        <v>15881</v>
      </c>
    </row>
    <row r="5304" spans="1:5" x14ac:dyDescent="0.2">
      <c r="A5304" t="s">
        <v>15882</v>
      </c>
      <c r="B5304" t="s">
        <v>15883</v>
      </c>
      <c r="C5304" t="s">
        <v>15883</v>
      </c>
      <c r="D5304" t="str">
        <f>HYPERLINK("https://zfin.org/ZDB-GENE-080716-17")</f>
        <v>https://zfin.org/ZDB-GENE-080716-17</v>
      </c>
      <c r="E5304" t="s">
        <v>15884</v>
      </c>
    </row>
    <row r="5305" spans="1:5" x14ac:dyDescent="0.2">
      <c r="A5305" t="s">
        <v>15885</v>
      </c>
      <c r="B5305" t="s">
        <v>15886</v>
      </c>
      <c r="C5305" t="s">
        <v>15886</v>
      </c>
      <c r="D5305" t="str">
        <f>HYPERLINK("https://zfin.org/ZDB-GENE-050522-362")</f>
        <v>https://zfin.org/ZDB-GENE-050522-362</v>
      </c>
      <c r="E5305" t="s">
        <v>15887</v>
      </c>
    </row>
    <row r="5306" spans="1:5" x14ac:dyDescent="0.2">
      <c r="A5306" t="s">
        <v>15888</v>
      </c>
      <c r="B5306" t="s">
        <v>15889</v>
      </c>
      <c r="C5306" t="s">
        <v>15889</v>
      </c>
      <c r="D5306" t="str">
        <f>HYPERLINK("https://zfin.org/ZDB-GENE-031118-110")</f>
        <v>https://zfin.org/ZDB-GENE-031118-110</v>
      </c>
      <c r="E5306" t="s">
        <v>15890</v>
      </c>
    </row>
    <row r="5307" spans="1:5" x14ac:dyDescent="0.2">
      <c r="A5307" t="s">
        <v>15891</v>
      </c>
      <c r="B5307" t="s">
        <v>15892</v>
      </c>
      <c r="C5307" t="s">
        <v>15892</v>
      </c>
      <c r="D5307" t="str">
        <f>HYPERLINK("https://zfin.org/ZDB-GENE-030131-4775")</f>
        <v>https://zfin.org/ZDB-GENE-030131-4775</v>
      </c>
      <c r="E5307" t="s">
        <v>15893</v>
      </c>
    </row>
    <row r="5308" spans="1:5" x14ac:dyDescent="0.2">
      <c r="A5308" t="s">
        <v>15894</v>
      </c>
      <c r="B5308" t="s">
        <v>15895</v>
      </c>
      <c r="C5308" t="s">
        <v>15895</v>
      </c>
      <c r="D5308" t="str">
        <f>HYPERLINK("https://zfin.org/ZDB-GENE-050419-127")</f>
        <v>https://zfin.org/ZDB-GENE-050419-127</v>
      </c>
      <c r="E5308" t="s">
        <v>15896</v>
      </c>
    </row>
    <row r="5309" spans="1:5" x14ac:dyDescent="0.2">
      <c r="A5309" t="s">
        <v>15897</v>
      </c>
      <c r="B5309" t="s">
        <v>15898</v>
      </c>
      <c r="C5309" t="s">
        <v>15898</v>
      </c>
      <c r="D5309" t="str">
        <f>HYPERLINK("https://zfin.org/ZDB-GENE-070705-287")</f>
        <v>https://zfin.org/ZDB-GENE-070705-287</v>
      </c>
      <c r="E5309" t="s">
        <v>15899</v>
      </c>
    </row>
    <row r="5310" spans="1:5" x14ac:dyDescent="0.2">
      <c r="A5310" t="s">
        <v>15900</v>
      </c>
      <c r="B5310" t="s">
        <v>15901</v>
      </c>
      <c r="C5310" t="s">
        <v>15901</v>
      </c>
      <c r="D5310" t="str">
        <f>HYPERLINK("https://zfin.org/ZDB-GENE-060929-208")</f>
        <v>https://zfin.org/ZDB-GENE-060929-208</v>
      </c>
      <c r="E5310" t="s">
        <v>15902</v>
      </c>
    </row>
    <row r="5311" spans="1:5" x14ac:dyDescent="0.2">
      <c r="A5311" t="s">
        <v>15903</v>
      </c>
      <c r="B5311" t="s">
        <v>15904</v>
      </c>
      <c r="C5311" t="s">
        <v>15904</v>
      </c>
      <c r="D5311" t="str">
        <f>HYPERLINK("https://zfin.org/ZDB-GENE-030131-5215")</f>
        <v>https://zfin.org/ZDB-GENE-030131-5215</v>
      </c>
      <c r="E5311" t="s">
        <v>15905</v>
      </c>
    </row>
    <row r="5312" spans="1:5" x14ac:dyDescent="0.2">
      <c r="A5312" t="s">
        <v>15906</v>
      </c>
      <c r="B5312" t="s">
        <v>15907</v>
      </c>
      <c r="C5312" t="s">
        <v>15907</v>
      </c>
      <c r="D5312" t="str">
        <f>HYPERLINK("https://zfin.org/ZDB-GENE-060503-399")</f>
        <v>https://zfin.org/ZDB-GENE-060503-399</v>
      </c>
      <c r="E5312" t="s">
        <v>15908</v>
      </c>
    </row>
    <row r="5313" spans="1:5" x14ac:dyDescent="0.2">
      <c r="A5313" t="s">
        <v>15909</v>
      </c>
      <c r="B5313" t="s">
        <v>15910</v>
      </c>
      <c r="C5313" t="s">
        <v>15910</v>
      </c>
      <c r="D5313" t="str">
        <f>HYPERLINK("https://zfin.org/ZDB-GENE-030121-1")</f>
        <v>https://zfin.org/ZDB-GENE-030121-1</v>
      </c>
      <c r="E5313" t="s">
        <v>15911</v>
      </c>
    </row>
    <row r="5314" spans="1:5" x14ac:dyDescent="0.2">
      <c r="A5314" t="s">
        <v>15912</v>
      </c>
      <c r="B5314" t="s">
        <v>15913</v>
      </c>
      <c r="C5314" t="s">
        <v>15913</v>
      </c>
      <c r="D5314" t="str">
        <f>HYPERLINK("https://zfin.org/ZDB-GENE-110411-103")</f>
        <v>https://zfin.org/ZDB-GENE-110411-103</v>
      </c>
      <c r="E5314" t="s">
        <v>15914</v>
      </c>
    </row>
    <row r="5315" spans="1:5" x14ac:dyDescent="0.2">
      <c r="A5315" t="s">
        <v>15915</v>
      </c>
      <c r="B5315" t="s">
        <v>15916</v>
      </c>
      <c r="C5315" t="s">
        <v>15916</v>
      </c>
      <c r="D5315" t="str">
        <f>HYPERLINK("https://zfin.org/ZDB-GENE-040426-2847")</f>
        <v>https://zfin.org/ZDB-GENE-040426-2847</v>
      </c>
      <c r="E5315" t="s">
        <v>15917</v>
      </c>
    </row>
    <row r="5316" spans="1:5" x14ac:dyDescent="0.2">
      <c r="A5316" t="s">
        <v>15918</v>
      </c>
      <c r="B5316" t="s">
        <v>15919</v>
      </c>
      <c r="C5316" t="s">
        <v>15919</v>
      </c>
      <c r="D5316" t="str">
        <f>HYPERLINK("https://zfin.org/ZDB-GENE-040426-1244")</f>
        <v>https://zfin.org/ZDB-GENE-040426-1244</v>
      </c>
      <c r="E5316" t="s">
        <v>15920</v>
      </c>
    </row>
    <row r="5317" spans="1:5" x14ac:dyDescent="0.2">
      <c r="A5317" t="s">
        <v>15921</v>
      </c>
      <c r="B5317" t="s">
        <v>15922</v>
      </c>
      <c r="C5317" t="s">
        <v>15922</v>
      </c>
      <c r="D5317" t="str">
        <f>HYPERLINK("https://zfin.org/ZDB-GENE-041111-102")</f>
        <v>https://zfin.org/ZDB-GENE-041111-102</v>
      </c>
      <c r="E5317" t="s">
        <v>15923</v>
      </c>
    </row>
    <row r="5318" spans="1:5" x14ac:dyDescent="0.2">
      <c r="A5318" t="s">
        <v>15924</v>
      </c>
      <c r="B5318" t="s">
        <v>15925</v>
      </c>
      <c r="C5318" t="s">
        <v>15925</v>
      </c>
      <c r="D5318" t="str">
        <f>HYPERLINK("https://zfin.org/ZDB-GENE-030616-583")</f>
        <v>https://zfin.org/ZDB-GENE-030616-583</v>
      </c>
      <c r="E5318" t="s">
        <v>15926</v>
      </c>
    </row>
    <row r="5319" spans="1:5" x14ac:dyDescent="0.2">
      <c r="A5319" t="s">
        <v>15927</v>
      </c>
      <c r="B5319" t="s">
        <v>15928</v>
      </c>
      <c r="C5319" t="s">
        <v>15928</v>
      </c>
      <c r="D5319" t="str">
        <f>HYPERLINK("https://zfin.org/ZDB-GENE-040426-2439")</f>
        <v>https://zfin.org/ZDB-GENE-040426-2439</v>
      </c>
      <c r="E5319" t="s">
        <v>15929</v>
      </c>
    </row>
    <row r="5320" spans="1:5" x14ac:dyDescent="0.2">
      <c r="A5320" t="s">
        <v>15930</v>
      </c>
      <c r="B5320" t="s">
        <v>15931</v>
      </c>
      <c r="C5320" t="s">
        <v>15931</v>
      </c>
      <c r="D5320" t="str">
        <f>HYPERLINK("https://zfin.org/ZDB-GENE-030131-2421")</f>
        <v>https://zfin.org/ZDB-GENE-030131-2421</v>
      </c>
      <c r="E5320" t="s">
        <v>15932</v>
      </c>
    </row>
    <row r="5321" spans="1:5" x14ac:dyDescent="0.2">
      <c r="A5321" t="s">
        <v>15933</v>
      </c>
      <c r="B5321" t="s">
        <v>15934</v>
      </c>
      <c r="C5321" t="s">
        <v>15934</v>
      </c>
      <c r="D5321" t="str">
        <f>HYPERLINK("https://zfin.org/ZDB-GENE-050913-33")</f>
        <v>https://zfin.org/ZDB-GENE-050913-33</v>
      </c>
      <c r="E5321" t="s">
        <v>15935</v>
      </c>
    </row>
    <row r="5322" spans="1:5" x14ac:dyDescent="0.2">
      <c r="A5322" t="s">
        <v>15936</v>
      </c>
      <c r="B5322" t="s">
        <v>15937</v>
      </c>
      <c r="C5322" t="s">
        <v>15937</v>
      </c>
      <c r="D5322" t="str">
        <f>HYPERLINK("https://zfin.org/ZDB-GENE-030131-1862")</f>
        <v>https://zfin.org/ZDB-GENE-030131-1862</v>
      </c>
      <c r="E5322" t="s">
        <v>15938</v>
      </c>
    </row>
    <row r="5323" spans="1:5" x14ac:dyDescent="0.2">
      <c r="A5323" t="s">
        <v>15939</v>
      </c>
      <c r="B5323" t="s">
        <v>15940</v>
      </c>
      <c r="C5323" t="s">
        <v>15940</v>
      </c>
      <c r="D5323" t="str">
        <f>HYPERLINK("https://zfin.org/ZDB-GENE-041114-166")</f>
        <v>https://zfin.org/ZDB-GENE-041114-166</v>
      </c>
      <c r="E5323" t="s">
        <v>15941</v>
      </c>
    </row>
    <row r="5324" spans="1:5" x14ac:dyDescent="0.2">
      <c r="A5324" t="s">
        <v>15942</v>
      </c>
      <c r="B5324" t="s">
        <v>15943</v>
      </c>
      <c r="C5324" t="s">
        <v>15943</v>
      </c>
      <c r="D5324" t="str">
        <f>HYPERLINK("https://zfin.org/ZDB-GENE-040426-1878")</f>
        <v>https://zfin.org/ZDB-GENE-040426-1878</v>
      </c>
      <c r="E5324" t="s">
        <v>15944</v>
      </c>
    </row>
    <row r="5325" spans="1:5" x14ac:dyDescent="0.2">
      <c r="A5325" t="s">
        <v>15945</v>
      </c>
      <c r="B5325" t="s">
        <v>15946</v>
      </c>
      <c r="C5325" t="s">
        <v>15946</v>
      </c>
      <c r="D5325" t="str">
        <f>HYPERLINK("https://zfin.org/ZDB-GENE-000502-1")</f>
        <v>https://zfin.org/ZDB-GENE-000502-1</v>
      </c>
      <c r="E5325" t="s">
        <v>15947</v>
      </c>
    </row>
    <row r="5326" spans="1:5" x14ac:dyDescent="0.2">
      <c r="A5326" t="s">
        <v>15948</v>
      </c>
      <c r="B5326" t="s">
        <v>15949</v>
      </c>
      <c r="C5326" t="s">
        <v>15949</v>
      </c>
      <c r="D5326" t="str">
        <f>HYPERLINK("https://zfin.org/ZDB-GENE-090313-52")</f>
        <v>https://zfin.org/ZDB-GENE-090313-52</v>
      </c>
      <c r="E5326" t="s">
        <v>15950</v>
      </c>
    </row>
    <row r="5327" spans="1:5" x14ac:dyDescent="0.2">
      <c r="A5327" t="s">
        <v>15951</v>
      </c>
      <c r="B5327" t="s">
        <v>15952</v>
      </c>
      <c r="C5327" t="s">
        <v>15952</v>
      </c>
      <c r="D5327" t="str">
        <f>HYPERLINK("https://zfin.org/ZDB-GENE-070912-383")</f>
        <v>https://zfin.org/ZDB-GENE-070912-383</v>
      </c>
      <c r="E5327" t="s">
        <v>15953</v>
      </c>
    </row>
    <row r="5328" spans="1:5" x14ac:dyDescent="0.2">
      <c r="A5328" t="s">
        <v>15954</v>
      </c>
      <c r="B5328" t="s">
        <v>15955</v>
      </c>
      <c r="C5328" t="s">
        <v>15955</v>
      </c>
      <c r="D5328" t="str">
        <f>HYPERLINK("https://zfin.org/ZDB-GENE-050309-80")</f>
        <v>https://zfin.org/ZDB-GENE-050309-80</v>
      </c>
      <c r="E5328" t="s">
        <v>15956</v>
      </c>
    </row>
    <row r="5329" spans="1:5" x14ac:dyDescent="0.2">
      <c r="A5329" t="s">
        <v>15957</v>
      </c>
      <c r="B5329" t="s">
        <v>15958</v>
      </c>
      <c r="C5329" t="s">
        <v>15958</v>
      </c>
      <c r="D5329" t="str">
        <f>HYPERLINK("https://zfin.org/ZDB-GENE-990415-66")</f>
        <v>https://zfin.org/ZDB-GENE-990415-66</v>
      </c>
      <c r="E5329" t="s">
        <v>15959</v>
      </c>
    </row>
    <row r="5330" spans="1:5" x14ac:dyDescent="0.2">
      <c r="A5330" t="s">
        <v>15960</v>
      </c>
      <c r="B5330" t="s">
        <v>15961</v>
      </c>
      <c r="C5330" t="s">
        <v>15961</v>
      </c>
      <c r="D5330" t="str">
        <f>HYPERLINK("https://zfin.org/ZDB-GENE-060607-11")</f>
        <v>https://zfin.org/ZDB-GENE-060607-11</v>
      </c>
      <c r="E5330" t="s">
        <v>15962</v>
      </c>
    </row>
    <row r="5331" spans="1:5" x14ac:dyDescent="0.2">
      <c r="A5331" t="s">
        <v>15963</v>
      </c>
      <c r="B5331" t="s">
        <v>15964</v>
      </c>
      <c r="C5331" t="s">
        <v>15964</v>
      </c>
      <c r="D5331" t="str">
        <f>HYPERLINK("https://zfin.org/ZDB-GENE-980526-260")</f>
        <v>https://zfin.org/ZDB-GENE-980526-260</v>
      </c>
      <c r="E5331" t="s">
        <v>15965</v>
      </c>
    </row>
    <row r="5332" spans="1:5" x14ac:dyDescent="0.2">
      <c r="A5332" t="s">
        <v>15966</v>
      </c>
      <c r="B5332" t="s">
        <v>15967</v>
      </c>
      <c r="C5332" t="s">
        <v>15967</v>
      </c>
      <c r="D5332" t="str">
        <f>HYPERLINK("https://zfin.org/ZDB-GENE-040718-111")</f>
        <v>https://zfin.org/ZDB-GENE-040718-111</v>
      </c>
      <c r="E5332" t="s">
        <v>15968</v>
      </c>
    </row>
    <row r="5333" spans="1:5" x14ac:dyDescent="0.2">
      <c r="A5333" t="s">
        <v>15969</v>
      </c>
      <c r="B5333" t="s">
        <v>15970</v>
      </c>
      <c r="C5333" t="s">
        <v>15970</v>
      </c>
      <c r="D5333" t="str">
        <f>HYPERLINK("https://zfin.org/ZDB-GENE-050506-110")</f>
        <v>https://zfin.org/ZDB-GENE-050506-110</v>
      </c>
      <c r="E5333" t="s">
        <v>15971</v>
      </c>
    </row>
    <row r="5334" spans="1:5" x14ac:dyDescent="0.2">
      <c r="A5334" t="s">
        <v>15972</v>
      </c>
      <c r="B5334" t="s">
        <v>15973</v>
      </c>
      <c r="C5334" t="s">
        <v>15973</v>
      </c>
      <c r="D5334" t="str">
        <f>HYPERLINK("https://zfin.org/ZDB-GENE-121214-355")</f>
        <v>https://zfin.org/ZDB-GENE-121214-355</v>
      </c>
      <c r="E5334" t="s">
        <v>15974</v>
      </c>
    </row>
    <row r="5335" spans="1:5" x14ac:dyDescent="0.2">
      <c r="A5335" t="s">
        <v>15975</v>
      </c>
      <c r="B5335" t="s">
        <v>15976</v>
      </c>
      <c r="C5335" t="s">
        <v>15976</v>
      </c>
      <c r="D5335" t="str">
        <f>HYPERLINK("https://zfin.org/ZDB-GENE-030131-6554")</f>
        <v>https://zfin.org/ZDB-GENE-030131-6554</v>
      </c>
      <c r="E5335" t="s">
        <v>15977</v>
      </c>
    </row>
    <row r="5336" spans="1:5" x14ac:dyDescent="0.2">
      <c r="A5336" t="s">
        <v>15978</v>
      </c>
      <c r="B5336" t="s">
        <v>15979</v>
      </c>
      <c r="C5336" t="s">
        <v>15979</v>
      </c>
      <c r="D5336" t="str">
        <f>HYPERLINK("https://zfin.org/ZDB-GENE-130530-537")</f>
        <v>https://zfin.org/ZDB-GENE-130530-537</v>
      </c>
      <c r="E5336" t="s">
        <v>15980</v>
      </c>
    </row>
    <row r="5337" spans="1:5" x14ac:dyDescent="0.2">
      <c r="A5337" t="s">
        <v>15981</v>
      </c>
      <c r="B5337" t="s">
        <v>15982</v>
      </c>
      <c r="C5337" t="s">
        <v>15982</v>
      </c>
      <c r="D5337" t="str">
        <f>HYPERLINK("https://zfin.org/ZDB-GENE-030131-5612")</f>
        <v>https://zfin.org/ZDB-GENE-030131-5612</v>
      </c>
      <c r="E5337" t="s">
        <v>15983</v>
      </c>
    </row>
    <row r="5338" spans="1:5" x14ac:dyDescent="0.2">
      <c r="A5338" t="s">
        <v>15984</v>
      </c>
      <c r="B5338" t="s">
        <v>15985</v>
      </c>
      <c r="C5338" t="s">
        <v>15985</v>
      </c>
      <c r="D5338" t="str">
        <f>HYPERLINK("https://zfin.org/ZDB-GENE-041001-137")</f>
        <v>https://zfin.org/ZDB-GENE-041001-137</v>
      </c>
      <c r="E5338" t="s">
        <v>15986</v>
      </c>
    </row>
    <row r="5339" spans="1:5" x14ac:dyDescent="0.2">
      <c r="A5339" t="s">
        <v>15987</v>
      </c>
      <c r="B5339" t="s">
        <v>15988</v>
      </c>
      <c r="C5339" t="s">
        <v>15988</v>
      </c>
      <c r="D5339" t="str">
        <f>HYPERLINK("https://zfin.org/ZDB-GENE-041008-1")</f>
        <v>https://zfin.org/ZDB-GENE-041008-1</v>
      </c>
      <c r="E5339" t="s">
        <v>15989</v>
      </c>
    </row>
    <row r="5340" spans="1:5" x14ac:dyDescent="0.2">
      <c r="A5340" t="s">
        <v>15990</v>
      </c>
      <c r="B5340" t="s">
        <v>15991</v>
      </c>
      <c r="C5340" t="s">
        <v>15991</v>
      </c>
      <c r="D5340" t="str">
        <f>HYPERLINK("https://zfin.org/ZDB-GENE-030828-10")</f>
        <v>https://zfin.org/ZDB-GENE-030828-10</v>
      </c>
      <c r="E5340" t="s">
        <v>15992</v>
      </c>
    </row>
    <row r="5341" spans="1:5" x14ac:dyDescent="0.2">
      <c r="A5341" t="s">
        <v>15993</v>
      </c>
      <c r="B5341" t="s">
        <v>15994</v>
      </c>
      <c r="C5341" t="s">
        <v>15994</v>
      </c>
      <c r="D5341" t="str">
        <f>HYPERLINK("https://zfin.org/ZDB-GENE-041008-112")</f>
        <v>https://zfin.org/ZDB-GENE-041008-112</v>
      </c>
      <c r="E5341" t="s">
        <v>15995</v>
      </c>
    </row>
    <row r="5342" spans="1:5" x14ac:dyDescent="0.2">
      <c r="A5342" t="s">
        <v>15996</v>
      </c>
      <c r="B5342" t="s">
        <v>15997</v>
      </c>
      <c r="C5342" t="s">
        <v>15997</v>
      </c>
      <c r="D5342" t="str">
        <f>HYPERLINK("https://zfin.org/ZDB-GENE-040724-133")</f>
        <v>https://zfin.org/ZDB-GENE-040724-133</v>
      </c>
      <c r="E5342" t="s">
        <v>15998</v>
      </c>
    </row>
    <row r="5343" spans="1:5" x14ac:dyDescent="0.2">
      <c r="A5343" t="s">
        <v>15999</v>
      </c>
      <c r="B5343" t="s">
        <v>16000</v>
      </c>
      <c r="C5343" t="s">
        <v>16000</v>
      </c>
      <c r="D5343" t="str">
        <f>HYPERLINK("https://zfin.org/ZDB-GENE-070116-1")</f>
        <v>https://zfin.org/ZDB-GENE-070116-1</v>
      </c>
      <c r="E5343" t="s">
        <v>16001</v>
      </c>
    </row>
    <row r="5344" spans="1:5" x14ac:dyDescent="0.2">
      <c r="A5344" t="s">
        <v>16002</v>
      </c>
      <c r="B5344" t="s">
        <v>16003</v>
      </c>
      <c r="C5344" t="s">
        <v>16003</v>
      </c>
      <c r="D5344" t="str">
        <f>HYPERLINK("https://zfin.org/ZDB-GENE-070424-93")</f>
        <v>https://zfin.org/ZDB-GENE-070424-93</v>
      </c>
      <c r="E5344" t="s">
        <v>16004</v>
      </c>
    </row>
    <row r="5345" spans="1:5" x14ac:dyDescent="0.2">
      <c r="A5345" t="s">
        <v>16005</v>
      </c>
      <c r="B5345" t="s">
        <v>16006</v>
      </c>
      <c r="C5345" t="s">
        <v>16006</v>
      </c>
      <c r="D5345" t="str">
        <f>HYPERLINK("https://zfin.org/ZDB-GENE-041111-25")</f>
        <v>https://zfin.org/ZDB-GENE-041111-25</v>
      </c>
      <c r="E5345" t="s">
        <v>16007</v>
      </c>
    </row>
    <row r="5346" spans="1:5" x14ac:dyDescent="0.2">
      <c r="A5346" t="s">
        <v>16008</v>
      </c>
      <c r="B5346" t="s">
        <v>16009</v>
      </c>
      <c r="C5346" t="s">
        <v>16009</v>
      </c>
      <c r="D5346" t="str">
        <f>HYPERLINK("https://zfin.org/ZDB-GENE-030131-3246")</f>
        <v>https://zfin.org/ZDB-GENE-030131-3246</v>
      </c>
      <c r="E5346" t="s">
        <v>16010</v>
      </c>
    </row>
    <row r="5347" spans="1:5" x14ac:dyDescent="0.2">
      <c r="A5347" t="s">
        <v>16011</v>
      </c>
      <c r="B5347" t="s">
        <v>16012</v>
      </c>
      <c r="C5347" t="s">
        <v>16012</v>
      </c>
      <c r="D5347" t="str">
        <f>HYPERLINK("https://zfin.org/ZDB-GENE-050320-105")</f>
        <v>https://zfin.org/ZDB-GENE-050320-105</v>
      </c>
      <c r="E5347" t="s">
        <v>16013</v>
      </c>
    </row>
    <row r="5348" spans="1:5" x14ac:dyDescent="0.2">
      <c r="A5348" t="s">
        <v>16014</v>
      </c>
      <c r="B5348" t="s">
        <v>16015</v>
      </c>
      <c r="C5348" t="s">
        <v>16015</v>
      </c>
      <c r="D5348" t="str">
        <f>HYPERLINK("https://zfin.org/ZDB-GENE-060531-103")</f>
        <v>https://zfin.org/ZDB-GENE-060531-103</v>
      </c>
      <c r="E5348" t="s">
        <v>16016</v>
      </c>
    </row>
    <row r="5349" spans="1:5" x14ac:dyDescent="0.2">
      <c r="A5349" t="s">
        <v>16017</v>
      </c>
      <c r="B5349" t="s">
        <v>16018</v>
      </c>
      <c r="C5349" t="s">
        <v>16018</v>
      </c>
      <c r="D5349" t="str">
        <f>HYPERLINK("https://zfin.org/ZDB-GENE-050309-196")</f>
        <v>https://zfin.org/ZDB-GENE-050309-196</v>
      </c>
      <c r="E5349" t="s">
        <v>16019</v>
      </c>
    </row>
    <row r="5350" spans="1:5" x14ac:dyDescent="0.2">
      <c r="A5350" t="s">
        <v>16020</v>
      </c>
      <c r="B5350" t="s">
        <v>16021</v>
      </c>
      <c r="C5350" t="s">
        <v>16021</v>
      </c>
      <c r="D5350" t="str">
        <f>HYPERLINK("https://zfin.org/ZDB-GENE-030131-5872")</f>
        <v>https://zfin.org/ZDB-GENE-030131-5872</v>
      </c>
      <c r="E5350" t="s">
        <v>16022</v>
      </c>
    </row>
    <row r="5351" spans="1:5" x14ac:dyDescent="0.2">
      <c r="A5351" t="s">
        <v>16023</v>
      </c>
      <c r="B5351" t="s">
        <v>16024</v>
      </c>
      <c r="C5351" t="s">
        <v>16024</v>
      </c>
      <c r="D5351" t="str">
        <f>HYPERLINK("https://zfin.org/ZDB-GENE-040116-4")</f>
        <v>https://zfin.org/ZDB-GENE-040116-4</v>
      </c>
      <c r="E5351" t="s">
        <v>16025</v>
      </c>
    </row>
    <row r="5352" spans="1:5" x14ac:dyDescent="0.2">
      <c r="A5352" t="s">
        <v>16026</v>
      </c>
      <c r="B5352" t="s">
        <v>16027</v>
      </c>
      <c r="C5352" t="s">
        <v>16027</v>
      </c>
      <c r="D5352" t="str">
        <f>HYPERLINK("https://zfin.org/ZDB-GENE-030131-6851")</f>
        <v>https://zfin.org/ZDB-GENE-030131-6851</v>
      </c>
      <c r="E5352" t="s">
        <v>16028</v>
      </c>
    </row>
    <row r="5353" spans="1:5" x14ac:dyDescent="0.2">
      <c r="A5353" t="s">
        <v>16029</v>
      </c>
      <c r="B5353" t="s">
        <v>16030</v>
      </c>
      <c r="C5353" t="s">
        <v>16030</v>
      </c>
      <c r="D5353" t="str">
        <f>HYPERLINK("https://zfin.org/ZDB-GENE-061013-313")</f>
        <v>https://zfin.org/ZDB-GENE-061013-313</v>
      </c>
      <c r="E5353" t="s">
        <v>16031</v>
      </c>
    </row>
    <row r="5354" spans="1:5" x14ac:dyDescent="0.2">
      <c r="A5354" t="s">
        <v>16032</v>
      </c>
      <c r="B5354" t="s">
        <v>16033</v>
      </c>
      <c r="C5354" t="s">
        <v>16033</v>
      </c>
      <c r="D5354" t="str">
        <f>HYPERLINK("https://zfin.org/ZDB-GENE-030131-6870")</f>
        <v>https://zfin.org/ZDB-GENE-030131-6870</v>
      </c>
      <c r="E5354" t="s">
        <v>16034</v>
      </c>
    </row>
    <row r="5355" spans="1:5" x14ac:dyDescent="0.2">
      <c r="A5355" t="s">
        <v>16035</v>
      </c>
      <c r="B5355" t="s">
        <v>16036</v>
      </c>
      <c r="C5355" t="s">
        <v>16036</v>
      </c>
      <c r="D5355" t="str">
        <f>HYPERLINK("https://zfin.org/ZDB-GENE-050419-256")</f>
        <v>https://zfin.org/ZDB-GENE-050419-256</v>
      </c>
      <c r="E5355" t="s">
        <v>16037</v>
      </c>
    </row>
    <row r="5356" spans="1:5" x14ac:dyDescent="0.2">
      <c r="A5356" t="s">
        <v>16038</v>
      </c>
      <c r="B5356" t="s">
        <v>16039</v>
      </c>
      <c r="C5356" t="s">
        <v>16039</v>
      </c>
      <c r="D5356" t="str">
        <f>HYPERLINK("https://zfin.org/ZDB-GENE-090316-1")</f>
        <v>https://zfin.org/ZDB-GENE-090316-1</v>
      </c>
      <c r="E5356" t="s">
        <v>16040</v>
      </c>
    </row>
    <row r="5357" spans="1:5" x14ac:dyDescent="0.2">
      <c r="A5357" t="s">
        <v>16041</v>
      </c>
      <c r="B5357" t="s">
        <v>16042</v>
      </c>
      <c r="C5357" t="s">
        <v>16042</v>
      </c>
      <c r="D5357" t="str">
        <f>HYPERLINK("https://zfin.org/ZDB-GENE-030131-5809")</f>
        <v>https://zfin.org/ZDB-GENE-030131-5809</v>
      </c>
      <c r="E5357" t="s">
        <v>16043</v>
      </c>
    </row>
    <row r="5358" spans="1:5" x14ac:dyDescent="0.2">
      <c r="A5358" t="s">
        <v>16044</v>
      </c>
      <c r="B5358" t="s">
        <v>16045</v>
      </c>
      <c r="C5358" t="s">
        <v>16045</v>
      </c>
      <c r="D5358" t="str">
        <f>HYPERLINK("https://zfin.org/ZDB-GENE-041114-62")</f>
        <v>https://zfin.org/ZDB-GENE-041114-62</v>
      </c>
      <c r="E5358" t="s">
        <v>16046</v>
      </c>
    </row>
    <row r="5359" spans="1:5" x14ac:dyDescent="0.2">
      <c r="A5359" t="s">
        <v>16047</v>
      </c>
      <c r="B5359" t="s">
        <v>16048</v>
      </c>
      <c r="C5359" t="s">
        <v>16048</v>
      </c>
      <c r="D5359" t="str">
        <f>HYPERLINK("https://zfin.org/ZDB-GENE-131121-145")</f>
        <v>https://zfin.org/ZDB-GENE-131121-145</v>
      </c>
      <c r="E5359" t="s">
        <v>16049</v>
      </c>
    </row>
    <row r="5360" spans="1:5" x14ac:dyDescent="0.2">
      <c r="A5360" t="s">
        <v>16050</v>
      </c>
      <c r="B5360" t="s">
        <v>16051</v>
      </c>
      <c r="C5360" t="s">
        <v>16051</v>
      </c>
      <c r="D5360" t="str">
        <f>HYPERLINK("https://zfin.org/ZDB-GENE-070424-52")</f>
        <v>https://zfin.org/ZDB-GENE-070424-52</v>
      </c>
      <c r="E5360" t="s">
        <v>16052</v>
      </c>
    </row>
    <row r="5361" spans="1:5" x14ac:dyDescent="0.2">
      <c r="A5361" t="s">
        <v>16053</v>
      </c>
      <c r="B5361" t="s">
        <v>16054</v>
      </c>
      <c r="C5361" t="s">
        <v>16054</v>
      </c>
      <c r="D5361" t="str">
        <f>HYPERLINK("https://zfin.org/ZDB-GENE-050309-150")</f>
        <v>https://zfin.org/ZDB-GENE-050309-150</v>
      </c>
      <c r="E5361" t="s">
        <v>16055</v>
      </c>
    </row>
    <row r="5362" spans="1:5" x14ac:dyDescent="0.2">
      <c r="A5362" t="s">
        <v>16056</v>
      </c>
      <c r="B5362" t="s">
        <v>16057</v>
      </c>
      <c r="C5362" t="s">
        <v>16057</v>
      </c>
      <c r="D5362" t="str">
        <f>HYPERLINK("https://zfin.org/ZDB-GENE-040426-1630")</f>
        <v>https://zfin.org/ZDB-GENE-040426-1630</v>
      </c>
      <c r="E5362" t="s">
        <v>16058</v>
      </c>
    </row>
    <row r="5363" spans="1:5" x14ac:dyDescent="0.2">
      <c r="A5363" t="s">
        <v>16059</v>
      </c>
      <c r="B5363" t="s">
        <v>15973</v>
      </c>
      <c r="C5363" t="s">
        <v>16060</v>
      </c>
      <c r="D5363" t="str">
        <f>HYPERLINK("https://zfin.org/ZDB-GENE-121214-312")</f>
        <v>https://zfin.org/ZDB-GENE-121214-312</v>
      </c>
      <c r="E5363" t="s">
        <v>16061</v>
      </c>
    </row>
    <row r="5364" spans="1:5" x14ac:dyDescent="0.2">
      <c r="A5364" t="s">
        <v>16062</v>
      </c>
      <c r="B5364" t="s">
        <v>15748</v>
      </c>
      <c r="C5364" t="s">
        <v>16063</v>
      </c>
      <c r="D5364" t="str">
        <f>HYPERLINK("https://zfin.org/ZDB-GENE-070912-340")</f>
        <v>https://zfin.org/ZDB-GENE-070912-340</v>
      </c>
      <c r="E5364" t="s">
        <v>16064</v>
      </c>
    </row>
    <row r="5365" spans="1:5" x14ac:dyDescent="0.2">
      <c r="A5365" t="s">
        <v>16065</v>
      </c>
      <c r="B5365" t="s">
        <v>16066</v>
      </c>
      <c r="C5365" t="s">
        <v>16066</v>
      </c>
      <c r="D5365" t="str">
        <f>HYPERLINK("https://zfin.org/ZDB-GENE-061204-2")</f>
        <v>https://zfin.org/ZDB-GENE-061204-2</v>
      </c>
      <c r="E5365" t="s">
        <v>16067</v>
      </c>
    </row>
    <row r="5366" spans="1:5" x14ac:dyDescent="0.2">
      <c r="A5366" t="s">
        <v>16068</v>
      </c>
      <c r="B5366" t="s">
        <v>16069</v>
      </c>
      <c r="C5366" t="s">
        <v>16069</v>
      </c>
      <c r="D5366" t="str">
        <f>HYPERLINK("https://zfin.org/ZDB-GENE-040426-2423")</f>
        <v>https://zfin.org/ZDB-GENE-040426-2423</v>
      </c>
      <c r="E5366" t="s">
        <v>16070</v>
      </c>
    </row>
    <row r="5367" spans="1:5" x14ac:dyDescent="0.2">
      <c r="A5367" t="s">
        <v>16071</v>
      </c>
      <c r="B5367" t="s">
        <v>16072</v>
      </c>
      <c r="C5367" t="s">
        <v>16072</v>
      </c>
      <c r="D5367" t="str">
        <f>HYPERLINK("https://zfin.org/ZDB-GENE-040718-207")</f>
        <v>https://zfin.org/ZDB-GENE-040718-207</v>
      </c>
      <c r="E5367" t="s">
        <v>16073</v>
      </c>
    </row>
    <row r="5368" spans="1:5" x14ac:dyDescent="0.2">
      <c r="A5368" t="s">
        <v>16074</v>
      </c>
      <c r="B5368" t="s">
        <v>16075</v>
      </c>
      <c r="C5368" t="s">
        <v>16075</v>
      </c>
      <c r="D5368" t="str">
        <f>HYPERLINK("https://zfin.org/ZDB-GENE-030131-2592")</f>
        <v>https://zfin.org/ZDB-GENE-030131-2592</v>
      </c>
      <c r="E5368" t="s">
        <v>16076</v>
      </c>
    </row>
    <row r="5369" spans="1:5" x14ac:dyDescent="0.2">
      <c r="A5369" t="s">
        <v>16077</v>
      </c>
      <c r="B5369" t="s">
        <v>16078</v>
      </c>
      <c r="C5369" t="s">
        <v>16078</v>
      </c>
      <c r="D5369" t="str">
        <f>HYPERLINK("https://zfin.org/ZDB-GENE-080723-72")</f>
        <v>https://zfin.org/ZDB-GENE-080723-72</v>
      </c>
      <c r="E5369" t="s">
        <v>16079</v>
      </c>
    </row>
    <row r="5370" spans="1:5" x14ac:dyDescent="0.2">
      <c r="A5370" t="s">
        <v>16080</v>
      </c>
      <c r="B5370" t="s">
        <v>16081</v>
      </c>
      <c r="C5370" t="s">
        <v>16081</v>
      </c>
      <c r="D5370" t="str">
        <f>HYPERLINK("https://zfin.org/ZDB-GENE-050410-9")</f>
        <v>https://zfin.org/ZDB-GENE-050410-9</v>
      </c>
      <c r="E5370" t="s">
        <v>16082</v>
      </c>
    </row>
    <row r="5371" spans="1:5" x14ac:dyDescent="0.2">
      <c r="A5371" t="s">
        <v>16083</v>
      </c>
      <c r="B5371" t="s">
        <v>16084</v>
      </c>
      <c r="C5371" t="s">
        <v>16084</v>
      </c>
      <c r="D5371" t="str">
        <f>HYPERLINK("https://zfin.org/ZDB-GENE-130531-53")</f>
        <v>https://zfin.org/ZDB-GENE-130531-53</v>
      </c>
      <c r="E5371" t="s">
        <v>16085</v>
      </c>
    </row>
    <row r="5372" spans="1:5" x14ac:dyDescent="0.2">
      <c r="A5372" t="s">
        <v>16086</v>
      </c>
      <c r="B5372" t="s">
        <v>16087</v>
      </c>
      <c r="C5372" t="s">
        <v>16087</v>
      </c>
      <c r="D5372" t="str">
        <f>HYPERLINK("https://zfin.org/ZDB-GENE-011128-11")</f>
        <v>https://zfin.org/ZDB-GENE-011128-11</v>
      </c>
      <c r="E5372" t="s">
        <v>16088</v>
      </c>
    </row>
    <row r="5373" spans="1:5" x14ac:dyDescent="0.2">
      <c r="A5373" t="s">
        <v>16089</v>
      </c>
      <c r="B5373" t="s">
        <v>16090</v>
      </c>
      <c r="C5373" t="s">
        <v>16090</v>
      </c>
      <c r="D5373" t="str">
        <f>HYPERLINK("https://zfin.org/ZDB-GENE-050913-20")</f>
        <v>https://zfin.org/ZDB-GENE-050913-20</v>
      </c>
      <c r="E5373" t="s">
        <v>16091</v>
      </c>
    </row>
    <row r="5374" spans="1:5" x14ac:dyDescent="0.2">
      <c r="A5374" t="s">
        <v>16092</v>
      </c>
      <c r="B5374" t="s">
        <v>16093</v>
      </c>
      <c r="C5374" t="s">
        <v>16093</v>
      </c>
      <c r="D5374" t="str">
        <f>HYPERLINK("https://zfin.org/ZDB-GENE-040625-174")</f>
        <v>https://zfin.org/ZDB-GENE-040625-174</v>
      </c>
      <c r="E5374" t="s">
        <v>16094</v>
      </c>
    </row>
    <row r="5375" spans="1:5" x14ac:dyDescent="0.2">
      <c r="A5375" t="s">
        <v>16095</v>
      </c>
      <c r="B5375" t="s">
        <v>16096</v>
      </c>
      <c r="C5375" t="s">
        <v>16096</v>
      </c>
      <c r="D5375" t="str">
        <f>HYPERLINK("https://zfin.org/ZDB-GENE-030131-1531")</f>
        <v>https://zfin.org/ZDB-GENE-030131-1531</v>
      </c>
      <c r="E5375" t="s">
        <v>16097</v>
      </c>
    </row>
    <row r="5376" spans="1:5" x14ac:dyDescent="0.2">
      <c r="A5376" t="s">
        <v>16098</v>
      </c>
      <c r="B5376" t="s">
        <v>16099</v>
      </c>
      <c r="C5376" t="s">
        <v>16099</v>
      </c>
      <c r="D5376" t="str">
        <f>HYPERLINK("https://zfin.org/ZDB-GENE-000526-1")</f>
        <v>https://zfin.org/ZDB-GENE-000526-1</v>
      </c>
      <c r="E5376" t="s">
        <v>16100</v>
      </c>
    </row>
    <row r="5377" spans="1:5" x14ac:dyDescent="0.2">
      <c r="A5377" t="s">
        <v>16101</v>
      </c>
      <c r="B5377" t="s">
        <v>16102</v>
      </c>
      <c r="C5377" t="s">
        <v>16102</v>
      </c>
      <c r="D5377" t="str">
        <f>HYPERLINK("https://zfin.org/ZDB-GENE-141216-266")</f>
        <v>https://zfin.org/ZDB-GENE-141216-266</v>
      </c>
      <c r="E5377" t="s">
        <v>16103</v>
      </c>
    </row>
    <row r="5378" spans="1:5" x14ac:dyDescent="0.2">
      <c r="A5378" t="s">
        <v>16104</v>
      </c>
      <c r="B5378" t="s">
        <v>16105</v>
      </c>
      <c r="C5378" t="s">
        <v>16105</v>
      </c>
      <c r="D5378" t="str">
        <f>HYPERLINK("https://zfin.org/ZDB-GENE-031118-31")</f>
        <v>https://zfin.org/ZDB-GENE-031118-31</v>
      </c>
      <c r="E5378" t="s">
        <v>16106</v>
      </c>
    </row>
    <row r="5379" spans="1:5" x14ac:dyDescent="0.2">
      <c r="A5379" t="s">
        <v>16107</v>
      </c>
      <c r="B5379" t="s">
        <v>16108</v>
      </c>
      <c r="C5379" t="s">
        <v>16108</v>
      </c>
      <c r="D5379" t="str">
        <f>HYPERLINK("https://zfin.org/ZDB-GENE-010426-6")</f>
        <v>https://zfin.org/ZDB-GENE-010426-6</v>
      </c>
      <c r="E5379" t="s">
        <v>16109</v>
      </c>
    </row>
    <row r="5380" spans="1:5" x14ac:dyDescent="0.2">
      <c r="A5380" t="s">
        <v>16110</v>
      </c>
      <c r="B5380" t="s">
        <v>16111</v>
      </c>
      <c r="C5380" t="s">
        <v>16111</v>
      </c>
      <c r="D5380" t="str">
        <f>HYPERLINK("https://zfin.org/ZDB-GENE-091204-321")</f>
        <v>https://zfin.org/ZDB-GENE-091204-321</v>
      </c>
      <c r="E5380" t="s">
        <v>16112</v>
      </c>
    </row>
    <row r="5381" spans="1:5" x14ac:dyDescent="0.2">
      <c r="A5381" t="s">
        <v>16113</v>
      </c>
      <c r="B5381" t="s">
        <v>16114</v>
      </c>
      <c r="C5381" t="s">
        <v>16114</v>
      </c>
      <c r="D5381" t="str">
        <f>HYPERLINK("https://zfin.org/ZDB-GENE-070410-114")</f>
        <v>https://zfin.org/ZDB-GENE-070410-114</v>
      </c>
      <c r="E5381" t="s">
        <v>16115</v>
      </c>
    </row>
    <row r="5382" spans="1:5" x14ac:dyDescent="0.2">
      <c r="A5382" t="s">
        <v>16116</v>
      </c>
      <c r="B5382" t="s">
        <v>16117</v>
      </c>
      <c r="C5382" t="s">
        <v>16117</v>
      </c>
      <c r="D5382" t="str">
        <f>HYPERLINK("https://zfin.org/ZDB-GENE-130530-2")</f>
        <v>https://zfin.org/ZDB-GENE-130530-2</v>
      </c>
      <c r="E5382" t="s">
        <v>16118</v>
      </c>
    </row>
    <row r="5383" spans="1:5" x14ac:dyDescent="0.2">
      <c r="A5383" t="s">
        <v>16119</v>
      </c>
      <c r="B5383" t="s">
        <v>16120</v>
      </c>
      <c r="C5383" t="s">
        <v>16120</v>
      </c>
      <c r="D5383" t="str">
        <f>HYPERLINK("https://zfin.org/ZDB-GENE-030717-3")</f>
        <v>https://zfin.org/ZDB-GENE-030717-3</v>
      </c>
      <c r="E5383" t="s">
        <v>16121</v>
      </c>
    </row>
    <row r="5384" spans="1:5" x14ac:dyDescent="0.2">
      <c r="A5384" t="s">
        <v>16122</v>
      </c>
      <c r="B5384" t="s">
        <v>16123</v>
      </c>
      <c r="C5384" t="s">
        <v>16123</v>
      </c>
      <c r="D5384" t="str">
        <f>HYPERLINK("https://zfin.org/ZDB-GENE-060825-269")</f>
        <v>https://zfin.org/ZDB-GENE-060825-269</v>
      </c>
      <c r="E5384" t="s">
        <v>16124</v>
      </c>
    </row>
    <row r="5385" spans="1:5" x14ac:dyDescent="0.2">
      <c r="A5385" t="s">
        <v>16125</v>
      </c>
      <c r="B5385" t="s">
        <v>16126</v>
      </c>
      <c r="C5385" t="s">
        <v>16126</v>
      </c>
      <c r="D5385" t="str">
        <f>HYPERLINK("https://zfin.org/ZDB-GENE-131121-109")</f>
        <v>https://zfin.org/ZDB-GENE-131121-109</v>
      </c>
      <c r="E5385" t="s">
        <v>16127</v>
      </c>
    </row>
    <row r="5386" spans="1:5" x14ac:dyDescent="0.2">
      <c r="A5386" t="s">
        <v>16128</v>
      </c>
      <c r="B5386" t="s">
        <v>16129</v>
      </c>
      <c r="C5386" t="s">
        <v>16129</v>
      </c>
      <c r="D5386" t="str">
        <f>HYPERLINK("https://zfin.org/ZDB-GENE-070912-575")</f>
        <v>https://zfin.org/ZDB-GENE-070912-575</v>
      </c>
      <c r="E5386" t="s">
        <v>16130</v>
      </c>
    </row>
    <row r="5387" spans="1:5" x14ac:dyDescent="0.2">
      <c r="A5387" t="s">
        <v>16131</v>
      </c>
      <c r="B5387" t="s">
        <v>16132</v>
      </c>
      <c r="C5387" t="s">
        <v>16132</v>
      </c>
      <c r="D5387" t="str">
        <f>HYPERLINK("https://zfin.org/ZDB-GENE-131127-627")</f>
        <v>https://zfin.org/ZDB-GENE-131127-627</v>
      </c>
      <c r="E5387" t="s">
        <v>16133</v>
      </c>
    </row>
    <row r="5388" spans="1:5" x14ac:dyDescent="0.2">
      <c r="A5388" t="s">
        <v>16134</v>
      </c>
      <c r="B5388" t="s">
        <v>16135</v>
      </c>
      <c r="C5388" t="s">
        <v>16135</v>
      </c>
      <c r="D5388" t="str">
        <f>HYPERLINK("https://zfin.org/ZDB-GENE-061013-502")</f>
        <v>https://zfin.org/ZDB-GENE-061013-502</v>
      </c>
      <c r="E5388" t="s">
        <v>16136</v>
      </c>
    </row>
    <row r="5389" spans="1:5" x14ac:dyDescent="0.2">
      <c r="A5389" t="s">
        <v>16137</v>
      </c>
      <c r="B5389" t="s">
        <v>16138</v>
      </c>
      <c r="C5389" t="s">
        <v>16138</v>
      </c>
      <c r="D5389" t="str">
        <f>HYPERLINK("https://zfin.org/ZDB-GENE-990415-178")</f>
        <v>https://zfin.org/ZDB-GENE-990415-178</v>
      </c>
      <c r="E5389" t="s">
        <v>16139</v>
      </c>
    </row>
    <row r="5390" spans="1:5" x14ac:dyDescent="0.2">
      <c r="A5390" t="s">
        <v>16140</v>
      </c>
      <c r="B5390" t="s">
        <v>16141</v>
      </c>
      <c r="C5390" t="s">
        <v>16141</v>
      </c>
      <c r="D5390" t="str">
        <f>HYPERLINK("https://zfin.org/ZDB-GENE-040426-1287")</f>
        <v>https://zfin.org/ZDB-GENE-040426-1287</v>
      </c>
      <c r="E5390" t="s">
        <v>16142</v>
      </c>
    </row>
    <row r="5391" spans="1:5" x14ac:dyDescent="0.2">
      <c r="A5391" t="s">
        <v>16143</v>
      </c>
      <c r="B5391" t="s">
        <v>16144</v>
      </c>
      <c r="C5391" t="s">
        <v>16144</v>
      </c>
      <c r="D5391" t="str">
        <f>HYPERLINK("https://zfin.org/ZDB-GENE-030131-9247")</f>
        <v>https://zfin.org/ZDB-GENE-030131-9247</v>
      </c>
      <c r="E5391" t="s">
        <v>16145</v>
      </c>
    </row>
    <row r="5392" spans="1:5" x14ac:dyDescent="0.2">
      <c r="A5392" t="s">
        <v>16146</v>
      </c>
      <c r="B5392" t="s">
        <v>16147</v>
      </c>
      <c r="C5392" t="s">
        <v>16147</v>
      </c>
      <c r="D5392" t="str">
        <f>HYPERLINK("https://zfin.org/ZDB-GENE-021211-3")</f>
        <v>https://zfin.org/ZDB-GENE-021211-3</v>
      </c>
      <c r="E5392" t="s">
        <v>16148</v>
      </c>
    </row>
    <row r="5393" spans="1:5" x14ac:dyDescent="0.2">
      <c r="A5393" t="s">
        <v>16149</v>
      </c>
      <c r="B5393" t="s">
        <v>16150</v>
      </c>
      <c r="C5393" t="s">
        <v>16150</v>
      </c>
      <c r="D5393" t="str">
        <f>HYPERLINK("https://zfin.org/ZDB-GENE-030131-6690")</f>
        <v>https://zfin.org/ZDB-GENE-030131-6690</v>
      </c>
      <c r="E5393" t="s">
        <v>16151</v>
      </c>
    </row>
    <row r="5394" spans="1:5" x14ac:dyDescent="0.2">
      <c r="A5394" t="s">
        <v>16152</v>
      </c>
      <c r="B5394" t="s">
        <v>16153</v>
      </c>
      <c r="C5394" t="s">
        <v>16153</v>
      </c>
      <c r="D5394" t="str">
        <f>HYPERLINK("https://zfin.org/ZDB-GENE-031014-1")</f>
        <v>https://zfin.org/ZDB-GENE-031014-1</v>
      </c>
      <c r="E5394" t="s">
        <v>16154</v>
      </c>
    </row>
    <row r="5395" spans="1:5" x14ac:dyDescent="0.2">
      <c r="A5395" t="s">
        <v>16155</v>
      </c>
      <c r="B5395" t="s">
        <v>16156</v>
      </c>
      <c r="C5395" t="s">
        <v>16156</v>
      </c>
      <c r="D5395" t="str">
        <f>HYPERLINK("https://zfin.org/ZDB-GENE-061013-622")</f>
        <v>https://zfin.org/ZDB-GENE-061013-622</v>
      </c>
      <c r="E5395" t="s">
        <v>16157</v>
      </c>
    </row>
    <row r="5396" spans="1:5" x14ac:dyDescent="0.2">
      <c r="A5396" t="s">
        <v>16158</v>
      </c>
      <c r="B5396" t="s">
        <v>16159</v>
      </c>
      <c r="C5396" t="s">
        <v>16159</v>
      </c>
      <c r="D5396" t="str">
        <f>HYPERLINK("https://zfin.org/ZDB-GENE-040426-872")</f>
        <v>https://zfin.org/ZDB-GENE-040426-872</v>
      </c>
      <c r="E5396" t="s">
        <v>16160</v>
      </c>
    </row>
    <row r="5397" spans="1:5" x14ac:dyDescent="0.2">
      <c r="A5397" t="s">
        <v>16161</v>
      </c>
      <c r="B5397" t="s">
        <v>16162</v>
      </c>
      <c r="C5397" t="s">
        <v>16162</v>
      </c>
      <c r="D5397" t="str">
        <f>HYPERLINK("https://zfin.org/ZDB-GENE-050420-389")</f>
        <v>https://zfin.org/ZDB-GENE-050420-389</v>
      </c>
      <c r="E5397" t="s">
        <v>16163</v>
      </c>
    </row>
    <row r="5398" spans="1:5" x14ac:dyDescent="0.2">
      <c r="A5398" t="s">
        <v>16164</v>
      </c>
      <c r="B5398" t="s">
        <v>16165</v>
      </c>
      <c r="C5398" t="s">
        <v>16165</v>
      </c>
      <c r="D5398" t="str">
        <f>HYPERLINK("https://zfin.org/ZDB-GENE-110222-2")</f>
        <v>https://zfin.org/ZDB-GENE-110222-2</v>
      </c>
      <c r="E5398" t="s">
        <v>16166</v>
      </c>
    </row>
    <row r="5399" spans="1:5" x14ac:dyDescent="0.2">
      <c r="A5399" t="s">
        <v>16167</v>
      </c>
      <c r="B5399" t="s">
        <v>16168</v>
      </c>
      <c r="C5399" t="s">
        <v>16168</v>
      </c>
      <c r="D5399" t="str">
        <f>HYPERLINK("https://zfin.org/ZDB-GENE-131121-150")</f>
        <v>https://zfin.org/ZDB-GENE-131121-150</v>
      </c>
      <c r="E5399" t="s">
        <v>16169</v>
      </c>
    </row>
    <row r="5400" spans="1:5" x14ac:dyDescent="0.2">
      <c r="A5400" t="s">
        <v>16170</v>
      </c>
      <c r="B5400" t="s">
        <v>16171</v>
      </c>
      <c r="C5400" t="s">
        <v>16171</v>
      </c>
      <c r="D5400" t="str">
        <f>HYPERLINK("https://zfin.org/ZDB-GENE-030131-5188")</f>
        <v>https://zfin.org/ZDB-GENE-030131-5188</v>
      </c>
      <c r="E5400" t="s">
        <v>16172</v>
      </c>
    </row>
    <row r="5401" spans="1:5" x14ac:dyDescent="0.2">
      <c r="A5401" t="s">
        <v>16173</v>
      </c>
      <c r="B5401" t="s">
        <v>16174</v>
      </c>
      <c r="C5401" t="s">
        <v>16174</v>
      </c>
      <c r="D5401" t="str">
        <f>HYPERLINK("https://zfin.org/ZDB-GENE-030521-42")</f>
        <v>https://zfin.org/ZDB-GENE-030521-42</v>
      </c>
      <c r="E5401" t="s">
        <v>16175</v>
      </c>
    </row>
    <row r="5402" spans="1:5" x14ac:dyDescent="0.2">
      <c r="A5402" t="s">
        <v>16176</v>
      </c>
      <c r="B5402" t="s">
        <v>16177</v>
      </c>
      <c r="C5402" t="s">
        <v>16177</v>
      </c>
      <c r="D5402" t="str">
        <f>HYPERLINK("https://zfin.org/ZDB-GENE-050522-483")</f>
        <v>https://zfin.org/ZDB-GENE-050522-483</v>
      </c>
      <c r="E5402" t="s">
        <v>16178</v>
      </c>
    </row>
    <row r="5403" spans="1:5" x14ac:dyDescent="0.2">
      <c r="A5403" t="s">
        <v>16179</v>
      </c>
      <c r="B5403" t="s">
        <v>16180</v>
      </c>
      <c r="C5403" t="s">
        <v>16180</v>
      </c>
      <c r="D5403" t="str">
        <f>HYPERLINK("https://zfin.org/ZDB-GENE-031001-10")</f>
        <v>https://zfin.org/ZDB-GENE-031001-10</v>
      </c>
      <c r="E5403" t="s">
        <v>16181</v>
      </c>
    </row>
    <row r="5404" spans="1:5" x14ac:dyDescent="0.2">
      <c r="A5404" t="s">
        <v>16182</v>
      </c>
      <c r="B5404" t="s">
        <v>16183</v>
      </c>
      <c r="C5404" t="s">
        <v>16183</v>
      </c>
      <c r="D5404" t="str">
        <f>HYPERLINK("https://zfin.org/ZDB-GENE-040426-1158")</f>
        <v>https://zfin.org/ZDB-GENE-040426-1158</v>
      </c>
      <c r="E5404" t="s">
        <v>16184</v>
      </c>
    </row>
    <row r="5405" spans="1:5" x14ac:dyDescent="0.2">
      <c r="A5405" t="s">
        <v>16185</v>
      </c>
      <c r="B5405" t="s">
        <v>16186</v>
      </c>
      <c r="C5405" t="s">
        <v>16186</v>
      </c>
      <c r="D5405" t="str">
        <f>HYPERLINK("https://zfin.org/ZDB-GENE-040704-75")</f>
        <v>https://zfin.org/ZDB-GENE-040704-75</v>
      </c>
      <c r="E5405" t="s">
        <v>16187</v>
      </c>
    </row>
    <row r="5406" spans="1:5" x14ac:dyDescent="0.2">
      <c r="A5406" t="s">
        <v>16188</v>
      </c>
      <c r="B5406" t="s">
        <v>16189</v>
      </c>
      <c r="C5406" t="s">
        <v>16189</v>
      </c>
      <c r="D5406" t="str">
        <f>HYPERLINK("https://zfin.org/ZDB-GENE-050731-5")</f>
        <v>https://zfin.org/ZDB-GENE-050731-5</v>
      </c>
      <c r="E5406" t="s">
        <v>16190</v>
      </c>
    </row>
    <row r="5407" spans="1:5" x14ac:dyDescent="0.2">
      <c r="A5407" t="s">
        <v>16191</v>
      </c>
      <c r="B5407" t="s">
        <v>16192</v>
      </c>
      <c r="C5407" t="s">
        <v>16192</v>
      </c>
      <c r="D5407" t="str">
        <f>HYPERLINK("https://zfin.org/ZDB-GENE-060131-1")</f>
        <v>https://zfin.org/ZDB-GENE-060131-1</v>
      </c>
      <c r="E5407" t="s">
        <v>16193</v>
      </c>
    </row>
    <row r="5408" spans="1:5" x14ac:dyDescent="0.2">
      <c r="A5408" t="s">
        <v>16194</v>
      </c>
      <c r="B5408" t="s">
        <v>16195</v>
      </c>
      <c r="C5408" t="s">
        <v>16195</v>
      </c>
      <c r="D5408" t="str">
        <f>HYPERLINK("https://zfin.org/ZDB-GENE-050208-93")</f>
        <v>https://zfin.org/ZDB-GENE-050208-93</v>
      </c>
      <c r="E5408" t="s">
        <v>16196</v>
      </c>
    </row>
    <row r="5409" spans="1:5" x14ac:dyDescent="0.2">
      <c r="A5409" t="s">
        <v>16197</v>
      </c>
      <c r="B5409" t="s">
        <v>16198</v>
      </c>
      <c r="C5409" t="s">
        <v>16198</v>
      </c>
      <c r="D5409" t="str">
        <f>HYPERLINK("https://zfin.org/ZDB-GENE-061103-94")</f>
        <v>https://zfin.org/ZDB-GENE-061103-94</v>
      </c>
      <c r="E5409" t="s">
        <v>16199</v>
      </c>
    </row>
    <row r="5410" spans="1:5" x14ac:dyDescent="0.2">
      <c r="A5410" t="s">
        <v>16200</v>
      </c>
      <c r="B5410" t="s">
        <v>16201</v>
      </c>
      <c r="C5410" t="s">
        <v>16201</v>
      </c>
      <c r="D5410" t="str">
        <f>HYPERLINK("https://zfin.org/ZDB-GENE-050420-291")</f>
        <v>https://zfin.org/ZDB-GENE-050420-291</v>
      </c>
      <c r="E5410" t="s">
        <v>16202</v>
      </c>
    </row>
    <row r="5411" spans="1:5" x14ac:dyDescent="0.2">
      <c r="A5411" t="s">
        <v>16203</v>
      </c>
      <c r="B5411" t="s">
        <v>16204</v>
      </c>
      <c r="C5411" t="s">
        <v>16204</v>
      </c>
      <c r="D5411" t="str">
        <f>HYPERLINK("https://zfin.org/ZDB-GENE-040718-168")</f>
        <v>https://zfin.org/ZDB-GENE-040718-168</v>
      </c>
      <c r="E5411" t="s">
        <v>16205</v>
      </c>
    </row>
    <row r="5412" spans="1:5" x14ac:dyDescent="0.2">
      <c r="A5412" t="s">
        <v>16206</v>
      </c>
      <c r="B5412" t="s">
        <v>16207</v>
      </c>
      <c r="C5412" t="s">
        <v>16207</v>
      </c>
      <c r="D5412" t="str">
        <f>HYPERLINK("https://zfin.org/ZDB-GENE-040426-691")</f>
        <v>https://zfin.org/ZDB-GENE-040426-691</v>
      </c>
      <c r="E5412" t="s">
        <v>16208</v>
      </c>
    </row>
    <row r="5413" spans="1:5" x14ac:dyDescent="0.2">
      <c r="A5413" t="s">
        <v>16209</v>
      </c>
      <c r="B5413" t="s">
        <v>16210</v>
      </c>
      <c r="C5413" t="s">
        <v>16210</v>
      </c>
      <c r="D5413" t="str">
        <f>HYPERLINK("https://zfin.org/ZDB-GENE-091204-416")</f>
        <v>https://zfin.org/ZDB-GENE-091204-416</v>
      </c>
      <c r="E5413" t="s">
        <v>16211</v>
      </c>
    </row>
    <row r="5414" spans="1:5" x14ac:dyDescent="0.2">
      <c r="A5414" t="s">
        <v>16212</v>
      </c>
      <c r="B5414" t="s">
        <v>16213</v>
      </c>
      <c r="C5414" t="s">
        <v>16213</v>
      </c>
      <c r="D5414" t="str">
        <f>HYPERLINK("https://zfin.org/ZDB-GENE-131119-5")</f>
        <v>https://zfin.org/ZDB-GENE-131119-5</v>
      </c>
      <c r="E5414" t="s">
        <v>16214</v>
      </c>
    </row>
    <row r="5415" spans="1:5" x14ac:dyDescent="0.2">
      <c r="A5415" t="s">
        <v>16215</v>
      </c>
      <c r="B5415" t="s">
        <v>16216</v>
      </c>
      <c r="C5415" t="s">
        <v>16216</v>
      </c>
      <c r="D5415" t="str">
        <f>HYPERLINK("https://zfin.org/ZDB-GENE-030131-9077")</f>
        <v>https://zfin.org/ZDB-GENE-030131-9077</v>
      </c>
      <c r="E5415" t="s">
        <v>16217</v>
      </c>
    </row>
    <row r="5416" spans="1:5" x14ac:dyDescent="0.2">
      <c r="A5416" t="s">
        <v>16218</v>
      </c>
      <c r="B5416" t="s">
        <v>16219</v>
      </c>
      <c r="C5416" t="s">
        <v>16219</v>
      </c>
      <c r="D5416" t="str">
        <f>HYPERLINK("https://zfin.org/ZDB-GENE-060503-153")</f>
        <v>https://zfin.org/ZDB-GENE-060503-153</v>
      </c>
      <c r="E5416" t="s">
        <v>16220</v>
      </c>
    </row>
    <row r="5417" spans="1:5" x14ac:dyDescent="0.2">
      <c r="A5417" t="s">
        <v>16221</v>
      </c>
      <c r="B5417" t="s">
        <v>16222</v>
      </c>
      <c r="C5417" t="s">
        <v>16222</v>
      </c>
      <c r="D5417" t="str">
        <f>HYPERLINK("https://zfin.org/ZDB-GENE-050417-63")</f>
        <v>https://zfin.org/ZDB-GENE-050417-63</v>
      </c>
      <c r="E5417" t="s">
        <v>16223</v>
      </c>
    </row>
    <row r="5418" spans="1:5" x14ac:dyDescent="0.2">
      <c r="A5418" t="s">
        <v>16224</v>
      </c>
      <c r="B5418" t="s">
        <v>16225</v>
      </c>
      <c r="C5418" t="s">
        <v>16225</v>
      </c>
      <c r="D5418" t="str">
        <f>HYPERLINK("https://zfin.org/ZDB-GENE-041111-101")</f>
        <v>https://zfin.org/ZDB-GENE-041111-101</v>
      </c>
      <c r="E5418" t="s">
        <v>16226</v>
      </c>
    </row>
    <row r="5419" spans="1:5" x14ac:dyDescent="0.2">
      <c r="A5419" t="s">
        <v>16227</v>
      </c>
      <c r="B5419" t="s">
        <v>16228</v>
      </c>
      <c r="C5419" t="s">
        <v>16228</v>
      </c>
      <c r="D5419" t="str">
        <f>HYPERLINK("https://zfin.org/ZDB-GENE-030131-9913")</f>
        <v>https://zfin.org/ZDB-GENE-030131-9913</v>
      </c>
      <c r="E5419" t="s">
        <v>16229</v>
      </c>
    </row>
    <row r="5420" spans="1:5" x14ac:dyDescent="0.2">
      <c r="A5420" t="s">
        <v>16230</v>
      </c>
      <c r="B5420" t="s">
        <v>16231</v>
      </c>
      <c r="C5420" t="s">
        <v>16231</v>
      </c>
      <c r="D5420" t="str">
        <f>HYPERLINK("https://zfin.org/ZDB-GENE-041212-6")</f>
        <v>https://zfin.org/ZDB-GENE-041212-6</v>
      </c>
      <c r="E5420" t="s">
        <v>16232</v>
      </c>
    </row>
    <row r="5421" spans="1:5" x14ac:dyDescent="0.2">
      <c r="A5421" t="s">
        <v>16233</v>
      </c>
      <c r="B5421" t="s">
        <v>16234</v>
      </c>
      <c r="C5421" t="s">
        <v>16234</v>
      </c>
      <c r="D5421" t="str">
        <f>HYPERLINK("https://zfin.org/ZDB-GENE-050420-348")</f>
        <v>https://zfin.org/ZDB-GENE-050420-348</v>
      </c>
      <c r="E5421" t="s">
        <v>16235</v>
      </c>
    </row>
    <row r="5422" spans="1:5" x14ac:dyDescent="0.2">
      <c r="A5422" t="s">
        <v>16236</v>
      </c>
      <c r="B5422" t="s">
        <v>16237</v>
      </c>
      <c r="C5422" t="s">
        <v>16237</v>
      </c>
      <c r="D5422" t="str">
        <f>HYPERLINK("https://zfin.org/ZDB-GENE-030131-4683")</f>
        <v>https://zfin.org/ZDB-GENE-030131-4683</v>
      </c>
      <c r="E5422" t="s">
        <v>16238</v>
      </c>
    </row>
    <row r="5423" spans="1:5" x14ac:dyDescent="0.2">
      <c r="A5423" t="s">
        <v>16239</v>
      </c>
      <c r="B5423" t="s">
        <v>16240</v>
      </c>
      <c r="C5423" t="s">
        <v>16240</v>
      </c>
      <c r="D5423" t="str">
        <f>HYPERLINK("https://zfin.org/ZDB-GENE-030424-1")</f>
        <v>https://zfin.org/ZDB-GENE-030424-1</v>
      </c>
      <c r="E5423" t="s">
        <v>16241</v>
      </c>
    </row>
    <row r="5424" spans="1:5" x14ac:dyDescent="0.2">
      <c r="A5424" t="s">
        <v>16242</v>
      </c>
      <c r="B5424" t="s">
        <v>16243</v>
      </c>
      <c r="C5424" t="s">
        <v>16243</v>
      </c>
      <c r="D5424" t="str">
        <f>HYPERLINK("https://zfin.org/ZDB-GENE-110609-4")</f>
        <v>https://zfin.org/ZDB-GENE-110609-4</v>
      </c>
      <c r="E5424" t="s">
        <v>16244</v>
      </c>
    </row>
    <row r="5425" spans="1:5" x14ac:dyDescent="0.2">
      <c r="A5425" t="s">
        <v>16245</v>
      </c>
      <c r="B5425" t="s">
        <v>16246</v>
      </c>
      <c r="C5425" t="s">
        <v>16246</v>
      </c>
      <c r="D5425" t="str">
        <f>HYPERLINK("https://zfin.org/ZDB-GENE-990415-95")</f>
        <v>https://zfin.org/ZDB-GENE-990415-95</v>
      </c>
      <c r="E5425" t="s">
        <v>16247</v>
      </c>
    </row>
    <row r="5426" spans="1:5" x14ac:dyDescent="0.2">
      <c r="A5426" t="s">
        <v>16248</v>
      </c>
      <c r="B5426" t="s">
        <v>16249</v>
      </c>
      <c r="C5426" t="s">
        <v>16249</v>
      </c>
      <c r="D5426" t="str">
        <f>HYPERLINK("https://zfin.org/ZDB-GENE-030826-10")</f>
        <v>https://zfin.org/ZDB-GENE-030826-10</v>
      </c>
      <c r="E5426" t="s">
        <v>16250</v>
      </c>
    </row>
    <row r="5427" spans="1:5" x14ac:dyDescent="0.2">
      <c r="A5427" t="s">
        <v>16251</v>
      </c>
      <c r="B5427" t="s">
        <v>16252</v>
      </c>
      <c r="C5427" t="s">
        <v>16252</v>
      </c>
      <c r="D5427" t="str">
        <f>HYPERLINK("https://zfin.org/ZDB-GENE-041010-22")</f>
        <v>https://zfin.org/ZDB-GENE-041010-22</v>
      </c>
      <c r="E5427" t="s">
        <v>16253</v>
      </c>
    </row>
    <row r="5428" spans="1:5" x14ac:dyDescent="0.2">
      <c r="A5428" t="s">
        <v>16254</v>
      </c>
      <c r="B5428" t="s">
        <v>16255</v>
      </c>
      <c r="C5428" t="s">
        <v>16255</v>
      </c>
      <c r="D5428" t="str">
        <f>HYPERLINK("https://zfin.org/ZDB-GENE-050522-493")</f>
        <v>https://zfin.org/ZDB-GENE-050522-493</v>
      </c>
      <c r="E5428" t="s">
        <v>16256</v>
      </c>
    </row>
    <row r="5429" spans="1:5" x14ac:dyDescent="0.2">
      <c r="A5429" t="s">
        <v>16257</v>
      </c>
      <c r="B5429" t="s">
        <v>16258</v>
      </c>
      <c r="C5429" t="s">
        <v>16258</v>
      </c>
      <c r="D5429" t="str">
        <f>HYPERLINK("https://zfin.org/ZDB-GENE-110411-181")</f>
        <v>https://zfin.org/ZDB-GENE-110411-181</v>
      </c>
      <c r="E5429" t="s">
        <v>16259</v>
      </c>
    </row>
    <row r="5430" spans="1:5" x14ac:dyDescent="0.2">
      <c r="A5430" t="s">
        <v>16260</v>
      </c>
      <c r="B5430" t="s">
        <v>16261</v>
      </c>
      <c r="C5430" t="s">
        <v>16261</v>
      </c>
      <c r="D5430" t="str">
        <f>HYPERLINK("https://zfin.org/ZDB-GENE-060503-152")</f>
        <v>https://zfin.org/ZDB-GENE-060503-152</v>
      </c>
      <c r="E5430" t="s">
        <v>16262</v>
      </c>
    </row>
    <row r="5431" spans="1:5" x14ac:dyDescent="0.2">
      <c r="A5431" t="s">
        <v>16263</v>
      </c>
      <c r="B5431" t="s">
        <v>16264</v>
      </c>
      <c r="C5431" t="s">
        <v>16264</v>
      </c>
      <c r="D5431" t="str">
        <f>HYPERLINK("https://zfin.org/ZDB-GENE-031030-12")</f>
        <v>https://zfin.org/ZDB-GENE-031030-12</v>
      </c>
      <c r="E5431" t="s">
        <v>16265</v>
      </c>
    </row>
    <row r="5432" spans="1:5" x14ac:dyDescent="0.2">
      <c r="A5432" t="s">
        <v>16266</v>
      </c>
      <c r="B5432" t="s">
        <v>16267</v>
      </c>
      <c r="C5432" t="s">
        <v>16267</v>
      </c>
      <c r="D5432" t="str">
        <f>HYPERLINK("https://zfin.org/ZDB-GENE-041210-181")</f>
        <v>https://zfin.org/ZDB-GENE-041210-181</v>
      </c>
      <c r="E5432" t="s">
        <v>16268</v>
      </c>
    </row>
    <row r="5433" spans="1:5" x14ac:dyDescent="0.2">
      <c r="A5433" t="s">
        <v>16269</v>
      </c>
      <c r="B5433" t="s">
        <v>16270</v>
      </c>
      <c r="C5433" t="s">
        <v>16270</v>
      </c>
      <c r="D5433" t="str">
        <f>HYPERLINK("https://zfin.org/ZDB-GENE-041114-120")</f>
        <v>https://zfin.org/ZDB-GENE-041114-120</v>
      </c>
      <c r="E5433" t="s">
        <v>16271</v>
      </c>
    </row>
    <row r="5434" spans="1:5" x14ac:dyDescent="0.2">
      <c r="A5434" t="s">
        <v>16272</v>
      </c>
      <c r="B5434" t="s">
        <v>16273</v>
      </c>
      <c r="C5434" t="s">
        <v>16273</v>
      </c>
      <c r="D5434" t="str">
        <f>HYPERLINK("https://zfin.org/ZDB-GENE-070912-252")</f>
        <v>https://zfin.org/ZDB-GENE-070912-252</v>
      </c>
      <c r="E5434" t="s">
        <v>16274</v>
      </c>
    </row>
    <row r="5435" spans="1:5" x14ac:dyDescent="0.2">
      <c r="A5435" t="s">
        <v>16275</v>
      </c>
      <c r="B5435" t="s">
        <v>16276</v>
      </c>
      <c r="C5435" t="s">
        <v>16276</v>
      </c>
      <c r="D5435" t="str">
        <f>HYPERLINK("https://zfin.org/ZDB-GENE-050420-216")</f>
        <v>https://zfin.org/ZDB-GENE-050420-216</v>
      </c>
      <c r="E5435" t="s">
        <v>16277</v>
      </c>
    </row>
    <row r="5436" spans="1:5" x14ac:dyDescent="0.2">
      <c r="A5436" t="s">
        <v>16278</v>
      </c>
      <c r="B5436" t="s">
        <v>16279</v>
      </c>
      <c r="C5436" t="s">
        <v>16279</v>
      </c>
      <c r="D5436" t="str">
        <f>HYPERLINK("https://zfin.org/ZDB-GENE-030131-8680")</f>
        <v>https://zfin.org/ZDB-GENE-030131-8680</v>
      </c>
      <c r="E5436" t="s">
        <v>16280</v>
      </c>
    </row>
    <row r="5437" spans="1:5" x14ac:dyDescent="0.2">
      <c r="A5437" t="s">
        <v>16281</v>
      </c>
      <c r="B5437" t="s">
        <v>16282</v>
      </c>
      <c r="C5437" t="s">
        <v>16282</v>
      </c>
      <c r="D5437" t="str">
        <f>HYPERLINK("https://zfin.org/ZDB-GENE-010302-2")</f>
        <v>https://zfin.org/ZDB-GENE-010302-2</v>
      </c>
      <c r="E5437" t="s">
        <v>16283</v>
      </c>
    </row>
    <row r="5438" spans="1:5" x14ac:dyDescent="0.2">
      <c r="A5438" t="s">
        <v>16284</v>
      </c>
      <c r="B5438" t="s">
        <v>16285</v>
      </c>
      <c r="C5438" t="s">
        <v>16285</v>
      </c>
      <c r="D5438" t="str">
        <f>HYPERLINK("https://zfin.org/ZDB-GENE-030616-560")</f>
        <v>https://zfin.org/ZDB-GENE-030616-560</v>
      </c>
      <c r="E5438" t="s">
        <v>16286</v>
      </c>
    </row>
    <row r="5439" spans="1:5" x14ac:dyDescent="0.2">
      <c r="A5439" t="s">
        <v>16287</v>
      </c>
      <c r="B5439" t="s">
        <v>16288</v>
      </c>
      <c r="C5439" t="s">
        <v>16288</v>
      </c>
      <c r="D5439" t="str">
        <f>HYPERLINK("https://zfin.org/ZDB-GENE-040625-111")</f>
        <v>https://zfin.org/ZDB-GENE-040625-111</v>
      </c>
      <c r="E5439" t="s">
        <v>16289</v>
      </c>
    </row>
    <row r="5440" spans="1:5" x14ac:dyDescent="0.2">
      <c r="A5440" t="s">
        <v>16290</v>
      </c>
      <c r="B5440" t="s">
        <v>16291</v>
      </c>
      <c r="C5440" t="s">
        <v>16291</v>
      </c>
      <c r="D5440" t="str">
        <f>HYPERLINK("https://zfin.org/ZDB-GENE-091020-12")</f>
        <v>https://zfin.org/ZDB-GENE-091020-12</v>
      </c>
      <c r="E5440" t="s">
        <v>16292</v>
      </c>
    </row>
    <row r="5441" spans="1:5" x14ac:dyDescent="0.2">
      <c r="A5441" t="s">
        <v>16293</v>
      </c>
      <c r="B5441" t="s">
        <v>16294</v>
      </c>
      <c r="C5441" t="s">
        <v>16294</v>
      </c>
      <c r="D5441" t="str">
        <f>HYPERLINK("https://zfin.org/ZDB-GENE-131120-172")</f>
        <v>https://zfin.org/ZDB-GENE-131120-172</v>
      </c>
      <c r="E5441" t="s">
        <v>16295</v>
      </c>
    </row>
    <row r="5442" spans="1:5" x14ac:dyDescent="0.2">
      <c r="A5442" t="s">
        <v>16296</v>
      </c>
      <c r="B5442" t="s">
        <v>16297</v>
      </c>
      <c r="C5442" t="s">
        <v>16297</v>
      </c>
      <c r="D5442" t="str">
        <f>HYPERLINK("https://zfin.org/ZDB-GENE-030616-582")</f>
        <v>https://zfin.org/ZDB-GENE-030616-582</v>
      </c>
      <c r="E5442" t="s">
        <v>16298</v>
      </c>
    </row>
    <row r="5443" spans="1:5" x14ac:dyDescent="0.2">
      <c r="A5443" t="s">
        <v>16299</v>
      </c>
      <c r="B5443" t="s">
        <v>16300</v>
      </c>
      <c r="C5443" t="s">
        <v>16300</v>
      </c>
      <c r="D5443" t="str">
        <f>HYPERLINK("https://zfin.org/ZDB-GENE-100922-225")</f>
        <v>https://zfin.org/ZDB-GENE-100922-225</v>
      </c>
      <c r="E5443" t="s">
        <v>16301</v>
      </c>
    </row>
    <row r="5444" spans="1:5" x14ac:dyDescent="0.2">
      <c r="A5444" t="s">
        <v>16302</v>
      </c>
      <c r="B5444" t="s">
        <v>16303</v>
      </c>
      <c r="C5444" t="s">
        <v>16303</v>
      </c>
      <c r="D5444" t="str">
        <f>HYPERLINK("https://zfin.org/ZDB-GENE-070524-2")</f>
        <v>https://zfin.org/ZDB-GENE-070524-2</v>
      </c>
      <c r="E5444" t="s">
        <v>16304</v>
      </c>
    </row>
    <row r="5445" spans="1:5" x14ac:dyDescent="0.2">
      <c r="A5445" t="s">
        <v>16305</v>
      </c>
      <c r="B5445" t="s">
        <v>16306</v>
      </c>
      <c r="C5445" t="s">
        <v>16306</v>
      </c>
      <c r="D5445" t="str">
        <f>HYPERLINK("https://zfin.org/ZDB-GENE-050320-18")</f>
        <v>https://zfin.org/ZDB-GENE-050320-18</v>
      </c>
      <c r="E5445" t="s">
        <v>16307</v>
      </c>
    </row>
    <row r="5446" spans="1:5" x14ac:dyDescent="0.2">
      <c r="A5446" t="s">
        <v>16308</v>
      </c>
      <c r="B5446" t="s">
        <v>16309</v>
      </c>
      <c r="C5446" t="s">
        <v>16309</v>
      </c>
      <c r="D5446" t="str">
        <f>HYPERLINK("https://zfin.org/ZDB-GENE-081031-27")</f>
        <v>https://zfin.org/ZDB-GENE-081031-27</v>
      </c>
      <c r="E5446" t="s">
        <v>16310</v>
      </c>
    </row>
    <row r="5447" spans="1:5" x14ac:dyDescent="0.2">
      <c r="A5447" t="s">
        <v>16311</v>
      </c>
      <c r="B5447" t="s">
        <v>16312</v>
      </c>
      <c r="C5447" t="s">
        <v>16312</v>
      </c>
      <c r="D5447" t="str">
        <f>HYPERLINK("https://zfin.org/ZDB-GENE-091204-265")</f>
        <v>https://zfin.org/ZDB-GENE-091204-265</v>
      </c>
      <c r="E5447" t="s">
        <v>16313</v>
      </c>
    </row>
    <row r="5448" spans="1:5" x14ac:dyDescent="0.2">
      <c r="A5448" t="s">
        <v>16314</v>
      </c>
      <c r="B5448" t="s">
        <v>16315</v>
      </c>
      <c r="C5448" t="s">
        <v>16315</v>
      </c>
      <c r="D5448" t="str">
        <f>HYPERLINK("https://zfin.org/ZDB-GENE-050417-14")</f>
        <v>https://zfin.org/ZDB-GENE-050417-14</v>
      </c>
      <c r="E5448" t="s">
        <v>16316</v>
      </c>
    </row>
    <row r="5449" spans="1:5" x14ac:dyDescent="0.2">
      <c r="A5449" t="s">
        <v>16317</v>
      </c>
      <c r="B5449" t="s">
        <v>16318</v>
      </c>
      <c r="C5449" t="s">
        <v>16318</v>
      </c>
      <c r="D5449" t="str">
        <f>HYPERLINK("https://zfin.org/ZDB-GENE-070912-22")</f>
        <v>https://zfin.org/ZDB-GENE-070912-22</v>
      </c>
      <c r="E5449" t="s">
        <v>16319</v>
      </c>
    </row>
    <row r="5450" spans="1:5" x14ac:dyDescent="0.2">
      <c r="A5450" t="s">
        <v>16320</v>
      </c>
      <c r="B5450" t="s">
        <v>16321</v>
      </c>
      <c r="C5450" t="s">
        <v>16321</v>
      </c>
      <c r="D5450" t="str">
        <f>HYPERLINK("https://zfin.org/ZDB-GENE-010724-7")</f>
        <v>https://zfin.org/ZDB-GENE-010724-7</v>
      </c>
      <c r="E5450" t="s">
        <v>16322</v>
      </c>
    </row>
    <row r="5451" spans="1:5" x14ac:dyDescent="0.2">
      <c r="A5451" t="s">
        <v>16323</v>
      </c>
      <c r="B5451" t="s">
        <v>16324</v>
      </c>
      <c r="C5451" t="s">
        <v>16324</v>
      </c>
      <c r="D5451" t="str">
        <f>HYPERLINK("https://zfin.org/ZDB-GENE-141212-148")</f>
        <v>https://zfin.org/ZDB-GENE-141212-148</v>
      </c>
      <c r="E5451" t="s">
        <v>16325</v>
      </c>
    </row>
    <row r="5452" spans="1:5" x14ac:dyDescent="0.2">
      <c r="A5452" t="s">
        <v>16326</v>
      </c>
      <c r="B5452" t="s">
        <v>16327</v>
      </c>
      <c r="C5452" t="s">
        <v>16327</v>
      </c>
      <c r="D5452" t="str">
        <f>HYPERLINK("https://zfin.org/ZDB-GENE-131121-238")</f>
        <v>https://zfin.org/ZDB-GENE-131121-238</v>
      </c>
      <c r="E5452" t="s">
        <v>16328</v>
      </c>
    </row>
    <row r="5453" spans="1:5" x14ac:dyDescent="0.2">
      <c r="A5453" t="s">
        <v>16329</v>
      </c>
      <c r="B5453" t="s">
        <v>16330</v>
      </c>
      <c r="C5453" t="s">
        <v>16330</v>
      </c>
      <c r="D5453" t="str">
        <f>HYPERLINK("https://zfin.org/ZDB-GENE-040426-999")</f>
        <v>https://zfin.org/ZDB-GENE-040426-999</v>
      </c>
      <c r="E5453" t="s">
        <v>16331</v>
      </c>
    </row>
    <row r="5454" spans="1:5" x14ac:dyDescent="0.2">
      <c r="A5454" t="s">
        <v>16332</v>
      </c>
      <c r="B5454" t="s">
        <v>16333</v>
      </c>
      <c r="C5454" t="s">
        <v>16333</v>
      </c>
      <c r="D5454" t="str">
        <f>HYPERLINK("https://zfin.org/ZDB-GENE-070112-632")</f>
        <v>https://zfin.org/ZDB-GENE-070112-632</v>
      </c>
      <c r="E5454" t="s">
        <v>16334</v>
      </c>
    </row>
    <row r="5455" spans="1:5" x14ac:dyDescent="0.2">
      <c r="A5455" t="s">
        <v>16335</v>
      </c>
      <c r="B5455" t="s">
        <v>16336</v>
      </c>
      <c r="C5455" t="s">
        <v>16336</v>
      </c>
      <c r="D5455" t="str">
        <f>HYPERLINK("https://zfin.org/ZDB-GENE-050208-641")</f>
        <v>https://zfin.org/ZDB-GENE-050208-641</v>
      </c>
      <c r="E5455" t="s">
        <v>16337</v>
      </c>
    </row>
    <row r="5456" spans="1:5" x14ac:dyDescent="0.2">
      <c r="A5456" t="s">
        <v>16338</v>
      </c>
      <c r="B5456" t="s">
        <v>16339</v>
      </c>
      <c r="C5456" t="s">
        <v>16339</v>
      </c>
      <c r="D5456" t="str">
        <f>HYPERLINK("https://zfin.org/ZDB-GENE-050419-150")</f>
        <v>https://zfin.org/ZDB-GENE-050419-150</v>
      </c>
      <c r="E5456" t="s">
        <v>16340</v>
      </c>
    </row>
    <row r="5457" spans="1:5" x14ac:dyDescent="0.2">
      <c r="A5457" t="s">
        <v>16341</v>
      </c>
      <c r="B5457" t="s">
        <v>16342</v>
      </c>
      <c r="C5457" t="s">
        <v>16342</v>
      </c>
      <c r="D5457" t="str">
        <f>HYPERLINK("https://zfin.org/ZDB-GENE-041001-218")</f>
        <v>https://zfin.org/ZDB-GENE-041001-218</v>
      </c>
      <c r="E5457" t="s">
        <v>16343</v>
      </c>
    </row>
    <row r="5458" spans="1:5" x14ac:dyDescent="0.2">
      <c r="A5458" t="s">
        <v>16344</v>
      </c>
      <c r="B5458" t="s">
        <v>16345</v>
      </c>
      <c r="C5458" t="s">
        <v>16345</v>
      </c>
      <c r="D5458" t="str">
        <f>HYPERLINK("https://zfin.org/ZDB-GENE-080204-3")</f>
        <v>https://zfin.org/ZDB-GENE-080204-3</v>
      </c>
      <c r="E5458" t="s">
        <v>16346</v>
      </c>
    </row>
    <row r="5459" spans="1:5" x14ac:dyDescent="0.2">
      <c r="A5459" t="s">
        <v>16347</v>
      </c>
      <c r="B5459" t="s">
        <v>16348</v>
      </c>
      <c r="C5459" t="s">
        <v>16348</v>
      </c>
      <c r="D5459" t="str">
        <f>HYPERLINK("https://zfin.org/ZDB-GENE-040727-3")</f>
        <v>https://zfin.org/ZDB-GENE-040727-3</v>
      </c>
      <c r="E5459" t="s">
        <v>16349</v>
      </c>
    </row>
    <row r="5460" spans="1:5" x14ac:dyDescent="0.2">
      <c r="A5460" t="s">
        <v>16350</v>
      </c>
      <c r="B5460" t="s">
        <v>16351</v>
      </c>
      <c r="C5460" t="s">
        <v>16351</v>
      </c>
      <c r="D5460" t="str">
        <f>HYPERLINK("https://zfin.org/ZDB-GENE-090313-268")</f>
        <v>https://zfin.org/ZDB-GENE-090313-268</v>
      </c>
      <c r="E5460" t="s">
        <v>16352</v>
      </c>
    </row>
    <row r="5461" spans="1:5" x14ac:dyDescent="0.2">
      <c r="A5461" t="s">
        <v>16353</v>
      </c>
      <c r="B5461" t="s">
        <v>16354</v>
      </c>
      <c r="C5461" t="s">
        <v>16354</v>
      </c>
      <c r="D5461" t="str">
        <f>HYPERLINK("https://zfin.org/ZDB-GENE-081104-2")</f>
        <v>https://zfin.org/ZDB-GENE-081104-2</v>
      </c>
      <c r="E5461" t="s">
        <v>16355</v>
      </c>
    </row>
    <row r="5462" spans="1:5" x14ac:dyDescent="0.2">
      <c r="A5462" t="s">
        <v>16356</v>
      </c>
      <c r="B5462" t="s">
        <v>16357</v>
      </c>
      <c r="C5462" t="s">
        <v>16357</v>
      </c>
      <c r="D5462" t="str">
        <f>HYPERLINK("https://zfin.org/ZDB-GENE-131127-351")</f>
        <v>https://zfin.org/ZDB-GENE-131127-351</v>
      </c>
      <c r="E5462" t="s">
        <v>16358</v>
      </c>
    </row>
    <row r="5463" spans="1:5" x14ac:dyDescent="0.2">
      <c r="A5463" t="s">
        <v>16359</v>
      </c>
      <c r="B5463" t="s">
        <v>16360</v>
      </c>
      <c r="C5463" t="s">
        <v>16360</v>
      </c>
      <c r="D5463" t="str">
        <f>HYPERLINK("https://zfin.org/ZDB-GENE-030131-1805")</f>
        <v>https://zfin.org/ZDB-GENE-030131-1805</v>
      </c>
      <c r="E5463" t="s">
        <v>16361</v>
      </c>
    </row>
    <row r="5464" spans="1:5" x14ac:dyDescent="0.2">
      <c r="A5464" t="s">
        <v>16362</v>
      </c>
      <c r="B5464" t="s">
        <v>16363</v>
      </c>
      <c r="C5464" t="s">
        <v>16363</v>
      </c>
      <c r="D5464" t="str">
        <f>HYPERLINK("https://zfin.org/ZDB-GENE-040426-1091")</f>
        <v>https://zfin.org/ZDB-GENE-040426-1091</v>
      </c>
      <c r="E5464" t="s">
        <v>16364</v>
      </c>
    </row>
    <row r="5465" spans="1:5" x14ac:dyDescent="0.2">
      <c r="A5465" t="s">
        <v>16365</v>
      </c>
      <c r="B5465" t="s">
        <v>16366</v>
      </c>
      <c r="C5465" t="s">
        <v>16366</v>
      </c>
      <c r="D5465" t="str">
        <f>HYPERLINK("https://zfin.org/ZDB-GENE-090428-2")</f>
        <v>https://zfin.org/ZDB-GENE-090428-2</v>
      </c>
      <c r="E5465" t="s">
        <v>16367</v>
      </c>
    </row>
    <row r="5466" spans="1:5" x14ac:dyDescent="0.2">
      <c r="A5466" t="s">
        <v>16368</v>
      </c>
      <c r="B5466" t="s">
        <v>16369</v>
      </c>
      <c r="C5466" t="s">
        <v>16369</v>
      </c>
      <c r="D5466" t="str">
        <f>HYPERLINK("https://zfin.org/ZDB-GENE-101026-3")</f>
        <v>https://zfin.org/ZDB-GENE-101026-3</v>
      </c>
      <c r="E5466" t="s">
        <v>16370</v>
      </c>
    </row>
    <row r="5467" spans="1:5" x14ac:dyDescent="0.2">
      <c r="A5467" t="s">
        <v>16371</v>
      </c>
      <c r="B5467" t="s">
        <v>16372</v>
      </c>
      <c r="C5467" t="s">
        <v>16372</v>
      </c>
      <c r="D5467" t="str">
        <f>HYPERLINK("https://zfin.org/ZDB-GENE-050208-386")</f>
        <v>https://zfin.org/ZDB-GENE-050208-386</v>
      </c>
      <c r="E5467" t="s">
        <v>16373</v>
      </c>
    </row>
    <row r="5468" spans="1:5" x14ac:dyDescent="0.2">
      <c r="A5468" t="s">
        <v>16374</v>
      </c>
      <c r="B5468" t="s">
        <v>16375</v>
      </c>
      <c r="C5468" t="s">
        <v>16375</v>
      </c>
      <c r="D5468" t="str">
        <f>HYPERLINK("https://zfin.org/ZDB-GENE-110408-51")</f>
        <v>https://zfin.org/ZDB-GENE-110408-51</v>
      </c>
      <c r="E5468" t="s">
        <v>16376</v>
      </c>
    </row>
    <row r="5469" spans="1:5" x14ac:dyDescent="0.2">
      <c r="A5469" t="s">
        <v>16377</v>
      </c>
      <c r="B5469" t="s">
        <v>16378</v>
      </c>
      <c r="C5469" t="s">
        <v>16378</v>
      </c>
      <c r="D5469" t="str">
        <f>HYPERLINK("https://zfin.org/ZDB-GENE-030131-1684")</f>
        <v>https://zfin.org/ZDB-GENE-030131-1684</v>
      </c>
      <c r="E5469" t="s">
        <v>16379</v>
      </c>
    </row>
    <row r="5470" spans="1:5" x14ac:dyDescent="0.2">
      <c r="A5470" t="s">
        <v>16380</v>
      </c>
      <c r="B5470" t="s">
        <v>16381</v>
      </c>
      <c r="C5470" t="s">
        <v>16382</v>
      </c>
      <c r="D5470" t="str">
        <f>HYPERLINK("https://zfin.org/ZDB-GENE-041111-231")</f>
        <v>https://zfin.org/ZDB-GENE-041111-231</v>
      </c>
      <c r="E5470" t="s">
        <v>16383</v>
      </c>
    </row>
    <row r="5471" spans="1:5" x14ac:dyDescent="0.2">
      <c r="A5471" t="s">
        <v>16384</v>
      </c>
      <c r="B5471" t="s">
        <v>16385</v>
      </c>
      <c r="C5471" t="s">
        <v>16385</v>
      </c>
      <c r="D5471" t="str">
        <f>HYPERLINK("https://zfin.org/ZDB-GENE-130530-947")</f>
        <v>https://zfin.org/ZDB-GENE-130530-947</v>
      </c>
      <c r="E5471" t="s">
        <v>16386</v>
      </c>
    </row>
    <row r="5472" spans="1:5" x14ac:dyDescent="0.2">
      <c r="A5472" t="s">
        <v>16387</v>
      </c>
      <c r="B5472" t="s">
        <v>16388</v>
      </c>
      <c r="C5472" t="s">
        <v>16388</v>
      </c>
      <c r="D5472" t="str">
        <f>HYPERLINK("https://zfin.org/ZDB-GENE-060818-8")</f>
        <v>https://zfin.org/ZDB-GENE-060818-8</v>
      </c>
      <c r="E5472" t="s">
        <v>16389</v>
      </c>
    </row>
    <row r="5473" spans="1:5" x14ac:dyDescent="0.2">
      <c r="A5473" t="s">
        <v>16390</v>
      </c>
      <c r="B5473" t="s">
        <v>16391</v>
      </c>
      <c r="C5473" t="s">
        <v>16391</v>
      </c>
      <c r="D5473" t="str">
        <f>HYPERLINK("https://zfin.org/ZDB-GENE-041114-110")</f>
        <v>https://zfin.org/ZDB-GENE-041114-110</v>
      </c>
      <c r="E5473" t="s">
        <v>16392</v>
      </c>
    </row>
    <row r="5474" spans="1:5" x14ac:dyDescent="0.2">
      <c r="A5474" t="s">
        <v>16393</v>
      </c>
      <c r="B5474" t="s">
        <v>16394</v>
      </c>
      <c r="C5474" t="s">
        <v>16394</v>
      </c>
      <c r="D5474" t="str">
        <f>HYPERLINK("https://zfin.org/ZDB-GENE-030131-6302")</f>
        <v>https://zfin.org/ZDB-GENE-030131-6302</v>
      </c>
      <c r="E5474" t="s">
        <v>16395</v>
      </c>
    </row>
    <row r="5475" spans="1:5" x14ac:dyDescent="0.2">
      <c r="A5475" t="s">
        <v>16396</v>
      </c>
      <c r="B5475" t="s">
        <v>16397</v>
      </c>
      <c r="C5475" t="s">
        <v>16397</v>
      </c>
      <c r="D5475" t="str">
        <f>HYPERLINK("https://zfin.org/ZDB-GENE-041114-193")</f>
        <v>https://zfin.org/ZDB-GENE-041114-193</v>
      </c>
      <c r="E5475" t="s">
        <v>16398</v>
      </c>
    </row>
    <row r="5476" spans="1:5" x14ac:dyDescent="0.2">
      <c r="A5476" t="s">
        <v>16399</v>
      </c>
      <c r="B5476" t="s">
        <v>16400</v>
      </c>
      <c r="C5476" t="s">
        <v>16400</v>
      </c>
      <c r="D5476" t="str">
        <f>HYPERLINK("https://zfin.org/ZDB-GENE-030131-6172")</f>
        <v>https://zfin.org/ZDB-GENE-030131-6172</v>
      </c>
      <c r="E5476" t="s">
        <v>16401</v>
      </c>
    </row>
    <row r="5477" spans="1:5" x14ac:dyDescent="0.2">
      <c r="A5477" t="s">
        <v>16402</v>
      </c>
      <c r="B5477" t="s">
        <v>16403</v>
      </c>
      <c r="C5477" t="s">
        <v>16403</v>
      </c>
      <c r="D5477" t="str">
        <f>HYPERLINK("https://zfin.org/ZDB-GENE-070424-113")</f>
        <v>https://zfin.org/ZDB-GENE-070424-113</v>
      </c>
      <c r="E5477" t="s">
        <v>16404</v>
      </c>
    </row>
    <row r="5478" spans="1:5" x14ac:dyDescent="0.2">
      <c r="A5478" t="s">
        <v>16405</v>
      </c>
      <c r="B5478" t="s">
        <v>16406</v>
      </c>
      <c r="C5478" t="s">
        <v>16406</v>
      </c>
      <c r="D5478" t="str">
        <f>HYPERLINK("https://zfin.org/ZDB-GENE-040426-1796")</f>
        <v>https://zfin.org/ZDB-GENE-040426-1796</v>
      </c>
      <c r="E5478" t="s">
        <v>16407</v>
      </c>
    </row>
    <row r="5479" spans="1:5" x14ac:dyDescent="0.2">
      <c r="A5479" t="s">
        <v>16408</v>
      </c>
      <c r="B5479" t="s">
        <v>16409</v>
      </c>
      <c r="C5479" t="s">
        <v>16409</v>
      </c>
      <c r="D5479" t="str">
        <f>HYPERLINK("https://zfin.org/ZDB-GENE-040916-1")</f>
        <v>https://zfin.org/ZDB-GENE-040916-1</v>
      </c>
      <c r="E5479" t="s">
        <v>16410</v>
      </c>
    </row>
    <row r="5480" spans="1:5" x14ac:dyDescent="0.2">
      <c r="A5480" t="s">
        <v>16411</v>
      </c>
      <c r="B5480" t="s">
        <v>16412</v>
      </c>
      <c r="C5480" t="s">
        <v>16412</v>
      </c>
      <c r="D5480" t="str">
        <f>HYPERLINK("https://zfin.org/ZDB-GENE-030131-4209")</f>
        <v>https://zfin.org/ZDB-GENE-030131-4209</v>
      </c>
      <c r="E5480" t="s">
        <v>16413</v>
      </c>
    </row>
    <row r="5481" spans="1:5" x14ac:dyDescent="0.2">
      <c r="A5481" t="s">
        <v>16414</v>
      </c>
      <c r="B5481" t="s">
        <v>16415</v>
      </c>
      <c r="C5481" t="s">
        <v>16415</v>
      </c>
      <c r="D5481" t="str">
        <f>HYPERLINK("https://zfin.org/ZDB-GENE-141222-9")</f>
        <v>https://zfin.org/ZDB-GENE-141222-9</v>
      </c>
      <c r="E5481" t="s">
        <v>16416</v>
      </c>
    </row>
    <row r="5482" spans="1:5" x14ac:dyDescent="0.2">
      <c r="A5482" t="s">
        <v>16417</v>
      </c>
      <c r="B5482" t="s">
        <v>16418</v>
      </c>
      <c r="C5482" t="s">
        <v>16418</v>
      </c>
      <c r="D5482" t="str">
        <f>HYPERLINK("https://zfin.org/ZDB-GENE-030131-5547")</f>
        <v>https://zfin.org/ZDB-GENE-030131-5547</v>
      </c>
      <c r="E5482" t="s">
        <v>16419</v>
      </c>
    </row>
    <row r="5483" spans="1:5" x14ac:dyDescent="0.2">
      <c r="A5483" t="s">
        <v>16420</v>
      </c>
      <c r="B5483" t="s">
        <v>16421</v>
      </c>
      <c r="C5483" t="s">
        <v>16421</v>
      </c>
      <c r="D5483" t="str">
        <f>HYPERLINK("https://zfin.org/ZDB-GENE-040426-864")</f>
        <v>https://zfin.org/ZDB-GENE-040426-864</v>
      </c>
      <c r="E5483" t="s">
        <v>16422</v>
      </c>
    </row>
    <row r="5484" spans="1:5" x14ac:dyDescent="0.2">
      <c r="A5484" t="s">
        <v>16423</v>
      </c>
      <c r="B5484" t="s">
        <v>16424</v>
      </c>
      <c r="C5484" t="s">
        <v>16424</v>
      </c>
      <c r="D5484" t="str">
        <f>HYPERLINK("https://zfin.org/ZDB-GENE-091116-1")</f>
        <v>https://zfin.org/ZDB-GENE-091116-1</v>
      </c>
      <c r="E5484" t="s">
        <v>16425</v>
      </c>
    </row>
    <row r="5485" spans="1:5" x14ac:dyDescent="0.2">
      <c r="A5485" t="s">
        <v>16426</v>
      </c>
      <c r="B5485" t="s">
        <v>16427</v>
      </c>
      <c r="C5485" t="s">
        <v>16427</v>
      </c>
      <c r="D5485" t="str">
        <f>HYPERLINK("https://zfin.org/ZDB-GENE-040401-2")</f>
        <v>https://zfin.org/ZDB-GENE-040401-2</v>
      </c>
      <c r="E5485" t="s">
        <v>16428</v>
      </c>
    </row>
    <row r="5486" spans="1:5" x14ac:dyDescent="0.2">
      <c r="A5486" t="s">
        <v>16429</v>
      </c>
      <c r="B5486" t="s">
        <v>16430</v>
      </c>
      <c r="C5486" t="s">
        <v>16430</v>
      </c>
      <c r="D5486" t="str">
        <f>HYPERLINK("https://zfin.org/ZDB-GENE-040426-2832")</f>
        <v>https://zfin.org/ZDB-GENE-040426-2832</v>
      </c>
      <c r="E5486" t="s">
        <v>16431</v>
      </c>
    </row>
    <row r="5487" spans="1:5" x14ac:dyDescent="0.2">
      <c r="A5487" t="s">
        <v>16432</v>
      </c>
      <c r="B5487" t="s">
        <v>16433</v>
      </c>
      <c r="C5487" t="s">
        <v>16433</v>
      </c>
      <c r="D5487" t="str">
        <f>HYPERLINK("https://zfin.org/ZDB-GENE-040329-2")</f>
        <v>https://zfin.org/ZDB-GENE-040329-2</v>
      </c>
      <c r="E5487" t="s">
        <v>16434</v>
      </c>
    </row>
    <row r="5488" spans="1:5" x14ac:dyDescent="0.2">
      <c r="A5488" t="s">
        <v>16435</v>
      </c>
      <c r="B5488" t="s">
        <v>16436</v>
      </c>
      <c r="C5488" t="s">
        <v>16436</v>
      </c>
      <c r="D5488" t="str">
        <f>HYPERLINK("https://zfin.org/ZDB-GENE-071113-1")</f>
        <v>https://zfin.org/ZDB-GENE-071113-1</v>
      </c>
      <c r="E5488" t="s">
        <v>16437</v>
      </c>
    </row>
    <row r="5489" spans="1:5" x14ac:dyDescent="0.2">
      <c r="A5489" t="s">
        <v>16438</v>
      </c>
      <c r="B5489" t="s">
        <v>16439</v>
      </c>
      <c r="C5489" t="s">
        <v>16439</v>
      </c>
      <c r="D5489" t="str">
        <f>HYPERLINK("https://zfin.org/ZDB-GENE-090313-126")</f>
        <v>https://zfin.org/ZDB-GENE-090313-126</v>
      </c>
      <c r="E5489" t="s">
        <v>16440</v>
      </c>
    </row>
    <row r="5490" spans="1:5" x14ac:dyDescent="0.2">
      <c r="A5490" t="s">
        <v>16441</v>
      </c>
      <c r="B5490" t="s">
        <v>16442</v>
      </c>
      <c r="C5490" t="s">
        <v>16442</v>
      </c>
      <c r="D5490" t="str">
        <f>HYPERLINK("https://zfin.org/ZDB-GENE-061218-2")</f>
        <v>https://zfin.org/ZDB-GENE-061218-2</v>
      </c>
      <c r="E5490" t="s">
        <v>16443</v>
      </c>
    </row>
    <row r="5491" spans="1:5" x14ac:dyDescent="0.2">
      <c r="A5491" t="s">
        <v>16444</v>
      </c>
      <c r="B5491" t="s">
        <v>16445</v>
      </c>
      <c r="C5491" t="s">
        <v>16445</v>
      </c>
      <c r="D5491" t="str">
        <f>HYPERLINK("https://zfin.org/ZDB-GENE-041212-10")</f>
        <v>https://zfin.org/ZDB-GENE-041212-10</v>
      </c>
      <c r="E5491" t="s">
        <v>16446</v>
      </c>
    </row>
    <row r="5492" spans="1:5" x14ac:dyDescent="0.2">
      <c r="A5492" t="s">
        <v>16447</v>
      </c>
      <c r="B5492" t="s">
        <v>16448</v>
      </c>
      <c r="C5492" t="s">
        <v>16448</v>
      </c>
      <c r="D5492" t="str">
        <f>HYPERLINK("https://zfin.org/ZDB-GENE-090312-109")</f>
        <v>https://zfin.org/ZDB-GENE-090312-109</v>
      </c>
      <c r="E5492" t="s">
        <v>16449</v>
      </c>
    </row>
    <row r="5493" spans="1:5" x14ac:dyDescent="0.2">
      <c r="A5493" t="s">
        <v>16450</v>
      </c>
      <c r="B5493" t="s">
        <v>16451</v>
      </c>
      <c r="C5493" t="s">
        <v>16451</v>
      </c>
      <c r="D5493" t="str">
        <f>HYPERLINK("https://zfin.org/ZDB-GENE-050417-424")</f>
        <v>https://zfin.org/ZDB-GENE-050417-424</v>
      </c>
      <c r="E5493" t="s">
        <v>16452</v>
      </c>
    </row>
    <row r="5494" spans="1:5" x14ac:dyDescent="0.2">
      <c r="A5494" t="s">
        <v>16453</v>
      </c>
      <c r="B5494" t="s">
        <v>16454</v>
      </c>
      <c r="C5494" t="s">
        <v>16454</v>
      </c>
      <c r="D5494" t="str">
        <f>HYPERLINK("https://zfin.org/ZDB-GENE-091113-41")</f>
        <v>https://zfin.org/ZDB-GENE-091113-41</v>
      </c>
      <c r="E5494" t="s">
        <v>16455</v>
      </c>
    </row>
    <row r="5495" spans="1:5" x14ac:dyDescent="0.2">
      <c r="A5495" t="s">
        <v>16456</v>
      </c>
      <c r="B5495" t="s">
        <v>16457</v>
      </c>
      <c r="C5495" t="s">
        <v>16457</v>
      </c>
      <c r="D5495" t="str">
        <f>HYPERLINK("https://zfin.org/ZDB-GENE-030131-6456")</f>
        <v>https://zfin.org/ZDB-GENE-030131-6456</v>
      </c>
      <c r="E5495" t="s">
        <v>16458</v>
      </c>
    </row>
    <row r="5496" spans="1:5" x14ac:dyDescent="0.2">
      <c r="A5496" t="s">
        <v>16459</v>
      </c>
      <c r="B5496" t="s">
        <v>16460</v>
      </c>
      <c r="C5496" t="s">
        <v>16460</v>
      </c>
      <c r="D5496" t="str">
        <f>HYPERLINK("https://zfin.org/ZDB-GENE-061009-28")</f>
        <v>https://zfin.org/ZDB-GENE-061009-28</v>
      </c>
      <c r="E5496" t="s">
        <v>16461</v>
      </c>
    </row>
    <row r="5497" spans="1:5" x14ac:dyDescent="0.2">
      <c r="A5497" t="s">
        <v>16462</v>
      </c>
      <c r="B5497" t="s">
        <v>16463</v>
      </c>
      <c r="C5497" t="s">
        <v>16463</v>
      </c>
      <c r="D5497" t="str">
        <f>HYPERLINK("https://zfin.org/ZDB-GENE-040426-1621")</f>
        <v>https://zfin.org/ZDB-GENE-040426-1621</v>
      </c>
      <c r="E5497" t="s">
        <v>16464</v>
      </c>
    </row>
    <row r="5498" spans="1:5" x14ac:dyDescent="0.2">
      <c r="A5498" t="s">
        <v>16465</v>
      </c>
      <c r="B5498" t="s">
        <v>16466</v>
      </c>
      <c r="C5498" t="s">
        <v>16466</v>
      </c>
      <c r="D5498" t="str">
        <f>HYPERLINK("https://zfin.org/ZDB-GENE-030131-6030")</f>
        <v>https://zfin.org/ZDB-GENE-030131-6030</v>
      </c>
      <c r="E5498" t="s">
        <v>16467</v>
      </c>
    </row>
    <row r="5499" spans="1:5" x14ac:dyDescent="0.2">
      <c r="A5499" t="s">
        <v>16468</v>
      </c>
      <c r="B5499" t="s">
        <v>16469</v>
      </c>
      <c r="C5499" t="s">
        <v>16469</v>
      </c>
      <c r="D5499" t="str">
        <f>HYPERLINK("https://zfin.org/ZDB-GENE-040426-1383")</f>
        <v>https://zfin.org/ZDB-GENE-040426-1383</v>
      </c>
      <c r="E5499" t="s">
        <v>16470</v>
      </c>
    </row>
    <row r="5500" spans="1:5" x14ac:dyDescent="0.2">
      <c r="A5500" t="s">
        <v>16471</v>
      </c>
      <c r="B5500" t="s">
        <v>16472</v>
      </c>
      <c r="C5500" t="s">
        <v>16472</v>
      </c>
      <c r="D5500" t="str">
        <f>HYPERLINK("https://zfin.org/ZDB-GENE-010131-1")</f>
        <v>https://zfin.org/ZDB-GENE-010131-1</v>
      </c>
      <c r="E5500" t="s">
        <v>16473</v>
      </c>
    </row>
    <row r="5501" spans="1:5" x14ac:dyDescent="0.2">
      <c r="A5501" t="s">
        <v>16474</v>
      </c>
      <c r="B5501" t="s">
        <v>16475</v>
      </c>
      <c r="C5501" t="s">
        <v>16475</v>
      </c>
      <c r="D5501" t="str">
        <f>HYPERLINK("https://zfin.org/ZDB-GENE-090812-4")</f>
        <v>https://zfin.org/ZDB-GENE-090812-4</v>
      </c>
      <c r="E5501" t="s">
        <v>16476</v>
      </c>
    </row>
    <row r="5502" spans="1:5" x14ac:dyDescent="0.2">
      <c r="A5502" t="s">
        <v>16477</v>
      </c>
      <c r="B5502" t="s">
        <v>16478</v>
      </c>
      <c r="C5502" t="s">
        <v>16478</v>
      </c>
      <c r="D5502" t="str">
        <f>HYPERLINK("https://zfin.org/ZDB-GENE-080219-49")</f>
        <v>https://zfin.org/ZDB-GENE-080219-49</v>
      </c>
      <c r="E5502" t="s">
        <v>16479</v>
      </c>
    </row>
    <row r="5503" spans="1:5" x14ac:dyDescent="0.2">
      <c r="A5503" t="s">
        <v>16480</v>
      </c>
      <c r="B5503" t="s">
        <v>16481</v>
      </c>
      <c r="C5503" t="s">
        <v>16481</v>
      </c>
      <c r="D5503" t="str">
        <f>HYPERLINK("https://zfin.org/ZDB-GENE-060503-694")</f>
        <v>https://zfin.org/ZDB-GENE-060503-694</v>
      </c>
      <c r="E5503" t="s">
        <v>16482</v>
      </c>
    </row>
    <row r="5504" spans="1:5" x14ac:dyDescent="0.2">
      <c r="A5504" t="s">
        <v>16483</v>
      </c>
      <c r="B5504" t="s">
        <v>16484</v>
      </c>
      <c r="C5504" t="s">
        <v>16484</v>
      </c>
      <c r="D5504" t="str">
        <f>HYPERLINK("https://zfin.org/ZDB-GENE-030429-1")</f>
        <v>https://zfin.org/ZDB-GENE-030429-1</v>
      </c>
      <c r="E5504" t="s">
        <v>16485</v>
      </c>
    </row>
    <row r="5505" spans="1:5" x14ac:dyDescent="0.2">
      <c r="A5505" t="s">
        <v>16486</v>
      </c>
      <c r="B5505" t="s">
        <v>16487</v>
      </c>
      <c r="C5505" t="s">
        <v>16487</v>
      </c>
      <c r="D5505" t="str">
        <f>HYPERLINK("https://zfin.org/ZDB-GENE-081104-216")</f>
        <v>https://zfin.org/ZDB-GENE-081104-216</v>
      </c>
      <c r="E5505" t="s">
        <v>16488</v>
      </c>
    </row>
    <row r="5506" spans="1:5" x14ac:dyDescent="0.2">
      <c r="A5506" t="s">
        <v>16489</v>
      </c>
      <c r="B5506" t="s">
        <v>16490</v>
      </c>
      <c r="C5506" t="s">
        <v>16490</v>
      </c>
      <c r="D5506" t="str">
        <f>HYPERLINK("https://zfin.org/ZDB-GENE-030131-1066")</f>
        <v>https://zfin.org/ZDB-GENE-030131-1066</v>
      </c>
      <c r="E5506" t="s">
        <v>16491</v>
      </c>
    </row>
    <row r="5507" spans="1:5" x14ac:dyDescent="0.2">
      <c r="A5507" t="s">
        <v>16492</v>
      </c>
      <c r="B5507" t="s">
        <v>16493</v>
      </c>
      <c r="C5507" t="s">
        <v>16493</v>
      </c>
      <c r="D5507" t="str">
        <f>HYPERLINK("https://zfin.org/ZDB-GENE-040718-2")</f>
        <v>https://zfin.org/ZDB-GENE-040718-2</v>
      </c>
      <c r="E5507" t="s">
        <v>16494</v>
      </c>
    </row>
    <row r="5508" spans="1:5" x14ac:dyDescent="0.2">
      <c r="A5508" t="s">
        <v>16495</v>
      </c>
      <c r="B5508" t="s">
        <v>16496</v>
      </c>
      <c r="C5508" t="s">
        <v>16496</v>
      </c>
      <c r="D5508" t="str">
        <f>HYPERLINK("https://zfin.org/ZDB-GENE-060518-4")</f>
        <v>https://zfin.org/ZDB-GENE-060518-4</v>
      </c>
      <c r="E5508" t="s">
        <v>16497</v>
      </c>
    </row>
    <row r="5509" spans="1:5" x14ac:dyDescent="0.2">
      <c r="A5509" t="s">
        <v>16498</v>
      </c>
      <c r="B5509" t="s">
        <v>16499</v>
      </c>
      <c r="C5509" t="s">
        <v>16499</v>
      </c>
      <c r="D5509" t="str">
        <f>HYPERLINK("https://zfin.org/ZDB-GENE-040426-1987")</f>
        <v>https://zfin.org/ZDB-GENE-040426-1987</v>
      </c>
      <c r="E5509" t="s">
        <v>16500</v>
      </c>
    </row>
    <row r="5510" spans="1:5" x14ac:dyDescent="0.2">
      <c r="A5510" t="s">
        <v>16501</v>
      </c>
      <c r="B5510" t="s">
        <v>16502</v>
      </c>
      <c r="C5510" t="s">
        <v>16502</v>
      </c>
      <c r="D5510" t="str">
        <f>HYPERLINK("https://zfin.org/ZDB-GENE-060721-1")</f>
        <v>https://zfin.org/ZDB-GENE-060721-1</v>
      </c>
      <c r="E5510" t="s">
        <v>16503</v>
      </c>
    </row>
    <row r="5511" spans="1:5" x14ac:dyDescent="0.2">
      <c r="A5511" t="s">
        <v>16504</v>
      </c>
      <c r="B5511" t="s">
        <v>16505</v>
      </c>
      <c r="C5511" t="s">
        <v>16505</v>
      </c>
      <c r="D5511" t="str">
        <f>HYPERLINK("https://zfin.org/ZDB-GENE-130531-4")</f>
        <v>https://zfin.org/ZDB-GENE-130531-4</v>
      </c>
      <c r="E5511" t="s">
        <v>16506</v>
      </c>
    </row>
    <row r="5512" spans="1:5" x14ac:dyDescent="0.2">
      <c r="A5512" t="s">
        <v>16507</v>
      </c>
      <c r="B5512" t="s">
        <v>16508</v>
      </c>
      <c r="C5512" t="s">
        <v>16508</v>
      </c>
      <c r="D5512" t="str">
        <f>HYPERLINK("https://zfin.org/ZDB-GENE-030131-4173")</f>
        <v>https://zfin.org/ZDB-GENE-030131-4173</v>
      </c>
      <c r="E5512" t="s">
        <v>16509</v>
      </c>
    </row>
    <row r="5513" spans="1:5" x14ac:dyDescent="0.2">
      <c r="A5513" t="s">
        <v>16510</v>
      </c>
      <c r="B5513" t="s">
        <v>16511</v>
      </c>
      <c r="C5513" t="s">
        <v>16511</v>
      </c>
      <c r="D5513" t="str">
        <f>HYPERLINK("https://zfin.org/ZDB-GENE-140303-1")</f>
        <v>https://zfin.org/ZDB-GENE-140303-1</v>
      </c>
      <c r="E5513" t="s">
        <v>16512</v>
      </c>
    </row>
    <row r="5514" spans="1:5" x14ac:dyDescent="0.2">
      <c r="A5514" t="s">
        <v>16513</v>
      </c>
      <c r="B5514" t="s">
        <v>16514</v>
      </c>
      <c r="C5514" t="s">
        <v>16514</v>
      </c>
      <c r="D5514" t="str">
        <f>HYPERLINK("https://zfin.org/ZDB-GENE-040723-1")</f>
        <v>https://zfin.org/ZDB-GENE-040723-1</v>
      </c>
      <c r="E5514" t="s">
        <v>16515</v>
      </c>
    </row>
    <row r="5515" spans="1:5" x14ac:dyDescent="0.2">
      <c r="A5515" t="s">
        <v>16516</v>
      </c>
      <c r="B5515" t="s">
        <v>16517</v>
      </c>
      <c r="C5515" t="s">
        <v>16517</v>
      </c>
      <c r="D5515" t="str">
        <f>HYPERLINK("https://zfin.org/ZDB-GENE-060503-58")</f>
        <v>https://zfin.org/ZDB-GENE-060503-58</v>
      </c>
      <c r="E5515" t="s">
        <v>16518</v>
      </c>
    </row>
    <row r="5516" spans="1:5" x14ac:dyDescent="0.2">
      <c r="A5516" t="s">
        <v>16519</v>
      </c>
      <c r="B5516" t="s">
        <v>16520</v>
      </c>
      <c r="C5516" t="s">
        <v>16520</v>
      </c>
      <c r="D5516" t="str">
        <f>HYPERLINK("https://zfin.org/ZDB-GENE-050522-557")</f>
        <v>https://zfin.org/ZDB-GENE-050522-557</v>
      </c>
      <c r="E5516" t="s">
        <v>16521</v>
      </c>
    </row>
    <row r="5517" spans="1:5" x14ac:dyDescent="0.2">
      <c r="A5517" t="s">
        <v>16522</v>
      </c>
      <c r="B5517" t="s">
        <v>16523</v>
      </c>
      <c r="C5517" t="s">
        <v>16523</v>
      </c>
      <c r="D5517" t="str">
        <f>HYPERLINK("https://zfin.org/ZDB-GENE-010605-2")</f>
        <v>https://zfin.org/ZDB-GENE-010605-2</v>
      </c>
      <c r="E5517" t="s">
        <v>16524</v>
      </c>
    </row>
    <row r="5518" spans="1:5" x14ac:dyDescent="0.2">
      <c r="A5518" t="s">
        <v>16525</v>
      </c>
      <c r="B5518" t="s">
        <v>16526</v>
      </c>
      <c r="C5518" t="s">
        <v>16526</v>
      </c>
      <c r="D5518" t="str">
        <f>HYPERLINK("https://zfin.org/ZDB-GENE-030131-283")</f>
        <v>https://zfin.org/ZDB-GENE-030131-283</v>
      </c>
      <c r="E5518" t="s">
        <v>16527</v>
      </c>
    </row>
    <row r="5519" spans="1:5" x14ac:dyDescent="0.2">
      <c r="A5519" t="s">
        <v>16528</v>
      </c>
      <c r="B5519" t="s">
        <v>16529</v>
      </c>
      <c r="C5519" t="s">
        <v>16529</v>
      </c>
      <c r="D5519" t="str">
        <f>HYPERLINK("https://zfin.org/ZDB-GENE-041111-230")</f>
        <v>https://zfin.org/ZDB-GENE-041111-230</v>
      </c>
      <c r="E5519" t="s">
        <v>16530</v>
      </c>
    </row>
    <row r="5520" spans="1:5" x14ac:dyDescent="0.2">
      <c r="A5520" t="s">
        <v>16531</v>
      </c>
      <c r="B5520" t="s">
        <v>16532</v>
      </c>
      <c r="C5520" t="s">
        <v>16532</v>
      </c>
      <c r="D5520" t="str">
        <f>HYPERLINK("https://zfin.org/ZDB-GENE-050208-628")</f>
        <v>https://zfin.org/ZDB-GENE-050208-628</v>
      </c>
      <c r="E5520" t="s">
        <v>16533</v>
      </c>
    </row>
    <row r="5521" spans="1:5" x14ac:dyDescent="0.2">
      <c r="A5521" t="s">
        <v>16534</v>
      </c>
      <c r="B5521" t="s">
        <v>16535</v>
      </c>
      <c r="C5521" t="s">
        <v>16535</v>
      </c>
      <c r="D5521" t="str">
        <f>HYPERLINK("https://zfin.org/ZDB-GENE-040801-104")</f>
        <v>https://zfin.org/ZDB-GENE-040801-104</v>
      </c>
      <c r="E5521" t="s">
        <v>16536</v>
      </c>
    </row>
    <row r="5522" spans="1:5" x14ac:dyDescent="0.2">
      <c r="A5522" t="s">
        <v>16537</v>
      </c>
      <c r="B5522" t="s">
        <v>16538</v>
      </c>
      <c r="C5522" t="s">
        <v>16538</v>
      </c>
      <c r="D5522" t="str">
        <f>HYPERLINK("https://zfin.org/ZDB-GENE-060825-293")</f>
        <v>https://zfin.org/ZDB-GENE-060825-293</v>
      </c>
      <c r="E5522" t="s">
        <v>16539</v>
      </c>
    </row>
    <row r="5523" spans="1:5" x14ac:dyDescent="0.2">
      <c r="A5523" t="s">
        <v>16540</v>
      </c>
      <c r="B5523" t="s">
        <v>16541</v>
      </c>
      <c r="C5523" t="s">
        <v>16541</v>
      </c>
      <c r="D5523" t="str">
        <f>HYPERLINK("https://zfin.org/ZDB-GENE-050522-394")</f>
        <v>https://zfin.org/ZDB-GENE-050522-394</v>
      </c>
      <c r="E5523" t="s">
        <v>16542</v>
      </c>
    </row>
    <row r="5524" spans="1:5" x14ac:dyDescent="0.2">
      <c r="A5524" t="s">
        <v>16543</v>
      </c>
      <c r="B5524" t="s">
        <v>16544</v>
      </c>
      <c r="C5524" t="s">
        <v>16544</v>
      </c>
      <c r="D5524" t="str">
        <f>HYPERLINK("https://zfin.org/ZDB-GENE-050208-100")</f>
        <v>https://zfin.org/ZDB-GENE-050208-100</v>
      </c>
      <c r="E5524" t="s">
        <v>16545</v>
      </c>
    </row>
    <row r="5525" spans="1:5" x14ac:dyDescent="0.2">
      <c r="A5525" t="s">
        <v>16546</v>
      </c>
      <c r="B5525" t="s">
        <v>16547</v>
      </c>
      <c r="C5525" t="s">
        <v>16547</v>
      </c>
      <c r="D5525" t="str">
        <f>HYPERLINK("https://zfin.org/ZDB-GENE-070705-454")</f>
        <v>https://zfin.org/ZDB-GENE-070705-454</v>
      </c>
      <c r="E5525" t="s">
        <v>16548</v>
      </c>
    </row>
    <row r="5526" spans="1:5" x14ac:dyDescent="0.2">
      <c r="A5526" t="s">
        <v>16549</v>
      </c>
      <c r="B5526" t="s">
        <v>16550</v>
      </c>
      <c r="C5526" t="s">
        <v>16550</v>
      </c>
      <c r="D5526" t="str">
        <f>HYPERLINK("https://zfin.org/ZDB-GENE-081104-498")</f>
        <v>https://zfin.org/ZDB-GENE-081104-498</v>
      </c>
      <c r="E5526" t="s">
        <v>16551</v>
      </c>
    </row>
    <row r="5527" spans="1:5" x14ac:dyDescent="0.2">
      <c r="A5527" t="s">
        <v>16552</v>
      </c>
      <c r="B5527" t="s">
        <v>16553</v>
      </c>
      <c r="C5527" t="s">
        <v>16553</v>
      </c>
      <c r="D5527" t="str">
        <f>HYPERLINK("https://zfin.org/ZDB-GENE-040426-2166")</f>
        <v>https://zfin.org/ZDB-GENE-040426-2166</v>
      </c>
      <c r="E5527" t="s">
        <v>16554</v>
      </c>
    </row>
    <row r="5528" spans="1:5" x14ac:dyDescent="0.2">
      <c r="A5528" t="s">
        <v>16555</v>
      </c>
      <c r="B5528" t="s">
        <v>16556</v>
      </c>
      <c r="C5528" t="s">
        <v>16556</v>
      </c>
      <c r="D5528" t="str">
        <f>HYPERLINK("https://zfin.org/ZDB-GENE-091118-58")</f>
        <v>https://zfin.org/ZDB-GENE-091118-58</v>
      </c>
      <c r="E5528" t="s">
        <v>16557</v>
      </c>
    </row>
    <row r="5529" spans="1:5" x14ac:dyDescent="0.2">
      <c r="A5529" t="s">
        <v>16558</v>
      </c>
      <c r="B5529" t="s">
        <v>16559</v>
      </c>
      <c r="C5529" t="s">
        <v>16559</v>
      </c>
      <c r="D5529" t="str">
        <f>HYPERLINK("https://zfin.org/ZDB-GENE-060315-7")</f>
        <v>https://zfin.org/ZDB-GENE-060315-7</v>
      </c>
      <c r="E5529" t="s">
        <v>16560</v>
      </c>
    </row>
    <row r="5530" spans="1:5" x14ac:dyDescent="0.2">
      <c r="A5530" t="s">
        <v>16561</v>
      </c>
      <c r="B5530" t="s">
        <v>16562</v>
      </c>
      <c r="C5530" t="s">
        <v>16562</v>
      </c>
      <c r="D5530" t="str">
        <f>HYPERLINK("https://zfin.org/ZDB-GENE-070912-550")</f>
        <v>https://zfin.org/ZDB-GENE-070912-550</v>
      </c>
      <c r="E5530" t="s">
        <v>16563</v>
      </c>
    </row>
    <row r="5531" spans="1:5" x14ac:dyDescent="0.2">
      <c r="A5531" t="s">
        <v>16564</v>
      </c>
      <c r="B5531" t="s">
        <v>16565</v>
      </c>
      <c r="C5531" t="s">
        <v>16565</v>
      </c>
      <c r="D5531" t="str">
        <f>HYPERLINK("https://zfin.org/ZDB-GENE-100211-2")</f>
        <v>https://zfin.org/ZDB-GENE-100211-2</v>
      </c>
      <c r="E5531" t="s">
        <v>16566</v>
      </c>
    </row>
    <row r="5532" spans="1:5" x14ac:dyDescent="0.2">
      <c r="A5532" t="s">
        <v>16567</v>
      </c>
      <c r="B5532" t="s">
        <v>16568</v>
      </c>
      <c r="C5532" t="s">
        <v>16568</v>
      </c>
      <c r="D5532" t="str">
        <f>HYPERLINK("https://zfin.org/ZDB-GENE-030131-5437")</f>
        <v>https://zfin.org/ZDB-GENE-030131-5437</v>
      </c>
      <c r="E5532" t="s">
        <v>16569</v>
      </c>
    </row>
    <row r="5533" spans="1:5" x14ac:dyDescent="0.2">
      <c r="A5533" t="s">
        <v>16570</v>
      </c>
      <c r="B5533" t="s">
        <v>16571</v>
      </c>
      <c r="C5533" t="s">
        <v>16571</v>
      </c>
      <c r="D5533" t="str">
        <f>HYPERLINK("https://zfin.org/ZDB-GENE-050208-802")</f>
        <v>https://zfin.org/ZDB-GENE-050208-802</v>
      </c>
      <c r="E5533" t="s">
        <v>16572</v>
      </c>
    </row>
    <row r="5534" spans="1:5" x14ac:dyDescent="0.2">
      <c r="A5534" t="s">
        <v>16573</v>
      </c>
      <c r="B5534" t="s">
        <v>16574</v>
      </c>
      <c r="C5534" t="s">
        <v>16574</v>
      </c>
      <c r="D5534" t="str">
        <f>HYPERLINK("https://zfin.org/ZDB-GENE-131122-9")</f>
        <v>https://zfin.org/ZDB-GENE-131122-9</v>
      </c>
      <c r="E5534" t="s">
        <v>16575</v>
      </c>
    </row>
    <row r="5535" spans="1:5" x14ac:dyDescent="0.2">
      <c r="A5535" t="s">
        <v>16576</v>
      </c>
      <c r="B5535" t="s">
        <v>16577</v>
      </c>
      <c r="C5535" t="s">
        <v>16577</v>
      </c>
      <c r="D5535" t="str">
        <f>HYPERLINK("https://zfin.org/ZDB-GENE-131119-70")</f>
        <v>https://zfin.org/ZDB-GENE-131119-70</v>
      </c>
      <c r="E5535" t="s">
        <v>16578</v>
      </c>
    </row>
    <row r="5536" spans="1:5" x14ac:dyDescent="0.2">
      <c r="A5536" t="s">
        <v>16579</v>
      </c>
      <c r="B5536" t="s">
        <v>16580</v>
      </c>
      <c r="C5536" t="s">
        <v>16580</v>
      </c>
      <c r="D5536" t="str">
        <f>HYPERLINK("https://zfin.org/ZDB-GENE-041010-83")</f>
        <v>https://zfin.org/ZDB-GENE-041010-83</v>
      </c>
      <c r="E5536" t="s">
        <v>16581</v>
      </c>
    </row>
    <row r="5537" spans="1:5" x14ac:dyDescent="0.2">
      <c r="A5537" t="s">
        <v>16582</v>
      </c>
      <c r="B5537" t="s">
        <v>16583</v>
      </c>
      <c r="C5537" t="s">
        <v>16583</v>
      </c>
      <c r="D5537" t="str">
        <f>HYPERLINK("https://zfin.org/ZDB-GENE-040426-1553")</f>
        <v>https://zfin.org/ZDB-GENE-040426-1553</v>
      </c>
      <c r="E5537" t="s">
        <v>16584</v>
      </c>
    </row>
    <row r="5538" spans="1:5" x14ac:dyDescent="0.2">
      <c r="A5538" t="s">
        <v>16585</v>
      </c>
      <c r="B5538" t="s">
        <v>16586</v>
      </c>
      <c r="C5538" t="s">
        <v>16586</v>
      </c>
      <c r="D5538" t="str">
        <f>HYPERLINK("https://zfin.org/ZDB-GENE-080107-2")</f>
        <v>https://zfin.org/ZDB-GENE-080107-2</v>
      </c>
      <c r="E5538" t="s">
        <v>16587</v>
      </c>
    </row>
    <row r="5539" spans="1:5" x14ac:dyDescent="0.2">
      <c r="A5539" t="s">
        <v>16588</v>
      </c>
      <c r="B5539" t="s">
        <v>16589</v>
      </c>
      <c r="C5539" t="s">
        <v>16589</v>
      </c>
      <c r="D5539" t="str">
        <f>HYPERLINK("https://zfin.org/ZDB-GENE-050410-14")</f>
        <v>https://zfin.org/ZDB-GENE-050410-14</v>
      </c>
      <c r="E5539" t="s">
        <v>16590</v>
      </c>
    </row>
    <row r="5540" spans="1:5" x14ac:dyDescent="0.2">
      <c r="A5540" t="s">
        <v>16591</v>
      </c>
      <c r="B5540" t="s">
        <v>16592</v>
      </c>
      <c r="C5540" t="s">
        <v>16592</v>
      </c>
      <c r="D5540" t="str">
        <f>HYPERLINK("https://zfin.org/ZDB-GENE-020507-1")</f>
        <v>https://zfin.org/ZDB-GENE-020507-1</v>
      </c>
      <c r="E5540" t="s">
        <v>16593</v>
      </c>
    </row>
    <row r="5541" spans="1:5" x14ac:dyDescent="0.2">
      <c r="A5541" t="s">
        <v>16594</v>
      </c>
      <c r="B5541" t="s">
        <v>16595</v>
      </c>
      <c r="C5541" t="s">
        <v>16595</v>
      </c>
      <c r="D5541" t="str">
        <f>HYPERLINK("https://zfin.org/ZDB-GENE-120215-228")</f>
        <v>https://zfin.org/ZDB-GENE-120215-228</v>
      </c>
      <c r="E5541" t="s">
        <v>16596</v>
      </c>
    </row>
    <row r="5542" spans="1:5" x14ac:dyDescent="0.2">
      <c r="A5542" t="s">
        <v>16597</v>
      </c>
      <c r="B5542" t="s">
        <v>16598</v>
      </c>
      <c r="C5542" t="s">
        <v>16598</v>
      </c>
      <c r="D5542" t="str">
        <f>HYPERLINK("https://zfin.org/ZDB-GENE-060810-10")</f>
        <v>https://zfin.org/ZDB-GENE-060810-10</v>
      </c>
      <c r="E5542" t="s">
        <v>16599</v>
      </c>
    </row>
    <row r="5543" spans="1:5" x14ac:dyDescent="0.2">
      <c r="A5543" t="s">
        <v>16600</v>
      </c>
      <c r="B5543" t="s">
        <v>16601</v>
      </c>
      <c r="C5543" t="s">
        <v>16601</v>
      </c>
      <c r="D5543" t="str">
        <f>HYPERLINK("https://zfin.org/ZDB-GENE-050213-1")</f>
        <v>https://zfin.org/ZDB-GENE-050213-1</v>
      </c>
      <c r="E5543" t="s">
        <v>16602</v>
      </c>
    </row>
    <row r="5544" spans="1:5" x14ac:dyDescent="0.2">
      <c r="A5544" t="s">
        <v>16603</v>
      </c>
      <c r="B5544" t="s">
        <v>16604</v>
      </c>
      <c r="C5544" t="s">
        <v>16604</v>
      </c>
      <c r="D5544" t="str">
        <f>HYPERLINK("https://zfin.org/ZDB-GENE-060113-2")</f>
        <v>https://zfin.org/ZDB-GENE-060113-2</v>
      </c>
      <c r="E5544" t="s">
        <v>16605</v>
      </c>
    </row>
    <row r="5545" spans="1:5" x14ac:dyDescent="0.2">
      <c r="A5545" t="s">
        <v>16606</v>
      </c>
      <c r="B5545" t="s">
        <v>16607</v>
      </c>
      <c r="C5545" t="s">
        <v>16607</v>
      </c>
      <c r="D5545" t="str">
        <f>HYPERLINK("https://zfin.org/ZDB-GENE-040718-25")</f>
        <v>https://zfin.org/ZDB-GENE-040718-25</v>
      </c>
      <c r="E5545" t="s">
        <v>16608</v>
      </c>
    </row>
    <row r="5546" spans="1:5" x14ac:dyDescent="0.2">
      <c r="A5546" t="s">
        <v>16609</v>
      </c>
      <c r="B5546" t="s">
        <v>16610</v>
      </c>
      <c r="C5546" t="s">
        <v>16610</v>
      </c>
      <c r="D5546" t="str">
        <f>HYPERLINK("https://zfin.org/ZDB-GENE-060929-68")</f>
        <v>https://zfin.org/ZDB-GENE-060929-68</v>
      </c>
      <c r="E5546" t="s">
        <v>16611</v>
      </c>
    </row>
    <row r="5547" spans="1:5" x14ac:dyDescent="0.2">
      <c r="A5547" t="s">
        <v>16612</v>
      </c>
      <c r="B5547" t="s">
        <v>16613</v>
      </c>
      <c r="C5547" t="s">
        <v>16613</v>
      </c>
      <c r="D5547" t="str">
        <f>HYPERLINK("https://zfin.org/ZDB-GENE-040704-17")</f>
        <v>https://zfin.org/ZDB-GENE-040704-17</v>
      </c>
      <c r="E5547" t="s">
        <v>16614</v>
      </c>
    </row>
    <row r="5548" spans="1:5" x14ac:dyDescent="0.2">
      <c r="A5548" t="s">
        <v>16615</v>
      </c>
      <c r="B5548" t="s">
        <v>16616</v>
      </c>
      <c r="C5548" t="s">
        <v>16616</v>
      </c>
      <c r="D5548" t="str">
        <f>HYPERLINK("https://zfin.org/ZDB-GENE-130531-80")</f>
        <v>https://zfin.org/ZDB-GENE-130531-80</v>
      </c>
      <c r="E5548" t="s">
        <v>16617</v>
      </c>
    </row>
    <row r="5549" spans="1:5" x14ac:dyDescent="0.2">
      <c r="A5549" t="s">
        <v>16618</v>
      </c>
      <c r="B5549" t="s">
        <v>16619</v>
      </c>
      <c r="C5549" t="s">
        <v>16619</v>
      </c>
      <c r="D5549" t="str">
        <f>HYPERLINK("https://zfin.org/ZDB-GENE-030219-38")</f>
        <v>https://zfin.org/ZDB-GENE-030219-38</v>
      </c>
      <c r="E5549" t="s">
        <v>16620</v>
      </c>
    </row>
    <row r="5550" spans="1:5" x14ac:dyDescent="0.2">
      <c r="A5550" t="s">
        <v>16621</v>
      </c>
      <c r="B5550" t="s">
        <v>16622</v>
      </c>
      <c r="C5550" t="s">
        <v>16622</v>
      </c>
      <c r="D5550" t="str">
        <f>HYPERLINK("https://zfin.org/ZDB-GENE-040724-235")</f>
        <v>https://zfin.org/ZDB-GENE-040724-235</v>
      </c>
      <c r="E5550" t="s">
        <v>16623</v>
      </c>
    </row>
    <row r="5551" spans="1:5" x14ac:dyDescent="0.2">
      <c r="A5551" t="s">
        <v>16624</v>
      </c>
      <c r="B5551" t="s">
        <v>16625</v>
      </c>
      <c r="C5551" t="s">
        <v>16625</v>
      </c>
      <c r="D5551" t="str">
        <f>HYPERLINK("https://zfin.org/ZDB-GENE-030521-15")</f>
        <v>https://zfin.org/ZDB-GENE-030521-15</v>
      </c>
      <c r="E5551" t="s">
        <v>16626</v>
      </c>
    </row>
    <row r="5552" spans="1:5" x14ac:dyDescent="0.2">
      <c r="A5552" t="s">
        <v>16627</v>
      </c>
      <c r="B5552" t="s">
        <v>16628</v>
      </c>
      <c r="C5552" t="s">
        <v>16628</v>
      </c>
      <c r="D5552" t="str">
        <f>HYPERLINK("https://zfin.org/ZDB-GENE-061207-17")</f>
        <v>https://zfin.org/ZDB-GENE-061207-17</v>
      </c>
      <c r="E5552" t="s">
        <v>16629</v>
      </c>
    </row>
    <row r="5553" spans="1:5" x14ac:dyDescent="0.2">
      <c r="A5553" t="s">
        <v>16630</v>
      </c>
      <c r="B5553" t="s">
        <v>16631</v>
      </c>
      <c r="C5553" t="s">
        <v>16631</v>
      </c>
      <c r="D5553" t="str">
        <f>HYPERLINK("https://zfin.org/ZDB-GENE-050320-27")</f>
        <v>https://zfin.org/ZDB-GENE-050320-27</v>
      </c>
      <c r="E5553" t="s">
        <v>16632</v>
      </c>
    </row>
    <row r="5554" spans="1:5" x14ac:dyDescent="0.2">
      <c r="A5554" t="s">
        <v>16633</v>
      </c>
      <c r="B5554" t="s">
        <v>16634</v>
      </c>
      <c r="C5554" t="s">
        <v>16634</v>
      </c>
      <c r="D5554" t="str">
        <f>HYPERLINK("https://zfin.org/ZDB-GENE-041014-252")</f>
        <v>https://zfin.org/ZDB-GENE-041014-252</v>
      </c>
      <c r="E5554" t="s">
        <v>16635</v>
      </c>
    </row>
    <row r="5555" spans="1:5" x14ac:dyDescent="0.2">
      <c r="A5555" t="s">
        <v>16636</v>
      </c>
      <c r="B5555" t="s">
        <v>16637</v>
      </c>
      <c r="C5555" t="s">
        <v>16637</v>
      </c>
      <c r="D5555" t="str">
        <f>HYPERLINK("https://zfin.org/ZDB-GENE-091015-2")</f>
        <v>https://zfin.org/ZDB-GENE-091015-2</v>
      </c>
      <c r="E5555" t="s">
        <v>16638</v>
      </c>
    </row>
    <row r="5556" spans="1:5" x14ac:dyDescent="0.2">
      <c r="A5556" t="s">
        <v>16639</v>
      </c>
      <c r="B5556" t="s">
        <v>16640</v>
      </c>
      <c r="C5556" t="s">
        <v>16640</v>
      </c>
      <c r="D5556" t="str">
        <f>HYPERLINK("https://zfin.org/ZDB-GENE-040426-727")</f>
        <v>https://zfin.org/ZDB-GENE-040426-727</v>
      </c>
      <c r="E5556" t="s">
        <v>16641</v>
      </c>
    </row>
    <row r="5557" spans="1:5" x14ac:dyDescent="0.2">
      <c r="A5557" t="s">
        <v>16642</v>
      </c>
      <c r="B5557" t="s">
        <v>16643</v>
      </c>
      <c r="C5557" t="s">
        <v>16643</v>
      </c>
      <c r="D5557" t="str">
        <f>HYPERLINK("https://zfin.org/ZDB-GENE-040426-1909")</f>
        <v>https://zfin.org/ZDB-GENE-040426-1909</v>
      </c>
      <c r="E5557" t="s">
        <v>16644</v>
      </c>
    </row>
    <row r="5558" spans="1:5" x14ac:dyDescent="0.2">
      <c r="A5558" t="s">
        <v>16645</v>
      </c>
      <c r="B5558" t="s">
        <v>16646</v>
      </c>
      <c r="C5558" t="s">
        <v>16646</v>
      </c>
      <c r="D5558" t="str">
        <f>HYPERLINK("https://zfin.org/ZDB-GENE-040426-2116")</f>
        <v>https://zfin.org/ZDB-GENE-040426-2116</v>
      </c>
      <c r="E5558" t="s">
        <v>16647</v>
      </c>
    </row>
    <row r="5559" spans="1:5" x14ac:dyDescent="0.2">
      <c r="A5559" t="s">
        <v>16648</v>
      </c>
      <c r="B5559" t="s">
        <v>16649</v>
      </c>
      <c r="C5559" t="s">
        <v>16649</v>
      </c>
      <c r="D5559" t="str">
        <f>HYPERLINK("https://zfin.org/ZDB-GENE-141216-152")</f>
        <v>https://zfin.org/ZDB-GENE-141216-152</v>
      </c>
      <c r="E5559" t="s">
        <v>16650</v>
      </c>
    </row>
    <row r="5560" spans="1:5" x14ac:dyDescent="0.2">
      <c r="A5560" t="s">
        <v>16651</v>
      </c>
      <c r="B5560" t="s">
        <v>16652</v>
      </c>
      <c r="C5560" t="s">
        <v>16652</v>
      </c>
      <c r="D5560" t="str">
        <f>HYPERLINK("https://zfin.org/ZDB-GENE-120410-4")</f>
        <v>https://zfin.org/ZDB-GENE-120410-4</v>
      </c>
      <c r="E5560" t="s">
        <v>16653</v>
      </c>
    </row>
    <row r="5561" spans="1:5" x14ac:dyDescent="0.2">
      <c r="A5561" t="s">
        <v>16654</v>
      </c>
      <c r="B5561" t="s">
        <v>16655</v>
      </c>
      <c r="C5561" t="s">
        <v>16655</v>
      </c>
      <c r="D5561" t="str">
        <f>HYPERLINK("https://zfin.org/ZDB-GENE-050208-707")</f>
        <v>https://zfin.org/ZDB-GENE-050208-707</v>
      </c>
      <c r="E5561" t="s">
        <v>16656</v>
      </c>
    </row>
    <row r="5562" spans="1:5" x14ac:dyDescent="0.2">
      <c r="A5562" t="s">
        <v>16657</v>
      </c>
      <c r="B5562" t="s">
        <v>16658</v>
      </c>
      <c r="C5562" t="s">
        <v>16658</v>
      </c>
      <c r="D5562" t="str">
        <f>HYPERLINK("https://zfin.org/ZDB-GENE-090507-1")</f>
        <v>https://zfin.org/ZDB-GENE-090507-1</v>
      </c>
      <c r="E5562" t="s">
        <v>16659</v>
      </c>
    </row>
    <row r="5563" spans="1:5" x14ac:dyDescent="0.2">
      <c r="A5563" t="s">
        <v>16660</v>
      </c>
      <c r="B5563" t="s">
        <v>16661</v>
      </c>
      <c r="C5563" t="s">
        <v>16661</v>
      </c>
      <c r="D5563" t="str">
        <f>HYPERLINK("https://zfin.org/ZDB-GENE-040426-1146")</f>
        <v>https://zfin.org/ZDB-GENE-040426-1146</v>
      </c>
      <c r="E5563" t="s">
        <v>16662</v>
      </c>
    </row>
    <row r="5564" spans="1:5" x14ac:dyDescent="0.2">
      <c r="A5564" t="s">
        <v>16663</v>
      </c>
      <c r="B5564" t="s">
        <v>16664</v>
      </c>
      <c r="C5564" t="s">
        <v>16664</v>
      </c>
      <c r="D5564" t="str">
        <f>HYPERLINK("https://zfin.org/ZDB-GENE-061013-174")</f>
        <v>https://zfin.org/ZDB-GENE-061013-174</v>
      </c>
      <c r="E5564" t="s">
        <v>16665</v>
      </c>
    </row>
    <row r="5565" spans="1:5" x14ac:dyDescent="0.2">
      <c r="A5565" t="s">
        <v>16666</v>
      </c>
      <c r="B5565" t="s">
        <v>16667</v>
      </c>
      <c r="C5565" t="s">
        <v>16667</v>
      </c>
      <c r="D5565" t="str">
        <f>HYPERLINK("https://zfin.org/ZDB-GENE-110408-32")</f>
        <v>https://zfin.org/ZDB-GENE-110408-32</v>
      </c>
      <c r="E5565" t="s">
        <v>16668</v>
      </c>
    </row>
    <row r="5566" spans="1:5" x14ac:dyDescent="0.2">
      <c r="A5566" t="s">
        <v>16669</v>
      </c>
      <c r="B5566" t="s">
        <v>16670</v>
      </c>
      <c r="C5566" t="s">
        <v>16670</v>
      </c>
      <c r="D5566" t="str">
        <f>HYPERLINK("https://zfin.org/ZDB-GENE-081022-180")</f>
        <v>https://zfin.org/ZDB-GENE-081022-180</v>
      </c>
      <c r="E5566" t="s">
        <v>16671</v>
      </c>
    </row>
    <row r="5567" spans="1:5" x14ac:dyDescent="0.2">
      <c r="A5567" t="s">
        <v>16672</v>
      </c>
      <c r="B5567" t="s">
        <v>16673</v>
      </c>
      <c r="C5567" t="s">
        <v>16673</v>
      </c>
      <c r="D5567" t="str">
        <f>HYPERLINK("https://zfin.org/ZDB-GENE-030131-478")</f>
        <v>https://zfin.org/ZDB-GENE-030131-478</v>
      </c>
      <c r="E5567" t="s">
        <v>16674</v>
      </c>
    </row>
    <row r="5568" spans="1:5" x14ac:dyDescent="0.2">
      <c r="A5568" t="s">
        <v>16675</v>
      </c>
      <c r="B5568" t="s">
        <v>16676</v>
      </c>
      <c r="C5568" t="s">
        <v>16676</v>
      </c>
      <c r="D5568" t="str">
        <f>HYPERLINK("https://zfin.org/ZDB-GENE-050419-13")</f>
        <v>https://zfin.org/ZDB-GENE-050419-13</v>
      </c>
      <c r="E5568" t="s">
        <v>16677</v>
      </c>
    </row>
    <row r="5569" spans="1:5" x14ac:dyDescent="0.2">
      <c r="A5569" t="s">
        <v>16678</v>
      </c>
      <c r="B5569" t="s">
        <v>16679</v>
      </c>
      <c r="C5569" t="s">
        <v>16679</v>
      </c>
      <c r="D5569" t="str">
        <f>HYPERLINK("https://zfin.org/ZDB-GENE-030131-760")</f>
        <v>https://zfin.org/ZDB-GENE-030131-760</v>
      </c>
      <c r="E5569" t="s">
        <v>16680</v>
      </c>
    </row>
    <row r="5570" spans="1:5" x14ac:dyDescent="0.2">
      <c r="A5570" t="s">
        <v>16681</v>
      </c>
      <c r="B5570" t="s">
        <v>16682</v>
      </c>
      <c r="C5570" t="s">
        <v>16682</v>
      </c>
      <c r="D5570" t="str">
        <f>HYPERLINK("https://zfin.org/ZDB-GENE-050208-155")</f>
        <v>https://zfin.org/ZDB-GENE-050208-155</v>
      </c>
      <c r="E5570" t="s">
        <v>16683</v>
      </c>
    </row>
    <row r="5571" spans="1:5" x14ac:dyDescent="0.2">
      <c r="A5571" t="s">
        <v>16684</v>
      </c>
      <c r="B5571" t="s">
        <v>16685</v>
      </c>
      <c r="C5571" t="s">
        <v>16685</v>
      </c>
      <c r="D5571" t="str">
        <f>HYPERLINK("https://zfin.org/ZDB-GENE-060929-1266")</f>
        <v>https://zfin.org/ZDB-GENE-060929-1266</v>
      </c>
      <c r="E5571" t="s">
        <v>16686</v>
      </c>
    </row>
    <row r="5572" spans="1:5" x14ac:dyDescent="0.2">
      <c r="A5572" t="s">
        <v>16687</v>
      </c>
      <c r="B5572" t="s">
        <v>16688</v>
      </c>
      <c r="C5572" t="s">
        <v>16688</v>
      </c>
      <c r="D5572" t="str">
        <f>HYPERLINK("https://zfin.org/ZDB-GENE-041010-104")</f>
        <v>https://zfin.org/ZDB-GENE-041010-104</v>
      </c>
      <c r="E5572" t="s">
        <v>16689</v>
      </c>
    </row>
    <row r="5573" spans="1:5" x14ac:dyDescent="0.2">
      <c r="A5573" t="s">
        <v>16690</v>
      </c>
      <c r="B5573" t="s">
        <v>16691</v>
      </c>
      <c r="C5573" t="s">
        <v>16691</v>
      </c>
      <c r="D5573" t="str">
        <f>HYPERLINK("https://zfin.org/ZDB-GENE-081105-135")</f>
        <v>https://zfin.org/ZDB-GENE-081105-135</v>
      </c>
      <c r="E5573" t="s">
        <v>16692</v>
      </c>
    </row>
    <row r="5574" spans="1:5" x14ac:dyDescent="0.2">
      <c r="A5574" t="s">
        <v>16693</v>
      </c>
      <c r="B5574" t="s">
        <v>16694</v>
      </c>
      <c r="C5574" t="s">
        <v>16694</v>
      </c>
      <c r="D5574" t="str">
        <f>HYPERLINK("https://zfin.org/ZDB-GENE-051120-75")</f>
        <v>https://zfin.org/ZDB-GENE-051120-75</v>
      </c>
      <c r="E5574" t="s">
        <v>16695</v>
      </c>
    </row>
    <row r="5575" spans="1:5" x14ac:dyDescent="0.2">
      <c r="A5575" t="s">
        <v>16696</v>
      </c>
      <c r="B5575" t="s">
        <v>16697</v>
      </c>
      <c r="C5575" t="s">
        <v>16697</v>
      </c>
      <c r="D5575" t="str">
        <f>HYPERLINK("https://zfin.org/ZDB-GENE-030616-409")</f>
        <v>https://zfin.org/ZDB-GENE-030616-409</v>
      </c>
      <c r="E5575" t="s">
        <v>16698</v>
      </c>
    </row>
    <row r="5576" spans="1:5" x14ac:dyDescent="0.2">
      <c r="A5576" t="s">
        <v>16699</v>
      </c>
      <c r="B5576" t="s">
        <v>16700</v>
      </c>
      <c r="C5576" t="s">
        <v>16700</v>
      </c>
      <c r="D5576" t="str">
        <f>HYPERLINK("https://zfin.org/ZDB-GENE-020424-2")</f>
        <v>https://zfin.org/ZDB-GENE-020424-2</v>
      </c>
      <c r="E5576" t="s">
        <v>16701</v>
      </c>
    </row>
    <row r="5577" spans="1:5" x14ac:dyDescent="0.2">
      <c r="A5577" t="s">
        <v>16702</v>
      </c>
      <c r="B5577" t="s">
        <v>16703</v>
      </c>
      <c r="C5577" t="s">
        <v>16703</v>
      </c>
      <c r="D5577" t="str">
        <f>HYPERLINK("https://zfin.org/ZDB-GENE-021115-8")</f>
        <v>https://zfin.org/ZDB-GENE-021115-8</v>
      </c>
      <c r="E5577" t="s">
        <v>16704</v>
      </c>
    </row>
    <row r="5578" spans="1:5" x14ac:dyDescent="0.2">
      <c r="A5578" t="s">
        <v>16705</v>
      </c>
      <c r="B5578" t="s">
        <v>16706</v>
      </c>
      <c r="C5578" t="s">
        <v>16706</v>
      </c>
      <c r="D5578" t="str">
        <f>HYPERLINK("https://zfin.org/ZDB-GENE-991207-22")</f>
        <v>https://zfin.org/ZDB-GENE-991207-22</v>
      </c>
      <c r="E5578" t="s">
        <v>16707</v>
      </c>
    </row>
    <row r="5579" spans="1:5" x14ac:dyDescent="0.2">
      <c r="A5579" t="s">
        <v>16708</v>
      </c>
      <c r="B5579" t="s">
        <v>16709</v>
      </c>
      <c r="C5579" t="s">
        <v>16709</v>
      </c>
      <c r="D5579" t="str">
        <f>HYPERLINK("https://zfin.org/ZDB-GENE-030131-9808")</f>
        <v>https://zfin.org/ZDB-GENE-030131-9808</v>
      </c>
      <c r="E5579" t="s">
        <v>16710</v>
      </c>
    </row>
    <row r="5580" spans="1:5" x14ac:dyDescent="0.2">
      <c r="A5580" t="s">
        <v>16711</v>
      </c>
      <c r="B5580" t="s">
        <v>16712</v>
      </c>
      <c r="C5580" t="s">
        <v>16712</v>
      </c>
      <c r="D5580" t="str">
        <f>HYPERLINK("https://zfin.org/ZDB-GENE-051120-51")</f>
        <v>https://zfin.org/ZDB-GENE-051120-51</v>
      </c>
      <c r="E5580" t="s">
        <v>16713</v>
      </c>
    </row>
    <row r="5581" spans="1:5" x14ac:dyDescent="0.2">
      <c r="A5581" t="s">
        <v>16714</v>
      </c>
      <c r="B5581" t="s">
        <v>16715</v>
      </c>
      <c r="C5581" t="s">
        <v>16715</v>
      </c>
      <c r="D5581" t="str">
        <f>HYPERLINK("https://zfin.org/ZDB-GENE-050320-64")</f>
        <v>https://zfin.org/ZDB-GENE-050320-64</v>
      </c>
      <c r="E5581" t="s">
        <v>16716</v>
      </c>
    </row>
    <row r="5582" spans="1:5" x14ac:dyDescent="0.2">
      <c r="A5582" t="s">
        <v>16717</v>
      </c>
      <c r="B5582" t="s">
        <v>16718</v>
      </c>
      <c r="C5582" t="s">
        <v>16718</v>
      </c>
      <c r="D5582" t="str">
        <f>HYPERLINK("https://zfin.org/ZDB-GENE-040426-2003")</f>
        <v>https://zfin.org/ZDB-GENE-040426-2003</v>
      </c>
      <c r="E5582" t="s">
        <v>16719</v>
      </c>
    </row>
    <row r="5583" spans="1:5" x14ac:dyDescent="0.2">
      <c r="A5583" t="s">
        <v>16720</v>
      </c>
      <c r="B5583" t="s">
        <v>16721</v>
      </c>
      <c r="C5583" t="s">
        <v>16721</v>
      </c>
      <c r="D5583" t="str">
        <f>HYPERLINK("https://zfin.org/ZDB-GENE-020731-4")</f>
        <v>https://zfin.org/ZDB-GENE-020731-4</v>
      </c>
      <c r="E5583" t="s">
        <v>16722</v>
      </c>
    </row>
    <row r="5584" spans="1:5" x14ac:dyDescent="0.2">
      <c r="A5584" t="s">
        <v>16723</v>
      </c>
      <c r="B5584" t="s">
        <v>16724</v>
      </c>
      <c r="C5584" t="s">
        <v>16724</v>
      </c>
      <c r="D5584" t="str">
        <f>HYPERLINK("https://zfin.org/ZDB-GENE-080507-1")</f>
        <v>https://zfin.org/ZDB-GENE-080507-1</v>
      </c>
      <c r="E5584" t="s">
        <v>16725</v>
      </c>
    </row>
    <row r="5585" spans="1:5" x14ac:dyDescent="0.2">
      <c r="A5585" t="s">
        <v>16726</v>
      </c>
      <c r="B5585" t="s">
        <v>16727</v>
      </c>
      <c r="C5585" t="s">
        <v>16727</v>
      </c>
      <c r="D5585" t="str">
        <f>HYPERLINK("https://zfin.org/ZDB-GENE-140106-61")</f>
        <v>https://zfin.org/ZDB-GENE-140106-61</v>
      </c>
      <c r="E5585" t="s">
        <v>16728</v>
      </c>
    </row>
    <row r="5586" spans="1:5" x14ac:dyDescent="0.2">
      <c r="A5586" t="s">
        <v>16729</v>
      </c>
      <c r="B5586" t="s">
        <v>16730</v>
      </c>
      <c r="C5586" t="s">
        <v>16730</v>
      </c>
      <c r="D5586" t="str">
        <f>HYPERLINK("https://zfin.org/ZDB-GENE-131125-13")</f>
        <v>https://zfin.org/ZDB-GENE-131125-13</v>
      </c>
      <c r="E5586" t="s">
        <v>16731</v>
      </c>
    </row>
    <row r="5587" spans="1:5" x14ac:dyDescent="0.2">
      <c r="A5587" t="s">
        <v>16732</v>
      </c>
      <c r="B5587" t="s">
        <v>16733</v>
      </c>
      <c r="C5587" t="s">
        <v>16733</v>
      </c>
      <c r="D5587" t="str">
        <f>HYPERLINK("https://zfin.org/ZDB-GENE-080407-1")</f>
        <v>https://zfin.org/ZDB-GENE-080407-1</v>
      </c>
      <c r="E5587" t="s">
        <v>16734</v>
      </c>
    </row>
    <row r="5588" spans="1:5" x14ac:dyDescent="0.2">
      <c r="A5588" t="s">
        <v>16735</v>
      </c>
      <c r="B5588" t="s">
        <v>16736</v>
      </c>
      <c r="C5588" t="s">
        <v>16736</v>
      </c>
      <c r="D5588" t="str">
        <f>HYPERLINK("https://zfin.org/ZDB-GENE-060503-151")</f>
        <v>https://zfin.org/ZDB-GENE-060503-151</v>
      </c>
      <c r="E5588" t="s">
        <v>16737</v>
      </c>
    </row>
    <row r="5589" spans="1:5" x14ac:dyDescent="0.2">
      <c r="A5589" t="s">
        <v>16738</v>
      </c>
      <c r="B5589" t="s">
        <v>16739</v>
      </c>
      <c r="C5589" t="s">
        <v>16739</v>
      </c>
      <c r="D5589" t="str">
        <f>HYPERLINK("https://zfin.org/ZDB-GENE-050208-640")</f>
        <v>https://zfin.org/ZDB-GENE-050208-640</v>
      </c>
      <c r="E5589" t="s">
        <v>16740</v>
      </c>
    </row>
    <row r="5590" spans="1:5" x14ac:dyDescent="0.2">
      <c r="A5590" t="s">
        <v>16741</v>
      </c>
      <c r="B5590" t="s">
        <v>16742</v>
      </c>
      <c r="C5590" t="s">
        <v>16742</v>
      </c>
      <c r="D5590" t="str">
        <f>HYPERLINK("https://zfin.org/ZDB-GENE-040704-23")</f>
        <v>https://zfin.org/ZDB-GENE-040704-23</v>
      </c>
      <c r="E5590" t="s">
        <v>16743</v>
      </c>
    </row>
    <row r="5591" spans="1:5" x14ac:dyDescent="0.2">
      <c r="A5591" t="s">
        <v>16744</v>
      </c>
      <c r="B5591" t="s">
        <v>16745</v>
      </c>
      <c r="C5591" t="s">
        <v>16745</v>
      </c>
      <c r="D5591" t="str">
        <f>HYPERLINK("https://zfin.org/ZDB-GENE-050208-794")</f>
        <v>https://zfin.org/ZDB-GENE-050208-794</v>
      </c>
      <c r="E5591" t="s">
        <v>16746</v>
      </c>
    </row>
    <row r="5592" spans="1:5" x14ac:dyDescent="0.2">
      <c r="A5592" t="s">
        <v>16747</v>
      </c>
      <c r="B5592" t="s">
        <v>16748</v>
      </c>
      <c r="C5592" t="s">
        <v>16748</v>
      </c>
      <c r="D5592" t="str">
        <f>HYPERLINK("https://zfin.org/ZDB-GENE-051120-111")</f>
        <v>https://zfin.org/ZDB-GENE-051120-111</v>
      </c>
      <c r="E5592" t="s">
        <v>16749</v>
      </c>
    </row>
    <row r="5593" spans="1:5" x14ac:dyDescent="0.2">
      <c r="A5593" t="s">
        <v>16750</v>
      </c>
      <c r="B5593" t="s">
        <v>16751</v>
      </c>
      <c r="C5593" t="s">
        <v>16751</v>
      </c>
      <c r="D5593" t="str">
        <f>HYPERLINK("https://zfin.org/ZDB-GENE-000112-47")</f>
        <v>https://zfin.org/ZDB-GENE-000112-47</v>
      </c>
      <c r="E5593" t="s">
        <v>16752</v>
      </c>
    </row>
    <row r="5594" spans="1:5" x14ac:dyDescent="0.2">
      <c r="A5594" t="s">
        <v>16753</v>
      </c>
      <c r="B5594" t="s">
        <v>16754</v>
      </c>
      <c r="C5594" t="s">
        <v>16754</v>
      </c>
      <c r="D5594" t="str">
        <f>HYPERLINK("https://zfin.org/ZDB-GENE-071004-85")</f>
        <v>https://zfin.org/ZDB-GENE-071004-85</v>
      </c>
      <c r="E5594" t="s">
        <v>16755</v>
      </c>
    </row>
    <row r="5595" spans="1:5" x14ac:dyDescent="0.2">
      <c r="A5595" t="s">
        <v>16756</v>
      </c>
      <c r="B5595" t="s">
        <v>16757</v>
      </c>
      <c r="C5595" t="s">
        <v>16757</v>
      </c>
      <c r="D5595" t="str">
        <f>HYPERLINK("https://zfin.org/ZDB-GENE-060526-263")</f>
        <v>https://zfin.org/ZDB-GENE-060526-263</v>
      </c>
      <c r="E5595" t="s">
        <v>16758</v>
      </c>
    </row>
    <row r="5596" spans="1:5" x14ac:dyDescent="0.2">
      <c r="A5596" t="s">
        <v>16759</v>
      </c>
      <c r="B5596" t="s">
        <v>16760</v>
      </c>
      <c r="C5596" t="s">
        <v>16760</v>
      </c>
      <c r="D5596" t="str">
        <f>HYPERLINK("https://zfin.org/ZDB-GENE-070410-18")</f>
        <v>https://zfin.org/ZDB-GENE-070410-18</v>
      </c>
      <c r="E5596" t="s">
        <v>16761</v>
      </c>
    </row>
    <row r="5597" spans="1:5" x14ac:dyDescent="0.2">
      <c r="A5597" t="s">
        <v>16762</v>
      </c>
      <c r="B5597" t="s">
        <v>16763</v>
      </c>
      <c r="C5597" t="s">
        <v>16763</v>
      </c>
      <c r="D5597" t="str">
        <f>HYPERLINK("https://zfin.org/ZDB-GENE-061215-74")</f>
        <v>https://zfin.org/ZDB-GENE-061215-74</v>
      </c>
      <c r="E5597" t="s">
        <v>16764</v>
      </c>
    </row>
    <row r="5598" spans="1:5" x14ac:dyDescent="0.2">
      <c r="A5598" t="s">
        <v>16765</v>
      </c>
      <c r="B5598" t="s">
        <v>16766</v>
      </c>
      <c r="C5598" t="s">
        <v>16766</v>
      </c>
      <c r="D5598" t="str">
        <f>HYPERLINK("https://zfin.org/ZDB-GENE-030131-3689")</f>
        <v>https://zfin.org/ZDB-GENE-030131-3689</v>
      </c>
      <c r="E5598" t="s">
        <v>16767</v>
      </c>
    </row>
    <row r="5599" spans="1:5" x14ac:dyDescent="0.2">
      <c r="A5599" t="s">
        <v>16768</v>
      </c>
      <c r="B5599" t="s">
        <v>16769</v>
      </c>
      <c r="C5599" t="s">
        <v>16769</v>
      </c>
      <c r="D5599" t="str">
        <f>HYPERLINK("https://zfin.org/ZDB-GENE-040426-737")</f>
        <v>https://zfin.org/ZDB-GENE-040426-737</v>
      </c>
      <c r="E5599" t="s">
        <v>16770</v>
      </c>
    </row>
    <row r="5600" spans="1:5" x14ac:dyDescent="0.2">
      <c r="A5600" t="s">
        <v>16771</v>
      </c>
      <c r="B5600" t="s">
        <v>16772</v>
      </c>
      <c r="C5600" t="s">
        <v>16772</v>
      </c>
      <c r="D5600" t="str">
        <f>HYPERLINK("https://zfin.org/ZDB-GENE-041217-22")</f>
        <v>https://zfin.org/ZDB-GENE-041217-22</v>
      </c>
      <c r="E5600" t="s">
        <v>16773</v>
      </c>
    </row>
    <row r="5601" spans="1:5" x14ac:dyDescent="0.2">
      <c r="A5601" t="s">
        <v>16774</v>
      </c>
      <c r="B5601" t="s">
        <v>16775</v>
      </c>
      <c r="C5601" t="s">
        <v>16775</v>
      </c>
      <c r="D5601" t="str">
        <f>HYPERLINK("https://zfin.org/ZDB-GENE-030131-1515")</f>
        <v>https://zfin.org/ZDB-GENE-030131-1515</v>
      </c>
      <c r="E5601" t="s">
        <v>16776</v>
      </c>
    </row>
    <row r="5602" spans="1:5" x14ac:dyDescent="0.2">
      <c r="A5602" t="s">
        <v>16777</v>
      </c>
      <c r="B5602" t="s">
        <v>16778</v>
      </c>
      <c r="C5602" t="s">
        <v>16778</v>
      </c>
      <c r="D5602" t="str">
        <f>HYPERLINK("https://zfin.org/ZDB-GENE-030131-6523")</f>
        <v>https://zfin.org/ZDB-GENE-030131-6523</v>
      </c>
      <c r="E5602" t="s">
        <v>16779</v>
      </c>
    </row>
    <row r="5603" spans="1:5" x14ac:dyDescent="0.2">
      <c r="A5603" t="s">
        <v>16780</v>
      </c>
      <c r="B5603" t="s">
        <v>16781</v>
      </c>
      <c r="C5603" t="s">
        <v>16781</v>
      </c>
      <c r="D5603" t="str">
        <f>HYPERLINK("https://zfin.org/ZDB-GENE-021231-3")</f>
        <v>https://zfin.org/ZDB-GENE-021231-3</v>
      </c>
      <c r="E5603" t="s">
        <v>16782</v>
      </c>
    </row>
    <row r="5604" spans="1:5" x14ac:dyDescent="0.2">
      <c r="A5604" t="s">
        <v>16783</v>
      </c>
      <c r="B5604" t="s">
        <v>16784</v>
      </c>
      <c r="C5604" t="s">
        <v>16784</v>
      </c>
      <c r="D5604" t="str">
        <f>HYPERLINK("https://zfin.org/ZDB-GENE-120215-101")</f>
        <v>https://zfin.org/ZDB-GENE-120215-101</v>
      </c>
      <c r="E5604" t="s">
        <v>16785</v>
      </c>
    </row>
    <row r="5605" spans="1:5" x14ac:dyDescent="0.2">
      <c r="A5605" t="s">
        <v>16786</v>
      </c>
      <c r="B5605" t="s">
        <v>16787</v>
      </c>
      <c r="C5605" t="s">
        <v>16787</v>
      </c>
      <c r="D5605" t="str">
        <f>HYPERLINK("https://zfin.org/ZDB-GENE-030131-9102")</f>
        <v>https://zfin.org/ZDB-GENE-030131-9102</v>
      </c>
      <c r="E5605" t="s">
        <v>16788</v>
      </c>
    </row>
    <row r="5606" spans="1:5" x14ac:dyDescent="0.2">
      <c r="A5606" t="s">
        <v>16789</v>
      </c>
      <c r="B5606" t="s">
        <v>16790</v>
      </c>
      <c r="C5606" t="s">
        <v>16790</v>
      </c>
      <c r="D5606" t="str">
        <f>HYPERLINK("https://zfin.org/ZDB-GENE-030131-2229")</f>
        <v>https://zfin.org/ZDB-GENE-030131-2229</v>
      </c>
      <c r="E5606" t="s">
        <v>16791</v>
      </c>
    </row>
    <row r="5607" spans="1:5" x14ac:dyDescent="0.2">
      <c r="A5607" t="s">
        <v>16792</v>
      </c>
      <c r="B5607" t="s">
        <v>16793</v>
      </c>
      <c r="C5607" t="s">
        <v>16793</v>
      </c>
      <c r="D5607" t="str">
        <f>HYPERLINK("https://zfin.org/ZDB-GENE-070628-2")</f>
        <v>https://zfin.org/ZDB-GENE-070628-2</v>
      </c>
      <c r="E5607" t="s">
        <v>16794</v>
      </c>
    </row>
    <row r="5608" spans="1:5" x14ac:dyDescent="0.2">
      <c r="A5608" t="s">
        <v>16795</v>
      </c>
      <c r="B5608" t="s">
        <v>16796</v>
      </c>
      <c r="C5608" t="s">
        <v>16796</v>
      </c>
      <c r="D5608" t="str">
        <f>HYPERLINK("https://zfin.org/ZDB-GENE-051120-63")</f>
        <v>https://zfin.org/ZDB-GENE-051120-63</v>
      </c>
      <c r="E5608" t="s">
        <v>16797</v>
      </c>
    </row>
    <row r="5609" spans="1:5" x14ac:dyDescent="0.2">
      <c r="A5609" t="s">
        <v>16798</v>
      </c>
      <c r="B5609" t="s">
        <v>16799</v>
      </c>
      <c r="C5609" t="s">
        <v>16799</v>
      </c>
      <c r="D5609" t="str">
        <f>HYPERLINK("https://zfin.org/ZDB-GENE-050208-787")</f>
        <v>https://zfin.org/ZDB-GENE-050208-787</v>
      </c>
      <c r="E5609" t="s">
        <v>16800</v>
      </c>
    </row>
    <row r="5610" spans="1:5" x14ac:dyDescent="0.2">
      <c r="A5610" t="s">
        <v>16801</v>
      </c>
      <c r="B5610" t="s">
        <v>16802</v>
      </c>
      <c r="C5610" t="s">
        <v>16802</v>
      </c>
      <c r="D5610" t="str">
        <f>HYPERLINK("https://zfin.org/ZDB-GENE-060419-1")</f>
        <v>https://zfin.org/ZDB-GENE-060419-1</v>
      </c>
      <c r="E5610" t="s">
        <v>16803</v>
      </c>
    </row>
    <row r="5611" spans="1:5" x14ac:dyDescent="0.2">
      <c r="A5611" t="s">
        <v>16804</v>
      </c>
      <c r="B5611" t="s">
        <v>16805</v>
      </c>
      <c r="C5611" t="s">
        <v>16805</v>
      </c>
      <c r="D5611" t="str">
        <f>HYPERLINK("https://zfin.org/ZDB-GENE-080229-3")</f>
        <v>https://zfin.org/ZDB-GENE-080229-3</v>
      </c>
      <c r="E5611" t="s">
        <v>16806</v>
      </c>
    </row>
    <row r="5612" spans="1:5" x14ac:dyDescent="0.2">
      <c r="A5612" t="s">
        <v>16807</v>
      </c>
      <c r="B5612" t="s">
        <v>16808</v>
      </c>
      <c r="C5612" t="s">
        <v>16808</v>
      </c>
      <c r="D5612" t="str">
        <f>HYPERLINK("https://zfin.org/ZDB-GENE-070928-9")</f>
        <v>https://zfin.org/ZDB-GENE-070928-9</v>
      </c>
      <c r="E5612" t="s">
        <v>16809</v>
      </c>
    </row>
    <row r="5613" spans="1:5" x14ac:dyDescent="0.2">
      <c r="A5613" t="s">
        <v>16810</v>
      </c>
      <c r="B5613" t="s">
        <v>16811</v>
      </c>
      <c r="C5613" t="s">
        <v>16811</v>
      </c>
      <c r="D5613" t="str">
        <f>HYPERLINK("https://zfin.org/ZDB-GENE-040718-370")</f>
        <v>https://zfin.org/ZDB-GENE-040718-370</v>
      </c>
      <c r="E5613" t="s">
        <v>16812</v>
      </c>
    </row>
    <row r="5614" spans="1:5" x14ac:dyDescent="0.2">
      <c r="A5614" t="s">
        <v>16813</v>
      </c>
      <c r="B5614" t="s">
        <v>16814</v>
      </c>
      <c r="C5614" t="s">
        <v>16814</v>
      </c>
      <c r="D5614" t="str">
        <f>HYPERLINK("https://zfin.org/ZDB-GENE-091204-448")</f>
        <v>https://zfin.org/ZDB-GENE-091204-448</v>
      </c>
      <c r="E5614" t="s">
        <v>16815</v>
      </c>
    </row>
    <row r="5615" spans="1:5" x14ac:dyDescent="0.2">
      <c r="A5615" t="s">
        <v>16816</v>
      </c>
      <c r="B5615" t="s">
        <v>16817</v>
      </c>
      <c r="C5615" t="s">
        <v>16817</v>
      </c>
      <c r="D5615" t="str">
        <f>HYPERLINK("https://zfin.org/ZDB-GENE-030131-492")</f>
        <v>https://zfin.org/ZDB-GENE-030131-492</v>
      </c>
      <c r="E5615" t="s">
        <v>16818</v>
      </c>
    </row>
    <row r="5616" spans="1:5" x14ac:dyDescent="0.2">
      <c r="A5616" t="s">
        <v>16819</v>
      </c>
      <c r="B5616" t="s">
        <v>16820</v>
      </c>
      <c r="C5616" t="s">
        <v>16820</v>
      </c>
      <c r="D5616" t="str">
        <f>HYPERLINK("https://zfin.org/ZDB-GENE-120215-232")</f>
        <v>https://zfin.org/ZDB-GENE-120215-232</v>
      </c>
      <c r="E5616" t="s">
        <v>16821</v>
      </c>
    </row>
    <row r="5617" spans="1:5" x14ac:dyDescent="0.2">
      <c r="A5617" t="s">
        <v>16822</v>
      </c>
      <c r="B5617" t="s">
        <v>16823</v>
      </c>
      <c r="C5617" t="s">
        <v>16823</v>
      </c>
      <c r="D5617" t="str">
        <f>HYPERLINK("https://zfin.org/ZDB-GENE-030131-6448")</f>
        <v>https://zfin.org/ZDB-GENE-030131-6448</v>
      </c>
      <c r="E5617" t="s">
        <v>16824</v>
      </c>
    </row>
    <row r="5618" spans="1:5" x14ac:dyDescent="0.2">
      <c r="A5618" t="s">
        <v>16825</v>
      </c>
      <c r="B5618" t="s">
        <v>16826</v>
      </c>
      <c r="C5618" t="s">
        <v>16826</v>
      </c>
      <c r="D5618" t="str">
        <f>HYPERLINK("https://zfin.org/ZDB-GENE-040426-981")</f>
        <v>https://zfin.org/ZDB-GENE-040426-981</v>
      </c>
      <c r="E5618" t="s">
        <v>16827</v>
      </c>
    </row>
    <row r="5619" spans="1:5" x14ac:dyDescent="0.2">
      <c r="A5619" t="s">
        <v>16828</v>
      </c>
      <c r="B5619" t="s">
        <v>16829</v>
      </c>
      <c r="C5619" t="s">
        <v>16829</v>
      </c>
      <c r="D5619" t="str">
        <f>HYPERLINK("https://zfin.org/ZDB-GENE-120709-11")</f>
        <v>https://zfin.org/ZDB-GENE-120709-11</v>
      </c>
      <c r="E5619" t="s">
        <v>16830</v>
      </c>
    </row>
    <row r="5620" spans="1:5" x14ac:dyDescent="0.2">
      <c r="A5620" t="s">
        <v>16831</v>
      </c>
      <c r="B5620" t="s">
        <v>16832</v>
      </c>
      <c r="C5620" t="s">
        <v>16832</v>
      </c>
      <c r="D5620" t="str">
        <f>HYPERLINK("https://zfin.org/ZDB-GENE-040426-1935")</f>
        <v>https://zfin.org/ZDB-GENE-040426-1935</v>
      </c>
      <c r="E5620" t="s">
        <v>16833</v>
      </c>
    </row>
    <row r="5621" spans="1:5" x14ac:dyDescent="0.2">
      <c r="A5621" t="s">
        <v>16834</v>
      </c>
      <c r="B5621" t="s">
        <v>16835</v>
      </c>
      <c r="C5621" t="s">
        <v>16835</v>
      </c>
      <c r="D5621" t="str">
        <f>HYPERLINK("https://zfin.org/ZDB-GENE-060825-353")</f>
        <v>https://zfin.org/ZDB-GENE-060825-353</v>
      </c>
      <c r="E5621" t="s">
        <v>16836</v>
      </c>
    </row>
    <row r="5622" spans="1:5" x14ac:dyDescent="0.2">
      <c r="A5622" t="s">
        <v>16837</v>
      </c>
      <c r="B5622" t="s">
        <v>16838</v>
      </c>
      <c r="C5622" t="s">
        <v>16838</v>
      </c>
      <c r="D5622" t="str">
        <f>HYPERLINK("https://zfin.org/ZDB-GENE-030131-7677")</f>
        <v>https://zfin.org/ZDB-GENE-030131-7677</v>
      </c>
      <c r="E5622" t="s">
        <v>16839</v>
      </c>
    </row>
    <row r="5623" spans="1:5" x14ac:dyDescent="0.2">
      <c r="A5623" t="s">
        <v>16840</v>
      </c>
      <c r="B5623" t="s">
        <v>16841</v>
      </c>
      <c r="C5623" t="s">
        <v>16841</v>
      </c>
      <c r="D5623" t="str">
        <f>HYPERLINK("https://zfin.org/ZDB-GENE-060503-528")</f>
        <v>https://zfin.org/ZDB-GENE-060503-528</v>
      </c>
      <c r="E5623" t="s">
        <v>16842</v>
      </c>
    </row>
    <row r="5624" spans="1:5" x14ac:dyDescent="0.2">
      <c r="A5624" t="s">
        <v>16843</v>
      </c>
      <c r="B5624" t="s">
        <v>16844</v>
      </c>
      <c r="C5624" t="s">
        <v>16844</v>
      </c>
      <c r="D5624" t="str">
        <f>HYPERLINK("https://zfin.org/ZDB-GENE-100922-69")</f>
        <v>https://zfin.org/ZDB-GENE-100922-69</v>
      </c>
      <c r="E5624" t="s">
        <v>16845</v>
      </c>
    </row>
    <row r="5625" spans="1:5" x14ac:dyDescent="0.2">
      <c r="A5625" t="s">
        <v>16846</v>
      </c>
      <c r="B5625" t="s">
        <v>16847</v>
      </c>
      <c r="C5625" t="s">
        <v>16847</v>
      </c>
      <c r="D5625" t="str">
        <f>HYPERLINK("https://zfin.org/ZDB-GENE-120215-229")</f>
        <v>https://zfin.org/ZDB-GENE-120215-229</v>
      </c>
      <c r="E5625" t="s">
        <v>16848</v>
      </c>
    </row>
    <row r="5626" spans="1:5" x14ac:dyDescent="0.2">
      <c r="A5626" t="s">
        <v>16849</v>
      </c>
      <c r="B5626" t="s">
        <v>16850</v>
      </c>
      <c r="C5626" t="s">
        <v>16850</v>
      </c>
      <c r="D5626" t="str">
        <f>HYPERLINK("https://zfin.org/ZDB-GENE-980526-55")</f>
        <v>https://zfin.org/ZDB-GENE-980526-55</v>
      </c>
      <c r="E5626" t="s">
        <v>16851</v>
      </c>
    </row>
    <row r="5627" spans="1:5" x14ac:dyDescent="0.2">
      <c r="A5627" t="s">
        <v>16852</v>
      </c>
      <c r="B5627" t="s">
        <v>16853</v>
      </c>
      <c r="C5627" t="s">
        <v>16853</v>
      </c>
      <c r="D5627" t="str">
        <f>HYPERLINK("https://zfin.org/ZDB-GENE-030131-8455")</f>
        <v>https://zfin.org/ZDB-GENE-030131-8455</v>
      </c>
      <c r="E5627" t="s">
        <v>16854</v>
      </c>
    </row>
    <row r="5628" spans="1:5" x14ac:dyDescent="0.2">
      <c r="A5628" t="s">
        <v>16855</v>
      </c>
      <c r="B5628" t="s">
        <v>16856</v>
      </c>
      <c r="C5628" t="s">
        <v>16856</v>
      </c>
      <c r="D5628" t="str">
        <f>HYPERLINK("https://zfin.org/ZDB-GENE-060503-288")</f>
        <v>https://zfin.org/ZDB-GENE-060503-288</v>
      </c>
      <c r="E5628" t="s">
        <v>16857</v>
      </c>
    </row>
    <row r="5629" spans="1:5" x14ac:dyDescent="0.2">
      <c r="A5629" t="s">
        <v>16858</v>
      </c>
      <c r="B5629" t="s">
        <v>16859</v>
      </c>
      <c r="C5629" t="s">
        <v>16859</v>
      </c>
      <c r="D5629" t="str">
        <f>HYPERLINK("https://zfin.org/ZDB-GENE-030616-408")</f>
        <v>https://zfin.org/ZDB-GENE-030616-408</v>
      </c>
      <c r="E5629" t="s">
        <v>16860</v>
      </c>
    </row>
    <row r="5630" spans="1:5" x14ac:dyDescent="0.2">
      <c r="A5630" t="s">
        <v>16861</v>
      </c>
      <c r="B5630" t="s">
        <v>16862</v>
      </c>
      <c r="C5630" t="s">
        <v>16862</v>
      </c>
      <c r="D5630" t="str">
        <f>HYPERLINK("https://zfin.org/ZDB-GENE-031222-1")</f>
        <v>https://zfin.org/ZDB-GENE-031222-1</v>
      </c>
      <c r="E5630" t="s">
        <v>16863</v>
      </c>
    </row>
    <row r="5631" spans="1:5" x14ac:dyDescent="0.2">
      <c r="A5631" t="s">
        <v>16864</v>
      </c>
      <c r="B5631" t="s">
        <v>16865</v>
      </c>
      <c r="C5631" t="s">
        <v>16865</v>
      </c>
      <c r="D5631" t="str">
        <f>HYPERLINK("https://zfin.org/ZDB-GENE-030131-4343")</f>
        <v>https://zfin.org/ZDB-GENE-030131-4343</v>
      </c>
      <c r="E5631" t="s">
        <v>16866</v>
      </c>
    </row>
    <row r="5632" spans="1:5" x14ac:dyDescent="0.2">
      <c r="A5632" t="s">
        <v>16867</v>
      </c>
      <c r="B5632" t="s">
        <v>16868</v>
      </c>
      <c r="C5632" t="s">
        <v>16868</v>
      </c>
      <c r="D5632" t="str">
        <f>HYPERLINK("https://zfin.org/ZDB-GENE-061215-104")</f>
        <v>https://zfin.org/ZDB-GENE-061215-104</v>
      </c>
      <c r="E5632" t="s">
        <v>16869</v>
      </c>
    </row>
    <row r="5633" spans="1:5" x14ac:dyDescent="0.2">
      <c r="A5633" t="s">
        <v>16870</v>
      </c>
      <c r="B5633" t="s">
        <v>16871</v>
      </c>
      <c r="C5633" t="s">
        <v>16871</v>
      </c>
      <c r="D5633" t="str">
        <f>HYPERLINK("https://zfin.org/ZDB-GENE-030131-2602")</f>
        <v>https://zfin.org/ZDB-GENE-030131-2602</v>
      </c>
      <c r="E5633" t="s">
        <v>16872</v>
      </c>
    </row>
    <row r="5634" spans="1:5" x14ac:dyDescent="0.2">
      <c r="A5634" t="s">
        <v>16873</v>
      </c>
      <c r="B5634" t="s">
        <v>16874</v>
      </c>
      <c r="C5634" t="s">
        <v>16874</v>
      </c>
      <c r="D5634" t="str">
        <f>HYPERLINK("https://zfin.org/ZDB-GENE-040123-1")</f>
        <v>https://zfin.org/ZDB-GENE-040123-1</v>
      </c>
      <c r="E5634" t="s">
        <v>16875</v>
      </c>
    </row>
    <row r="5635" spans="1:5" x14ac:dyDescent="0.2">
      <c r="A5635" t="s">
        <v>16876</v>
      </c>
      <c r="B5635" t="s">
        <v>16877</v>
      </c>
      <c r="C5635" t="s">
        <v>16877</v>
      </c>
      <c r="D5635" t="str">
        <f>HYPERLINK("https://zfin.org/ZDB-GENE-141212-360")</f>
        <v>https://zfin.org/ZDB-GENE-141212-360</v>
      </c>
      <c r="E5635" t="s">
        <v>16878</v>
      </c>
    </row>
    <row r="5636" spans="1:5" x14ac:dyDescent="0.2">
      <c r="A5636" t="s">
        <v>16879</v>
      </c>
      <c r="B5636" t="s">
        <v>16880</v>
      </c>
      <c r="C5636" t="s">
        <v>16880</v>
      </c>
      <c r="D5636" t="str">
        <f>HYPERLINK("https://zfin.org/ZDB-GENE-081022-49")</f>
        <v>https://zfin.org/ZDB-GENE-081022-49</v>
      </c>
      <c r="E5636" t="s">
        <v>16881</v>
      </c>
    </row>
    <row r="5637" spans="1:5" x14ac:dyDescent="0.2">
      <c r="A5637" t="s">
        <v>16882</v>
      </c>
      <c r="B5637" t="s">
        <v>16883</v>
      </c>
      <c r="C5637" t="s">
        <v>16883</v>
      </c>
      <c r="D5637" t="str">
        <f>HYPERLINK("https://zfin.org/ZDB-GENE-030131-591")</f>
        <v>https://zfin.org/ZDB-GENE-030131-591</v>
      </c>
      <c r="E5637" t="s">
        <v>16884</v>
      </c>
    </row>
    <row r="5638" spans="1:5" x14ac:dyDescent="0.2">
      <c r="A5638" t="s">
        <v>16885</v>
      </c>
      <c r="B5638" t="s">
        <v>16886</v>
      </c>
      <c r="C5638" t="s">
        <v>16886</v>
      </c>
      <c r="D5638" t="str">
        <f>HYPERLINK("https://zfin.org/ZDB-GENE-041111-243")</f>
        <v>https://zfin.org/ZDB-GENE-041111-243</v>
      </c>
      <c r="E5638" t="s">
        <v>16887</v>
      </c>
    </row>
    <row r="5639" spans="1:5" x14ac:dyDescent="0.2">
      <c r="A5639" t="s">
        <v>16888</v>
      </c>
      <c r="B5639" t="s">
        <v>16889</v>
      </c>
      <c r="C5639" t="s">
        <v>16889</v>
      </c>
      <c r="D5639" t="str">
        <f>HYPERLINK("https://zfin.org/ZDB-GENE-111129-1")</f>
        <v>https://zfin.org/ZDB-GENE-111129-1</v>
      </c>
      <c r="E5639" t="s">
        <v>16890</v>
      </c>
    </row>
    <row r="5640" spans="1:5" x14ac:dyDescent="0.2">
      <c r="A5640" t="s">
        <v>16891</v>
      </c>
      <c r="B5640" t="s">
        <v>16892</v>
      </c>
      <c r="C5640" t="s">
        <v>16892</v>
      </c>
      <c r="D5640" t="str">
        <f>HYPERLINK("https://zfin.org/ZDB-GENE-080409-2")</f>
        <v>https://zfin.org/ZDB-GENE-080409-2</v>
      </c>
      <c r="E5640" t="s">
        <v>16893</v>
      </c>
    </row>
    <row r="5641" spans="1:5" x14ac:dyDescent="0.2">
      <c r="A5641" t="s">
        <v>16894</v>
      </c>
      <c r="B5641" t="s">
        <v>16895</v>
      </c>
      <c r="C5641" t="s">
        <v>16895</v>
      </c>
      <c r="D5641" t="str">
        <f>HYPERLINK("https://zfin.org/ZDB-GENE-051113-60")</f>
        <v>https://zfin.org/ZDB-GENE-051113-60</v>
      </c>
      <c r="E5641" t="s">
        <v>16896</v>
      </c>
    </row>
    <row r="5642" spans="1:5" x14ac:dyDescent="0.2">
      <c r="A5642" t="s">
        <v>16897</v>
      </c>
      <c r="B5642" t="s">
        <v>16898</v>
      </c>
      <c r="C5642" t="s">
        <v>16898</v>
      </c>
      <c r="D5642" t="str">
        <f>HYPERLINK("https://zfin.org/ZDB-GENE-131127-171")</f>
        <v>https://zfin.org/ZDB-GENE-131127-171</v>
      </c>
      <c r="E5642" t="s">
        <v>16899</v>
      </c>
    </row>
    <row r="5643" spans="1:5" x14ac:dyDescent="0.2">
      <c r="A5643" t="s">
        <v>16900</v>
      </c>
      <c r="B5643" t="s">
        <v>16901</v>
      </c>
      <c r="C5643" t="s">
        <v>16901</v>
      </c>
      <c r="D5643" t="str">
        <f>HYPERLINK("https://zfin.org/ZDB-GENE-061013-119")</f>
        <v>https://zfin.org/ZDB-GENE-061013-119</v>
      </c>
      <c r="E5643" t="s">
        <v>16902</v>
      </c>
    </row>
    <row r="5644" spans="1:5" x14ac:dyDescent="0.2">
      <c r="A5644" t="s">
        <v>16903</v>
      </c>
      <c r="B5644" t="s">
        <v>16904</v>
      </c>
      <c r="C5644" t="s">
        <v>16904</v>
      </c>
      <c r="D5644" t="str">
        <f>HYPERLINK("https://zfin.org/ZDB-GENE-090313-192")</f>
        <v>https://zfin.org/ZDB-GENE-090313-192</v>
      </c>
      <c r="E5644" t="s">
        <v>16905</v>
      </c>
    </row>
    <row r="5645" spans="1:5" x14ac:dyDescent="0.2">
      <c r="A5645" t="s">
        <v>16906</v>
      </c>
      <c r="B5645" t="s">
        <v>16907</v>
      </c>
      <c r="C5645" t="s">
        <v>16907</v>
      </c>
      <c r="D5645" t="str">
        <f>HYPERLINK("https://zfin.org/ZDB-GENE-110913-13")</f>
        <v>https://zfin.org/ZDB-GENE-110913-13</v>
      </c>
      <c r="E5645" t="s">
        <v>16908</v>
      </c>
    </row>
    <row r="5646" spans="1:5" x14ac:dyDescent="0.2">
      <c r="A5646" t="s">
        <v>16909</v>
      </c>
      <c r="B5646" t="s">
        <v>16910</v>
      </c>
      <c r="C5646" t="s">
        <v>16910</v>
      </c>
      <c r="D5646" t="str">
        <f>HYPERLINK("https://zfin.org/ZDB-GENE-051005-2")</f>
        <v>https://zfin.org/ZDB-GENE-051005-2</v>
      </c>
      <c r="E5646" t="s">
        <v>16911</v>
      </c>
    </row>
    <row r="5647" spans="1:5" x14ac:dyDescent="0.2">
      <c r="A5647" t="s">
        <v>16912</v>
      </c>
      <c r="B5647" t="s">
        <v>16913</v>
      </c>
      <c r="C5647" t="s">
        <v>16913</v>
      </c>
      <c r="D5647" t="str">
        <f>HYPERLINK("https://zfin.org/ZDB-GENE-050522-352")</f>
        <v>https://zfin.org/ZDB-GENE-050522-352</v>
      </c>
      <c r="E5647" t="s">
        <v>16914</v>
      </c>
    </row>
    <row r="5648" spans="1:5" x14ac:dyDescent="0.2">
      <c r="A5648" t="s">
        <v>16915</v>
      </c>
      <c r="B5648" t="s">
        <v>16916</v>
      </c>
      <c r="C5648" t="s">
        <v>16916</v>
      </c>
      <c r="D5648" t="str">
        <f>HYPERLINK("https://zfin.org/ZDB-GENE-040426-985")</f>
        <v>https://zfin.org/ZDB-GENE-040426-985</v>
      </c>
      <c r="E5648" t="s">
        <v>16917</v>
      </c>
    </row>
    <row r="5649" spans="1:5" x14ac:dyDescent="0.2">
      <c r="A5649" t="s">
        <v>16918</v>
      </c>
      <c r="B5649" t="s">
        <v>16919</v>
      </c>
      <c r="C5649" t="s">
        <v>16919</v>
      </c>
      <c r="D5649" t="str">
        <f>HYPERLINK("https://zfin.org/ZDB-GENE-030131-5427")</f>
        <v>https://zfin.org/ZDB-GENE-030131-5427</v>
      </c>
      <c r="E5649" t="s">
        <v>16920</v>
      </c>
    </row>
    <row r="5650" spans="1:5" x14ac:dyDescent="0.2">
      <c r="A5650" t="s">
        <v>16921</v>
      </c>
      <c r="B5650" t="s">
        <v>16922</v>
      </c>
      <c r="C5650" t="s">
        <v>16922</v>
      </c>
      <c r="D5650" t="str">
        <f>HYPERLINK("https://zfin.org/ZDB-GENE-090612-1")</f>
        <v>https://zfin.org/ZDB-GENE-090612-1</v>
      </c>
      <c r="E5650" t="s">
        <v>16923</v>
      </c>
    </row>
    <row r="5651" spans="1:5" x14ac:dyDescent="0.2">
      <c r="A5651" t="s">
        <v>16924</v>
      </c>
      <c r="B5651" t="s">
        <v>16925</v>
      </c>
      <c r="C5651" t="s">
        <v>16925</v>
      </c>
      <c r="D5651" t="str">
        <f>HYPERLINK("https://zfin.org/ZDB-GENE-030131-4286")</f>
        <v>https://zfin.org/ZDB-GENE-030131-4286</v>
      </c>
      <c r="E5651" t="s">
        <v>16926</v>
      </c>
    </row>
    <row r="5652" spans="1:5" x14ac:dyDescent="0.2">
      <c r="A5652" t="s">
        <v>16927</v>
      </c>
      <c r="B5652" t="s">
        <v>16928</v>
      </c>
      <c r="C5652" t="s">
        <v>16928</v>
      </c>
      <c r="D5652" t="str">
        <f>HYPERLINK("https://zfin.org/ZDB-GENE-040426-1814")</f>
        <v>https://zfin.org/ZDB-GENE-040426-1814</v>
      </c>
      <c r="E5652" t="s">
        <v>16929</v>
      </c>
    </row>
    <row r="5653" spans="1:5" x14ac:dyDescent="0.2">
      <c r="A5653" t="s">
        <v>16930</v>
      </c>
      <c r="B5653" t="s">
        <v>16931</v>
      </c>
      <c r="C5653" t="s">
        <v>16931</v>
      </c>
      <c r="D5653" t="str">
        <f>HYPERLINK("https://zfin.org/ZDB-GENE-000616-3")</f>
        <v>https://zfin.org/ZDB-GENE-000616-3</v>
      </c>
      <c r="E5653" t="s">
        <v>16932</v>
      </c>
    </row>
    <row r="5654" spans="1:5" x14ac:dyDescent="0.2">
      <c r="A5654" t="s">
        <v>16933</v>
      </c>
      <c r="B5654" t="s">
        <v>16934</v>
      </c>
      <c r="C5654" t="s">
        <v>16934</v>
      </c>
      <c r="D5654" t="str">
        <f>HYPERLINK("https://zfin.org/ZDB-GENE-141222-86")</f>
        <v>https://zfin.org/ZDB-GENE-141222-86</v>
      </c>
      <c r="E5654" t="s">
        <v>16935</v>
      </c>
    </row>
    <row r="5655" spans="1:5" x14ac:dyDescent="0.2">
      <c r="A5655" t="s">
        <v>16936</v>
      </c>
      <c r="B5655" t="s">
        <v>16937</v>
      </c>
      <c r="C5655" t="s">
        <v>16937</v>
      </c>
      <c r="D5655" t="str">
        <f>HYPERLINK("https://zfin.org/ZDB-GENE-050208-552")</f>
        <v>https://zfin.org/ZDB-GENE-050208-552</v>
      </c>
      <c r="E5655" t="s">
        <v>16938</v>
      </c>
    </row>
    <row r="5656" spans="1:5" x14ac:dyDescent="0.2">
      <c r="A5656" t="s">
        <v>16939</v>
      </c>
      <c r="B5656" t="s">
        <v>625</v>
      </c>
      <c r="C5656" t="s">
        <v>16940</v>
      </c>
      <c r="D5656" t="str">
        <f>HYPERLINK("https://zfin.org/ZDB-GENE-050320-24")</f>
        <v>https://zfin.org/ZDB-GENE-050320-24</v>
      </c>
      <c r="E5656" t="s">
        <v>16941</v>
      </c>
    </row>
    <row r="5657" spans="1:5" x14ac:dyDescent="0.2">
      <c r="A5657" t="s">
        <v>16942</v>
      </c>
      <c r="B5657" t="s">
        <v>16943</v>
      </c>
      <c r="C5657" t="s">
        <v>16943</v>
      </c>
      <c r="D5657" t="str">
        <f>HYPERLINK("https://zfin.org/ZDB-GENE-050913-125")</f>
        <v>https://zfin.org/ZDB-GENE-050913-125</v>
      </c>
      <c r="E5657" t="s">
        <v>16944</v>
      </c>
    </row>
    <row r="5658" spans="1:5" x14ac:dyDescent="0.2">
      <c r="A5658" t="s">
        <v>16945</v>
      </c>
      <c r="B5658" t="s">
        <v>16946</v>
      </c>
      <c r="C5658" t="s">
        <v>16946</v>
      </c>
      <c r="D5658" t="str">
        <f>HYPERLINK("https://zfin.org/ZDB-GENE-100629-1")</f>
        <v>https://zfin.org/ZDB-GENE-100629-1</v>
      </c>
      <c r="E5658" t="s">
        <v>16947</v>
      </c>
    </row>
    <row r="5659" spans="1:5" x14ac:dyDescent="0.2">
      <c r="A5659" t="s">
        <v>16948</v>
      </c>
      <c r="B5659" t="s">
        <v>16949</v>
      </c>
      <c r="C5659" t="s">
        <v>16949</v>
      </c>
      <c r="D5659" t="str">
        <f>HYPERLINK("https://zfin.org/ZDB-GENE-041111-53")</f>
        <v>https://zfin.org/ZDB-GENE-041111-53</v>
      </c>
      <c r="E5659" t="s">
        <v>16950</v>
      </c>
    </row>
    <row r="5660" spans="1:5" x14ac:dyDescent="0.2">
      <c r="A5660" t="s">
        <v>16951</v>
      </c>
      <c r="B5660" t="s">
        <v>16952</v>
      </c>
      <c r="C5660" t="s">
        <v>16952</v>
      </c>
      <c r="D5660" t="str">
        <f>HYPERLINK("https://zfin.org/ZDB-GENE-050208-721")</f>
        <v>https://zfin.org/ZDB-GENE-050208-721</v>
      </c>
      <c r="E5660" t="s">
        <v>16953</v>
      </c>
    </row>
    <row r="5661" spans="1:5" x14ac:dyDescent="0.2">
      <c r="A5661" t="s">
        <v>16954</v>
      </c>
      <c r="B5661" t="s">
        <v>16955</v>
      </c>
      <c r="C5661" t="s">
        <v>16955</v>
      </c>
      <c r="D5661" t="str">
        <f>HYPERLINK("https://zfin.org/ZDB-GENE-030219-177")</f>
        <v>https://zfin.org/ZDB-GENE-030219-177</v>
      </c>
      <c r="E5661" t="s">
        <v>16956</v>
      </c>
    </row>
    <row r="5662" spans="1:5" x14ac:dyDescent="0.2">
      <c r="A5662" t="s">
        <v>16957</v>
      </c>
      <c r="B5662" t="s">
        <v>16958</v>
      </c>
      <c r="C5662" t="s">
        <v>16958</v>
      </c>
      <c r="D5662" t="str">
        <f>HYPERLINK("https://zfin.org/ZDB-GENE-060503-785")</f>
        <v>https://zfin.org/ZDB-GENE-060503-785</v>
      </c>
      <c r="E5662" t="s">
        <v>16959</v>
      </c>
    </row>
    <row r="5663" spans="1:5" x14ac:dyDescent="0.2">
      <c r="A5663" t="s">
        <v>16960</v>
      </c>
      <c r="B5663" t="s">
        <v>16961</v>
      </c>
      <c r="C5663" t="s">
        <v>16961</v>
      </c>
      <c r="D5663" t="str">
        <f>HYPERLINK("https://zfin.org/ZDB-GENE-110913-70")</f>
        <v>https://zfin.org/ZDB-GENE-110913-70</v>
      </c>
      <c r="E5663" t="s">
        <v>16962</v>
      </c>
    </row>
    <row r="5664" spans="1:5" x14ac:dyDescent="0.2">
      <c r="A5664" t="s">
        <v>16963</v>
      </c>
      <c r="B5664" t="s">
        <v>16964</v>
      </c>
      <c r="C5664" t="s">
        <v>16964</v>
      </c>
      <c r="D5664" t="str">
        <f>HYPERLINK("https://zfin.org/ZDB-GENE-131120-125")</f>
        <v>https://zfin.org/ZDB-GENE-131120-125</v>
      </c>
      <c r="E5664" t="s">
        <v>16965</v>
      </c>
    </row>
    <row r="5665" spans="1:5" x14ac:dyDescent="0.2">
      <c r="A5665" t="s">
        <v>16966</v>
      </c>
      <c r="B5665" t="s">
        <v>16967</v>
      </c>
      <c r="C5665" t="s">
        <v>16967</v>
      </c>
      <c r="D5665" t="str">
        <f>HYPERLINK("https://zfin.org/ZDB-GENE-071004-83")</f>
        <v>https://zfin.org/ZDB-GENE-071004-83</v>
      </c>
      <c r="E5665" t="s">
        <v>16968</v>
      </c>
    </row>
    <row r="5666" spans="1:5" x14ac:dyDescent="0.2">
      <c r="A5666" t="s">
        <v>16969</v>
      </c>
      <c r="B5666" t="s">
        <v>16970</v>
      </c>
      <c r="C5666" t="s">
        <v>16970</v>
      </c>
      <c r="D5666" t="str">
        <f>HYPERLINK("https://zfin.org/ZDB-GENE-040426-1791")</f>
        <v>https://zfin.org/ZDB-GENE-040426-1791</v>
      </c>
      <c r="E5666" t="s">
        <v>16971</v>
      </c>
    </row>
    <row r="5667" spans="1:5" x14ac:dyDescent="0.2">
      <c r="A5667" t="s">
        <v>16972</v>
      </c>
      <c r="B5667" t="s">
        <v>16973</v>
      </c>
      <c r="C5667" t="s">
        <v>16973</v>
      </c>
      <c r="D5667" t="str">
        <f>HYPERLINK("https://zfin.org/ZDB-GENE-110913-101")</f>
        <v>https://zfin.org/ZDB-GENE-110913-101</v>
      </c>
      <c r="E5667" t="s">
        <v>16974</v>
      </c>
    </row>
    <row r="5668" spans="1:5" x14ac:dyDescent="0.2">
      <c r="A5668" t="s">
        <v>16975</v>
      </c>
      <c r="B5668" t="s">
        <v>16976</v>
      </c>
      <c r="C5668" t="s">
        <v>16976</v>
      </c>
      <c r="D5668" t="str">
        <f>HYPERLINK("https://zfin.org/ZDB-GENE-030219-104")</f>
        <v>https://zfin.org/ZDB-GENE-030219-104</v>
      </c>
      <c r="E5668" t="s">
        <v>16977</v>
      </c>
    </row>
    <row r="5669" spans="1:5" x14ac:dyDescent="0.2">
      <c r="A5669" t="s">
        <v>16978</v>
      </c>
      <c r="B5669" t="s">
        <v>16979</v>
      </c>
      <c r="C5669" t="s">
        <v>16979</v>
      </c>
      <c r="D5669" t="str">
        <f>HYPERLINK("https://zfin.org/ZDB-GENE-040718-234")</f>
        <v>https://zfin.org/ZDB-GENE-040718-234</v>
      </c>
      <c r="E5669" t="s">
        <v>16980</v>
      </c>
    </row>
    <row r="5670" spans="1:5" x14ac:dyDescent="0.2">
      <c r="A5670" t="s">
        <v>16981</v>
      </c>
      <c r="B5670" t="s">
        <v>16982</v>
      </c>
      <c r="C5670" t="s">
        <v>16982</v>
      </c>
      <c r="D5670" t="str">
        <f>HYPERLINK("https://zfin.org/ZDB-GENE-050417-76")</f>
        <v>https://zfin.org/ZDB-GENE-050417-76</v>
      </c>
      <c r="E5670" t="s">
        <v>16983</v>
      </c>
    </row>
    <row r="5671" spans="1:5" x14ac:dyDescent="0.2">
      <c r="A5671" t="s">
        <v>16984</v>
      </c>
      <c r="B5671" t="s">
        <v>16985</v>
      </c>
      <c r="C5671" t="s">
        <v>16985</v>
      </c>
      <c r="D5671" t="str">
        <f>HYPERLINK("https://zfin.org/ZDB-GENE-040405-1")</f>
        <v>https://zfin.org/ZDB-GENE-040405-1</v>
      </c>
      <c r="E5671" t="s">
        <v>16986</v>
      </c>
    </row>
    <row r="5672" spans="1:5" x14ac:dyDescent="0.2">
      <c r="A5672" t="s">
        <v>16987</v>
      </c>
      <c r="B5672" t="s">
        <v>16988</v>
      </c>
      <c r="C5672" t="s">
        <v>16988</v>
      </c>
      <c r="D5672" t="str">
        <f>HYPERLINK("https://zfin.org/ZDB-GENE-160114-55")</f>
        <v>https://zfin.org/ZDB-GENE-160114-55</v>
      </c>
      <c r="E5672" t="s">
        <v>16989</v>
      </c>
    </row>
    <row r="5673" spans="1:5" x14ac:dyDescent="0.2">
      <c r="A5673" t="s">
        <v>16990</v>
      </c>
      <c r="B5673" t="s">
        <v>16991</v>
      </c>
      <c r="C5673" t="s">
        <v>16991</v>
      </c>
      <c r="D5673" t="str">
        <f>HYPERLINK("https://zfin.org/ZDB-GENE-040426-1787")</f>
        <v>https://zfin.org/ZDB-GENE-040426-1787</v>
      </c>
      <c r="E5673" t="s">
        <v>16992</v>
      </c>
    </row>
    <row r="5674" spans="1:5" x14ac:dyDescent="0.2">
      <c r="A5674" t="s">
        <v>16993</v>
      </c>
      <c r="B5674" t="s">
        <v>16994</v>
      </c>
      <c r="C5674" t="s">
        <v>16994</v>
      </c>
      <c r="D5674" t="str">
        <f>HYPERLINK("https://zfin.org/ZDB-GENE-131127-581")</f>
        <v>https://zfin.org/ZDB-GENE-131127-581</v>
      </c>
      <c r="E5674" t="s">
        <v>16995</v>
      </c>
    </row>
    <row r="5675" spans="1:5" x14ac:dyDescent="0.2">
      <c r="A5675" t="s">
        <v>16996</v>
      </c>
      <c r="B5675" t="s">
        <v>16997</v>
      </c>
      <c r="C5675" t="s">
        <v>16997</v>
      </c>
      <c r="D5675" t="str">
        <f>HYPERLINK("https://zfin.org/ZDB-GENE-040426-2863")</f>
        <v>https://zfin.org/ZDB-GENE-040426-2863</v>
      </c>
      <c r="E5675" t="s">
        <v>16998</v>
      </c>
    </row>
    <row r="5676" spans="1:5" x14ac:dyDescent="0.2">
      <c r="A5676" t="s">
        <v>16999</v>
      </c>
      <c r="B5676" t="s">
        <v>17000</v>
      </c>
      <c r="C5676" t="s">
        <v>17000</v>
      </c>
      <c r="D5676" t="str">
        <f>HYPERLINK("https://zfin.org/ZDB-GENE-060929-144")</f>
        <v>https://zfin.org/ZDB-GENE-060929-144</v>
      </c>
      <c r="E5676" t="s">
        <v>17001</v>
      </c>
    </row>
    <row r="5677" spans="1:5" x14ac:dyDescent="0.2">
      <c r="A5677" t="s">
        <v>17002</v>
      </c>
      <c r="B5677" t="s">
        <v>17003</v>
      </c>
      <c r="C5677" t="s">
        <v>17003</v>
      </c>
      <c r="D5677" t="str">
        <f>HYPERLINK("https://zfin.org/ZDB-GENE-030131-482")</f>
        <v>https://zfin.org/ZDB-GENE-030131-482</v>
      </c>
      <c r="E5677" t="s">
        <v>17004</v>
      </c>
    </row>
    <row r="5678" spans="1:5" x14ac:dyDescent="0.2">
      <c r="A5678" t="s">
        <v>17005</v>
      </c>
      <c r="B5678" t="s">
        <v>17006</v>
      </c>
      <c r="C5678" t="s">
        <v>17006</v>
      </c>
      <c r="D5678" t="str">
        <f>HYPERLINK("https://zfin.org/ZDB-GENE-120926-3")</f>
        <v>https://zfin.org/ZDB-GENE-120926-3</v>
      </c>
      <c r="E5678" t="s">
        <v>17007</v>
      </c>
    </row>
    <row r="5679" spans="1:5" x14ac:dyDescent="0.2">
      <c r="A5679" t="s">
        <v>17008</v>
      </c>
      <c r="B5679" t="s">
        <v>17009</v>
      </c>
      <c r="C5679" t="s">
        <v>17009</v>
      </c>
      <c r="D5679" t="str">
        <f>HYPERLINK("https://zfin.org/ZDB-GENE-060503-905")</f>
        <v>https://zfin.org/ZDB-GENE-060503-905</v>
      </c>
      <c r="E5679" t="s">
        <v>17010</v>
      </c>
    </row>
    <row r="5680" spans="1:5" x14ac:dyDescent="0.2">
      <c r="A5680" t="s">
        <v>17011</v>
      </c>
      <c r="B5680" t="s">
        <v>17012</v>
      </c>
      <c r="C5680" t="s">
        <v>17012</v>
      </c>
      <c r="D5680" t="str">
        <f>HYPERLINK("https://zfin.org/ZDB-GENE-080723-6")</f>
        <v>https://zfin.org/ZDB-GENE-080723-6</v>
      </c>
      <c r="E5680" t="s">
        <v>17013</v>
      </c>
    </row>
    <row r="5681" spans="1:5" x14ac:dyDescent="0.2">
      <c r="A5681" t="s">
        <v>17014</v>
      </c>
      <c r="B5681" t="s">
        <v>17015</v>
      </c>
      <c r="C5681" t="s">
        <v>17015</v>
      </c>
      <c r="D5681" t="str">
        <f>HYPERLINK("https://zfin.org/ZDB-GENE-040426-1947")</f>
        <v>https://zfin.org/ZDB-GENE-040426-1947</v>
      </c>
      <c r="E5681" t="s">
        <v>17016</v>
      </c>
    </row>
    <row r="5682" spans="1:5" x14ac:dyDescent="0.2">
      <c r="A5682" t="s">
        <v>17017</v>
      </c>
      <c r="B5682" t="s">
        <v>17018</v>
      </c>
      <c r="C5682" t="s">
        <v>17018</v>
      </c>
      <c r="D5682" t="str">
        <f>HYPERLINK("https://zfin.org/ZDB-GENE-050208-484")</f>
        <v>https://zfin.org/ZDB-GENE-050208-484</v>
      </c>
      <c r="E5682" t="s">
        <v>17019</v>
      </c>
    </row>
    <row r="5683" spans="1:5" x14ac:dyDescent="0.2">
      <c r="A5683" t="s">
        <v>17020</v>
      </c>
      <c r="B5683" t="s">
        <v>17021</v>
      </c>
      <c r="C5683" t="s">
        <v>17021</v>
      </c>
      <c r="D5683" t="str">
        <f>HYPERLINK("https://zfin.org/ZDB-GENE-120215-163")</f>
        <v>https://zfin.org/ZDB-GENE-120215-163</v>
      </c>
      <c r="E5683" t="s">
        <v>17022</v>
      </c>
    </row>
    <row r="5684" spans="1:5" x14ac:dyDescent="0.2">
      <c r="A5684" t="s">
        <v>17023</v>
      </c>
      <c r="B5684" t="s">
        <v>17024</v>
      </c>
      <c r="C5684" t="s">
        <v>17024</v>
      </c>
      <c r="D5684" t="str">
        <f>HYPERLINK("https://zfin.org/ZDB-GENE-040912-139")</f>
        <v>https://zfin.org/ZDB-GENE-040912-139</v>
      </c>
      <c r="E5684" t="s">
        <v>17025</v>
      </c>
    </row>
    <row r="5685" spans="1:5" x14ac:dyDescent="0.2">
      <c r="A5685" t="s">
        <v>17026</v>
      </c>
      <c r="B5685" t="s">
        <v>17027</v>
      </c>
      <c r="C5685" t="s">
        <v>17027</v>
      </c>
      <c r="D5685" t="str">
        <f>HYPERLINK("https://zfin.org/ZDB-GENE-050208-786")</f>
        <v>https://zfin.org/ZDB-GENE-050208-786</v>
      </c>
      <c r="E5685" t="s">
        <v>17028</v>
      </c>
    </row>
    <row r="5686" spans="1:5" x14ac:dyDescent="0.2">
      <c r="A5686" t="s">
        <v>17029</v>
      </c>
      <c r="B5686" t="s">
        <v>17030</v>
      </c>
      <c r="C5686" t="s">
        <v>17030</v>
      </c>
      <c r="D5686" t="str">
        <f>HYPERLINK("https://zfin.org/ZDB-GENE-110913-88")</f>
        <v>https://zfin.org/ZDB-GENE-110913-88</v>
      </c>
      <c r="E5686" t="s">
        <v>17031</v>
      </c>
    </row>
    <row r="5687" spans="1:5" x14ac:dyDescent="0.2">
      <c r="A5687" t="s">
        <v>17032</v>
      </c>
      <c r="B5687" t="s">
        <v>17033</v>
      </c>
      <c r="C5687" t="s">
        <v>17033</v>
      </c>
      <c r="D5687" t="str">
        <f>HYPERLINK("https://zfin.org/ZDB-GENE-030131-984")</f>
        <v>https://zfin.org/ZDB-GENE-030131-984</v>
      </c>
      <c r="E5687" t="s">
        <v>17034</v>
      </c>
    </row>
    <row r="5688" spans="1:5" x14ac:dyDescent="0.2">
      <c r="A5688" t="s">
        <v>17035</v>
      </c>
      <c r="B5688" t="s">
        <v>17036</v>
      </c>
      <c r="C5688" t="s">
        <v>17036</v>
      </c>
      <c r="D5688" t="str">
        <f>HYPERLINK("https://zfin.org/ZDB-GENE-060503-11")</f>
        <v>https://zfin.org/ZDB-GENE-060503-11</v>
      </c>
      <c r="E5688" t="s">
        <v>17037</v>
      </c>
    </row>
    <row r="5689" spans="1:5" x14ac:dyDescent="0.2">
      <c r="A5689" t="s">
        <v>17038</v>
      </c>
      <c r="B5689" t="s">
        <v>17039</v>
      </c>
      <c r="C5689" t="s">
        <v>17039</v>
      </c>
      <c r="D5689" t="str">
        <f>HYPERLINK("https://zfin.org/ZDB-GENE-040426-1738")</f>
        <v>https://zfin.org/ZDB-GENE-040426-1738</v>
      </c>
      <c r="E5689" t="s">
        <v>17040</v>
      </c>
    </row>
    <row r="5690" spans="1:5" x14ac:dyDescent="0.2">
      <c r="A5690" t="s">
        <v>17041</v>
      </c>
      <c r="B5690" t="s">
        <v>17042</v>
      </c>
      <c r="C5690" t="s">
        <v>17042</v>
      </c>
      <c r="D5690" t="str">
        <f>HYPERLINK("https://zfin.org/ZDB-GENE-040718-18")</f>
        <v>https://zfin.org/ZDB-GENE-040718-18</v>
      </c>
      <c r="E5690" t="s">
        <v>17043</v>
      </c>
    </row>
    <row r="5691" spans="1:5" x14ac:dyDescent="0.2">
      <c r="A5691" t="s">
        <v>17044</v>
      </c>
      <c r="B5691" t="s">
        <v>17045</v>
      </c>
      <c r="C5691" t="s">
        <v>17045</v>
      </c>
      <c r="D5691" t="str">
        <f>HYPERLINK("https://zfin.org/ZDB-GENE-081107-69")</f>
        <v>https://zfin.org/ZDB-GENE-081107-69</v>
      </c>
      <c r="E5691" t="s">
        <v>17046</v>
      </c>
    </row>
    <row r="5692" spans="1:5" x14ac:dyDescent="0.2">
      <c r="A5692" t="s">
        <v>17047</v>
      </c>
      <c r="B5692" t="s">
        <v>17048</v>
      </c>
      <c r="C5692" t="s">
        <v>17048</v>
      </c>
      <c r="D5692" t="str">
        <f>HYPERLINK("https://zfin.org/ZDB-GENE-041111-190")</f>
        <v>https://zfin.org/ZDB-GENE-041111-190</v>
      </c>
      <c r="E5692" t="s">
        <v>17049</v>
      </c>
    </row>
    <row r="5693" spans="1:5" x14ac:dyDescent="0.2">
      <c r="A5693" t="s">
        <v>17050</v>
      </c>
      <c r="B5693" t="s">
        <v>17051</v>
      </c>
      <c r="C5693" t="s">
        <v>17051</v>
      </c>
      <c r="D5693" t="str">
        <f>HYPERLINK("https://zfin.org/ZDB-GENE-050208-745")</f>
        <v>https://zfin.org/ZDB-GENE-050208-745</v>
      </c>
      <c r="E5693" t="s">
        <v>17052</v>
      </c>
    </row>
    <row r="5694" spans="1:5" x14ac:dyDescent="0.2">
      <c r="A5694" t="s">
        <v>17053</v>
      </c>
      <c r="B5694" t="s">
        <v>17054</v>
      </c>
      <c r="C5694" t="s">
        <v>17054</v>
      </c>
      <c r="D5694" t="str">
        <f>HYPERLINK("https://zfin.org/ZDB-GENE-021115-7")</f>
        <v>https://zfin.org/ZDB-GENE-021115-7</v>
      </c>
      <c r="E5694" t="s">
        <v>17055</v>
      </c>
    </row>
    <row r="5695" spans="1:5" x14ac:dyDescent="0.2">
      <c r="A5695" t="s">
        <v>17056</v>
      </c>
      <c r="B5695" t="s">
        <v>17057</v>
      </c>
      <c r="C5695" t="s">
        <v>17057</v>
      </c>
      <c r="D5695" t="str">
        <f>HYPERLINK("https://zfin.org/ZDB-GENE-110411-276")</f>
        <v>https://zfin.org/ZDB-GENE-110411-276</v>
      </c>
      <c r="E5695" t="s">
        <v>17058</v>
      </c>
    </row>
    <row r="5696" spans="1:5" x14ac:dyDescent="0.2">
      <c r="A5696" t="s">
        <v>17059</v>
      </c>
      <c r="B5696" t="s">
        <v>17060</v>
      </c>
      <c r="C5696" t="s">
        <v>17060</v>
      </c>
      <c r="D5696" t="str">
        <f>HYPERLINK("https://zfin.org/ZDB-GENE-081104-350")</f>
        <v>https://zfin.org/ZDB-GENE-081104-350</v>
      </c>
      <c r="E5696" t="s">
        <v>17061</v>
      </c>
    </row>
    <row r="5697" spans="1:5" x14ac:dyDescent="0.2">
      <c r="A5697" t="s">
        <v>17062</v>
      </c>
      <c r="B5697" t="s">
        <v>17063</v>
      </c>
      <c r="C5697" t="s">
        <v>17063</v>
      </c>
      <c r="D5697" t="str">
        <f>HYPERLINK("https://zfin.org/ZDB-GENE-990415-86")</f>
        <v>https://zfin.org/ZDB-GENE-990415-86</v>
      </c>
      <c r="E5697" t="s">
        <v>17064</v>
      </c>
    </row>
    <row r="5698" spans="1:5" x14ac:dyDescent="0.2">
      <c r="A5698" t="s">
        <v>17065</v>
      </c>
      <c r="B5698" t="s">
        <v>17066</v>
      </c>
      <c r="C5698" t="s">
        <v>17066</v>
      </c>
      <c r="D5698" t="str">
        <f>HYPERLINK("https://zfin.org/ZDB-GENE-040426-2861")</f>
        <v>https://zfin.org/ZDB-GENE-040426-2861</v>
      </c>
      <c r="E5698" t="s">
        <v>17067</v>
      </c>
    </row>
    <row r="5699" spans="1:5" x14ac:dyDescent="0.2">
      <c r="A5699" t="s">
        <v>17068</v>
      </c>
      <c r="B5699" t="s">
        <v>17069</v>
      </c>
      <c r="C5699" t="s">
        <v>17069</v>
      </c>
      <c r="D5699" t="str">
        <f>HYPERLINK("https://zfin.org/ZDB-GENE-030131-5954")</f>
        <v>https://zfin.org/ZDB-GENE-030131-5954</v>
      </c>
      <c r="E5699" t="s">
        <v>17070</v>
      </c>
    </row>
    <row r="5700" spans="1:5" x14ac:dyDescent="0.2">
      <c r="A5700" t="s">
        <v>17071</v>
      </c>
      <c r="B5700" t="s">
        <v>17072</v>
      </c>
      <c r="C5700" t="s">
        <v>17072</v>
      </c>
      <c r="D5700" t="str">
        <f>HYPERLINK("https://zfin.org/ZDB-GENE-050220-5")</f>
        <v>https://zfin.org/ZDB-GENE-050220-5</v>
      </c>
      <c r="E5700" t="s">
        <v>17073</v>
      </c>
    </row>
    <row r="5701" spans="1:5" x14ac:dyDescent="0.2">
      <c r="A5701" t="s">
        <v>17074</v>
      </c>
      <c r="B5701" t="s">
        <v>17075</v>
      </c>
      <c r="C5701" t="s">
        <v>17075</v>
      </c>
      <c r="D5701" t="str">
        <f>HYPERLINK("https://zfin.org/ZDB-GENE-050309-170")</f>
        <v>https://zfin.org/ZDB-GENE-050309-170</v>
      </c>
      <c r="E5701" t="s">
        <v>17076</v>
      </c>
    </row>
    <row r="5702" spans="1:5" x14ac:dyDescent="0.2">
      <c r="A5702" t="s">
        <v>17077</v>
      </c>
      <c r="B5702" t="s">
        <v>17078</v>
      </c>
      <c r="C5702" t="s">
        <v>17078</v>
      </c>
      <c r="D5702" t="str">
        <f>HYPERLINK("https://zfin.org/ZDB-GENE-030131-7293")</f>
        <v>https://zfin.org/ZDB-GENE-030131-7293</v>
      </c>
      <c r="E5702" t="s">
        <v>17079</v>
      </c>
    </row>
    <row r="5703" spans="1:5" x14ac:dyDescent="0.2">
      <c r="A5703" t="s">
        <v>17080</v>
      </c>
      <c r="B5703" t="s">
        <v>17081</v>
      </c>
      <c r="C5703" t="s">
        <v>17081</v>
      </c>
      <c r="D5703" t="str">
        <f>HYPERLINK("https://zfin.org/ZDB-GENE-100922-130")</f>
        <v>https://zfin.org/ZDB-GENE-100922-130</v>
      </c>
      <c r="E5703" t="s">
        <v>17082</v>
      </c>
    </row>
    <row r="5704" spans="1:5" x14ac:dyDescent="0.2">
      <c r="A5704" t="s">
        <v>17083</v>
      </c>
      <c r="B5704" t="s">
        <v>17084</v>
      </c>
      <c r="C5704" t="s">
        <v>17084</v>
      </c>
      <c r="D5704" t="str">
        <f>HYPERLINK("https://zfin.org/ZDB-GENE-040801-209")</f>
        <v>https://zfin.org/ZDB-GENE-040801-209</v>
      </c>
      <c r="E5704" t="s">
        <v>17085</v>
      </c>
    </row>
    <row r="5705" spans="1:5" x14ac:dyDescent="0.2">
      <c r="A5705" t="s">
        <v>17086</v>
      </c>
      <c r="B5705" t="s">
        <v>17087</v>
      </c>
      <c r="C5705" t="s">
        <v>17087</v>
      </c>
      <c r="D5705" t="str">
        <f>HYPERLINK("https://zfin.org/ZDB-GENE-050522-220")</f>
        <v>https://zfin.org/ZDB-GENE-050522-220</v>
      </c>
      <c r="E5705" t="s">
        <v>17088</v>
      </c>
    </row>
    <row r="5706" spans="1:5" x14ac:dyDescent="0.2">
      <c r="A5706" t="s">
        <v>17089</v>
      </c>
      <c r="B5706" t="s">
        <v>17090</v>
      </c>
      <c r="C5706" t="s">
        <v>17090</v>
      </c>
      <c r="D5706" t="str">
        <f>HYPERLINK("https://zfin.org/ZDB-GENE-030131-6614")</f>
        <v>https://zfin.org/ZDB-GENE-030131-6614</v>
      </c>
      <c r="E5706" t="s">
        <v>17091</v>
      </c>
    </row>
    <row r="5707" spans="1:5" x14ac:dyDescent="0.2">
      <c r="A5707" t="s">
        <v>17092</v>
      </c>
      <c r="B5707" t="s">
        <v>17093</v>
      </c>
      <c r="C5707" t="s">
        <v>17093</v>
      </c>
      <c r="D5707" t="str">
        <f>HYPERLINK("https://zfin.org/ZDB-GENE-020107-1")</f>
        <v>https://zfin.org/ZDB-GENE-020107-1</v>
      </c>
      <c r="E5707" t="s">
        <v>17094</v>
      </c>
    </row>
    <row r="5708" spans="1:5" x14ac:dyDescent="0.2">
      <c r="A5708" t="s">
        <v>17095</v>
      </c>
      <c r="B5708" t="s">
        <v>17096</v>
      </c>
      <c r="C5708" t="s">
        <v>17096</v>
      </c>
      <c r="D5708" t="str">
        <f>HYPERLINK("https://zfin.org/ZDB-GENE-090914-1")</f>
        <v>https://zfin.org/ZDB-GENE-090914-1</v>
      </c>
      <c r="E5708" t="s">
        <v>17097</v>
      </c>
    </row>
    <row r="5709" spans="1:5" x14ac:dyDescent="0.2">
      <c r="A5709" t="s">
        <v>17098</v>
      </c>
      <c r="B5709" t="s">
        <v>17099</v>
      </c>
      <c r="C5709" t="s">
        <v>17099</v>
      </c>
      <c r="D5709" t="str">
        <f>HYPERLINK("https://zfin.org/ZDB-GENE-050208-703")</f>
        <v>https://zfin.org/ZDB-GENE-050208-703</v>
      </c>
      <c r="E5709" t="s">
        <v>17100</v>
      </c>
    </row>
    <row r="5710" spans="1:5" x14ac:dyDescent="0.2">
      <c r="A5710" t="s">
        <v>17101</v>
      </c>
      <c r="B5710" t="s">
        <v>17102</v>
      </c>
      <c r="C5710" t="s">
        <v>17102</v>
      </c>
      <c r="D5710" t="str">
        <f>HYPERLINK("https://zfin.org/ZDB-GENE-080219-42")</f>
        <v>https://zfin.org/ZDB-GENE-080219-42</v>
      </c>
      <c r="E5710" t="s">
        <v>17103</v>
      </c>
    </row>
    <row r="5711" spans="1:5" x14ac:dyDescent="0.2">
      <c r="A5711" t="s">
        <v>17104</v>
      </c>
      <c r="B5711" t="s">
        <v>17105</v>
      </c>
      <c r="C5711" t="s">
        <v>17105</v>
      </c>
      <c r="D5711" t="str">
        <f>HYPERLINK("https://zfin.org/ZDB-GENE-040426-2903")</f>
        <v>https://zfin.org/ZDB-GENE-040426-2903</v>
      </c>
      <c r="E5711" t="s">
        <v>17106</v>
      </c>
    </row>
    <row r="5712" spans="1:5" x14ac:dyDescent="0.2">
      <c r="A5712" t="s">
        <v>17107</v>
      </c>
      <c r="B5712" t="s">
        <v>17108</v>
      </c>
      <c r="C5712" t="s">
        <v>17108</v>
      </c>
      <c r="D5712" t="str">
        <f>HYPERLINK("https://zfin.org/ZDB-GENE-000926-1")</f>
        <v>https://zfin.org/ZDB-GENE-000926-1</v>
      </c>
      <c r="E5712" t="s">
        <v>17109</v>
      </c>
    </row>
    <row r="5713" spans="1:5" x14ac:dyDescent="0.2">
      <c r="A5713" t="s">
        <v>17110</v>
      </c>
      <c r="B5713" t="s">
        <v>17111</v>
      </c>
      <c r="C5713" t="s">
        <v>17111</v>
      </c>
      <c r="D5713" t="str">
        <f>HYPERLINK("https://zfin.org/ZDB-GENE-041014-254")</f>
        <v>https://zfin.org/ZDB-GENE-041014-254</v>
      </c>
      <c r="E5713" t="s">
        <v>17112</v>
      </c>
    </row>
    <row r="5714" spans="1:5" x14ac:dyDescent="0.2">
      <c r="A5714" t="s">
        <v>17113</v>
      </c>
      <c r="B5714" t="s">
        <v>17114</v>
      </c>
      <c r="C5714" t="s">
        <v>17114</v>
      </c>
      <c r="D5714" t="str">
        <f>HYPERLINK("https://zfin.org/ZDB-GENE-110913-83")</f>
        <v>https://zfin.org/ZDB-GENE-110913-83</v>
      </c>
      <c r="E5714" t="s">
        <v>17115</v>
      </c>
    </row>
    <row r="5715" spans="1:5" x14ac:dyDescent="0.2">
      <c r="A5715" t="s">
        <v>17116</v>
      </c>
      <c r="B5715" t="s">
        <v>17117</v>
      </c>
      <c r="C5715" t="s">
        <v>17117</v>
      </c>
      <c r="D5715" t="str">
        <f>HYPERLINK("https://zfin.org/ZDB-GENE-090417-1")</f>
        <v>https://zfin.org/ZDB-GENE-090417-1</v>
      </c>
      <c r="E5715" t="s">
        <v>17118</v>
      </c>
    </row>
    <row r="5716" spans="1:5" x14ac:dyDescent="0.2">
      <c r="A5716" t="s">
        <v>17119</v>
      </c>
      <c r="B5716" t="s">
        <v>17120</v>
      </c>
      <c r="C5716" t="s">
        <v>17120</v>
      </c>
      <c r="D5716" t="str">
        <f>HYPERLINK("https://zfin.org/ZDB-GENE-050208-448")</f>
        <v>https://zfin.org/ZDB-GENE-050208-448</v>
      </c>
      <c r="E5716" t="s">
        <v>17121</v>
      </c>
    </row>
    <row r="5717" spans="1:5" x14ac:dyDescent="0.2">
      <c r="A5717" t="s">
        <v>17122</v>
      </c>
      <c r="B5717" t="s">
        <v>17123</v>
      </c>
      <c r="C5717" t="s">
        <v>17123</v>
      </c>
      <c r="D5717" t="str">
        <f>HYPERLINK("https://zfin.org/ZDB-GENE-050419-45")</f>
        <v>https://zfin.org/ZDB-GENE-050419-45</v>
      </c>
      <c r="E5717" t="s">
        <v>17124</v>
      </c>
    </row>
    <row r="5718" spans="1:5" x14ac:dyDescent="0.2">
      <c r="A5718" t="s">
        <v>17125</v>
      </c>
      <c r="B5718" t="s">
        <v>17126</v>
      </c>
      <c r="C5718" t="s">
        <v>17126</v>
      </c>
      <c r="D5718" t="str">
        <f>HYPERLINK("https://zfin.org/ZDB-GENE-090521-3")</f>
        <v>https://zfin.org/ZDB-GENE-090521-3</v>
      </c>
      <c r="E5718" t="s">
        <v>17127</v>
      </c>
    </row>
    <row r="5719" spans="1:5" x14ac:dyDescent="0.2">
      <c r="A5719" t="s">
        <v>17128</v>
      </c>
      <c r="B5719" t="s">
        <v>17129</v>
      </c>
      <c r="C5719" t="s">
        <v>17129</v>
      </c>
      <c r="D5719" t="str">
        <f>HYPERLINK("https://zfin.org/ZDB-GENE-080305-7")</f>
        <v>https://zfin.org/ZDB-GENE-080305-7</v>
      </c>
      <c r="E5719" t="s">
        <v>17130</v>
      </c>
    </row>
    <row r="5720" spans="1:5" x14ac:dyDescent="0.2">
      <c r="A5720" t="s">
        <v>17131</v>
      </c>
      <c r="B5720" t="s">
        <v>17132</v>
      </c>
      <c r="C5720" t="s">
        <v>17132</v>
      </c>
      <c r="D5720" t="str">
        <f>HYPERLINK("https://zfin.org/ZDB-GENE-060531-100")</f>
        <v>https://zfin.org/ZDB-GENE-060531-100</v>
      </c>
      <c r="E5720" t="s">
        <v>17133</v>
      </c>
    </row>
    <row r="5721" spans="1:5" x14ac:dyDescent="0.2">
      <c r="A5721" t="s">
        <v>17134</v>
      </c>
      <c r="B5721" t="s">
        <v>17135</v>
      </c>
      <c r="C5721" t="s">
        <v>17135</v>
      </c>
      <c r="D5721" t="str">
        <f>HYPERLINK("https://zfin.org/ZDB-GENE-030131-4076")</f>
        <v>https://zfin.org/ZDB-GENE-030131-4076</v>
      </c>
      <c r="E5721" t="s">
        <v>17136</v>
      </c>
    </row>
    <row r="5722" spans="1:5" x14ac:dyDescent="0.2">
      <c r="A5722" t="s">
        <v>17137</v>
      </c>
      <c r="B5722" t="s">
        <v>17138</v>
      </c>
      <c r="C5722" t="s">
        <v>17138</v>
      </c>
      <c r="D5722" t="str">
        <f>HYPERLINK("https://zfin.org/ZDB-GENE-081104-83")</f>
        <v>https://zfin.org/ZDB-GENE-081104-83</v>
      </c>
      <c r="E5722" t="s">
        <v>17139</v>
      </c>
    </row>
    <row r="5723" spans="1:5" x14ac:dyDescent="0.2">
      <c r="A5723" t="s">
        <v>17140</v>
      </c>
      <c r="B5723" t="s">
        <v>17141</v>
      </c>
      <c r="C5723" t="s">
        <v>17141</v>
      </c>
      <c r="D5723" t="str">
        <f>HYPERLINK("https://zfin.org/ZDB-GENE-080218-28")</f>
        <v>https://zfin.org/ZDB-GENE-080218-28</v>
      </c>
      <c r="E5723" t="s">
        <v>17142</v>
      </c>
    </row>
    <row r="5724" spans="1:5" x14ac:dyDescent="0.2">
      <c r="A5724" t="s">
        <v>17143</v>
      </c>
      <c r="B5724" t="s">
        <v>17144</v>
      </c>
      <c r="C5724" t="s">
        <v>17144</v>
      </c>
      <c r="D5724" t="str">
        <f>HYPERLINK("https://zfin.org/ZDB-GENE-070912-1")</f>
        <v>https://zfin.org/ZDB-GENE-070912-1</v>
      </c>
      <c r="E5724" t="s">
        <v>17145</v>
      </c>
    </row>
    <row r="5725" spans="1:5" x14ac:dyDescent="0.2">
      <c r="A5725" t="s">
        <v>17146</v>
      </c>
      <c r="B5725" t="s">
        <v>17147</v>
      </c>
      <c r="C5725" t="s">
        <v>17147</v>
      </c>
      <c r="D5725" t="str">
        <f>HYPERLINK("https://zfin.org/ZDB-GENE-061221-2")</f>
        <v>https://zfin.org/ZDB-GENE-061221-2</v>
      </c>
      <c r="E5725" t="s">
        <v>17148</v>
      </c>
    </row>
    <row r="5726" spans="1:5" x14ac:dyDescent="0.2">
      <c r="A5726" t="s">
        <v>17149</v>
      </c>
      <c r="B5726" t="s">
        <v>17150</v>
      </c>
      <c r="C5726" t="s">
        <v>17150</v>
      </c>
      <c r="D5726" t="str">
        <f>HYPERLINK("https://zfin.org/ZDB-GENE-040426-2200")</f>
        <v>https://zfin.org/ZDB-GENE-040426-2200</v>
      </c>
      <c r="E5726" t="s">
        <v>17151</v>
      </c>
    </row>
    <row r="5727" spans="1:5" x14ac:dyDescent="0.2">
      <c r="A5727" t="s">
        <v>17152</v>
      </c>
      <c r="B5727" t="s">
        <v>17153</v>
      </c>
      <c r="C5727" t="s">
        <v>17153</v>
      </c>
      <c r="D5727" t="str">
        <f>HYPERLINK("https://zfin.org/ZDB-GENE-070820-12")</f>
        <v>https://zfin.org/ZDB-GENE-070820-12</v>
      </c>
      <c r="E5727" t="s">
        <v>17154</v>
      </c>
    </row>
    <row r="5728" spans="1:5" x14ac:dyDescent="0.2">
      <c r="A5728" t="s">
        <v>17155</v>
      </c>
      <c r="B5728" t="s">
        <v>17156</v>
      </c>
      <c r="C5728" t="s">
        <v>17156</v>
      </c>
      <c r="D5728" t="str">
        <f>HYPERLINK("https://zfin.org/ZDB-GENE-060526-47")</f>
        <v>https://zfin.org/ZDB-GENE-060526-47</v>
      </c>
      <c r="E5728" t="s">
        <v>17157</v>
      </c>
    </row>
    <row r="5729" spans="1:5" x14ac:dyDescent="0.2">
      <c r="A5729" t="s">
        <v>17158</v>
      </c>
      <c r="B5729" t="s">
        <v>17159</v>
      </c>
      <c r="C5729" t="s">
        <v>17159</v>
      </c>
      <c r="D5729" t="str">
        <f>HYPERLINK("https://zfin.org/ZDB-GENE-040801-76")</f>
        <v>https://zfin.org/ZDB-GENE-040801-76</v>
      </c>
      <c r="E5729" t="s">
        <v>17160</v>
      </c>
    </row>
    <row r="5730" spans="1:5" x14ac:dyDescent="0.2">
      <c r="A5730" t="s">
        <v>17161</v>
      </c>
      <c r="B5730" t="s">
        <v>17162</v>
      </c>
      <c r="C5730" t="s">
        <v>17162</v>
      </c>
      <c r="D5730" t="str">
        <f>HYPERLINK("https://zfin.org/ZDB-GENE-050419-255")</f>
        <v>https://zfin.org/ZDB-GENE-050419-255</v>
      </c>
      <c r="E5730" t="s">
        <v>17163</v>
      </c>
    </row>
    <row r="5731" spans="1:5" x14ac:dyDescent="0.2">
      <c r="A5731" t="s">
        <v>17164</v>
      </c>
      <c r="B5731" t="s">
        <v>17165</v>
      </c>
      <c r="C5731" t="s">
        <v>17165</v>
      </c>
      <c r="D5731" t="str">
        <f>HYPERLINK("https://zfin.org/ZDB-GENE-050522-494")</f>
        <v>https://zfin.org/ZDB-GENE-050522-494</v>
      </c>
      <c r="E5731" t="s">
        <v>17166</v>
      </c>
    </row>
    <row r="5732" spans="1:5" x14ac:dyDescent="0.2">
      <c r="A5732" t="s">
        <v>17167</v>
      </c>
      <c r="B5732" t="s">
        <v>17168</v>
      </c>
      <c r="C5732" t="s">
        <v>17168</v>
      </c>
      <c r="D5732" t="str">
        <f>HYPERLINK("https://zfin.org/ZDB-GENE-031113-1")</f>
        <v>https://zfin.org/ZDB-GENE-031113-1</v>
      </c>
      <c r="E5732" t="s">
        <v>17169</v>
      </c>
    </row>
    <row r="5733" spans="1:5" x14ac:dyDescent="0.2">
      <c r="A5733" t="s">
        <v>17170</v>
      </c>
      <c r="B5733" t="s">
        <v>17171</v>
      </c>
      <c r="C5733" t="s">
        <v>17171</v>
      </c>
      <c r="D5733" t="str">
        <f>HYPERLINK("https://zfin.org/ZDB-GENE-091204-174")</f>
        <v>https://zfin.org/ZDB-GENE-091204-174</v>
      </c>
      <c r="E5733" t="s">
        <v>17172</v>
      </c>
    </row>
    <row r="5734" spans="1:5" x14ac:dyDescent="0.2">
      <c r="A5734" t="s">
        <v>17173</v>
      </c>
      <c r="B5734" t="s">
        <v>17174</v>
      </c>
      <c r="C5734" t="s">
        <v>17174</v>
      </c>
      <c r="D5734" t="str">
        <f>HYPERLINK("https://zfin.org/ZDB-GENE-070112-292")</f>
        <v>https://zfin.org/ZDB-GENE-070112-292</v>
      </c>
      <c r="E5734" t="s">
        <v>17175</v>
      </c>
    </row>
    <row r="5735" spans="1:5" x14ac:dyDescent="0.2">
      <c r="A5735" t="s">
        <v>17176</v>
      </c>
      <c r="B5735" t="s">
        <v>17177</v>
      </c>
      <c r="C5735" t="s">
        <v>17177</v>
      </c>
      <c r="D5735" t="str">
        <f>HYPERLINK("https://zfin.org/ZDB-GENE-020228-1")</f>
        <v>https://zfin.org/ZDB-GENE-020228-1</v>
      </c>
      <c r="E5735" t="s">
        <v>17178</v>
      </c>
    </row>
    <row r="5736" spans="1:5" x14ac:dyDescent="0.2">
      <c r="A5736" t="s">
        <v>17179</v>
      </c>
      <c r="B5736" t="s">
        <v>17180</v>
      </c>
      <c r="C5736" t="s">
        <v>17180</v>
      </c>
      <c r="D5736" t="str">
        <f>HYPERLINK("https://zfin.org/ZDB-GENE-050420-79")</f>
        <v>https://zfin.org/ZDB-GENE-050420-79</v>
      </c>
      <c r="E5736" t="s">
        <v>17181</v>
      </c>
    </row>
    <row r="5737" spans="1:5" x14ac:dyDescent="0.2">
      <c r="A5737" t="s">
        <v>17182</v>
      </c>
      <c r="B5737" t="s">
        <v>17183</v>
      </c>
      <c r="C5737" t="s">
        <v>17183</v>
      </c>
      <c r="D5737" t="str">
        <f>HYPERLINK("https://zfin.org/ZDB-GENE-041212-30")</f>
        <v>https://zfin.org/ZDB-GENE-041212-30</v>
      </c>
      <c r="E5737" t="s">
        <v>17184</v>
      </c>
    </row>
    <row r="5738" spans="1:5" x14ac:dyDescent="0.2">
      <c r="A5738" t="s">
        <v>17185</v>
      </c>
      <c r="B5738" t="s">
        <v>17186</v>
      </c>
      <c r="C5738" t="s">
        <v>17186</v>
      </c>
      <c r="D5738" t="str">
        <f>HYPERLINK("https://zfin.org/ZDB-GENE-030131-3231")</f>
        <v>https://zfin.org/ZDB-GENE-030131-3231</v>
      </c>
      <c r="E5738" t="s">
        <v>17187</v>
      </c>
    </row>
    <row r="5739" spans="1:5" x14ac:dyDescent="0.2">
      <c r="A5739" t="s">
        <v>17188</v>
      </c>
      <c r="B5739" t="s">
        <v>17189</v>
      </c>
      <c r="C5739" t="s">
        <v>17189</v>
      </c>
      <c r="D5739" t="str">
        <f>HYPERLINK("https://zfin.org/ZDB-GENE-070912-605")</f>
        <v>https://zfin.org/ZDB-GENE-070912-605</v>
      </c>
      <c r="E5739" t="s">
        <v>17190</v>
      </c>
    </row>
    <row r="5740" spans="1:5" x14ac:dyDescent="0.2">
      <c r="A5740" t="s">
        <v>17191</v>
      </c>
      <c r="B5740" t="s">
        <v>17192</v>
      </c>
      <c r="C5740" t="s">
        <v>17192</v>
      </c>
      <c r="D5740" t="str">
        <f>HYPERLINK("https://zfin.org/ZDB-GENE-030131-7696")</f>
        <v>https://zfin.org/ZDB-GENE-030131-7696</v>
      </c>
      <c r="E5740" t="s">
        <v>17193</v>
      </c>
    </row>
    <row r="5741" spans="1:5" x14ac:dyDescent="0.2">
      <c r="A5741" t="s">
        <v>17194</v>
      </c>
      <c r="B5741" t="s">
        <v>17195</v>
      </c>
      <c r="C5741" t="s">
        <v>17195</v>
      </c>
      <c r="D5741" t="str">
        <f>HYPERLINK("https://zfin.org/ZDB-GENE-050302-102")</f>
        <v>https://zfin.org/ZDB-GENE-050302-102</v>
      </c>
      <c r="E5741" t="s">
        <v>17196</v>
      </c>
    </row>
    <row r="5742" spans="1:5" x14ac:dyDescent="0.2">
      <c r="A5742" t="s">
        <v>17197</v>
      </c>
      <c r="B5742" t="s">
        <v>17198</v>
      </c>
      <c r="C5742" t="s">
        <v>17198</v>
      </c>
      <c r="D5742" t="str">
        <f>HYPERLINK("https://zfin.org/ZDB-GENE-120406-12")</f>
        <v>https://zfin.org/ZDB-GENE-120406-12</v>
      </c>
      <c r="E5742" t="s">
        <v>17199</v>
      </c>
    </row>
    <row r="5743" spans="1:5" x14ac:dyDescent="0.2">
      <c r="A5743" t="s">
        <v>17200</v>
      </c>
      <c r="B5743" t="s">
        <v>17201</v>
      </c>
      <c r="C5743" t="s">
        <v>17201</v>
      </c>
      <c r="D5743" t="str">
        <f>HYPERLINK("https://zfin.org/ZDB-GENE-040426-1640")</f>
        <v>https://zfin.org/ZDB-GENE-040426-1640</v>
      </c>
      <c r="E5743" t="s">
        <v>17202</v>
      </c>
    </row>
    <row r="5744" spans="1:5" x14ac:dyDescent="0.2">
      <c r="A5744" t="s">
        <v>17203</v>
      </c>
      <c r="B5744" t="s">
        <v>17204</v>
      </c>
      <c r="C5744" t="s">
        <v>17204</v>
      </c>
      <c r="D5744" t="str">
        <f>HYPERLINK("https://zfin.org/ZDB-GENE-040426-1187")</f>
        <v>https://zfin.org/ZDB-GENE-040426-1187</v>
      </c>
      <c r="E5744" t="s">
        <v>17205</v>
      </c>
    </row>
    <row r="5745" spans="1:5" x14ac:dyDescent="0.2">
      <c r="A5745" t="s">
        <v>17206</v>
      </c>
      <c r="B5745" t="s">
        <v>17207</v>
      </c>
      <c r="C5745" t="s">
        <v>17207</v>
      </c>
      <c r="D5745" t="str">
        <f>HYPERLINK("https://zfin.org/ZDB-GENE-050522-121")</f>
        <v>https://zfin.org/ZDB-GENE-050522-121</v>
      </c>
      <c r="E5745" t="s">
        <v>17208</v>
      </c>
    </row>
    <row r="5746" spans="1:5" x14ac:dyDescent="0.2">
      <c r="A5746" t="s">
        <v>17209</v>
      </c>
      <c r="B5746" t="s">
        <v>17210</v>
      </c>
      <c r="C5746" t="s">
        <v>17210</v>
      </c>
      <c r="D5746" t="str">
        <f>HYPERLINK("https://zfin.org/ZDB-GENE-040625-10")</f>
        <v>https://zfin.org/ZDB-GENE-040625-10</v>
      </c>
      <c r="E5746" t="s">
        <v>17211</v>
      </c>
    </row>
    <row r="5747" spans="1:5" x14ac:dyDescent="0.2">
      <c r="A5747" t="s">
        <v>17212</v>
      </c>
      <c r="B5747" t="s">
        <v>17213</v>
      </c>
      <c r="C5747" t="s">
        <v>17214</v>
      </c>
      <c r="D5747" t="str">
        <f>HYPERLINK("https://zfin.org/ZDB-GENE-091113-21")</f>
        <v>https://zfin.org/ZDB-GENE-091113-21</v>
      </c>
      <c r="E5747" t="s">
        <v>17215</v>
      </c>
    </row>
    <row r="5748" spans="1:5" x14ac:dyDescent="0.2">
      <c r="A5748" t="s">
        <v>17216</v>
      </c>
      <c r="B5748" t="s">
        <v>17217</v>
      </c>
      <c r="C5748" t="s">
        <v>17217</v>
      </c>
      <c r="D5748" t="str">
        <f>HYPERLINK("https://zfin.org/ZDB-GENE-050522-344")</f>
        <v>https://zfin.org/ZDB-GENE-050522-344</v>
      </c>
      <c r="E5748" t="s">
        <v>17218</v>
      </c>
    </row>
    <row r="5749" spans="1:5" x14ac:dyDescent="0.2">
      <c r="A5749" t="s">
        <v>17219</v>
      </c>
      <c r="B5749" t="s">
        <v>17220</v>
      </c>
      <c r="C5749" t="s">
        <v>17220</v>
      </c>
      <c r="D5749" t="str">
        <f>HYPERLINK("https://zfin.org/ZDB-GENE-041010-73")</f>
        <v>https://zfin.org/ZDB-GENE-041010-73</v>
      </c>
      <c r="E5749" t="s">
        <v>17221</v>
      </c>
    </row>
    <row r="5750" spans="1:5" x14ac:dyDescent="0.2">
      <c r="A5750" t="s">
        <v>17222</v>
      </c>
      <c r="B5750" t="s">
        <v>17223</v>
      </c>
      <c r="C5750" t="s">
        <v>17223</v>
      </c>
      <c r="D5750" t="str">
        <f>HYPERLINK("https://zfin.org/ZDB-GENE-040912-16")</f>
        <v>https://zfin.org/ZDB-GENE-040912-16</v>
      </c>
      <c r="E5750" t="s">
        <v>17224</v>
      </c>
    </row>
    <row r="5751" spans="1:5" x14ac:dyDescent="0.2">
      <c r="A5751" t="s">
        <v>17225</v>
      </c>
      <c r="B5751" t="s">
        <v>17226</v>
      </c>
      <c r="C5751" t="s">
        <v>17226</v>
      </c>
      <c r="D5751" t="str">
        <f>HYPERLINK("https://zfin.org/ZDB-GENE-141031-1")</f>
        <v>https://zfin.org/ZDB-GENE-141031-1</v>
      </c>
      <c r="E5751" t="s">
        <v>17227</v>
      </c>
    </row>
    <row r="5752" spans="1:5" x14ac:dyDescent="0.2">
      <c r="A5752" t="s">
        <v>17228</v>
      </c>
      <c r="B5752" t="s">
        <v>17229</v>
      </c>
      <c r="C5752" t="s">
        <v>17229</v>
      </c>
      <c r="D5752" t="str">
        <f>HYPERLINK("https://zfin.org/ZDB-GENE-090312-114")</f>
        <v>https://zfin.org/ZDB-GENE-090312-114</v>
      </c>
      <c r="E5752" t="s">
        <v>17230</v>
      </c>
    </row>
    <row r="5753" spans="1:5" x14ac:dyDescent="0.2">
      <c r="A5753" t="s">
        <v>17231</v>
      </c>
      <c r="B5753" t="s">
        <v>17232</v>
      </c>
      <c r="C5753" t="s">
        <v>17232</v>
      </c>
      <c r="D5753" t="str">
        <f>HYPERLINK("https://zfin.org/ZDB-GENE-070912-400")</f>
        <v>https://zfin.org/ZDB-GENE-070912-400</v>
      </c>
      <c r="E5753" t="s">
        <v>17233</v>
      </c>
    </row>
    <row r="5754" spans="1:5" x14ac:dyDescent="0.2">
      <c r="A5754" t="s">
        <v>17234</v>
      </c>
      <c r="B5754" t="s">
        <v>17235</v>
      </c>
      <c r="C5754" t="s">
        <v>17235</v>
      </c>
      <c r="D5754" t="str">
        <f>HYPERLINK("https://zfin.org/ZDB-GENE-050522-73")</f>
        <v>https://zfin.org/ZDB-GENE-050522-73</v>
      </c>
      <c r="E5754" t="s">
        <v>17236</v>
      </c>
    </row>
    <row r="5755" spans="1:5" x14ac:dyDescent="0.2">
      <c r="A5755" t="s">
        <v>17237</v>
      </c>
      <c r="B5755" t="s">
        <v>17238</v>
      </c>
      <c r="C5755" t="s">
        <v>17238</v>
      </c>
      <c r="D5755" t="str">
        <f>HYPERLINK("https://zfin.org/ZDB-GENE-040426-1650")</f>
        <v>https://zfin.org/ZDB-GENE-040426-1650</v>
      </c>
      <c r="E5755" t="s">
        <v>17239</v>
      </c>
    </row>
    <row r="5756" spans="1:5" x14ac:dyDescent="0.2">
      <c r="A5756" t="s">
        <v>17240</v>
      </c>
      <c r="B5756" t="s">
        <v>17241</v>
      </c>
      <c r="C5756" t="s">
        <v>17241</v>
      </c>
      <c r="D5756" t="str">
        <f>HYPERLINK("https://zfin.org/ZDB-GENE-040912-124")</f>
        <v>https://zfin.org/ZDB-GENE-040912-124</v>
      </c>
      <c r="E5756" t="s">
        <v>17242</v>
      </c>
    </row>
    <row r="5757" spans="1:5" x14ac:dyDescent="0.2">
      <c r="A5757" t="s">
        <v>17243</v>
      </c>
      <c r="B5757" t="s">
        <v>17244</v>
      </c>
      <c r="C5757" t="s">
        <v>17244</v>
      </c>
      <c r="D5757" t="str">
        <f>HYPERLINK("https://zfin.org/ZDB-GENE-980526-320")</f>
        <v>https://zfin.org/ZDB-GENE-980526-320</v>
      </c>
      <c r="E5757" t="s">
        <v>17245</v>
      </c>
    </row>
    <row r="5758" spans="1:5" x14ac:dyDescent="0.2">
      <c r="A5758" t="s">
        <v>17246</v>
      </c>
      <c r="B5758" t="s">
        <v>17247</v>
      </c>
      <c r="C5758" t="s">
        <v>17247</v>
      </c>
      <c r="D5758" t="str">
        <f>HYPERLINK("https://zfin.org/ZDB-GENE-030131-1738")</f>
        <v>https://zfin.org/ZDB-GENE-030131-1738</v>
      </c>
      <c r="E5758" t="s">
        <v>17248</v>
      </c>
    </row>
    <row r="5759" spans="1:5" x14ac:dyDescent="0.2">
      <c r="A5759" t="s">
        <v>17249</v>
      </c>
      <c r="B5759" t="s">
        <v>17250</v>
      </c>
      <c r="C5759" t="s">
        <v>17250</v>
      </c>
      <c r="D5759" t="str">
        <f>HYPERLINK("https://zfin.org/ZDB-GENE-080425-2")</f>
        <v>https://zfin.org/ZDB-GENE-080425-2</v>
      </c>
      <c r="E5759" t="s">
        <v>17251</v>
      </c>
    </row>
    <row r="5760" spans="1:5" x14ac:dyDescent="0.2">
      <c r="A5760" t="s">
        <v>17252</v>
      </c>
      <c r="B5760" t="s">
        <v>17253</v>
      </c>
      <c r="C5760" t="s">
        <v>17253</v>
      </c>
      <c r="D5760" t="str">
        <f>HYPERLINK("https://zfin.org/ZDB-GENE-041001-156")</f>
        <v>https://zfin.org/ZDB-GENE-041001-156</v>
      </c>
      <c r="E5760" t="s">
        <v>17254</v>
      </c>
    </row>
    <row r="5761" spans="1:5" x14ac:dyDescent="0.2">
      <c r="A5761" t="s">
        <v>17255</v>
      </c>
      <c r="B5761" t="s">
        <v>17256</v>
      </c>
      <c r="C5761" t="s">
        <v>17256</v>
      </c>
      <c r="D5761" t="str">
        <f>HYPERLINK("https://zfin.org/ZDB-GENE-040426-2207")</f>
        <v>https://zfin.org/ZDB-GENE-040426-2207</v>
      </c>
      <c r="E5761" t="s">
        <v>17257</v>
      </c>
    </row>
    <row r="5762" spans="1:5" x14ac:dyDescent="0.2">
      <c r="A5762" t="s">
        <v>17258</v>
      </c>
      <c r="B5762" t="s">
        <v>17259</v>
      </c>
      <c r="C5762" t="s">
        <v>17259</v>
      </c>
      <c r="D5762" t="str">
        <f>HYPERLINK("https://zfin.org/ZDB-GENE-110406-5")</f>
        <v>https://zfin.org/ZDB-GENE-110406-5</v>
      </c>
      <c r="E5762" t="s">
        <v>17260</v>
      </c>
    </row>
    <row r="5763" spans="1:5" x14ac:dyDescent="0.2">
      <c r="A5763" t="s">
        <v>17261</v>
      </c>
      <c r="B5763" t="s">
        <v>17262</v>
      </c>
      <c r="C5763" t="s">
        <v>17262</v>
      </c>
      <c r="D5763" t="str">
        <f>HYPERLINK("https://zfin.org/ZDB-GENE-100910-5")</f>
        <v>https://zfin.org/ZDB-GENE-100910-5</v>
      </c>
      <c r="E5763" t="s">
        <v>17263</v>
      </c>
    </row>
    <row r="5764" spans="1:5" x14ac:dyDescent="0.2">
      <c r="A5764" t="s">
        <v>17264</v>
      </c>
      <c r="B5764" t="s">
        <v>17265</v>
      </c>
      <c r="C5764" t="s">
        <v>17265</v>
      </c>
      <c r="D5764" t="str">
        <f>HYPERLINK("https://zfin.org/ZDB-GENE-040426-1352")</f>
        <v>https://zfin.org/ZDB-GENE-040426-1352</v>
      </c>
      <c r="E5764" t="s">
        <v>17266</v>
      </c>
    </row>
    <row r="5765" spans="1:5" x14ac:dyDescent="0.2">
      <c r="A5765" t="s">
        <v>17267</v>
      </c>
      <c r="B5765" t="s">
        <v>17268</v>
      </c>
      <c r="C5765" t="s">
        <v>17268</v>
      </c>
      <c r="D5765" t="str">
        <f>HYPERLINK("https://zfin.org/ZDB-GENE-040718-466")</f>
        <v>https://zfin.org/ZDB-GENE-040718-466</v>
      </c>
      <c r="E5765" t="s">
        <v>17269</v>
      </c>
    </row>
    <row r="5766" spans="1:5" x14ac:dyDescent="0.2">
      <c r="A5766" t="s">
        <v>17270</v>
      </c>
      <c r="B5766" t="s">
        <v>17271</v>
      </c>
      <c r="C5766" t="s">
        <v>17271</v>
      </c>
      <c r="D5766" t="str">
        <f>HYPERLINK("https://zfin.org/ZDB-GENE-980526-174")</f>
        <v>https://zfin.org/ZDB-GENE-980526-174</v>
      </c>
      <c r="E5766" t="s">
        <v>17272</v>
      </c>
    </row>
    <row r="5767" spans="1:5" x14ac:dyDescent="0.2">
      <c r="A5767" t="s">
        <v>17273</v>
      </c>
      <c r="B5767" t="s">
        <v>17274</v>
      </c>
      <c r="C5767" t="s">
        <v>17274</v>
      </c>
      <c r="D5767" t="str">
        <f>HYPERLINK("https://zfin.org/ZDB-GENE-081104-145")</f>
        <v>https://zfin.org/ZDB-GENE-081104-145</v>
      </c>
      <c r="E5767" t="s">
        <v>17275</v>
      </c>
    </row>
    <row r="5768" spans="1:5" x14ac:dyDescent="0.2">
      <c r="A5768" t="s">
        <v>17276</v>
      </c>
      <c r="B5768" t="s">
        <v>17277</v>
      </c>
      <c r="C5768" t="s">
        <v>17277</v>
      </c>
      <c r="D5768" t="str">
        <f>HYPERLINK("https://zfin.org/ZDB-GENE-061103-190")</f>
        <v>https://zfin.org/ZDB-GENE-061103-190</v>
      </c>
      <c r="E5768" t="s">
        <v>17278</v>
      </c>
    </row>
    <row r="5769" spans="1:5" x14ac:dyDescent="0.2">
      <c r="A5769" t="s">
        <v>17279</v>
      </c>
      <c r="B5769" t="s">
        <v>17280</v>
      </c>
      <c r="C5769" t="s">
        <v>17280</v>
      </c>
      <c r="D5769" t="str">
        <f>HYPERLINK("https://zfin.org/ZDB-GENE-050913-126")</f>
        <v>https://zfin.org/ZDB-GENE-050913-126</v>
      </c>
      <c r="E5769" t="s">
        <v>17281</v>
      </c>
    </row>
    <row r="5770" spans="1:5" x14ac:dyDescent="0.2">
      <c r="A5770" t="s">
        <v>17282</v>
      </c>
      <c r="B5770" t="s">
        <v>17283</v>
      </c>
      <c r="C5770" t="s">
        <v>17283</v>
      </c>
      <c r="D5770" t="str">
        <f>HYPERLINK("https://zfin.org/ZDB-GENE-070608-2")</f>
        <v>https://zfin.org/ZDB-GENE-070608-2</v>
      </c>
      <c r="E5770" t="s">
        <v>17284</v>
      </c>
    </row>
    <row r="5771" spans="1:5" x14ac:dyDescent="0.2">
      <c r="A5771" t="s">
        <v>17285</v>
      </c>
      <c r="B5771" t="s">
        <v>17286</v>
      </c>
      <c r="C5771" t="s">
        <v>17286</v>
      </c>
      <c r="D5771" t="str">
        <f>HYPERLINK("https://zfin.org/ZDB-GENE-060503-443")</f>
        <v>https://zfin.org/ZDB-GENE-060503-443</v>
      </c>
      <c r="E5771" t="s">
        <v>17287</v>
      </c>
    </row>
    <row r="5772" spans="1:5" x14ac:dyDescent="0.2">
      <c r="A5772" t="s">
        <v>17288</v>
      </c>
      <c r="B5772" t="s">
        <v>17289</v>
      </c>
      <c r="C5772" t="s">
        <v>17289</v>
      </c>
      <c r="D5772" t="str">
        <f>HYPERLINK("https://zfin.org/ZDB-GENE-050913-69")</f>
        <v>https://zfin.org/ZDB-GENE-050913-69</v>
      </c>
      <c r="E5772" t="s">
        <v>17290</v>
      </c>
    </row>
    <row r="5773" spans="1:5" x14ac:dyDescent="0.2">
      <c r="A5773" t="s">
        <v>17291</v>
      </c>
      <c r="B5773" t="s">
        <v>17292</v>
      </c>
      <c r="C5773" t="s">
        <v>17292</v>
      </c>
      <c r="D5773" t="str">
        <f>HYPERLINK("https://zfin.org/ZDB-GENE-040808-4")</f>
        <v>https://zfin.org/ZDB-GENE-040808-4</v>
      </c>
      <c r="E5773" t="s">
        <v>17293</v>
      </c>
    </row>
    <row r="5774" spans="1:5" x14ac:dyDescent="0.2">
      <c r="A5774" t="s">
        <v>17294</v>
      </c>
      <c r="B5774" t="s">
        <v>17295</v>
      </c>
      <c r="C5774" t="s">
        <v>17295</v>
      </c>
      <c r="D5774" t="str">
        <f>HYPERLINK("https://zfin.org/ZDB-GENE-040426-1760")</f>
        <v>https://zfin.org/ZDB-GENE-040426-1760</v>
      </c>
      <c r="E5774" t="s">
        <v>17296</v>
      </c>
    </row>
    <row r="5775" spans="1:5" x14ac:dyDescent="0.2">
      <c r="A5775" t="s">
        <v>17297</v>
      </c>
      <c r="B5775" t="s">
        <v>17298</v>
      </c>
      <c r="C5775" t="s">
        <v>17298</v>
      </c>
      <c r="D5775" t="str">
        <f>HYPERLINK("https://zfin.org/ZDB-GENE-030131-9704")</f>
        <v>https://zfin.org/ZDB-GENE-030131-9704</v>
      </c>
      <c r="E5775" t="s">
        <v>17299</v>
      </c>
    </row>
    <row r="5776" spans="1:5" x14ac:dyDescent="0.2">
      <c r="A5776" t="s">
        <v>17300</v>
      </c>
      <c r="B5776" t="s">
        <v>17301</v>
      </c>
      <c r="C5776" t="s">
        <v>17301</v>
      </c>
      <c r="D5776" t="str">
        <f>HYPERLINK("https://zfin.org/ZDB-GENE-050913-44")</f>
        <v>https://zfin.org/ZDB-GENE-050913-44</v>
      </c>
      <c r="E5776" t="s">
        <v>17302</v>
      </c>
    </row>
    <row r="5777" spans="1:5" x14ac:dyDescent="0.2">
      <c r="A5777" t="s">
        <v>17303</v>
      </c>
      <c r="B5777" t="s">
        <v>17304</v>
      </c>
      <c r="C5777" t="s">
        <v>17304</v>
      </c>
      <c r="D5777" t="str">
        <f>HYPERLINK("https://zfin.org/ZDB-GENE-050419-122")</f>
        <v>https://zfin.org/ZDB-GENE-050419-122</v>
      </c>
      <c r="E5777" t="s">
        <v>17305</v>
      </c>
    </row>
    <row r="5778" spans="1:5" x14ac:dyDescent="0.2">
      <c r="A5778" t="s">
        <v>17306</v>
      </c>
      <c r="B5778" t="s">
        <v>17307</v>
      </c>
      <c r="C5778" t="s">
        <v>17307</v>
      </c>
      <c r="D5778" t="str">
        <f>HYPERLINK("https://zfin.org/ZDB-GENE-030131-6048")</f>
        <v>https://zfin.org/ZDB-GENE-030131-6048</v>
      </c>
      <c r="E5778" t="s">
        <v>17308</v>
      </c>
    </row>
    <row r="5779" spans="1:5" x14ac:dyDescent="0.2">
      <c r="A5779" t="s">
        <v>17309</v>
      </c>
      <c r="B5779" t="s">
        <v>17310</v>
      </c>
      <c r="C5779" t="s">
        <v>17310</v>
      </c>
      <c r="D5779" t="str">
        <f>HYPERLINK("https://zfin.org/ZDB-GENE-030131-5920")</f>
        <v>https://zfin.org/ZDB-GENE-030131-5920</v>
      </c>
      <c r="E5779" t="s">
        <v>17311</v>
      </c>
    </row>
    <row r="5780" spans="1:5" x14ac:dyDescent="0.2">
      <c r="A5780" t="s">
        <v>17312</v>
      </c>
      <c r="B5780" t="s">
        <v>17313</v>
      </c>
      <c r="C5780" t="s">
        <v>17313</v>
      </c>
      <c r="D5780" t="str">
        <f>HYPERLINK("https://zfin.org/ZDB-GENE-071218-2")</f>
        <v>https://zfin.org/ZDB-GENE-071218-2</v>
      </c>
      <c r="E5780" t="s">
        <v>17314</v>
      </c>
    </row>
    <row r="5781" spans="1:5" x14ac:dyDescent="0.2">
      <c r="A5781" t="s">
        <v>17315</v>
      </c>
      <c r="B5781" t="s">
        <v>17316</v>
      </c>
      <c r="C5781" t="s">
        <v>17316</v>
      </c>
      <c r="D5781" t="str">
        <f>HYPERLINK("https://zfin.org/ZDB-GENE-050417-114")</f>
        <v>https://zfin.org/ZDB-GENE-050417-114</v>
      </c>
      <c r="E5781" t="s">
        <v>17317</v>
      </c>
    </row>
    <row r="5782" spans="1:5" x14ac:dyDescent="0.2">
      <c r="A5782" t="s">
        <v>17318</v>
      </c>
      <c r="B5782" t="s">
        <v>17319</v>
      </c>
      <c r="C5782" t="s">
        <v>17319</v>
      </c>
      <c r="D5782" t="str">
        <f>HYPERLINK("https://zfin.org/ZDB-GENE-050420-11")</f>
        <v>https://zfin.org/ZDB-GENE-050420-11</v>
      </c>
      <c r="E5782" t="s">
        <v>17320</v>
      </c>
    </row>
    <row r="5783" spans="1:5" x14ac:dyDescent="0.2">
      <c r="A5783" t="s">
        <v>17321</v>
      </c>
      <c r="B5783" t="s">
        <v>17322</v>
      </c>
      <c r="C5783" t="s">
        <v>17322</v>
      </c>
      <c r="D5783" t="str">
        <f>HYPERLINK("https://zfin.org/ZDB-GENE-081104-94")</f>
        <v>https://zfin.org/ZDB-GENE-081104-94</v>
      </c>
      <c r="E5783" t="s">
        <v>17323</v>
      </c>
    </row>
    <row r="5784" spans="1:5" x14ac:dyDescent="0.2">
      <c r="A5784" t="s">
        <v>17324</v>
      </c>
      <c r="B5784" t="s">
        <v>17325</v>
      </c>
      <c r="C5784" t="s">
        <v>17325</v>
      </c>
      <c r="D5784" t="str">
        <f>HYPERLINK("https://zfin.org/ZDB-GENE-030131-490")</f>
        <v>https://zfin.org/ZDB-GENE-030131-490</v>
      </c>
      <c r="E5784" t="s">
        <v>17326</v>
      </c>
    </row>
    <row r="5785" spans="1:5" x14ac:dyDescent="0.2">
      <c r="A5785" t="s">
        <v>17327</v>
      </c>
      <c r="B5785" t="s">
        <v>17328</v>
      </c>
      <c r="C5785" t="s">
        <v>17328</v>
      </c>
      <c r="D5785" t="str">
        <f>HYPERLINK("https://zfin.org/ZDB-GENE-040822-14")</f>
        <v>https://zfin.org/ZDB-GENE-040822-14</v>
      </c>
      <c r="E5785" t="s">
        <v>17329</v>
      </c>
    </row>
    <row r="5786" spans="1:5" x14ac:dyDescent="0.2">
      <c r="A5786" t="s">
        <v>17330</v>
      </c>
      <c r="B5786" t="s">
        <v>17331</v>
      </c>
      <c r="C5786" t="s">
        <v>17331</v>
      </c>
      <c r="D5786" t="str">
        <f>HYPERLINK("https://zfin.org/ZDB-GENE-030516-4")</f>
        <v>https://zfin.org/ZDB-GENE-030516-4</v>
      </c>
      <c r="E5786" t="s">
        <v>17332</v>
      </c>
    </row>
    <row r="5787" spans="1:5" x14ac:dyDescent="0.2">
      <c r="A5787" t="s">
        <v>17333</v>
      </c>
      <c r="B5787" t="s">
        <v>17334</v>
      </c>
      <c r="C5787" t="s">
        <v>17334</v>
      </c>
      <c r="D5787" t="str">
        <f>HYPERLINK("https://zfin.org/ZDB-GENE-030131-7066")</f>
        <v>https://zfin.org/ZDB-GENE-030131-7066</v>
      </c>
      <c r="E5787" t="s">
        <v>17335</v>
      </c>
    </row>
    <row r="5788" spans="1:5" x14ac:dyDescent="0.2">
      <c r="A5788" t="s">
        <v>17336</v>
      </c>
      <c r="B5788" t="s">
        <v>17337</v>
      </c>
      <c r="C5788" t="s">
        <v>17337</v>
      </c>
      <c r="D5788" t="str">
        <f>HYPERLINK("https://zfin.org/ZDB-GENE-030131-8112")</f>
        <v>https://zfin.org/ZDB-GENE-030131-8112</v>
      </c>
      <c r="E5788" t="s">
        <v>17338</v>
      </c>
    </row>
    <row r="5789" spans="1:5" x14ac:dyDescent="0.2">
      <c r="A5789" t="s">
        <v>17339</v>
      </c>
      <c r="B5789" t="s">
        <v>17340</v>
      </c>
      <c r="C5789" t="s">
        <v>17340</v>
      </c>
      <c r="D5789" t="str">
        <f>HYPERLINK("https://zfin.org/ZDB-GENE-040801-215")</f>
        <v>https://zfin.org/ZDB-GENE-040801-215</v>
      </c>
      <c r="E5789" t="s">
        <v>17341</v>
      </c>
    </row>
    <row r="5790" spans="1:5" x14ac:dyDescent="0.2">
      <c r="A5790" t="s">
        <v>17342</v>
      </c>
      <c r="B5790" t="s">
        <v>17343</v>
      </c>
      <c r="C5790" t="s">
        <v>17343</v>
      </c>
      <c r="D5790" t="str">
        <f>HYPERLINK("https://zfin.org/ZDB-GENE-060510-5")</f>
        <v>https://zfin.org/ZDB-GENE-060510-5</v>
      </c>
      <c r="E5790" t="s">
        <v>17344</v>
      </c>
    </row>
    <row r="5791" spans="1:5" x14ac:dyDescent="0.2">
      <c r="A5791" t="s">
        <v>17345</v>
      </c>
      <c r="B5791" t="s">
        <v>17346</v>
      </c>
      <c r="C5791" t="s">
        <v>17346</v>
      </c>
      <c r="D5791" t="str">
        <f>HYPERLINK("https://zfin.org/ZDB-GENE-040426-1065")</f>
        <v>https://zfin.org/ZDB-GENE-040426-1065</v>
      </c>
      <c r="E5791" t="s">
        <v>17347</v>
      </c>
    </row>
    <row r="5792" spans="1:5" x14ac:dyDescent="0.2">
      <c r="A5792" t="s">
        <v>17348</v>
      </c>
      <c r="B5792" t="s">
        <v>17349</v>
      </c>
      <c r="C5792" t="s">
        <v>17349</v>
      </c>
      <c r="D5792" t="str">
        <f>HYPERLINK("https://zfin.org/ZDB-GENE-100318-3")</f>
        <v>https://zfin.org/ZDB-GENE-100318-3</v>
      </c>
      <c r="E5792" t="s">
        <v>17350</v>
      </c>
    </row>
    <row r="5793" spans="1:5" x14ac:dyDescent="0.2">
      <c r="A5793" t="s">
        <v>17351</v>
      </c>
      <c r="B5793" t="s">
        <v>17352</v>
      </c>
      <c r="C5793" t="s">
        <v>17352</v>
      </c>
      <c r="D5793" t="str">
        <f>HYPERLINK("https://zfin.org/ZDB-GENE-030131-2220")</f>
        <v>https://zfin.org/ZDB-GENE-030131-2220</v>
      </c>
      <c r="E5793" t="s">
        <v>17353</v>
      </c>
    </row>
    <row r="5794" spans="1:5" x14ac:dyDescent="0.2">
      <c r="A5794" t="s">
        <v>17354</v>
      </c>
      <c r="B5794" t="s">
        <v>17355</v>
      </c>
      <c r="C5794" t="s">
        <v>17355</v>
      </c>
      <c r="D5794" t="str">
        <f>HYPERLINK("https://zfin.org/ZDB-GENE-040426-2894")</f>
        <v>https://zfin.org/ZDB-GENE-040426-2894</v>
      </c>
      <c r="E5794" t="s">
        <v>17356</v>
      </c>
    </row>
    <row r="5795" spans="1:5" x14ac:dyDescent="0.2">
      <c r="A5795" t="s">
        <v>17357</v>
      </c>
      <c r="B5795" t="s">
        <v>17358</v>
      </c>
      <c r="C5795" t="s">
        <v>17358</v>
      </c>
      <c r="D5795" t="str">
        <f>HYPERLINK("https://zfin.org/ZDB-GENE-030616-15")</f>
        <v>https://zfin.org/ZDB-GENE-030616-15</v>
      </c>
      <c r="E5795" t="s">
        <v>17359</v>
      </c>
    </row>
    <row r="5796" spans="1:5" x14ac:dyDescent="0.2">
      <c r="A5796" t="s">
        <v>17360</v>
      </c>
      <c r="B5796" t="s">
        <v>17361</v>
      </c>
      <c r="C5796" t="s">
        <v>17361</v>
      </c>
      <c r="D5796" t="str">
        <f>HYPERLINK("https://zfin.org/ZDB-GENE-041212-13")</f>
        <v>https://zfin.org/ZDB-GENE-041212-13</v>
      </c>
      <c r="E5796" t="s">
        <v>17362</v>
      </c>
    </row>
    <row r="5797" spans="1:5" x14ac:dyDescent="0.2">
      <c r="A5797" t="s">
        <v>17363</v>
      </c>
      <c r="B5797" t="s">
        <v>17364</v>
      </c>
      <c r="C5797" t="s">
        <v>17364</v>
      </c>
      <c r="D5797" t="str">
        <f>HYPERLINK("https://zfin.org/ZDB-GENE-091204-253")</f>
        <v>https://zfin.org/ZDB-GENE-091204-253</v>
      </c>
      <c r="E5797" t="s">
        <v>17365</v>
      </c>
    </row>
    <row r="5798" spans="1:5" x14ac:dyDescent="0.2">
      <c r="A5798" t="s">
        <v>17366</v>
      </c>
      <c r="B5798" t="s">
        <v>17367</v>
      </c>
      <c r="C5798" t="s">
        <v>17367</v>
      </c>
      <c r="D5798" t="str">
        <f>HYPERLINK("https://zfin.org/ZDB-GENE-040426-849")</f>
        <v>https://zfin.org/ZDB-GENE-040426-849</v>
      </c>
      <c r="E5798" t="s">
        <v>17368</v>
      </c>
    </row>
    <row r="5799" spans="1:5" x14ac:dyDescent="0.2">
      <c r="A5799" t="s">
        <v>17369</v>
      </c>
      <c r="B5799" t="s">
        <v>17370</v>
      </c>
      <c r="C5799" t="s">
        <v>17370</v>
      </c>
      <c r="D5799" t="str">
        <f>HYPERLINK("https://zfin.org/ZDB-GENE-050208-657")</f>
        <v>https://zfin.org/ZDB-GENE-050208-657</v>
      </c>
      <c r="E5799" t="s">
        <v>17371</v>
      </c>
    </row>
    <row r="5800" spans="1:5" x14ac:dyDescent="0.2">
      <c r="A5800" t="s">
        <v>17372</v>
      </c>
      <c r="B5800" t="s">
        <v>17373</v>
      </c>
      <c r="C5800" t="s">
        <v>17373</v>
      </c>
      <c r="D5800" t="str">
        <f>HYPERLINK("https://zfin.org/ZDB-GENE-000210-10")</f>
        <v>https://zfin.org/ZDB-GENE-000210-10</v>
      </c>
      <c r="E5800" t="s">
        <v>17374</v>
      </c>
    </row>
    <row r="5801" spans="1:5" x14ac:dyDescent="0.2">
      <c r="A5801" t="s">
        <v>17375</v>
      </c>
      <c r="B5801" t="s">
        <v>17376</v>
      </c>
      <c r="C5801" t="s">
        <v>17376</v>
      </c>
      <c r="D5801" t="str">
        <f>HYPERLINK("https://zfin.org/ZDB-GENE-050417-295")</f>
        <v>https://zfin.org/ZDB-GENE-050417-295</v>
      </c>
      <c r="E5801" t="s">
        <v>17377</v>
      </c>
    </row>
    <row r="5802" spans="1:5" x14ac:dyDescent="0.2">
      <c r="A5802" t="s">
        <v>17378</v>
      </c>
      <c r="B5802" t="s">
        <v>17379</v>
      </c>
      <c r="C5802" t="s">
        <v>17379</v>
      </c>
      <c r="D5802" t="str">
        <f>HYPERLINK("https://zfin.org/ZDB-GENE-060825-297")</f>
        <v>https://zfin.org/ZDB-GENE-060825-297</v>
      </c>
      <c r="E5802" t="s">
        <v>17380</v>
      </c>
    </row>
    <row r="5803" spans="1:5" x14ac:dyDescent="0.2">
      <c r="A5803" t="s">
        <v>17381</v>
      </c>
      <c r="B5803" t="s">
        <v>17382</v>
      </c>
      <c r="C5803" t="s">
        <v>17382</v>
      </c>
      <c r="D5803" t="str">
        <f>HYPERLINK("https://zfin.org/ZDB-GENE-030131-6238")</f>
        <v>https://zfin.org/ZDB-GENE-030131-6238</v>
      </c>
      <c r="E5803" t="s">
        <v>17383</v>
      </c>
    </row>
    <row r="5804" spans="1:5" x14ac:dyDescent="0.2">
      <c r="A5804" t="s">
        <v>17384</v>
      </c>
      <c r="B5804" t="s">
        <v>17385</v>
      </c>
      <c r="C5804" t="s">
        <v>17385</v>
      </c>
      <c r="D5804" t="str">
        <f>HYPERLINK("https://zfin.org/ZDB-GENE-120215-63")</f>
        <v>https://zfin.org/ZDB-GENE-120215-63</v>
      </c>
      <c r="E5804" t="s">
        <v>17386</v>
      </c>
    </row>
    <row r="5805" spans="1:5" x14ac:dyDescent="0.2">
      <c r="A5805" t="s">
        <v>17387</v>
      </c>
      <c r="B5805" t="s">
        <v>17388</v>
      </c>
      <c r="C5805" t="s">
        <v>17388</v>
      </c>
      <c r="D5805" t="str">
        <f>HYPERLINK("https://zfin.org/ZDB-GENE-041001-157")</f>
        <v>https://zfin.org/ZDB-GENE-041001-157</v>
      </c>
      <c r="E5805" t="s">
        <v>17389</v>
      </c>
    </row>
    <row r="5806" spans="1:5" x14ac:dyDescent="0.2">
      <c r="A5806" t="s">
        <v>17390</v>
      </c>
      <c r="B5806" t="s">
        <v>17391</v>
      </c>
      <c r="C5806" t="s">
        <v>17391</v>
      </c>
      <c r="D5806" t="str">
        <f>HYPERLINK("https://zfin.org/ZDB-GENE-030131-2214")</f>
        <v>https://zfin.org/ZDB-GENE-030131-2214</v>
      </c>
      <c r="E5806" t="s">
        <v>17392</v>
      </c>
    </row>
    <row r="5807" spans="1:5" x14ac:dyDescent="0.2">
      <c r="A5807" t="s">
        <v>17393</v>
      </c>
      <c r="B5807" t="s">
        <v>17394</v>
      </c>
      <c r="C5807" t="s">
        <v>17394</v>
      </c>
      <c r="D5807" t="str">
        <f>HYPERLINK("https://zfin.org/ZDB-GENE-040426-2877")</f>
        <v>https://zfin.org/ZDB-GENE-040426-2877</v>
      </c>
      <c r="E5807" t="s">
        <v>17395</v>
      </c>
    </row>
    <row r="5808" spans="1:5" x14ac:dyDescent="0.2">
      <c r="A5808" t="s">
        <v>17396</v>
      </c>
      <c r="B5808" t="s">
        <v>17397</v>
      </c>
      <c r="C5808" t="s">
        <v>17397</v>
      </c>
      <c r="D5808" t="str">
        <f>HYPERLINK("https://zfin.org/ZDB-GENE-030131-5344")</f>
        <v>https://zfin.org/ZDB-GENE-030131-5344</v>
      </c>
      <c r="E5808" t="s">
        <v>17398</v>
      </c>
    </row>
    <row r="5809" spans="1:5" x14ac:dyDescent="0.2">
      <c r="A5809" t="s">
        <v>17399</v>
      </c>
      <c r="B5809" t="s">
        <v>17400</v>
      </c>
      <c r="C5809" t="s">
        <v>17400</v>
      </c>
      <c r="D5809" t="str">
        <f>HYPERLINK("https://zfin.org/ZDB-GENE-060503-244")</f>
        <v>https://zfin.org/ZDB-GENE-060503-244</v>
      </c>
      <c r="E5809" t="s">
        <v>17401</v>
      </c>
    </row>
    <row r="5810" spans="1:5" x14ac:dyDescent="0.2">
      <c r="A5810" t="s">
        <v>17402</v>
      </c>
      <c r="B5810" t="s">
        <v>17403</v>
      </c>
      <c r="C5810" t="s">
        <v>17403</v>
      </c>
      <c r="D5810" t="str">
        <f>HYPERLINK("https://zfin.org/ZDB-GENE-080723-47")</f>
        <v>https://zfin.org/ZDB-GENE-080723-47</v>
      </c>
      <c r="E5810" t="s">
        <v>17404</v>
      </c>
    </row>
    <row r="5811" spans="1:5" x14ac:dyDescent="0.2">
      <c r="A5811" t="s">
        <v>17405</v>
      </c>
      <c r="B5811" t="s">
        <v>17406</v>
      </c>
      <c r="C5811" t="s">
        <v>17406</v>
      </c>
      <c r="D5811" t="str">
        <f>HYPERLINK("https://zfin.org/ZDB-GENE-090313-14")</f>
        <v>https://zfin.org/ZDB-GENE-090313-14</v>
      </c>
      <c r="E5811" t="s">
        <v>17407</v>
      </c>
    </row>
    <row r="5812" spans="1:5" x14ac:dyDescent="0.2">
      <c r="A5812" t="s">
        <v>17408</v>
      </c>
      <c r="B5812" t="s">
        <v>17409</v>
      </c>
      <c r="C5812" t="s">
        <v>17409</v>
      </c>
      <c r="D5812" t="str">
        <f>HYPERLINK("https://zfin.org/ZDB-GENE-030131-985")</f>
        <v>https://zfin.org/ZDB-GENE-030131-985</v>
      </c>
      <c r="E5812" t="s">
        <v>17410</v>
      </c>
    </row>
    <row r="5813" spans="1:5" x14ac:dyDescent="0.2">
      <c r="A5813" t="s">
        <v>17411</v>
      </c>
      <c r="B5813" t="s">
        <v>17412</v>
      </c>
      <c r="C5813" t="s">
        <v>17412</v>
      </c>
      <c r="D5813" t="str">
        <f>HYPERLINK("https://zfin.org/ZDB-GENE-071116-5")</f>
        <v>https://zfin.org/ZDB-GENE-071116-5</v>
      </c>
      <c r="E5813" t="s">
        <v>17413</v>
      </c>
    </row>
    <row r="5814" spans="1:5" x14ac:dyDescent="0.2">
      <c r="A5814" t="s">
        <v>17414</v>
      </c>
      <c r="B5814" t="s">
        <v>17415</v>
      </c>
      <c r="C5814" t="s">
        <v>17415</v>
      </c>
      <c r="D5814" t="str">
        <f>HYPERLINK("https://zfin.org/ZDB-GENE-040801-166")</f>
        <v>https://zfin.org/ZDB-GENE-040801-166</v>
      </c>
      <c r="E5814" t="s">
        <v>17416</v>
      </c>
    </row>
    <row r="5815" spans="1:5" x14ac:dyDescent="0.2">
      <c r="A5815" t="s">
        <v>17417</v>
      </c>
      <c r="B5815" t="s">
        <v>17418</v>
      </c>
      <c r="C5815" t="s">
        <v>17418</v>
      </c>
      <c r="D5815" t="str">
        <f>HYPERLINK("https://zfin.org/ZDB-GENE-060526-74")</f>
        <v>https://zfin.org/ZDB-GENE-060526-74</v>
      </c>
      <c r="E5815" t="s">
        <v>17419</v>
      </c>
    </row>
    <row r="5816" spans="1:5" x14ac:dyDescent="0.2">
      <c r="A5816" t="s">
        <v>17420</v>
      </c>
      <c r="B5816" t="s">
        <v>17421</v>
      </c>
      <c r="C5816" t="s">
        <v>17421</v>
      </c>
      <c r="D5816" t="str">
        <f>HYPERLINK("https://zfin.org/ZDB-GENE-110914-117")</f>
        <v>https://zfin.org/ZDB-GENE-110914-117</v>
      </c>
      <c r="E5816" t="s">
        <v>17422</v>
      </c>
    </row>
    <row r="5817" spans="1:5" x14ac:dyDescent="0.2">
      <c r="A5817" t="s">
        <v>17423</v>
      </c>
      <c r="B5817" t="s">
        <v>17424</v>
      </c>
      <c r="C5817" t="s">
        <v>17424</v>
      </c>
      <c r="D5817" t="str">
        <f>HYPERLINK("https://zfin.org/ZDB-GENE-070228-1")</f>
        <v>https://zfin.org/ZDB-GENE-070228-1</v>
      </c>
      <c r="E5817" t="s">
        <v>17425</v>
      </c>
    </row>
    <row r="5818" spans="1:5" x14ac:dyDescent="0.2">
      <c r="A5818" t="s">
        <v>17426</v>
      </c>
      <c r="B5818" t="s">
        <v>17427</v>
      </c>
      <c r="C5818" t="s">
        <v>17427</v>
      </c>
      <c r="D5818" t="str">
        <f>HYPERLINK("https://zfin.org/ZDB-GENE-120928-1")</f>
        <v>https://zfin.org/ZDB-GENE-120928-1</v>
      </c>
      <c r="E5818" t="s">
        <v>17428</v>
      </c>
    </row>
    <row r="5819" spans="1:5" x14ac:dyDescent="0.2">
      <c r="A5819" t="s">
        <v>17429</v>
      </c>
      <c r="B5819" t="s">
        <v>17430</v>
      </c>
      <c r="C5819" t="s">
        <v>17430</v>
      </c>
      <c r="D5819" t="str">
        <f>HYPERLINK("https://zfin.org/ZDB-GENE-110914-3")</f>
        <v>https://zfin.org/ZDB-GENE-110914-3</v>
      </c>
      <c r="E5819" t="s">
        <v>17431</v>
      </c>
    </row>
    <row r="5820" spans="1:5" x14ac:dyDescent="0.2">
      <c r="A5820" t="s">
        <v>17432</v>
      </c>
      <c r="B5820" t="s">
        <v>17433</v>
      </c>
      <c r="C5820" t="s">
        <v>17433</v>
      </c>
      <c r="D5820" t="str">
        <f>HYPERLINK("https://zfin.org/ZDB-GENE-050904-4")</f>
        <v>https://zfin.org/ZDB-GENE-050904-4</v>
      </c>
      <c r="E5820" t="s">
        <v>17434</v>
      </c>
    </row>
    <row r="5821" spans="1:5" x14ac:dyDescent="0.2">
      <c r="A5821" t="s">
        <v>17435</v>
      </c>
      <c r="B5821" t="s">
        <v>17436</v>
      </c>
      <c r="C5821" t="s">
        <v>17436</v>
      </c>
      <c r="D5821" t="str">
        <f>HYPERLINK("https://zfin.org/ZDB-GENE-030131-6256")</f>
        <v>https://zfin.org/ZDB-GENE-030131-6256</v>
      </c>
      <c r="E5821" t="s">
        <v>17437</v>
      </c>
    </row>
    <row r="5822" spans="1:5" x14ac:dyDescent="0.2">
      <c r="A5822" t="s">
        <v>17438</v>
      </c>
      <c r="B5822" t="s">
        <v>17439</v>
      </c>
      <c r="C5822" t="s">
        <v>17439</v>
      </c>
      <c r="D5822" t="str">
        <f>HYPERLINK("https://zfin.org/ZDB-GENE-030131-6725")</f>
        <v>https://zfin.org/ZDB-GENE-030131-6725</v>
      </c>
      <c r="E5822" t="s">
        <v>17440</v>
      </c>
    </row>
    <row r="5823" spans="1:5" x14ac:dyDescent="0.2">
      <c r="A5823" t="s">
        <v>17441</v>
      </c>
      <c r="B5823" t="s">
        <v>17442</v>
      </c>
      <c r="C5823" t="s">
        <v>17442</v>
      </c>
      <c r="D5823" t="str">
        <f>HYPERLINK("https://zfin.org/ZDB-GENE-050227-18")</f>
        <v>https://zfin.org/ZDB-GENE-050227-18</v>
      </c>
      <c r="E5823" t="s">
        <v>17443</v>
      </c>
    </row>
    <row r="5824" spans="1:5" x14ac:dyDescent="0.2">
      <c r="A5824" t="s">
        <v>17444</v>
      </c>
      <c r="B5824" t="s">
        <v>17445</v>
      </c>
      <c r="C5824" t="s">
        <v>17445</v>
      </c>
      <c r="D5824" t="str">
        <f>HYPERLINK("https://zfin.org/ZDB-GENE-050706-110")</f>
        <v>https://zfin.org/ZDB-GENE-050706-110</v>
      </c>
      <c r="E5824" t="s">
        <v>17446</v>
      </c>
    </row>
    <row r="5825" spans="1:5" x14ac:dyDescent="0.2">
      <c r="A5825" t="s">
        <v>17447</v>
      </c>
      <c r="B5825" t="s">
        <v>17448</v>
      </c>
      <c r="C5825" t="s">
        <v>17448</v>
      </c>
      <c r="D5825" t="str">
        <f>HYPERLINK("https://zfin.org/ZDB-GENE-071004-94")</f>
        <v>https://zfin.org/ZDB-GENE-071004-94</v>
      </c>
      <c r="E5825" t="s">
        <v>17449</v>
      </c>
    </row>
    <row r="5826" spans="1:5" x14ac:dyDescent="0.2">
      <c r="A5826" t="s">
        <v>17450</v>
      </c>
      <c r="B5826" t="s">
        <v>17451</v>
      </c>
      <c r="C5826" t="s">
        <v>17451</v>
      </c>
      <c r="D5826" t="str">
        <f>HYPERLINK("https://zfin.org/ZDB-GENE-040426-2483")</f>
        <v>https://zfin.org/ZDB-GENE-040426-2483</v>
      </c>
      <c r="E5826" t="s">
        <v>17452</v>
      </c>
    </row>
    <row r="5827" spans="1:5" x14ac:dyDescent="0.2">
      <c r="A5827" t="s">
        <v>17453</v>
      </c>
      <c r="B5827" t="s">
        <v>17454</v>
      </c>
      <c r="C5827" t="s">
        <v>17454</v>
      </c>
      <c r="D5827" t="str">
        <f>HYPERLINK("https://zfin.org/ZDB-GENE-030131-8085")</f>
        <v>https://zfin.org/ZDB-GENE-030131-8085</v>
      </c>
      <c r="E5827" t="s">
        <v>17455</v>
      </c>
    </row>
    <row r="5828" spans="1:5" x14ac:dyDescent="0.2">
      <c r="A5828" t="s">
        <v>17456</v>
      </c>
      <c r="B5828" t="s">
        <v>17457</v>
      </c>
      <c r="C5828" t="s">
        <v>17457</v>
      </c>
      <c r="D5828" t="str">
        <f>HYPERLINK("https://zfin.org/ZDB-GENE-070424-89")</f>
        <v>https://zfin.org/ZDB-GENE-070424-89</v>
      </c>
      <c r="E5828" t="s">
        <v>17458</v>
      </c>
    </row>
    <row r="5829" spans="1:5" x14ac:dyDescent="0.2">
      <c r="A5829" t="s">
        <v>17459</v>
      </c>
      <c r="B5829" t="s">
        <v>17460</v>
      </c>
      <c r="C5829" t="s">
        <v>17460</v>
      </c>
      <c r="D5829" t="str">
        <f>HYPERLINK("https://zfin.org/ZDB-GENE-060209-3")</f>
        <v>https://zfin.org/ZDB-GENE-060209-3</v>
      </c>
      <c r="E5829" t="s">
        <v>17461</v>
      </c>
    </row>
    <row r="5830" spans="1:5" x14ac:dyDescent="0.2">
      <c r="A5830" t="s">
        <v>17462</v>
      </c>
      <c r="B5830" t="s">
        <v>17463</v>
      </c>
      <c r="C5830" t="s">
        <v>17463</v>
      </c>
      <c r="D5830" t="str">
        <f>HYPERLINK("https://zfin.org/ZDB-GENE-041010-217")</f>
        <v>https://zfin.org/ZDB-GENE-041010-217</v>
      </c>
      <c r="E5830" t="s">
        <v>17464</v>
      </c>
    </row>
    <row r="5831" spans="1:5" x14ac:dyDescent="0.2">
      <c r="A5831" t="s">
        <v>17465</v>
      </c>
      <c r="B5831" t="s">
        <v>17466</v>
      </c>
      <c r="C5831" t="s">
        <v>17466</v>
      </c>
      <c r="D5831" t="str">
        <f>HYPERLINK("https://zfin.org/ZDB-GENE-010319-35")</f>
        <v>https://zfin.org/ZDB-GENE-010319-35</v>
      </c>
      <c r="E5831" t="s">
        <v>17467</v>
      </c>
    </row>
    <row r="5832" spans="1:5" x14ac:dyDescent="0.2">
      <c r="A5832" t="s">
        <v>17468</v>
      </c>
      <c r="B5832" t="s">
        <v>17469</v>
      </c>
      <c r="C5832" t="s">
        <v>17469</v>
      </c>
      <c r="D5832" t="str">
        <f>HYPERLINK("https://zfin.org/ZDB-GENE-030131-3087")</f>
        <v>https://zfin.org/ZDB-GENE-030131-3087</v>
      </c>
      <c r="E5832" t="s">
        <v>17470</v>
      </c>
    </row>
    <row r="5833" spans="1:5" x14ac:dyDescent="0.2">
      <c r="A5833" t="s">
        <v>17471</v>
      </c>
      <c r="B5833" t="s">
        <v>17472</v>
      </c>
      <c r="C5833" t="s">
        <v>17472</v>
      </c>
      <c r="D5833" t="str">
        <f>HYPERLINK("https://zfin.org/ZDB-GENE-040426-1363")</f>
        <v>https://zfin.org/ZDB-GENE-040426-1363</v>
      </c>
      <c r="E5833" t="s">
        <v>17473</v>
      </c>
    </row>
    <row r="5834" spans="1:5" x14ac:dyDescent="0.2">
      <c r="A5834" t="s">
        <v>17474</v>
      </c>
      <c r="B5834" t="s">
        <v>17475</v>
      </c>
      <c r="C5834" t="s">
        <v>17475</v>
      </c>
      <c r="D5834" t="str">
        <f>HYPERLINK("https://zfin.org/")</f>
        <v>https://zfin.org/</v>
      </c>
    </row>
    <row r="5835" spans="1:5" x14ac:dyDescent="0.2">
      <c r="A5835" t="s">
        <v>17476</v>
      </c>
      <c r="B5835" t="s">
        <v>17477</v>
      </c>
      <c r="C5835" t="s">
        <v>17477</v>
      </c>
      <c r="D5835" t="str">
        <f>HYPERLINK("https://zfin.org/ZDB-GENE-110914-10")</f>
        <v>https://zfin.org/ZDB-GENE-110914-10</v>
      </c>
      <c r="E5835" t="s">
        <v>17478</v>
      </c>
    </row>
    <row r="5836" spans="1:5" x14ac:dyDescent="0.2">
      <c r="A5836" t="s">
        <v>17479</v>
      </c>
      <c r="B5836" t="s">
        <v>17480</v>
      </c>
      <c r="C5836" t="s">
        <v>17480</v>
      </c>
      <c r="D5836" t="str">
        <f>HYPERLINK("https://zfin.org/ZDB-GENE-050208-270")</f>
        <v>https://zfin.org/ZDB-GENE-050208-270</v>
      </c>
      <c r="E5836" t="s">
        <v>17481</v>
      </c>
    </row>
    <row r="5837" spans="1:5" x14ac:dyDescent="0.2">
      <c r="A5837" t="s">
        <v>17482</v>
      </c>
      <c r="B5837" t="s">
        <v>17483</v>
      </c>
      <c r="C5837" t="s">
        <v>17483</v>
      </c>
      <c r="D5837" t="str">
        <f>HYPERLINK("https://zfin.org/ZDB-GENE-110914-32")</f>
        <v>https://zfin.org/ZDB-GENE-110914-32</v>
      </c>
      <c r="E5837" t="s">
        <v>17484</v>
      </c>
    </row>
    <row r="5838" spans="1:5" x14ac:dyDescent="0.2">
      <c r="A5838" t="s">
        <v>17485</v>
      </c>
      <c r="B5838" t="s">
        <v>17475</v>
      </c>
      <c r="C5838" t="s">
        <v>17486</v>
      </c>
      <c r="D5838" t="str">
        <f>HYPERLINK("https://zfin.org/ZDB-GENE-030131-7281")</f>
        <v>https://zfin.org/ZDB-GENE-030131-7281</v>
      </c>
      <c r="E5838" t="s">
        <v>17487</v>
      </c>
    </row>
    <row r="5839" spans="1:5" x14ac:dyDescent="0.2">
      <c r="A5839" t="s">
        <v>17488</v>
      </c>
      <c r="B5839" t="s">
        <v>17489</v>
      </c>
      <c r="C5839" t="s">
        <v>17489</v>
      </c>
      <c r="D5839" t="str">
        <f>HYPERLINK("https://zfin.org/ZDB-GENE-020814-1")</f>
        <v>https://zfin.org/ZDB-GENE-020814-1</v>
      </c>
      <c r="E5839" t="s">
        <v>17490</v>
      </c>
    </row>
    <row r="5840" spans="1:5" x14ac:dyDescent="0.2">
      <c r="A5840" t="s">
        <v>17491</v>
      </c>
      <c r="B5840" t="s">
        <v>17492</v>
      </c>
      <c r="C5840" t="s">
        <v>17492</v>
      </c>
      <c r="D5840" t="str">
        <f>HYPERLINK("https://zfin.org/ZDB-GENE-110913-165")</f>
        <v>https://zfin.org/ZDB-GENE-110913-165</v>
      </c>
      <c r="E5840" t="s">
        <v>17493</v>
      </c>
    </row>
    <row r="5841" spans="1:5" x14ac:dyDescent="0.2">
      <c r="A5841" t="s">
        <v>17494</v>
      </c>
      <c r="B5841" t="s">
        <v>17495</v>
      </c>
      <c r="C5841" t="s">
        <v>17495</v>
      </c>
      <c r="D5841" t="str">
        <f>HYPERLINK("https://zfin.org/ZDB-GENE-060503-906")</f>
        <v>https://zfin.org/ZDB-GENE-060503-906</v>
      </c>
      <c r="E5841" t="s">
        <v>17496</v>
      </c>
    </row>
    <row r="5842" spans="1:5" x14ac:dyDescent="0.2">
      <c r="A5842" t="s">
        <v>17497</v>
      </c>
      <c r="B5842" t="s">
        <v>17498</v>
      </c>
      <c r="C5842" t="s">
        <v>17498</v>
      </c>
      <c r="D5842" t="str">
        <f>HYPERLINK("https://zfin.org/ZDB-GENE-090313-190")</f>
        <v>https://zfin.org/ZDB-GENE-090313-190</v>
      </c>
      <c r="E5842" t="s">
        <v>17499</v>
      </c>
    </row>
    <row r="5843" spans="1:5" x14ac:dyDescent="0.2">
      <c r="A5843" t="s">
        <v>17500</v>
      </c>
      <c r="B5843" t="s">
        <v>17433</v>
      </c>
      <c r="C5843" t="s">
        <v>17501</v>
      </c>
      <c r="D5843" t="str">
        <f>HYPERLINK("https://zfin.org/ZDB-GENE-050904-4")</f>
        <v>https://zfin.org/ZDB-GENE-050904-4</v>
      </c>
      <c r="E5843" t="s">
        <v>17434</v>
      </c>
    </row>
    <row r="5844" spans="1:5" x14ac:dyDescent="0.2">
      <c r="A5844" t="s">
        <v>17502</v>
      </c>
      <c r="B5844" t="s">
        <v>17503</v>
      </c>
      <c r="C5844" t="s">
        <v>17503</v>
      </c>
      <c r="D5844" t="str">
        <f>HYPERLINK("https://zfin.org/ZDB-GENE-051113-120")</f>
        <v>https://zfin.org/ZDB-GENE-051113-120</v>
      </c>
      <c r="E5844" t="s">
        <v>17504</v>
      </c>
    </row>
    <row r="5845" spans="1:5" x14ac:dyDescent="0.2">
      <c r="A5845" t="s">
        <v>17505</v>
      </c>
      <c r="B5845" t="s">
        <v>17506</v>
      </c>
      <c r="C5845" t="s">
        <v>17506</v>
      </c>
      <c r="D5845" t="str">
        <f>HYPERLINK("https://zfin.org/ZDB-GENE-071119-3")</f>
        <v>https://zfin.org/ZDB-GENE-071119-3</v>
      </c>
      <c r="E5845" t="s">
        <v>17507</v>
      </c>
    </row>
    <row r="5846" spans="1:5" x14ac:dyDescent="0.2">
      <c r="A5846" t="s">
        <v>17508</v>
      </c>
      <c r="B5846" t="s">
        <v>17509</v>
      </c>
      <c r="C5846" t="s">
        <v>17509</v>
      </c>
      <c r="D5846" t="str">
        <f>HYPERLINK("https://zfin.org/ZDB-GENE-110913-84")</f>
        <v>https://zfin.org/ZDB-GENE-110913-84</v>
      </c>
      <c r="E5846" t="s">
        <v>17510</v>
      </c>
    </row>
    <row r="5847" spans="1:5" x14ac:dyDescent="0.2">
      <c r="A5847" t="s">
        <v>17511</v>
      </c>
      <c r="B5847" t="s">
        <v>17512</v>
      </c>
      <c r="C5847" t="s">
        <v>17512</v>
      </c>
      <c r="D5847" t="str">
        <f>HYPERLINK("https://zfin.org/ZDB-GENE-050306-4")</f>
        <v>https://zfin.org/ZDB-GENE-050306-4</v>
      </c>
      <c r="E5847" t="s">
        <v>17513</v>
      </c>
    </row>
    <row r="5848" spans="1:5" x14ac:dyDescent="0.2">
      <c r="A5848" t="s">
        <v>17514</v>
      </c>
      <c r="B5848" t="s">
        <v>17515</v>
      </c>
      <c r="C5848" t="s">
        <v>17515</v>
      </c>
      <c r="D5848" t="str">
        <f>HYPERLINK("https://zfin.org/ZDB-GENE-041210-177")</f>
        <v>https://zfin.org/ZDB-GENE-041210-177</v>
      </c>
      <c r="E5848" t="s">
        <v>17516</v>
      </c>
    </row>
    <row r="5849" spans="1:5" x14ac:dyDescent="0.2">
      <c r="A5849" t="s">
        <v>17517</v>
      </c>
      <c r="B5849" t="s">
        <v>17518</v>
      </c>
      <c r="C5849" t="s">
        <v>17518</v>
      </c>
      <c r="D5849" t="str">
        <f>HYPERLINK("https://zfin.org/ZDB-GENE-990415-51")</f>
        <v>https://zfin.org/ZDB-GENE-990415-51</v>
      </c>
      <c r="E5849" t="s">
        <v>17519</v>
      </c>
    </row>
    <row r="5850" spans="1:5" x14ac:dyDescent="0.2">
      <c r="A5850" t="s">
        <v>17520</v>
      </c>
      <c r="B5850" t="s">
        <v>17521</v>
      </c>
      <c r="C5850" t="s">
        <v>17521</v>
      </c>
      <c r="D5850" t="str">
        <f>HYPERLINK("https://zfin.org/ZDB-GENE-040808-14")</f>
        <v>https://zfin.org/ZDB-GENE-040808-14</v>
      </c>
      <c r="E5850" t="s">
        <v>17522</v>
      </c>
    </row>
    <row r="5851" spans="1:5" x14ac:dyDescent="0.2">
      <c r="A5851" t="s">
        <v>17523</v>
      </c>
      <c r="B5851" t="s">
        <v>17524</v>
      </c>
      <c r="C5851" t="s">
        <v>17524</v>
      </c>
      <c r="D5851" t="str">
        <f>HYPERLINK("https://zfin.org/ZDB-GENE-020717-1")</f>
        <v>https://zfin.org/ZDB-GENE-020717-1</v>
      </c>
      <c r="E5851" t="s">
        <v>17525</v>
      </c>
    </row>
    <row r="5852" spans="1:5" x14ac:dyDescent="0.2">
      <c r="A5852" t="s">
        <v>17526</v>
      </c>
      <c r="B5852" t="s">
        <v>17527</v>
      </c>
      <c r="C5852" t="s">
        <v>17527</v>
      </c>
      <c r="D5852" t="str">
        <f>HYPERLINK("https://zfin.org/ZDB-GENE-070620-10")</f>
        <v>https://zfin.org/ZDB-GENE-070620-10</v>
      </c>
      <c r="E5852" t="s">
        <v>17528</v>
      </c>
    </row>
    <row r="5853" spans="1:5" x14ac:dyDescent="0.2">
      <c r="A5853" t="s">
        <v>17529</v>
      </c>
      <c r="B5853" t="s">
        <v>17530</v>
      </c>
      <c r="C5853" t="s">
        <v>17530</v>
      </c>
      <c r="D5853" t="str">
        <f>HYPERLINK("https://zfin.org/ZDB-GENE-110411-147")</f>
        <v>https://zfin.org/ZDB-GENE-110411-147</v>
      </c>
      <c r="E5853" t="s">
        <v>17531</v>
      </c>
    </row>
    <row r="5854" spans="1:5" x14ac:dyDescent="0.2">
      <c r="A5854" t="s">
        <v>17532</v>
      </c>
      <c r="B5854" t="s">
        <v>17533</v>
      </c>
      <c r="C5854" t="s">
        <v>17533</v>
      </c>
      <c r="D5854" t="str">
        <f>HYPERLINK("https://zfin.org/ZDB-GENE-081104-422")</f>
        <v>https://zfin.org/ZDB-GENE-081104-422</v>
      </c>
      <c r="E5854" t="s">
        <v>17534</v>
      </c>
    </row>
    <row r="5855" spans="1:5" x14ac:dyDescent="0.2">
      <c r="A5855" t="s">
        <v>17535</v>
      </c>
      <c r="B5855" t="s">
        <v>17536</v>
      </c>
      <c r="C5855" t="s">
        <v>17536</v>
      </c>
      <c r="D5855" t="str">
        <f>HYPERLINK("https://zfin.org/ZDB-GENE-040426-2901")</f>
        <v>https://zfin.org/ZDB-GENE-040426-2901</v>
      </c>
      <c r="E5855" t="s">
        <v>17537</v>
      </c>
    </row>
    <row r="5856" spans="1:5" x14ac:dyDescent="0.2">
      <c r="A5856" t="s">
        <v>17538</v>
      </c>
      <c r="B5856" t="s">
        <v>17539</v>
      </c>
      <c r="C5856" t="s">
        <v>17539</v>
      </c>
      <c r="D5856" t="str">
        <f>HYPERLINK("https://zfin.org/ZDB-GENE-100922-224")</f>
        <v>https://zfin.org/ZDB-GENE-100922-224</v>
      </c>
      <c r="E5856" t="s">
        <v>17540</v>
      </c>
    </row>
    <row r="5857" spans="1:5" x14ac:dyDescent="0.2">
      <c r="A5857" t="s">
        <v>17541</v>
      </c>
      <c r="B5857" t="s">
        <v>17542</v>
      </c>
      <c r="C5857" t="s">
        <v>17542</v>
      </c>
      <c r="D5857" t="str">
        <f>HYPERLINK("https://zfin.org/ZDB-GENE-131119-41")</f>
        <v>https://zfin.org/ZDB-GENE-131119-41</v>
      </c>
      <c r="E5857" t="s">
        <v>17543</v>
      </c>
    </row>
    <row r="5858" spans="1:5" x14ac:dyDescent="0.2">
      <c r="A5858" t="s">
        <v>17544</v>
      </c>
      <c r="B5858" t="s">
        <v>17545</v>
      </c>
      <c r="C5858" t="s">
        <v>17545</v>
      </c>
      <c r="D5858" t="str">
        <f>HYPERLINK("https://zfin.org/ZDB-GENE-060503-303")</f>
        <v>https://zfin.org/ZDB-GENE-060503-303</v>
      </c>
      <c r="E5858" t="s">
        <v>17546</v>
      </c>
    </row>
    <row r="5859" spans="1:5" x14ac:dyDescent="0.2">
      <c r="A5859" t="s">
        <v>17547</v>
      </c>
      <c r="B5859" t="s">
        <v>17548</v>
      </c>
      <c r="C5859" t="s">
        <v>17548</v>
      </c>
      <c r="D5859" t="str">
        <f>HYPERLINK("https://zfin.org/ZDB-GENE-110411-241")</f>
        <v>https://zfin.org/ZDB-GENE-110411-241</v>
      </c>
      <c r="E5859" t="s">
        <v>17549</v>
      </c>
    </row>
    <row r="5860" spans="1:5" x14ac:dyDescent="0.2">
      <c r="A5860" t="s">
        <v>17550</v>
      </c>
      <c r="B5860" t="s">
        <v>17551</v>
      </c>
      <c r="C5860" t="s">
        <v>17551</v>
      </c>
      <c r="D5860" t="str">
        <f>HYPERLINK("https://zfin.org/ZDB-GENE-061103-613")</f>
        <v>https://zfin.org/ZDB-GENE-061103-613</v>
      </c>
      <c r="E5860" t="s">
        <v>17552</v>
      </c>
    </row>
    <row r="5861" spans="1:5" x14ac:dyDescent="0.2">
      <c r="A5861" t="s">
        <v>17553</v>
      </c>
      <c r="B5861" t="s">
        <v>17554</v>
      </c>
      <c r="C5861" t="s">
        <v>17554</v>
      </c>
      <c r="D5861" t="str">
        <f>HYPERLINK("https://zfin.org/ZDB-GENE-030131-2023")</f>
        <v>https://zfin.org/ZDB-GENE-030131-2023</v>
      </c>
      <c r="E5861" t="s">
        <v>17555</v>
      </c>
    </row>
    <row r="5862" spans="1:5" x14ac:dyDescent="0.2">
      <c r="A5862" t="s">
        <v>17556</v>
      </c>
      <c r="B5862" t="s">
        <v>17557</v>
      </c>
      <c r="C5862" t="s">
        <v>17557</v>
      </c>
      <c r="D5862" t="str">
        <f>HYPERLINK("https://zfin.org/ZDB-GENE-030131-2025")</f>
        <v>https://zfin.org/ZDB-GENE-030131-2025</v>
      </c>
      <c r="E5862" t="s">
        <v>17558</v>
      </c>
    </row>
    <row r="5863" spans="1:5" x14ac:dyDescent="0.2">
      <c r="A5863" t="s">
        <v>17559</v>
      </c>
      <c r="B5863" t="s">
        <v>17560</v>
      </c>
      <c r="C5863" t="s">
        <v>17560</v>
      </c>
      <c r="D5863" t="str">
        <f>HYPERLINK("https://zfin.org/ZDB-GENE-070629-2")</f>
        <v>https://zfin.org/ZDB-GENE-070629-2</v>
      </c>
      <c r="E5863" t="s">
        <v>17561</v>
      </c>
    </row>
    <row r="5864" spans="1:5" x14ac:dyDescent="0.2">
      <c r="A5864" t="s">
        <v>17562</v>
      </c>
      <c r="B5864" t="s">
        <v>17563</v>
      </c>
      <c r="C5864" t="s">
        <v>17563</v>
      </c>
      <c r="D5864" t="str">
        <f>HYPERLINK("https://zfin.org/ZDB-GENE-041210-117")</f>
        <v>https://zfin.org/ZDB-GENE-041210-117</v>
      </c>
      <c r="E5864" t="s">
        <v>17564</v>
      </c>
    </row>
    <row r="5865" spans="1:5" x14ac:dyDescent="0.2">
      <c r="A5865" t="s">
        <v>17565</v>
      </c>
      <c r="B5865" t="s">
        <v>17566</v>
      </c>
      <c r="C5865" t="s">
        <v>17566</v>
      </c>
      <c r="D5865" t="str">
        <f>HYPERLINK("https://zfin.org/ZDB-GENE-050522-40")</f>
        <v>https://zfin.org/ZDB-GENE-050522-40</v>
      </c>
      <c r="E5865" t="s">
        <v>17567</v>
      </c>
    </row>
    <row r="5866" spans="1:5" x14ac:dyDescent="0.2">
      <c r="A5866" t="s">
        <v>17568</v>
      </c>
      <c r="B5866" t="s">
        <v>17569</v>
      </c>
      <c r="C5866" t="s">
        <v>17569</v>
      </c>
      <c r="D5866" t="str">
        <f>HYPERLINK("https://zfin.org/ZDB-GENE-030131-9455")</f>
        <v>https://zfin.org/ZDB-GENE-030131-9455</v>
      </c>
      <c r="E5866" t="s">
        <v>17570</v>
      </c>
    </row>
    <row r="5867" spans="1:5" x14ac:dyDescent="0.2">
      <c r="A5867" t="s">
        <v>17571</v>
      </c>
      <c r="B5867" t="s">
        <v>17572</v>
      </c>
      <c r="C5867" t="s">
        <v>17572</v>
      </c>
      <c r="D5867" t="str">
        <f>HYPERLINK("https://zfin.org/ZDB-GENE-050522-422")</f>
        <v>https://zfin.org/ZDB-GENE-050522-422</v>
      </c>
      <c r="E5867" t="s">
        <v>17573</v>
      </c>
    </row>
    <row r="5868" spans="1:5" x14ac:dyDescent="0.2">
      <c r="A5868" t="s">
        <v>17574</v>
      </c>
      <c r="B5868" t="s">
        <v>17575</v>
      </c>
      <c r="C5868" t="s">
        <v>17575</v>
      </c>
      <c r="D5868" t="str">
        <f>HYPERLINK("https://zfin.org/ZDB-GENE-040426-995")</f>
        <v>https://zfin.org/ZDB-GENE-040426-995</v>
      </c>
      <c r="E5868" t="s">
        <v>17576</v>
      </c>
    </row>
    <row r="5869" spans="1:5" x14ac:dyDescent="0.2">
      <c r="A5869" t="s">
        <v>17577</v>
      </c>
      <c r="B5869" t="s">
        <v>17578</v>
      </c>
      <c r="C5869" t="s">
        <v>17578</v>
      </c>
      <c r="D5869" t="str">
        <f>HYPERLINK("https://zfin.org/ZDB-GENE-050208-622")</f>
        <v>https://zfin.org/ZDB-GENE-050208-622</v>
      </c>
      <c r="E5869" t="s">
        <v>17579</v>
      </c>
    </row>
    <row r="5870" spans="1:5" x14ac:dyDescent="0.2">
      <c r="A5870" t="s">
        <v>17580</v>
      </c>
      <c r="B5870" t="s">
        <v>17581</v>
      </c>
      <c r="C5870" t="s">
        <v>17581</v>
      </c>
      <c r="D5870" t="str">
        <f>HYPERLINK("https://zfin.org/ZDB-GENE-060503-400")</f>
        <v>https://zfin.org/ZDB-GENE-060503-400</v>
      </c>
      <c r="E5870" t="s">
        <v>17582</v>
      </c>
    </row>
    <row r="5871" spans="1:5" x14ac:dyDescent="0.2">
      <c r="A5871" t="s">
        <v>17583</v>
      </c>
      <c r="B5871" t="s">
        <v>17584</v>
      </c>
      <c r="C5871" t="s">
        <v>17584</v>
      </c>
      <c r="D5871" t="str">
        <f>HYPERLINK("https://zfin.org/ZDB-GENE-091204-125")</f>
        <v>https://zfin.org/ZDB-GENE-091204-125</v>
      </c>
      <c r="E5871" t="s">
        <v>17585</v>
      </c>
    </row>
    <row r="5872" spans="1:5" x14ac:dyDescent="0.2">
      <c r="A5872" t="s">
        <v>17586</v>
      </c>
      <c r="B5872" t="s">
        <v>17587</v>
      </c>
      <c r="C5872" t="s">
        <v>17587</v>
      </c>
      <c r="D5872" t="str">
        <f>HYPERLINK("https://zfin.org/ZDB-GENE-061013-95")</f>
        <v>https://zfin.org/ZDB-GENE-061013-95</v>
      </c>
      <c r="E5872" t="s">
        <v>17588</v>
      </c>
    </row>
    <row r="5873" spans="1:5" x14ac:dyDescent="0.2">
      <c r="A5873" t="s">
        <v>17589</v>
      </c>
      <c r="B5873" t="s">
        <v>17590</v>
      </c>
      <c r="C5873" t="s">
        <v>17590</v>
      </c>
      <c r="D5873" t="str">
        <f>HYPERLINK("https://zfin.org/ZDB-GENE-030131-9099")</f>
        <v>https://zfin.org/ZDB-GENE-030131-9099</v>
      </c>
      <c r="E5873" t="s">
        <v>17591</v>
      </c>
    </row>
    <row r="5874" spans="1:5" x14ac:dyDescent="0.2">
      <c r="A5874" t="s">
        <v>17592</v>
      </c>
      <c r="B5874" t="s">
        <v>17593</v>
      </c>
      <c r="C5874" t="s">
        <v>17593</v>
      </c>
      <c r="D5874" t="str">
        <f>HYPERLINK("https://zfin.org/ZDB-GENE-131122-62")</f>
        <v>https://zfin.org/ZDB-GENE-131122-62</v>
      </c>
      <c r="E5874" t="s">
        <v>17594</v>
      </c>
    </row>
    <row r="5875" spans="1:5" x14ac:dyDescent="0.2">
      <c r="A5875" t="s">
        <v>17595</v>
      </c>
      <c r="B5875" t="s">
        <v>17596</v>
      </c>
      <c r="C5875" t="s">
        <v>17596</v>
      </c>
      <c r="D5875" t="str">
        <f>HYPERLINK("https://zfin.org/ZDB-GENE-040426-2595")</f>
        <v>https://zfin.org/ZDB-GENE-040426-2595</v>
      </c>
      <c r="E5875" t="s">
        <v>17597</v>
      </c>
    </row>
    <row r="5876" spans="1:5" x14ac:dyDescent="0.2">
      <c r="A5876" t="s">
        <v>17598</v>
      </c>
      <c r="B5876" t="s">
        <v>17599</v>
      </c>
      <c r="C5876" t="s">
        <v>17599</v>
      </c>
      <c r="D5876" t="str">
        <f>HYPERLINK("https://zfin.org/ZDB-GENE-040426-1727")</f>
        <v>https://zfin.org/ZDB-GENE-040426-1727</v>
      </c>
      <c r="E5876" t="s">
        <v>17600</v>
      </c>
    </row>
    <row r="5877" spans="1:5" x14ac:dyDescent="0.2">
      <c r="A5877" t="s">
        <v>17601</v>
      </c>
      <c r="B5877" t="s">
        <v>17602</v>
      </c>
      <c r="C5877" t="s">
        <v>17602</v>
      </c>
      <c r="D5877" t="str">
        <f>HYPERLINK("https://zfin.org/ZDB-GENE-050208-712")</f>
        <v>https://zfin.org/ZDB-GENE-050208-712</v>
      </c>
      <c r="E5877" t="s">
        <v>17603</v>
      </c>
    </row>
    <row r="5878" spans="1:5" x14ac:dyDescent="0.2">
      <c r="A5878" t="s">
        <v>17604</v>
      </c>
      <c r="B5878" t="s">
        <v>17605</v>
      </c>
      <c r="C5878" t="s">
        <v>17605</v>
      </c>
      <c r="D5878" t="str">
        <f>HYPERLINK("https://zfin.org/ZDB-GENE-030131-7038")</f>
        <v>https://zfin.org/ZDB-GENE-030131-7038</v>
      </c>
      <c r="E5878" t="s">
        <v>17606</v>
      </c>
    </row>
    <row r="5879" spans="1:5" x14ac:dyDescent="0.2">
      <c r="A5879" t="s">
        <v>17607</v>
      </c>
      <c r="B5879" t="s">
        <v>17608</v>
      </c>
      <c r="C5879" t="s">
        <v>17608</v>
      </c>
      <c r="D5879" t="str">
        <f>HYPERLINK("https://zfin.org/ZDB-GENE-050306-55")</f>
        <v>https://zfin.org/ZDB-GENE-050306-55</v>
      </c>
      <c r="E5879" t="s">
        <v>17609</v>
      </c>
    </row>
    <row r="5880" spans="1:5" x14ac:dyDescent="0.2">
      <c r="A5880" t="s">
        <v>17610</v>
      </c>
      <c r="B5880" t="s">
        <v>17611</v>
      </c>
      <c r="C5880" t="s">
        <v>17611</v>
      </c>
      <c r="D5880" t="str">
        <f>HYPERLINK("https://zfin.org/ZDB-GENE-040808-18")</f>
        <v>https://zfin.org/ZDB-GENE-040808-18</v>
      </c>
      <c r="E5880" t="s">
        <v>17612</v>
      </c>
    </row>
    <row r="5881" spans="1:5" x14ac:dyDescent="0.2">
      <c r="A5881" t="s">
        <v>17613</v>
      </c>
      <c r="B5881" t="s">
        <v>17614</v>
      </c>
      <c r="C5881" t="s">
        <v>17614</v>
      </c>
      <c r="D5881" t="str">
        <f>HYPERLINK("https://zfin.org/ZDB-GENE-031118-200")</f>
        <v>https://zfin.org/ZDB-GENE-031118-200</v>
      </c>
      <c r="E5881" t="s">
        <v>17615</v>
      </c>
    </row>
    <row r="5882" spans="1:5" x14ac:dyDescent="0.2">
      <c r="A5882" t="s">
        <v>17616</v>
      </c>
      <c r="B5882" t="s">
        <v>17617</v>
      </c>
      <c r="C5882" t="s">
        <v>17617</v>
      </c>
      <c r="D5882" t="str">
        <f>HYPERLINK("https://zfin.org/ZDB-GENE-060825-317")</f>
        <v>https://zfin.org/ZDB-GENE-060825-317</v>
      </c>
      <c r="E5882" t="s">
        <v>17618</v>
      </c>
    </row>
    <row r="5883" spans="1:5" x14ac:dyDescent="0.2">
      <c r="A5883" t="s">
        <v>17619</v>
      </c>
      <c r="B5883" t="s">
        <v>17620</v>
      </c>
      <c r="C5883" t="s">
        <v>17620</v>
      </c>
      <c r="D5883" t="str">
        <f>HYPERLINK("https://zfin.org/ZDB-GENE-070410-121")</f>
        <v>https://zfin.org/ZDB-GENE-070410-121</v>
      </c>
      <c r="E5883" t="s">
        <v>17621</v>
      </c>
    </row>
    <row r="5884" spans="1:5" x14ac:dyDescent="0.2">
      <c r="A5884" t="s">
        <v>17622</v>
      </c>
      <c r="B5884" t="s">
        <v>17623</v>
      </c>
      <c r="C5884" t="s">
        <v>17623</v>
      </c>
      <c r="D5884" t="str">
        <f>HYPERLINK("https://zfin.org/ZDB-GENE-080219-21")</f>
        <v>https://zfin.org/ZDB-GENE-080219-21</v>
      </c>
      <c r="E5884" t="s">
        <v>17624</v>
      </c>
    </row>
    <row r="5885" spans="1:5" x14ac:dyDescent="0.2">
      <c r="A5885" t="s">
        <v>17625</v>
      </c>
      <c r="B5885" t="s">
        <v>17626</v>
      </c>
      <c r="C5885" t="s">
        <v>17626</v>
      </c>
      <c r="D5885" t="str">
        <f>HYPERLINK("https://zfin.org/ZDB-GENE-010110-1")</f>
        <v>https://zfin.org/ZDB-GENE-010110-1</v>
      </c>
      <c r="E5885" t="s">
        <v>17627</v>
      </c>
    </row>
    <row r="5886" spans="1:5" x14ac:dyDescent="0.2">
      <c r="A5886" t="s">
        <v>17628</v>
      </c>
      <c r="B5886" t="s">
        <v>17629</v>
      </c>
      <c r="C5886" t="s">
        <v>17629</v>
      </c>
      <c r="D5886" t="str">
        <f>HYPERLINK("https://zfin.org/ZDB-GENE-030131-5378")</f>
        <v>https://zfin.org/ZDB-GENE-030131-5378</v>
      </c>
      <c r="E5886" t="s">
        <v>17630</v>
      </c>
    </row>
    <row r="5887" spans="1:5" x14ac:dyDescent="0.2">
      <c r="A5887" t="s">
        <v>17631</v>
      </c>
      <c r="B5887" t="s">
        <v>17632</v>
      </c>
      <c r="C5887" t="s">
        <v>17632</v>
      </c>
      <c r="D5887" t="str">
        <f>HYPERLINK("https://zfin.org/ZDB-GENE-061103-178")</f>
        <v>https://zfin.org/ZDB-GENE-061103-178</v>
      </c>
      <c r="E5887" t="s">
        <v>17633</v>
      </c>
    </row>
    <row r="5888" spans="1:5" x14ac:dyDescent="0.2">
      <c r="A5888" t="s">
        <v>17634</v>
      </c>
      <c r="B5888" t="s">
        <v>17635</v>
      </c>
      <c r="C5888" t="s">
        <v>17635</v>
      </c>
      <c r="D5888" t="str">
        <f>HYPERLINK("https://zfin.org/ZDB-GENE-030131-1827")</f>
        <v>https://zfin.org/ZDB-GENE-030131-1827</v>
      </c>
      <c r="E5888" t="s">
        <v>17636</v>
      </c>
    </row>
    <row r="5889" spans="1:5" x14ac:dyDescent="0.2">
      <c r="A5889" t="s">
        <v>17637</v>
      </c>
      <c r="B5889" t="s">
        <v>17638</v>
      </c>
      <c r="C5889" t="s">
        <v>17638</v>
      </c>
      <c r="D5889" t="str">
        <f>HYPERLINK("https://zfin.org/ZDB-GENE-081107-12")</f>
        <v>https://zfin.org/ZDB-GENE-081107-12</v>
      </c>
      <c r="E5889" t="s">
        <v>17639</v>
      </c>
    </row>
    <row r="5890" spans="1:5" x14ac:dyDescent="0.2">
      <c r="A5890" t="s">
        <v>17640</v>
      </c>
      <c r="B5890" t="s">
        <v>17641</v>
      </c>
      <c r="C5890" t="s">
        <v>17641</v>
      </c>
      <c r="D5890" t="str">
        <f>HYPERLINK("https://zfin.org/ZDB-GENE-040625-177")</f>
        <v>https://zfin.org/ZDB-GENE-040625-177</v>
      </c>
      <c r="E5890" t="s">
        <v>17642</v>
      </c>
    </row>
    <row r="5891" spans="1:5" x14ac:dyDescent="0.2">
      <c r="A5891" t="s">
        <v>17643</v>
      </c>
      <c r="B5891" t="s">
        <v>625</v>
      </c>
      <c r="C5891" t="s">
        <v>17644</v>
      </c>
      <c r="D5891" t="str">
        <f>HYPERLINK("https://zfin.org/ZDB-GENE-131127-89")</f>
        <v>https://zfin.org/ZDB-GENE-131127-89</v>
      </c>
      <c r="E5891" t="s">
        <v>17645</v>
      </c>
    </row>
    <row r="5892" spans="1:5" x14ac:dyDescent="0.2">
      <c r="A5892" t="s">
        <v>17646</v>
      </c>
      <c r="B5892" t="s">
        <v>17647</v>
      </c>
      <c r="C5892" t="s">
        <v>17647</v>
      </c>
      <c r="D5892" t="str">
        <f>HYPERLINK("https://zfin.org/ZDB-GENE-050208-803")</f>
        <v>https://zfin.org/ZDB-GENE-050208-803</v>
      </c>
      <c r="E5892" t="s">
        <v>17648</v>
      </c>
    </row>
    <row r="5893" spans="1:5" x14ac:dyDescent="0.2">
      <c r="A5893" t="s">
        <v>17649</v>
      </c>
      <c r="B5893" t="s">
        <v>17650</v>
      </c>
      <c r="C5893" t="s">
        <v>17650</v>
      </c>
      <c r="D5893" t="str">
        <f>HYPERLINK("https://zfin.org/ZDB-GENE-060503-716")</f>
        <v>https://zfin.org/ZDB-GENE-060503-716</v>
      </c>
      <c r="E5893" t="s">
        <v>17651</v>
      </c>
    </row>
    <row r="5894" spans="1:5" x14ac:dyDescent="0.2">
      <c r="A5894" t="s">
        <v>17652</v>
      </c>
      <c r="B5894" t="s">
        <v>17653</v>
      </c>
      <c r="C5894" t="s">
        <v>17653</v>
      </c>
      <c r="D5894" t="str">
        <f>HYPERLINK("https://zfin.org/ZDB-GENE-100921-27")</f>
        <v>https://zfin.org/ZDB-GENE-100921-27</v>
      </c>
      <c r="E5894" t="s">
        <v>17654</v>
      </c>
    </row>
    <row r="5895" spans="1:5" x14ac:dyDescent="0.2">
      <c r="A5895" t="s">
        <v>17655</v>
      </c>
      <c r="B5895" t="s">
        <v>17656</v>
      </c>
      <c r="C5895" t="s">
        <v>17656</v>
      </c>
      <c r="D5895" t="str">
        <f>HYPERLINK("https://zfin.org/ZDB-GENE-031205-1")</f>
        <v>https://zfin.org/ZDB-GENE-031205-1</v>
      </c>
      <c r="E5895" t="s">
        <v>17657</v>
      </c>
    </row>
    <row r="5896" spans="1:5" x14ac:dyDescent="0.2">
      <c r="A5896" t="s">
        <v>17658</v>
      </c>
      <c r="B5896" t="s">
        <v>17659</v>
      </c>
      <c r="C5896" t="s">
        <v>17659</v>
      </c>
      <c r="D5896" t="str">
        <f>HYPERLINK("https://zfin.org/ZDB-GENE-091204-385")</f>
        <v>https://zfin.org/ZDB-GENE-091204-385</v>
      </c>
      <c r="E5896" t="s">
        <v>17660</v>
      </c>
    </row>
    <row r="5897" spans="1:5" x14ac:dyDescent="0.2">
      <c r="A5897" t="s">
        <v>17661</v>
      </c>
      <c r="B5897" t="s">
        <v>17662</v>
      </c>
      <c r="C5897" t="s">
        <v>17662</v>
      </c>
      <c r="D5897" t="str">
        <f>HYPERLINK("https://zfin.org/ZDB-GENE-990415-93")</f>
        <v>https://zfin.org/ZDB-GENE-990415-93</v>
      </c>
      <c r="E5897" t="s">
        <v>17663</v>
      </c>
    </row>
    <row r="5898" spans="1:5" x14ac:dyDescent="0.2">
      <c r="A5898" t="s">
        <v>17664</v>
      </c>
      <c r="B5898" t="s">
        <v>17665</v>
      </c>
      <c r="C5898" t="s">
        <v>17665</v>
      </c>
      <c r="D5898" t="str">
        <f>HYPERLINK("https://zfin.org/ZDB-GENE-050419-78")</f>
        <v>https://zfin.org/ZDB-GENE-050419-78</v>
      </c>
      <c r="E5898" t="s">
        <v>17666</v>
      </c>
    </row>
    <row r="5899" spans="1:5" x14ac:dyDescent="0.2">
      <c r="A5899" t="s">
        <v>17667</v>
      </c>
      <c r="B5899" t="s">
        <v>17668</v>
      </c>
      <c r="C5899" t="s">
        <v>17668</v>
      </c>
      <c r="D5899" t="str">
        <f>HYPERLINK("https://zfin.org/ZDB-GENE-030521-29")</f>
        <v>https://zfin.org/ZDB-GENE-030521-29</v>
      </c>
      <c r="E5899" t="s">
        <v>17669</v>
      </c>
    </row>
    <row r="5900" spans="1:5" x14ac:dyDescent="0.2">
      <c r="A5900" t="s">
        <v>17670</v>
      </c>
      <c r="B5900" t="s">
        <v>17671</v>
      </c>
      <c r="C5900" t="s">
        <v>17671</v>
      </c>
      <c r="D5900" t="str">
        <f>HYPERLINK("https://zfin.org/ZDB-GENE-030131-8951")</f>
        <v>https://zfin.org/ZDB-GENE-030131-8951</v>
      </c>
      <c r="E5900" t="s">
        <v>17672</v>
      </c>
    </row>
    <row r="5901" spans="1:5" x14ac:dyDescent="0.2">
      <c r="A5901" t="s">
        <v>17673</v>
      </c>
      <c r="B5901" t="s">
        <v>17674</v>
      </c>
      <c r="C5901" t="s">
        <v>17674</v>
      </c>
      <c r="D5901" t="str">
        <f>HYPERLINK("https://zfin.org/ZDB-GENE-110815-1")</f>
        <v>https://zfin.org/ZDB-GENE-110815-1</v>
      </c>
      <c r="E5901" t="s">
        <v>17675</v>
      </c>
    </row>
    <row r="5902" spans="1:5" x14ac:dyDescent="0.2">
      <c r="A5902" t="s">
        <v>17676</v>
      </c>
      <c r="B5902" t="s">
        <v>17677</v>
      </c>
      <c r="C5902" t="s">
        <v>17677</v>
      </c>
      <c r="D5902" t="str">
        <f>HYPERLINK("https://zfin.org/ZDB-GENE-060929-1130")</f>
        <v>https://zfin.org/ZDB-GENE-060929-1130</v>
      </c>
      <c r="E5902" t="s">
        <v>17678</v>
      </c>
    </row>
    <row r="5903" spans="1:5" x14ac:dyDescent="0.2">
      <c r="A5903" t="s">
        <v>17679</v>
      </c>
      <c r="B5903" t="s">
        <v>17680</v>
      </c>
      <c r="C5903" t="s">
        <v>17680</v>
      </c>
      <c r="D5903" t="str">
        <f>HYPERLINK("https://zfin.org/ZDB-GENE-050420-351")</f>
        <v>https://zfin.org/ZDB-GENE-050420-351</v>
      </c>
      <c r="E5903" t="s">
        <v>17681</v>
      </c>
    </row>
    <row r="5904" spans="1:5" x14ac:dyDescent="0.2">
      <c r="A5904" t="s">
        <v>17682</v>
      </c>
      <c r="B5904" t="s">
        <v>17683</v>
      </c>
      <c r="C5904" t="s">
        <v>17683</v>
      </c>
      <c r="D5904" t="str">
        <f>HYPERLINK("https://zfin.org/ZDB-GENE-091204-463")</f>
        <v>https://zfin.org/ZDB-GENE-091204-463</v>
      </c>
      <c r="E5904" t="s">
        <v>17684</v>
      </c>
    </row>
    <row r="5905" spans="1:5" x14ac:dyDescent="0.2">
      <c r="A5905" t="s">
        <v>17685</v>
      </c>
      <c r="B5905" t="s">
        <v>17686</v>
      </c>
      <c r="C5905" t="s">
        <v>17686</v>
      </c>
      <c r="D5905" t="str">
        <f>HYPERLINK("https://zfin.org/ZDB-GENE-060503-618")</f>
        <v>https://zfin.org/ZDB-GENE-060503-618</v>
      </c>
      <c r="E5905" t="s">
        <v>17687</v>
      </c>
    </row>
    <row r="5906" spans="1:5" x14ac:dyDescent="0.2">
      <c r="A5906" t="s">
        <v>17688</v>
      </c>
      <c r="B5906" t="s">
        <v>17689</v>
      </c>
      <c r="C5906" t="s">
        <v>17689</v>
      </c>
      <c r="D5906" t="str">
        <f>HYPERLINK("https://zfin.org/ZDB-GENE-040426-1874")</f>
        <v>https://zfin.org/ZDB-GENE-040426-1874</v>
      </c>
      <c r="E5906" t="s">
        <v>17690</v>
      </c>
    </row>
    <row r="5907" spans="1:5" x14ac:dyDescent="0.2">
      <c r="A5907" t="s">
        <v>17691</v>
      </c>
      <c r="B5907" t="s">
        <v>17692</v>
      </c>
      <c r="C5907" t="s">
        <v>17692</v>
      </c>
      <c r="D5907" t="str">
        <f>HYPERLINK("https://zfin.org/ZDB-GENE-130531-15")</f>
        <v>https://zfin.org/ZDB-GENE-130531-15</v>
      </c>
      <c r="E5907" t="s">
        <v>17693</v>
      </c>
    </row>
    <row r="5908" spans="1:5" x14ac:dyDescent="0.2">
      <c r="A5908" t="s">
        <v>17694</v>
      </c>
      <c r="B5908" t="s">
        <v>17695</v>
      </c>
      <c r="C5908" t="s">
        <v>17695</v>
      </c>
      <c r="D5908" t="str">
        <f>HYPERLINK("https://zfin.org/ZDB-GENE-061013-532")</f>
        <v>https://zfin.org/ZDB-GENE-061013-532</v>
      </c>
      <c r="E5908" t="s">
        <v>17696</v>
      </c>
    </row>
    <row r="5909" spans="1:5" x14ac:dyDescent="0.2">
      <c r="A5909" t="s">
        <v>17697</v>
      </c>
      <c r="B5909" t="s">
        <v>17698</v>
      </c>
      <c r="C5909" t="s">
        <v>17698</v>
      </c>
      <c r="D5909" t="str">
        <f>HYPERLINK("https://zfin.org/ZDB-GENE-050302-10")</f>
        <v>https://zfin.org/ZDB-GENE-050302-10</v>
      </c>
      <c r="E5909" t="s">
        <v>17699</v>
      </c>
    </row>
    <row r="5910" spans="1:5" x14ac:dyDescent="0.2">
      <c r="A5910" t="s">
        <v>17700</v>
      </c>
      <c r="B5910" t="s">
        <v>17701</v>
      </c>
      <c r="C5910" t="s">
        <v>17701</v>
      </c>
      <c r="D5910" t="str">
        <f>HYPERLINK("https://zfin.org/ZDB-GENE-060503-712")</f>
        <v>https://zfin.org/ZDB-GENE-060503-712</v>
      </c>
      <c r="E5910" t="s">
        <v>17702</v>
      </c>
    </row>
    <row r="5911" spans="1:5" x14ac:dyDescent="0.2">
      <c r="A5911" t="s">
        <v>17703</v>
      </c>
      <c r="B5911" t="s">
        <v>17704</v>
      </c>
      <c r="C5911" t="s">
        <v>17704</v>
      </c>
      <c r="D5911" t="str">
        <f>HYPERLINK("https://zfin.org/ZDB-GENE-980526-137")</f>
        <v>https://zfin.org/ZDB-GENE-980526-137</v>
      </c>
      <c r="E5911" t="s">
        <v>17705</v>
      </c>
    </row>
    <row r="5912" spans="1:5" x14ac:dyDescent="0.2">
      <c r="A5912" t="s">
        <v>17706</v>
      </c>
      <c r="B5912" t="s">
        <v>17707</v>
      </c>
      <c r="C5912" t="s">
        <v>17707</v>
      </c>
      <c r="D5912" t="str">
        <f>HYPERLINK("https://zfin.org/ZDB-GENE-000511-3")</f>
        <v>https://zfin.org/ZDB-GENE-000511-3</v>
      </c>
      <c r="E5912" t="s">
        <v>17708</v>
      </c>
    </row>
    <row r="5913" spans="1:5" x14ac:dyDescent="0.2">
      <c r="A5913" t="s">
        <v>17709</v>
      </c>
      <c r="B5913" t="s">
        <v>17710</v>
      </c>
      <c r="C5913" t="s">
        <v>17710</v>
      </c>
      <c r="D5913" t="str">
        <f>HYPERLINK("https://zfin.org/ZDB-GENE-131121-270")</f>
        <v>https://zfin.org/ZDB-GENE-131121-270</v>
      </c>
      <c r="E5913" t="s">
        <v>17711</v>
      </c>
    </row>
    <row r="5914" spans="1:5" x14ac:dyDescent="0.2">
      <c r="A5914" t="s">
        <v>17712</v>
      </c>
      <c r="B5914" t="s">
        <v>17713</v>
      </c>
      <c r="C5914" t="s">
        <v>17713</v>
      </c>
      <c r="D5914" t="str">
        <f>HYPERLINK("https://zfin.org/ZDB-GENE-990415-244")</f>
        <v>https://zfin.org/ZDB-GENE-990415-244</v>
      </c>
      <c r="E5914" t="s">
        <v>17714</v>
      </c>
    </row>
    <row r="5915" spans="1:5" x14ac:dyDescent="0.2">
      <c r="A5915" t="s">
        <v>17715</v>
      </c>
      <c r="B5915" t="s">
        <v>17716</v>
      </c>
      <c r="C5915" t="s">
        <v>17716</v>
      </c>
      <c r="D5915" t="str">
        <f>HYPERLINK("https://zfin.org/ZDB-GENE-050417-359")</f>
        <v>https://zfin.org/ZDB-GENE-050417-359</v>
      </c>
      <c r="E5915" t="s">
        <v>17717</v>
      </c>
    </row>
    <row r="5916" spans="1:5" x14ac:dyDescent="0.2">
      <c r="A5916" t="s">
        <v>17718</v>
      </c>
      <c r="B5916" t="s">
        <v>17719</v>
      </c>
      <c r="C5916" t="s">
        <v>17719</v>
      </c>
      <c r="D5916" t="str">
        <f>HYPERLINK("https://zfin.org/ZDB-GENE-060503-812")</f>
        <v>https://zfin.org/ZDB-GENE-060503-812</v>
      </c>
      <c r="E5916" t="s">
        <v>17720</v>
      </c>
    </row>
    <row r="5917" spans="1:5" x14ac:dyDescent="0.2">
      <c r="A5917" t="s">
        <v>17721</v>
      </c>
      <c r="B5917" t="s">
        <v>17722</v>
      </c>
      <c r="C5917" t="s">
        <v>17722</v>
      </c>
      <c r="D5917" t="str">
        <f>HYPERLINK("https://zfin.org/ZDB-GENE-091204-420")</f>
        <v>https://zfin.org/ZDB-GENE-091204-420</v>
      </c>
      <c r="E5917" t="s">
        <v>17723</v>
      </c>
    </row>
    <row r="5918" spans="1:5" x14ac:dyDescent="0.2">
      <c r="A5918" t="s">
        <v>17724</v>
      </c>
      <c r="B5918" t="s">
        <v>17725</v>
      </c>
      <c r="C5918" t="s">
        <v>17725</v>
      </c>
      <c r="D5918" t="str">
        <f>HYPERLINK("https://zfin.org/ZDB-GENE-071004-21")</f>
        <v>https://zfin.org/ZDB-GENE-071004-21</v>
      </c>
      <c r="E5918" t="s">
        <v>17726</v>
      </c>
    </row>
    <row r="5919" spans="1:5" x14ac:dyDescent="0.2">
      <c r="A5919" t="s">
        <v>17727</v>
      </c>
      <c r="B5919" t="s">
        <v>17728</v>
      </c>
      <c r="C5919" t="s">
        <v>17728</v>
      </c>
      <c r="D5919" t="str">
        <f>HYPERLINK("https://zfin.org/ZDB-GENE-050417-18")</f>
        <v>https://zfin.org/ZDB-GENE-050417-18</v>
      </c>
      <c r="E5919" t="s">
        <v>17729</v>
      </c>
    </row>
    <row r="5920" spans="1:5" x14ac:dyDescent="0.2">
      <c r="A5920" t="s">
        <v>17730</v>
      </c>
      <c r="B5920" t="s">
        <v>17731</v>
      </c>
      <c r="C5920" t="s">
        <v>17731</v>
      </c>
      <c r="D5920" t="str">
        <f>HYPERLINK("https://zfin.org/ZDB-GENE-040715-7")</f>
        <v>https://zfin.org/ZDB-GENE-040715-7</v>
      </c>
      <c r="E5920" t="s">
        <v>17732</v>
      </c>
    </row>
    <row r="5921" spans="1:5" x14ac:dyDescent="0.2">
      <c r="A5921" t="s">
        <v>17733</v>
      </c>
      <c r="B5921" t="s">
        <v>17734</v>
      </c>
      <c r="C5921" t="s">
        <v>17734</v>
      </c>
      <c r="D5921" t="str">
        <f>HYPERLINK("https://zfin.org/ZDB-GENE-050913-39")</f>
        <v>https://zfin.org/ZDB-GENE-050913-39</v>
      </c>
      <c r="E5921" t="s">
        <v>17735</v>
      </c>
    </row>
    <row r="5922" spans="1:5" x14ac:dyDescent="0.2">
      <c r="A5922" t="s">
        <v>17736</v>
      </c>
      <c r="B5922" t="s">
        <v>17737</v>
      </c>
      <c r="C5922" t="s">
        <v>17737</v>
      </c>
      <c r="D5922" t="str">
        <f>HYPERLINK("https://zfin.org/ZDB-GENE-030131-7190")</f>
        <v>https://zfin.org/ZDB-GENE-030131-7190</v>
      </c>
      <c r="E5922" t="s">
        <v>17738</v>
      </c>
    </row>
    <row r="5923" spans="1:5" x14ac:dyDescent="0.2">
      <c r="A5923" t="s">
        <v>17739</v>
      </c>
      <c r="B5923" t="s">
        <v>17740</v>
      </c>
      <c r="C5923" t="s">
        <v>17740</v>
      </c>
      <c r="D5923" t="str">
        <f>HYPERLINK("https://zfin.org/ZDB-GENE-001127-2")</f>
        <v>https://zfin.org/ZDB-GENE-001127-2</v>
      </c>
      <c r="E5923" t="s">
        <v>17741</v>
      </c>
    </row>
    <row r="5924" spans="1:5" x14ac:dyDescent="0.2">
      <c r="A5924" t="s">
        <v>17742</v>
      </c>
      <c r="B5924" t="s">
        <v>17743</v>
      </c>
      <c r="C5924" t="s">
        <v>17743</v>
      </c>
      <c r="D5924" t="str">
        <f>HYPERLINK("https://zfin.org/ZDB-GENE-061013-727")</f>
        <v>https://zfin.org/ZDB-GENE-061013-727</v>
      </c>
      <c r="E5924" t="s">
        <v>17744</v>
      </c>
    </row>
    <row r="5925" spans="1:5" x14ac:dyDescent="0.2">
      <c r="A5925" t="s">
        <v>17745</v>
      </c>
      <c r="B5925" t="s">
        <v>17746</v>
      </c>
      <c r="C5925" t="s">
        <v>17746</v>
      </c>
      <c r="D5925" t="str">
        <f>HYPERLINK("https://zfin.org/ZDB-GENE-100910-3")</f>
        <v>https://zfin.org/ZDB-GENE-100910-3</v>
      </c>
      <c r="E5925" t="s">
        <v>17747</v>
      </c>
    </row>
    <row r="5926" spans="1:5" x14ac:dyDescent="0.2">
      <c r="A5926" t="s">
        <v>17748</v>
      </c>
      <c r="B5926" t="s">
        <v>17749</v>
      </c>
      <c r="C5926" t="s">
        <v>17749</v>
      </c>
      <c r="D5926" t="str">
        <f>HYPERLINK("https://zfin.org/ZDB-GENE-030131-8417")</f>
        <v>https://zfin.org/ZDB-GENE-030131-8417</v>
      </c>
      <c r="E5926" t="s">
        <v>17750</v>
      </c>
    </row>
    <row r="5927" spans="1:5" x14ac:dyDescent="0.2">
      <c r="A5927" t="s">
        <v>17751</v>
      </c>
      <c r="B5927" t="s">
        <v>17752</v>
      </c>
      <c r="C5927" t="s">
        <v>17752</v>
      </c>
      <c r="D5927" t="str">
        <f>HYPERLINK("https://zfin.org/ZDB-GENE-081031-35")</f>
        <v>https://zfin.org/ZDB-GENE-081031-35</v>
      </c>
      <c r="E5927" t="s">
        <v>17753</v>
      </c>
    </row>
    <row r="5928" spans="1:5" x14ac:dyDescent="0.2">
      <c r="A5928" t="s">
        <v>17754</v>
      </c>
      <c r="B5928" t="s">
        <v>17755</v>
      </c>
      <c r="C5928" t="s">
        <v>17755</v>
      </c>
      <c r="D5928" t="str">
        <f>HYPERLINK("https://zfin.org/ZDB-GENE-050208-330")</f>
        <v>https://zfin.org/ZDB-GENE-050208-330</v>
      </c>
      <c r="E5928" t="s">
        <v>17756</v>
      </c>
    </row>
    <row r="5929" spans="1:5" x14ac:dyDescent="0.2">
      <c r="A5929" t="s">
        <v>17757</v>
      </c>
      <c r="B5929" t="s">
        <v>17758</v>
      </c>
      <c r="C5929" t="s">
        <v>17758</v>
      </c>
      <c r="D5929" t="str">
        <f>HYPERLINK("https://zfin.org/ZDB-GENE-080327-7")</f>
        <v>https://zfin.org/ZDB-GENE-080327-7</v>
      </c>
      <c r="E5929" t="s">
        <v>17759</v>
      </c>
    </row>
    <row r="5930" spans="1:5" x14ac:dyDescent="0.2">
      <c r="A5930" t="s">
        <v>17760</v>
      </c>
      <c r="B5930" t="s">
        <v>17761</v>
      </c>
      <c r="C5930" t="s">
        <v>17761</v>
      </c>
      <c r="D5930" t="str">
        <f>HYPERLINK("https://zfin.org/ZDB-GENE-980526-76")</f>
        <v>https://zfin.org/ZDB-GENE-980526-76</v>
      </c>
      <c r="E5930" t="s">
        <v>17762</v>
      </c>
    </row>
    <row r="5931" spans="1:5" x14ac:dyDescent="0.2">
      <c r="A5931" t="s">
        <v>17763</v>
      </c>
      <c r="B5931" t="s">
        <v>17764</v>
      </c>
      <c r="C5931" t="s">
        <v>17764</v>
      </c>
      <c r="D5931" t="str">
        <f>HYPERLINK("https://zfin.org/ZDB-GENE-030131-8731")</f>
        <v>https://zfin.org/ZDB-GENE-030131-8731</v>
      </c>
      <c r="E5931" t="s">
        <v>17765</v>
      </c>
    </row>
    <row r="5932" spans="1:5" x14ac:dyDescent="0.2">
      <c r="A5932" t="s">
        <v>17766</v>
      </c>
      <c r="B5932" t="s">
        <v>17767</v>
      </c>
      <c r="C5932" t="s">
        <v>17768</v>
      </c>
      <c r="D5932" t="str">
        <f>HYPERLINK("https://zfin.org/ZDB-GENE-050420-78")</f>
        <v>https://zfin.org/ZDB-GENE-050420-78</v>
      </c>
      <c r="E5932" t="s">
        <v>17769</v>
      </c>
    </row>
    <row r="5933" spans="1:5" x14ac:dyDescent="0.2">
      <c r="A5933" t="s">
        <v>17770</v>
      </c>
      <c r="B5933" t="s">
        <v>17771</v>
      </c>
      <c r="C5933" t="s">
        <v>17771</v>
      </c>
      <c r="D5933" t="str">
        <f>HYPERLINK("https://zfin.org/ZDB-GENE-091118-20")</f>
        <v>https://zfin.org/ZDB-GENE-091118-20</v>
      </c>
      <c r="E5933" t="s">
        <v>17772</v>
      </c>
    </row>
    <row r="5934" spans="1:5" x14ac:dyDescent="0.2">
      <c r="A5934" t="s">
        <v>17773</v>
      </c>
      <c r="B5934" t="s">
        <v>17774</v>
      </c>
      <c r="C5934" t="s">
        <v>17774</v>
      </c>
      <c r="D5934" t="str">
        <f>HYPERLINK("https://zfin.org/ZDB-GENE-040801-123")</f>
        <v>https://zfin.org/ZDB-GENE-040801-123</v>
      </c>
      <c r="E5934" t="s">
        <v>17775</v>
      </c>
    </row>
    <row r="5935" spans="1:5" x14ac:dyDescent="0.2">
      <c r="A5935" t="s">
        <v>17776</v>
      </c>
      <c r="B5935" t="s">
        <v>17777</v>
      </c>
      <c r="C5935" t="s">
        <v>17777</v>
      </c>
      <c r="D5935" t="str">
        <f>HYPERLINK("https://zfin.org/ZDB-GENE-030131-977")</f>
        <v>https://zfin.org/ZDB-GENE-030131-977</v>
      </c>
      <c r="E5935" t="s">
        <v>17778</v>
      </c>
    </row>
    <row r="5936" spans="1:5" x14ac:dyDescent="0.2">
      <c r="A5936" t="s">
        <v>17779</v>
      </c>
      <c r="B5936" t="s">
        <v>17780</v>
      </c>
      <c r="C5936" t="s">
        <v>17780</v>
      </c>
      <c r="D5936" t="str">
        <f>HYPERLINK("https://zfin.org/ZDB-GENE-090313-314")</f>
        <v>https://zfin.org/ZDB-GENE-090313-314</v>
      </c>
      <c r="E5936" t="s">
        <v>17781</v>
      </c>
    </row>
    <row r="5937" spans="1:5" x14ac:dyDescent="0.2">
      <c r="A5937" t="s">
        <v>17782</v>
      </c>
      <c r="B5937" t="s">
        <v>17783</v>
      </c>
      <c r="C5937" t="s">
        <v>17783</v>
      </c>
      <c r="D5937" t="str">
        <f>HYPERLINK("https://zfin.org/ZDB-GENE-081104-325")</f>
        <v>https://zfin.org/ZDB-GENE-081104-325</v>
      </c>
      <c r="E5937" t="s">
        <v>17784</v>
      </c>
    </row>
    <row r="5938" spans="1:5" x14ac:dyDescent="0.2">
      <c r="A5938" t="s">
        <v>17785</v>
      </c>
      <c r="B5938" t="s">
        <v>17786</v>
      </c>
      <c r="C5938" t="s">
        <v>17786</v>
      </c>
      <c r="D5938" t="str">
        <f>HYPERLINK("https://zfin.org/ZDB-GENE-091020-11")</f>
        <v>https://zfin.org/ZDB-GENE-091020-11</v>
      </c>
      <c r="E5938" t="s">
        <v>17787</v>
      </c>
    </row>
    <row r="5939" spans="1:5" x14ac:dyDescent="0.2">
      <c r="A5939" t="s">
        <v>17788</v>
      </c>
      <c r="B5939" t="s">
        <v>17789</v>
      </c>
      <c r="C5939" t="s">
        <v>17789</v>
      </c>
      <c r="D5939" t="str">
        <f>HYPERLINK("https://zfin.org/ZDB-GENE-131127-26")</f>
        <v>https://zfin.org/ZDB-GENE-131127-26</v>
      </c>
      <c r="E5939" t="s">
        <v>17790</v>
      </c>
    </row>
    <row r="5940" spans="1:5" x14ac:dyDescent="0.2">
      <c r="A5940" t="s">
        <v>17791</v>
      </c>
      <c r="B5940" t="s">
        <v>17792</v>
      </c>
      <c r="C5940" t="s">
        <v>17792</v>
      </c>
      <c r="D5940" t="str">
        <f>HYPERLINK("https://zfin.org/ZDB-GENE-060929-280")</f>
        <v>https://zfin.org/ZDB-GENE-060929-280</v>
      </c>
      <c r="E5940" t="s">
        <v>17793</v>
      </c>
    </row>
    <row r="5941" spans="1:5" x14ac:dyDescent="0.2">
      <c r="A5941" t="s">
        <v>17794</v>
      </c>
      <c r="B5941" t="s">
        <v>17795</v>
      </c>
      <c r="C5941" t="s">
        <v>17795</v>
      </c>
      <c r="D5941" t="str">
        <f>HYPERLINK("https://zfin.org/ZDB-GENE-070705-86")</f>
        <v>https://zfin.org/ZDB-GENE-070705-86</v>
      </c>
      <c r="E5941" t="s">
        <v>17796</v>
      </c>
    </row>
    <row r="5942" spans="1:5" x14ac:dyDescent="0.2">
      <c r="A5942" t="s">
        <v>17797</v>
      </c>
      <c r="B5942" t="s">
        <v>17798</v>
      </c>
      <c r="C5942" t="s">
        <v>17798</v>
      </c>
      <c r="D5942" t="str">
        <f>HYPERLINK("https://zfin.org/ZDB-GENE-130603-18")</f>
        <v>https://zfin.org/ZDB-GENE-130603-18</v>
      </c>
      <c r="E5942" t="s">
        <v>17799</v>
      </c>
    </row>
    <row r="5943" spans="1:5" x14ac:dyDescent="0.2">
      <c r="A5943" t="s">
        <v>17800</v>
      </c>
      <c r="B5943" t="s">
        <v>17801</v>
      </c>
      <c r="C5943" t="s">
        <v>17801</v>
      </c>
      <c r="D5943" t="str">
        <f>HYPERLINK("https://zfin.org/ZDB-GENE-061215-124")</f>
        <v>https://zfin.org/ZDB-GENE-061215-124</v>
      </c>
      <c r="E5943" t="s">
        <v>17802</v>
      </c>
    </row>
    <row r="5944" spans="1:5" x14ac:dyDescent="0.2">
      <c r="A5944" t="s">
        <v>17803</v>
      </c>
      <c r="B5944" t="s">
        <v>17804</v>
      </c>
      <c r="C5944" t="s">
        <v>17804</v>
      </c>
      <c r="D5944" t="str">
        <f>HYPERLINK("https://zfin.org/ZDB-GENE-041010-123")</f>
        <v>https://zfin.org/ZDB-GENE-041010-123</v>
      </c>
      <c r="E5944" t="s">
        <v>17805</v>
      </c>
    </row>
    <row r="5945" spans="1:5" x14ac:dyDescent="0.2">
      <c r="A5945" t="s">
        <v>17806</v>
      </c>
      <c r="B5945" t="s">
        <v>17807</v>
      </c>
      <c r="C5945" t="s">
        <v>17807</v>
      </c>
      <c r="D5945" t="str">
        <f>HYPERLINK("https://zfin.org/ZDB-GENE-131125-29")</f>
        <v>https://zfin.org/ZDB-GENE-131125-29</v>
      </c>
      <c r="E5945" t="s">
        <v>17808</v>
      </c>
    </row>
    <row r="5946" spans="1:5" x14ac:dyDescent="0.2">
      <c r="A5946" t="s">
        <v>17809</v>
      </c>
      <c r="B5946" t="s">
        <v>17810</v>
      </c>
      <c r="C5946" t="s">
        <v>17810</v>
      </c>
      <c r="D5946" t="str">
        <f>HYPERLINK("https://zfin.org/ZDB-GENE-040426-709")</f>
        <v>https://zfin.org/ZDB-GENE-040426-709</v>
      </c>
      <c r="E5946" t="s">
        <v>17811</v>
      </c>
    </row>
    <row r="5947" spans="1:5" x14ac:dyDescent="0.2">
      <c r="A5947" t="s">
        <v>17812</v>
      </c>
      <c r="B5947" t="s">
        <v>17813</v>
      </c>
      <c r="C5947" t="s">
        <v>17813</v>
      </c>
      <c r="D5947" t="str">
        <f>HYPERLINK("https://zfin.org/ZDB-GENE-050208-410")</f>
        <v>https://zfin.org/ZDB-GENE-050208-410</v>
      </c>
      <c r="E5947" t="s">
        <v>17814</v>
      </c>
    </row>
    <row r="5948" spans="1:5" x14ac:dyDescent="0.2">
      <c r="A5948" t="s">
        <v>17815</v>
      </c>
      <c r="B5948" t="s">
        <v>17816</v>
      </c>
      <c r="C5948" t="s">
        <v>17816</v>
      </c>
      <c r="D5948" t="str">
        <f>HYPERLINK("https://zfin.org/ZDB-GENE-110429-1")</f>
        <v>https://zfin.org/ZDB-GENE-110429-1</v>
      </c>
      <c r="E5948" t="s">
        <v>17817</v>
      </c>
    </row>
    <row r="5949" spans="1:5" x14ac:dyDescent="0.2">
      <c r="A5949" t="s">
        <v>17818</v>
      </c>
      <c r="B5949" t="s">
        <v>17819</v>
      </c>
      <c r="C5949" t="s">
        <v>17819</v>
      </c>
      <c r="D5949" t="str">
        <f>HYPERLINK("https://zfin.org/ZDB-GENE-040426-1780")</f>
        <v>https://zfin.org/ZDB-GENE-040426-1780</v>
      </c>
      <c r="E5949" t="s">
        <v>17820</v>
      </c>
    </row>
    <row r="5950" spans="1:5" x14ac:dyDescent="0.2">
      <c r="A5950" t="s">
        <v>17821</v>
      </c>
      <c r="B5950" t="s">
        <v>17822</v>
      </c>
      <c r="C5950" t="s">
        <v>17822</v>
      </c>
      <c r="D5950" t="str">
        <f>HYPERLINK("https://zfin.org/ZDB-GENE-060503-623")</f>
        <v>https://zfin.org/ZDB-GENE-060503-623</v>
      </c>
      <c r="E5950" t="s">
        <v>17823</v>
      </c>
    </row>
    <row r="5951" spans="1:5" x14ac:dyDescent="0.2">
      <c r="A5951" t="s">
        <v>17824</v>
      </c>
      <c r="B5951" t="s">
        <v>17825</v>
      </c>
      <c r="C5951" t="s">
        <v>17825</v>
      </c>
      <c r="D5951" t="str">
        <f>HYPERLINK("https://zfin.org/ZDB-GENE-041210-221")</f>
        <v>https://zfin.org/ZDB-GENE-041210-221</v>
      </c>
      <c r="E5951" t="s">
        <v>17826</v>
      </c>
    </row>
    <row r="5952" spans="1:5" x14ac:dyDescent="0.2">
      <c r="A5952" t="s">
        <v>17827</v>
      </c>
      <c r="B5952" t="s">
        <v>17828</v>
      </c>
      <c r="C5952" t="s">
        <v>17828</v>
      </c>
      <c r="D5952" t="str">
        <f>HYPERLINK("https://zfin.org/ZDB-GENE-081104-294")</f>
        <v>https://zfin.org/ZDB-GENE-081104-294</v>
      </c>
      <c r="E5952" t="s">
        <v>17829</v>
      </c>
    </row>
    <row r="5953" spans="1:5" x14ac:dyDescent="0.2">
      <c r="A5953" t="s">
        <v>17830</v>
      </c>
      <c r="B5953" t="s">
        <v>17831</v>
      </c>
      <c r="C5953" t="s">
        <v>17831</v>
      </c>
      <c r="D5953" t="str">
        <f>HYPERLINK("https://zfin.org/ZDB-GENE-030131-4873")</f>
        <v>https://zfin.org/ZDB-GENE-030131-4873</v>
      </c>
      <c r="E5953" t="s">
        <v>17832</v>
      </c>
    </row>
    <row r="5954" spans="1:5" x14ac:dyDescent="0.2">
      <c r="A5954" t="s">
        <v>17833</v>
      </c>
      <c r="B5954" t="s">
        <v>17834</v>
      </c>
      <c r="C5954" t="s">
        <v>17834</v>
      </c>
      <c r="D5954" t="str">
        <f>HYPERLINK("https://zfin.org/ZDB-GENE-050208-222")</f>
        <v>https://zfin.org/ZDB-GENE-050208-222</v>
      </c>
      <c r="E5954" t="s">
        <v>17835</v>
      </c>
    </row>
    <row r="5955" spans="1:5" x14ac:dyDescent="0.2">
      <c r="A5955" t="s">
        <v>17836</v>
      </c>
      <c r="B5955" t="s">
        <v>17837</v>
      </c>
      <c r="C5955" t="s">
        <v>17837</v>
      </c>
      <c r="D5955" t="str">
        <f>HYPERLINK("https://zfin.org/ZDB-GENE-050208-546")</f>
        <v>https://zfin.org/ZDB-GENE-050208-546</v>
      </c>
      <c r="E5955" t="s">
        <v>17838</v>
      </c>
    </row>
    <row r="5956" spans="1:5" x14ac:dyDescent="0.2">
      <c r="A5956" t="s">
        <v>17839</v>
      </c>
      <c r="B5956" t="s">
        <v>17840</v>
      </c>
      <c r="C5956" t="s">
        <v>17840</v>
      </c>
      <c r="D5956" t="str">
        <f>HYPERLINK("https://zfin.org/ZDB-GENE-131121-500")</f>
        <v>https://zfin.org/ZDB-GENE-131121-500</v>
      </c>
      <c r="E5956" t="s">
        <v>17841</v>
      </c>
    </row>
    <row r="5957" spans="1:5" x14ac:dyDescent="0.2">
      <c r="A5957" t="s">
        <v>17842</v>
      </c>
      <c r="B5957" t="s">
        <v>17843</v>
      </c>
      <c r="C5957" t="s">
        <v>17843</v>
      </c>
      <c r="D5957" t="str">
        <f>HYPERLINK("https://zfin.org/ZDB-GENE-060503-717")</f>
        <v>https://zfin.org/ZDB-GENE-060503-717</v>
      </c>
      <c r="E5957" t="s">
        <v>17844</v>
      </c>
    </row>
    <row r="5958" spans="1:5" x14ac:dyDescent="0.2">
      <c r="A5958" t="s">
        <v>17845</v>
      </c>
      <c r="B5958" t="s">
        <v>17846</v>
      </c>
      <c r="C5958" t="s">
        <v>17846</v>
      </c>
      <c r="D5958" t="str">
        <f>HYPERLINK("https://zfin.org/ZDB-GENE-990415-162")</f>
        <v>https://zfin.org/ZDB-GENE-990415-162</v>
      </c>
      <c r="E5958" t="s">
        <v>17847</v>
      </c>
    </row>
    <row r="5959" spans="1:5" x14ac:dyDescent="0.2">
      <c r="A5959" t="s">
        <v>17848</v>
      </c>
      <c r="B5959" t="s">
        <v>17849</v>
      </c>
      <c r="C5959" t="s">
        <v>17849</v>
      </c>
      <c r="D5959" t="str">
        <f>HYPERLINK("https://zfin.org/ZDB-GENE-000616-11")</f>
        <v>https://zfin.org/ZDB-GENE-000616-11</v>
      </c>
      <c r="E5959" t="s">
        <v>17850</v>
      </c>
    </row>
    <row r="5960" spans="1:5" x14ac:dyDescent="0.2">
      <c r="A5960" t="s">
        <v>17851</v>
      </c>
      <c r="B5960" t="s">
        <v>17852</v>
      </c>
      <c r="C5960" t="s">
        <v>17852</v>
      </c>
      <c r="D5960" t="str">
        <f>HYPERLINK("https://zfin.org/ZDB-GENE-030826-16")</f>
        <v>https://zfin.org/ZDB-GENE-030826-16</v>
      </c>
      <c r="E5960" t="s">
        <v>17853</v>
      </c>
    </row>
    <row r="5961" spans="1:5" x14ac:dyDescent="0.2">
      <c r="A5961" t="s">
        <v>17854</v>
      </c>
      <c r="B5961" t="s">
        <v>17855</v>
      </c>
      <c r="C5961" t="s">
        <v>17855</v>
      </c>
      <c r="D5961" t="str">
        <f>HYPERLINK("https://zfin.org/ZDB-GENE-061130-1")</f>
        <v>https://zfin.org/ZDB-GENE-061130-1</v>
      </c>
      <c r="E5961" t="s">
        <v>17856</v>
      </c>
    </row>
    <row r="5962" spans="1:5" x14ac:dyDescent="0.2">
      <c r="A5962" t="s">
        <v>17857</v>
      </c>
      <c r="B5962" t="s">
        <v>17858</v>
      </c>
      <c r="C5962" t="s">
        <v>17858</v>
      </c>
      <c r="D5962" t="str">
        <f>HYPERLINK("https://zfin.org/ZDB-GENE-070410-24")</f>
        <v>https://zfin.org/ZDB-GENE-070410-24</v>
      </c>
      <c r="E5962" t="s">
        <v>17859</v>
      </c>
    </row>
    <row r="5963" spans="1:5" x14ac:dyDescent="0.2">
      <c r="A5963" t="s">
        <v>17860</v>
      </c>
      <c r="B5963" t="s">
        <v>17861</v>
      </c>
      <c r="C5963" t="s">
        <v>17861</v>
      </c>
      <c r="D5963" t="str">
        <f>HYPERLINK("https://zfin.org/ZDB-GENE-040912-126")</f>
        <v>https://zfin.org/ZDB-GENE-040912-126</v>
      </c>
      <c r="E5963" t="s">
        <v>17862</v>
      </c>
    </row>
    <row r="5964" spans="1:5" x14ac:dyDescent="0.2">
      <c r="A5964" t="s">
        <v>17863</v>
      </c>
      <c r="B5964" t="s">
        <v>17864</v>
      </c>
      <c r="C5964" t="s">
        <v>17864</v>
      </c>
      <c r="D5964" t="str">
        <f>HYPERLINK("https://zfin.org/ZDB-GENE-030131-1264")</f>
        <v>https://zfin.org/ZDB-GENE-030131-1264</v>
      </c>
      <c r="E5964" t="s">
        <v>17865</v>
      </c>
    </row>
    <row r="5965" spans="1:5" x14ac:dyDescent="0.2">
      <c r="A5965" t="s">
        <v>17866</v>
      </c>
      <c r="B5965" t="s">
        <v>17867</v>
      </c>
      <c r="C5965" t="s">
        <v>17867</v>
      </c>
      <c r="D5965" t="str">
        <f>HYPERLINK("https://zfin.org/ZDB-GENE-990603-6")</f>
        <v>https://zfin.org/ZDB-GENE-990603-6</v>
      </c>
      <c r="E5965" t="s">
        <v>17868</v>
      </c>
    </row>
    <row r="5966" spans="1:5" x14ac:dyDescent="0.2">
      <c r="A5966" t="s">
        <v>17869</v>
      </c>
      <c r="B5966" t="s">
        <v>17870</v>
      </c>
      <c r="C5966" t="s">
        <v>17870</v>
      </c>
      <c r="D5966" t="str">
        <f>HYPERLINK("https://zfin.org/ZDB-GENE-110309-3")</f>
        <v>https://zfin.org/ZDB-GENE-110309-3</v>
      </c>
      <c r="E5966" t="s">
        <v>17871</v>
      </c>
    </row>
    <row r="5967" spans="1:5" x14ac:dyDescent="0.2">
      <c r="A5967" t="s">
        <v>17872</v>
      </c>
      <c r="B5967" t="s">
        <v>17873</v>
      </c>
      <c r="C5967" t="s">
        <v>17873</v>
      </c>
      <c r="D5967" t="str">
        <f>HYPERLINK("https://zfin.org/ZDB-GENE-080722-18")</f>
        <v>https://zfin.org/ZDB-GENE-080722-18</v>
      </c>
      <c r="E5967" t="s">
        <v>17874</v>
      </c>
    </row>
    <row r="5968" spans="1:5" x14ac:dyDescent="0.2">
      <c r="A5968" t="s">
        <v>17875</v>
      </c>
      <c r="B5968" t="s">
        <v>17876</v>
      </c>
      <c r="C5968" t="s">
        <v>17876</v>
      </c>
      <c r="D5968" t="str">
        <f>HYPERLINK("https://zfin.org/ZDB-GENE-041114-14")</f>
        <v>https://zfin.org/ZDB-GENE-041114-14</v>
      </c>
      <c r="E5968" t="s">
        <v>17877</v>
      </c>
    </row>
    <row r="5969" spans="1:5" x14ac:dyDescent="0.2">
      <c r="A5969" t="s">
        <v>17878</v>
      </c>
      <c r="B5969" t="s">
        <v>17879</v>
      </c>
      <c r="C5969" t="s">
        <v>17879</v>
      </c>
      <c r="D5969" t="str">
        <f>HYPERLINK("https://zfin.org/ZDB-GENE-990415-173")</f>
        <v>https://zfin.org/ZDB-GENE-990415-173</v>
      </c>
      <c r="E5969" t="s">
        <v>17880</v>
      </c>
    </row>
    <row r="5970" spans="1:5" x14ac:dyDescent="0.2">
      <c r="A5970" t="s">
        <v>17881</v>
      </c>
      <c r="B5970" t="s">
        <v>17882</v>
      </c>
      <c r="C5970" t="s">
        <v>17882</v>
      </c>
      <c r="D5970" t="str">
        <f>HYPERLINK("https://zfin.org/ZDB-GENE-040426-1391")</f>
        <v>https://zfin.org/ZDB-GENE-040426-1391</v>
      </c>
      <c r="E5970" t="s">
        <v>17883</v>
      </c>
    </row>
    <row r="5971" spans="1:5" x14ac:dyDescent="0.2">
      <c r="A5971" t="s">
        <v>17884</v>
      </c>
      <c r="B5971" t="s">
        <v>17885</v>
      </c>
      <c r="C5971" t="s">
        <v>17885</v>
      </c>
      <c r="D5971" t="str">
        <f>HYPERLINK("https://zfin.org/ZDB-GENE-050417-10")</f>
        <v>https://zfin.org/ZDB-GENE-050417-10</v>
      </c>
      <c r="E5971" t="s">
        <v>17886</v>
      </c>
    </row>
    <row r="5972" spans="1:5" x14ac:dyDescent="0.2">
      <c r="A5972" t="s">
        <v>17887</v>
      </c>
      <c r="B5972" t="s">
        <v>17888</v>
      </c>
      <c r="C5972" t="s">
        <v>17888</v>
      </c>
      <c r="D5972" t="str">
        <f>HYPERLINK("https://zfin.org/ZDB-GENE-030616-81")</f>
        <v>https://zfin.org/ZDB-GENE-030616-81</v>
      </c>
      <c r="E5972" t="s">
        <v>17889</v>
      </c>
    </row>
    <row r="5973" spans="1:5" x14ac:dyDescent="0.2">
      <c r="A5973" t="s">
        <v>17890</v>
      </c>
      <c r="B5973" t="s">
        <v>17891</v>
      </c>
      <c r="C5973" t="s">
        <v>17891</v>
      </c>
      <c r="D5973" t="str">
        <f>HYPERLINK("https://zfin.org/ZDB-GENE-131125-93")</f>
        <v>https://zfin.org/ZDB-GENE-131125-93</v>
      </c>
      <c r="E5973" t="s">
        <v>17892</v>
      </c>
    </row>
    <row r="5974" spans="1:5" x14ac:dyDescent="0.2">
      <c r="A5974" t="s">
        <v>17893</v>
      </c>
      <c r="B5974" t="s">
        <v>17894</v>
      </c>
      <c r="C5974" t="s">
        <v>17894</v>
      </c>
      <c r="D5974" t="str">
        <f>HYPERLINK("https://zfin.org/ZDB-GENE-050419-250")</f>
        <v>https://zfin.org/ZDB-GENE-050419-250</v>
      </c>
      <c r="E5974" t="s">
        <v>17895</v>
      </c>
    </row>
    <row r="5975" spans="1:5" x14ac:dyDescent="0.2">
      <c r="A5975" t="s">
        <v>17896</v>
      </c>
      <c r="B5975" t="s">
        <v>17897</v>
      </c>
      <c r="C5975" t="s">
        <v>17897</v>
      </c>
      <c r="D5975" t="str">
        <f>HYPERLINK("https://zfin.org/ZDB-GENE-060929-676")</f>
        <v>https://zfin.org/ZDB-GENE-060929-676</v>
      </c>
      <c r="E5975" t="s">
        <v>17898</v>
      </c>
    </row>
    <row r="5976" spans="1:5" x14ac:dyDescent="0.2">
      <c r="A5976" t="s">
        <v>17899</v>
      </c>
      <c r="B5976" t="s">
        <v>17900</v>
      </c>
      <c r="C5976" t="s">
        <v>17900</v>
      </c>
      <c r="D5976" t="str">
        <f>HYPERLINK("https://zfin.org/ZDB-GENE-040426-1958")</f>
        <v>https://zfin.org/ZDB-GENE-040426-1958</v>
      </c>
      <c r="E5976" t="s">
        <v>17901</v>
      </c>
    </row>
    <row r="5977" spans="1:5" x14ac:dyDescent="0.2">
      <c r="A5977" t="s">
        <v>17902</v>
      </c>
      <c r="B5977" t="s">
        <v>17903</v>
      </c>
      <c r="C5977" t="s">
        <v>17903</v>
      </c>
      <c r="D5977" t="str">
        <f>HYPERLINK("https://zfin.org/ZDB-GENE-070705-91")</f>
        <v>https://zfin.org/ZDB-GENE-070705-91</v>
      </c>
      <c r="E5977" t="s">
        <v>17904</v>
      </c>
    </row>
    <row r="5978" spans="1:5" x14ac:dyDescent="0.2">
      <c r="A5978" t="s">
        <v>17905</v>
      </c>
      <c r="B5978" t="s">
        <v>17906</v>
      </c>
      <c r="C5978" t="s">
        <v>17906</v>
      </c>
      <c r="D5978" t="str">
        <f>HYPERLINK("https://zfin.org/ZDB-GENE-990415-17")</f>
        <v>https://zfin.org/ZDB-GENE-990415-17</v>
      </c>
      <c r="E5978" t="s">
        <v>17907</v>
      </c>
    </row>
    <row r="5979" spans="1:5" x14ac:dyDescent="0.2">
      <c r="A5979" t="s">
        <v>17908</v>
      </c>
      <c r="B5979" t="s">
        <v>17909</v>
      </c>
      <c r="C5979" t="s">
        <v>17909</v>
      </c>
      <c r="D5979" t="str">
        <f>HYPERLINK("https://zfin.org/ZDB-GENE-050208-306")</f>
        <v>https://zfin.org/ZDB-GENE-050208-306</v>
      </c>
      <c r="E5979" t="s">
        <v>17910</v>
      </c>
    </row>
    <row r="5980" spans="1:5" x14ac:dyDescent="0.2">
      <c r="A5980" t="s">
        <v>17911</v>
      </c>
      <c r="B5980" t="s">
        <v>17912</v>
      </c>
      <c r="C5980" t="s">
        <v>17912</v>
      </c>
      <c r="D5980" t="str">
        <f>HYPERLINK("https://zfin.org/ZDB-GENE-060503-246")</f>
        <v>https://zfin.org/ZDB-GENE-060503-246</v>
      </c>
      <c r="E5980" t="s">
        <v>17913</v>
      </c>
    </row>
    <row r="5981" spans="1:5" x14ac:dyDescent="0.2">
      <c r="A5981" t="s">
        <v>17914</v>
      </c>
      <c r="B5981" t="s">
        <v>17915</v>
      </c>
      <c r="C5981" t="s">
        <v>17915</v>
      </c>
      <c r="D5981" t="str">
        <f>HYPERLINK("https://zfin.org/ZDB-GENE-050522-153")</f>
        <v>https://zfin.org/ZDB-GENE-050522-153</v>
      </c>
      <c r="E5981" t="s">
        <v>17916</v>
      </c>
    </row>
    <row r="5982" spans="1:5" x14ac:dyDescent="0.2">
      <c r="A5982" t="s">
        <v>17917</v>
      </c>
      <c r="B5982" t="s">
        <v>17918</v>
      </c>
      <c r="C5982" t="s">
        <v>17918</v>
      </c>
      <c r="D5982" t="str">
        <f>HYPERLINK("https://zfin.org/ZDB-GENE-050420-149")</f>
        <v>https://zfin.org/ZDB-GENE-050420-149</v>
      </c>
      <c r="E5982" t="s">
        <v>17919</v>
      </c>
    </row>
    <row r="5983" spans="1:5" x14ac:dyDescent="0.2">
      <c r="A5983" t="s">
        <v>17920</v>
      </c>
      <c r="B5983" t="s">
        <v>17921</v>
      </c>
      <c r="C5983" t="s">
        <v>17921</v>
      </c>
      <c r="D5983" t="str">
        <f>HYPERLINK("https://zfin.org/ZDB-GENE-030516-3")</f>
        <v>https://zfin.org/ZDB-GENE-030516-3</v>
      </c>
      <c r="E5983" t="s">
        <v>17922</v>
      </c>
    </row>
    <row r="5984" spans="1:5" x14ac:dyDescent="0.2">
      <c r="A5984" t="s">
        <v>17923</v>
      </c>
      <c r="B5984" t="s">
        <v>17924</v>
      </c>
      <c r="C5984" t="s">
        <v>17924</v>
      </c>
      <c r="D5984" t="str">
        <f>HYPERLINK("https://zfin.org/ZDB-GENE-081022-98")</f>
        <v>https://zfin.org/ZDB-GENE-081022-98</v>
      </c>
      <c r="E5984" t="s">
        <v>17925</v>
      </c>
    </row>
    <row r="5985" spans="1:5" x14ac:dyDescent="0.2">
      <c r="A5985" t="s">
        <v>17926</v>
      </c>
      <c r="B5985" t="s">
        <v>17927</v>
      </c>
      <c r="C5985" t="s">
        <v>17927</v>
      </c>
      <c r="D5985" t="str">
        <f>HYPERLINK("https://zfin.org/ZDB-GENE-040913-1")</f>
        <v>https://zfin.org/ZDB-GENE-040913-1</v>
      </c>
      <c r="E5985" t="s">
        <v>17928</v>
      </c>
    </row>
    <row r="5986" spans="1:5" x14ac:dyDescent="0.2">
      <c r="A5986" t="s">
        <v>17929</v>
      </c>
      <c r="B5986" t="s">
        <v>17930</v>
      </c>
      <c r="C5986" t="s">
        <v>17930</v>
      </c>
      <c r="D5986" t="str">
        <f>HYPERLINK("https://zfin.org/ZDB-GENE-030131-9520")</f>
        <v>https://zfin.org/ZDB-GENE-030131-9520</v>
      </c>
      <c r="E5986" t="s">
        <v>17931</v>
      </c>
    </row>
    <row r="5987" spans="1:5" x14ac:dyDescent="0.2">
      <c r="A5987" t="s">
        <v>17932</v>
      </c>
      <c r="B5987" t="s">
        <v>17933</v>
      </c>
      <c r="C5987" t="s">
        <v>17933</v>
      </c>
      <c r="D5987" t="str">
        <f>HYPERLINK("https://zfin.org/ZDB-GENE-040426-2151")</f>
        <v>https://zfin.org/ZDB-GENE-040426-2151</v>
      </c>
      <c r="E5987" t="s">
        <v>17934</v>
      </c>
    </row>
    <row r="5988" spans="1:5" x14ac:dyDescent="0.2">
      <c r="A5988" t="s">
        <v>17935</v>
      </c>
      <c r="B5988" t="s">
        <v>17936</v>
      </c>
      <c r="C5988" t="s">
        <v>17936</v>
      </c>
      <c r="D5988" t="str">
        <f>HYPERLINK("https://zfin.org/ZDB-GENE-090313-261")</f>
        <v>https://zfin.org/ZDB-GENE-090313-261</v>
      </c>
      <c r="E5988" t="s">
        <v>17937</v>
      </c>
    </row>
    <row r="5989" spans="1:5" x14ac:dyDescent="0.2">
      <c r="A5989" t="s">
        <v>17938</v>
      </c>
      <c r="B5989" t="s">
        <v>17939</v>
      </c>
      <c r="C5989" t="s">
        <v>17939</v>
      </c>
      <c r="D5989" t="str">
        <f>HYPERLINK("https://zfin.org/ZDB-GENE-020919-4")</f>
        <v>https://zfin.org/ZDB-GENE-020919-4</v>
      </c>
      <c r="E5989" t="s">
        <v>17940</v>
      </c>
    </row>
    <row r="5990" spans="1:5" x14ac:dyDescent="0.2">
      <c r="A5990" t="s">
        <v>17941</v>
      </c>
      <c r="B5990" t="s">
        <v>17942</v>
      </c>
      <c r="C5990" t="s">
        <v>17942</v>
      </c>
      <c r="D5990" t="str">
        <f>HYPERLINK("https://zfin.org/ZDB-GENE-120926-1")</f>
        <v>https://zfin.org/ZDB-GENE-120926-1</v>
      </c>
      <c r="E5990" t="s">
        <v>17943</v>
      </c>
    </row>
    <row r="5991" spans="1:5" x14ac:dyDescent="0.2">
      <c r="A5991" t="s">
        <v>17944</v>
      </c>
      <c r="B5991" t="s">
        <v>17945</v>
      </c>
      <c r="C5991" t="s">
        <v>17945</v>
      </c>
      <c r="D5991" t="str">
        <f>HYPERLINK("https://zfin.org/ZDB-GENE-040718-288")</f>
        <v>https://zfin.org/ZDB-GENE-040718-288</v>
      </c>
      <c r="E5991" t="s">
        <v>17946</v>
      </c>
    </row>
    <row r="5992" spans="1:5" x14ac:dyDescent="0.2">
      <c r="A5992" t="s">
        <v>17947</v>
      </c>
      <c r="B5992" t="s">
        <v>17948</v>
      </c>
      <c r="C5992" t="s">
        <v>17948</v>
      </c>
      <c r="D5992" t="str">
        <f>HYPERLINK("https://zfin.org/ZDB-GENE-050327-98")</f>
        <v>https://zfin.org/ZDB-GENE-050327-98</v>
      </c>
      <c r="E5992" t="s">
        <v>17949</v>
      </c>
    </row>
    <row r="5993" spans="1:5" x14ac:dyDescent="0.2">
      <c r="A5993" t="s">
        <v>17950</v>
      </c>
      <c r="B5993" t="s">
        <v>17951</v>
      </c>
      <c r="C5993" t="s">
        <v>17951</v>
      </c>
      <c r="D5993" t="str">
        <f>HYPERLINK("https://zfin.org/ZDB-GENE-030729-18")</f>
        <v>https://zfin.org/ZDB-GENE-030729-18</v>
      </c>
      <c r="E5993" t="s">
        <v>17952</v>
      </c>
    </row>
    <row r="5994" spans="1:5" x14ac:dyDescent="0.2">
      <c r="A5994" t="s">
        <v>17953</v>
      </c>
      <c r="B5994" t="s">
        <v>17954</v>
      </c>
      <c r="C5994" t="s">
        <v>17954</v>
      </c>
      <c r="D5994" t="str">
        <f>HYPERLINK("https://zfin.org/ZDB-GENE-070410-100")</f>
        <v>https://zfin.org/ZDB-GENE-070410-100</v>
      </c>
      <c r="E5994" t="s">
        <v>17955</v>
      </c>
    </row>
    <row r="5995" spans="1:5" x14ac:dyDescent="0.2">
      <c r="A5995" t="s">
        <v>17956</v>
      </c>
      <c r="B5995" t="s">
        <v>17957</v>
      </c>
      <c r="C5995" t="s">
        <v>17957</v>
      </c>
      <c r="D5995" t="str">
        <f>HYPERLINK("https://zfin.org/ZDB-GENE-060503-762")</f>
        <v>https://zfin.org/ZDB-GENE-060503-762</v>
      </c>
      <c r="E5995" t="s">
        <v>17958</v>
      </c>
    </row>
    <row r="5996" spans="1:5" x14ac:dyDescent="0.2">
      <c r="A5996" t="s">
        <v>17959</v>
      </c>
      <c r="B5996" t="s">
        <v>17960</v>
      </c>
      <c r="C5996" t="s">
        <v>17960</v>
      </c>
      <c r="D5996" t="str">
        <f>HYPERLINK("https://zfin.org/ZDB-GENE-081105-161")</f>
        <v>https://zfin.org/ZDB-GENE-081105-161</v>
      </c>
      <c r="E5996" t="s">
        <v>17961</v>
      </c>
    </row>
    <row r="5997" spans="1:5" x14ac:dyDescent="0.2">
      <c r="A5997" t="s">
        <v>17962</v>
      </c>
      <c r="B5997" t="s">
        <v>17963</v>
      </c>
      <c r="C5997" t="s">
        <v>17963</v>
      </c>
      <c r="D5997" t="str">
        <f>HYPERLINK("https://zfin.org/ZDB-GENE-030131-4205")</f>
        <v>https://zfin.org/ZDB-GENE-030131-4205</v>
      </c>
      <c r="E5997" t="s">
        <v>17964</v>
      </c>
    </row>
    <row r="5998" spans="1:5" x14ac:dyDescent="0.2">
      <c r="A5998" t="s">
        <v>17965</v>
      </c>
      <c r="B5998" t="s">
        <v>17966</v>
      </c>
      <c r="C5998" t="s">
        <v>17966</v>
      </c>
      <c r="D5998" t="str">
        <f>HYPERLINK("https://zfin.org/ZDB-GENE-040704-60")</f>
        <v>https://zfin.org/ZDB-GENE-040704-60</v>
      </c>
      <c r="E5998" t="s">
        <v>17967</v>
      </c>
    </row>
    <row r="5999" spans="1:5" x14ac:dyDescent="0.2">
      <c r="A5999" t="s">
        <v>17968</v>
      </c>
      <c r="B5999" t="s">
        <v>17969</v>
      </c>
      <c r="C5999" t="s">
        <v>17970</v>
      </c>
      <c r="D5999" t="str">
        <f>HYPERLINK("https://zfin.org/ZDB-GENE-050208-384")</f>
        <v>https://zfin.org/ZDB-GENE-050208-384</v>
      </c>
      <c r="E5999" t="s">
        <v>17971</v>
      </c>
    </row>
    <row r="6000" spans="1:5" x14ac:dyDescent="0.2">
      <c r="A6000" t="s">
        <v>17972</v>
      </c>
      <c r="B6000" t="s">
        <v>17973</v>
      </c>
      <c r="C6000" t="s">
        <v>17973</v>
      </c>
      <c r="D6000" t="str">
        <f>HYPERLINK("https://zfin.org/ZDB-GENE-080327-17")</f>
        <v>https://zfin.org/ZDB-GENE-080327-17</v>
      </c>
      <c r="E6000" t="s">
        <v>17974</v>
      </c>
    </row>
    <row r="6001" spans="1:5" x14ac:dyDescent="0.2">
      <c r="A6001" t="s">
        <v>17975</v>
      </c>
      <c r="B6001" t="s">
        <v>17976</v>
      </c>
      <c r="C6001" t="s">
        <v>17976</v>
      </c>
      <c r="D6001" t="str">
        <f>HYPERLINK("https://zfin.org/ZDB-GENE-040426-808")</f>
        <v>https://zfin.org/ZDB-GENE-040426-808</v>
      </c>
      <c r="E6001" t="s">
        <v>17977</v>
      </c>
    </row>
    <row r="6002" spans="1:5" x14ac:dyDescent="0.2">
      <c r="A6002" t="s">
        <v>17978</v>
      </c>
      <c r="B6002" t="s">
        <v>17979</v>
      </c>
      <c r="C6002" t="s">
        <v>17979</v>
      </c>
      <c r="D6002" t="str">
        <f>HYPERLINK("https://zfin.org/ZDB-GENE-091116-46")</f>
        <v>https://zfin.org/ZDB-GENE-091116-46</v>
      </c>
      <c r="E6002" t="s">
        <v>17980</v>
      </c>
    </row>
    <row r="6003" spans="1:5" x14ac:dyDescent="0.2">
      <c r="A6003" t="s">
        <v>17981</v>
      </c>
      <c r="B6003" t="s">
        <v>17982</v>
      </c>
      <c r="C6003" t="s">
        <v>17982</v>
      </c>
      <c r="D6003" t="str">
        <f>HYPERLINK("https://zfin.org/ZDB-GENE-040930-8")</f>
        <v>https://zfin.org/ZDB-GENE-040930-8</v>
      </c>
      <c r="E6003" t="s">
        <v>17983</v>
      </c>
    </row>
    <row r="6004" spans="1:5" x14ac:dyDescent="0.2">
      <c r="A6004" t="s">
        <v>17984</v>
      </c>
      <c r="B6004" t="s">
        <v>17985</v>
      </c>
      <c r="C6004" t="s">
        <v>17985</v>
      </c>
      <c r="D6004" t="str">
        <f>HYPERLINK("https://zfin.org/ZDB-GENE-030826-24")</f>
        <v>https://zfin.org/ZDB-GENE-030826-24</v>
      </c>
      <c r="E6004" t="s">
        <v>17986</v>
      </c>
    </row>
    <row r="6005" spans="1:5" x14ac:dyDescent="0.2">
      <c r="A6005" t="s">
        <v>17987</v>
      </c>
      <c r="B6005" t="s">
        <v>17988</v>
      </c>
      <c r="C6005" t="s">
        <v>17988</v>
      </c>
      <c r="D6005" t="str">
        <f>HYPERLINK("https://zfin.org/ZDB-GENE-141216-222")</f>
        <v>https://zfin.org/ZDB-GENE-141216-222</v>
      </c>
      <c r="E6005" t="s">
        <v>17989</v>
      </c>
    </row>
    <row r="6006" spans="1:5" x14ac:dyDescent="0.2">
      <c r="A6006" t="s">
        <v>17990</v>
      </c>
      <c r="B6006" t="s">
        <v>17991</v>
      </c>
      <c r="C6006" t="s">
        <v>17991</v>
      </c>
      <c r="D6006" t="str">
        <f>HYPERLINK("https://zfin.org/ZDB-GENE-060503-341")</f>
        <v>https://zfin.org/ZDB-GENE-060503-341</v>
      </c>
      <c r="E6006" t="s">
        <v>17992</v>
      </c>
    </row>
    <row r="6007" spans="1:5" x14ac:dyDescent="0.2">
      <c r="A6007" t="s">
        <v>17993</v>
      </c>
      <c r="B6007" t="s">
        <v>17994</v>
      </c>
      <c r="C6007" t="s">
        <v>17994</v>
      </c>
      <c r="D6007" t="str">
        <f>HYPERLINK("https://zfin.org/ZDB-GENE-030131-7782")</f>
        <v>https://zfin.org/ZDB-GENE-030131-7782</v>
      </c>
      <c r="E6007" t="s">
        <v>17995</v>
      </c>
    </row>
    <row r="6008" spans="1:5" x14ac:dyDescent="0.2">
      <c r="A6008" t="s">
        <v>17996</v>
      </c>
      <c r="B6008" t="s">
        <v>17997</v>
      </c>
      <c r="C6008" t="s">
        <v>17997</v>
      </c>
      <c r="D6008" t="str">
        <f>HYPERLINK("https://zfin.org/ZDB-GENE-081113-1")</f>
        <v>https://zfin.org/ZDB-GENE-081113-1</v>
      </c>
      <c r="E6008" t="s">
        <v>17998</v>
      </c>
    </row>
    <row r="6009" spans="1:5" x14ac:dyDescent="0.2">
      <c r="A6009" t="s">
        <v>17999</v>
      </c>
      <c r="B6009" t="s">
        <v>18000</v>
      </c>
      <c r="C6009" t="s">
        <v>18000</v>
      </c>
      <c r="D6009" t="str">
        <f>HYPERLINK("https://zfin.org/ZDB-GENE-030131-8101")</f>
        <v>https://zfin.org/ZDB-GENE-030131-8101</v>
      </c>
      <c r="E6009" t="s">
        <v>18001</v>
      </c>
    </row>
    <row r="6010" spans="1:5" x14ac:dyDescent="0.2">
      <c r="A6010" t="s">
        <v>18002</v>
      </c>
      <c r="B6010" t="s">
        <v>18003</v>
      </c>
      <c r="C6010" t="s">
        <v>18003</v>
      </c>
      <c r="D6010" t="str">
        <f>HYPERLINK("https://zfin.org/ZDB-GENE-050208-274")</f>
        <v>https://zfin.org/ZDB-GENE-050208-274</v>
      </c>
      <c r="E6010" t="s">
        <v>18004</v>
      </c>
    </row>
    <row r="6011" spans="1:5" x14ac:dyDescent="0.2">
      <c r="A6011" t="s">
        <v>18005</v>
      </c>
      <c r="B6011" t="s">
        <v>18006</v>
      </c>
      <c r="C6011" t="s">
        <v>18006</v>
      </c>
      <c r="D6011" t="str">
        <f>HYPERLINK("https://zfin.org/ZDB-GENE-080204-55")</f>
        <v>https://zfin.org/ZDB-GENE-080204-55</v>
      </c>
      <c r="E6011" t="s">
        <v>18007</v>
      </c>
    </row>
    <row r="6012" spans="1:5" x14ac:dyDescent="0.2">
      <c r="A6012" t="s">
        <v>18008</v>
      </c>
      <c r="B6012" t="s">
        <v>18009</v>
      </c>
      <c r="C6012" t="s">
        <v>18009</v>
      </c>
      <c r="D6012" t="str">
        <f>HYPERLINK("https://zfin.org/ZDB-GENE-050126-2")</f>
        <v>https://zfin.org/ZDB-GENE-050126-2</v>
      </c>
      <c r="E6012" t="s">
        <v>18010</v>
      </c>
    </row>
    <row r="6013" spans="1:5" x14ac:dyDescent="0.2">
      <c r="A6013" t="s">
        <v>18011</v>
      </c>
      <c r="B6013" t="s">
        <v>18012</v>
      </c>
      <c r="C6013" t="s">
        <v>18012</v>
      </c>
      <c r="D6013" t="str">
        <f>HYPERLINK("https://zfin.org/ZDB-GENE-071004-108")</f>
        <v>https://zfin.org/ZDB-GENE-071004-108</v>
      </c>
      <c r="E6013" t="s">
        <v>18013</v>
      </c>
    </row>
    <row r="6014" spans="1:5" x14ac:dyDescent="0.2">
      <c r="A6014" t="s">
        <v>18014</v>
      </c>
      <c r="B6014" t="s">
        <v>18015</v>
      </c>
      <c r="C6014" t="s">
        <v>18015</v>
      </c>
      <c r="D6014" t="str">
        <f>HYPERLINK("https://zfin.org/ZDB-GENE-030131-7630")</f>
        <v>https://zfin.org/ZDB-GENE-030131-7630</v>
      </c>
      <c r="E6014" t="s">
        <v>18016</v>
      </c>
    </row>
    <row r="6015" spans="1:5" x14ac:dyDescent="0.2">
      <c r="A6015" t="s">
        <v>18017</v>
      </c>
      <c r="B6015" t="s">
        <v>18018</v>
      </c>
      <c r="C6015" t="s">
        <v>18018</v>
      </c>
      <c r="D6015" t="str">
        <f>HYPERLINK("https://zfin.org/ZDB-GENE-040718-118")</f>
        <v>https://zfin.org/ZDB-GENE-040718-118</v>
      </c>
      <c r="E6015" t="s">
        <v>18019</v>
      </c>
    </row>
    <row r="6016" spans="1:5" x14ac:dyDescent="0.2">
      <c r="A6016" t="s">
        <v>18020</v>
      </c>
      <c r="B6016" t="s">
        <v>18021</v>
      </c>
      <c r="C6016" t="s">
        <v>18021</v>
      </c>
      <c r="D6016" t="str">
        <f>HYPERLINK("https://zfin.org/ZDB-GENE-050417-163")</f>
        <v>https://zfin.org/ZDB-GENE-050417-163</v>
      </c>
      <c r="E6016" t="s">
        <v>18022</v>
      </c>
    </row>
    <row r="6017" spans="1:5" x14ac:dyDescent="0.2">
      <c r="A6017" t="s">
        <v>18023</v>
      </c>
      <c r="B6017" t="s">
        <v>18024</v>
      </c>
      <c r="C6017" t="s">
        <v>18024</v>
      </c>
      <c r="D6017" t="str">
        <f>HYPERLINK("https://zfin.org/ZDB-GENE-080204-118")</f>
        <v>https://zfin.org/ZDB-GENE-080204-118</v>
      </c>
      <c r="E6017" t="s">
        <v>18025</v>
      </c>
    </row>
    <row r="6018" spans="1:5" x14ac:dyDescent="0.2">
      <c r="A6018" t="s">
        <v>18026</v>
      </c>
      <c r="B6018" t="s">
        <v>18027</v>
      </c>
      <c r="C6018" t="s">
        <v>18027</v>
      </c>
      <c r="D6018" t="str">
        <f>HYPERLINK("https://zfin.org/ZDB-GENE-060626-1")</f>
        <v>https://zfin.org/ZDB-GENE-060626-1</v>
      </c>
      <c r="E6018" t="s">
        <v>18028</v>
      </c>
    </row>
    <row r="6019" spans="1:5" x14ac:dyDescent="0.2">
      <c r="A6019" t="s">
        <v>18029</v>
      </c>
      <c r="B6019" t="s">
        <v>18030</v>
      </c>
      <c r="C6019" t="s">
        <v>18030</v>
      </c>
      <c r="D6019" t="str">
        <f>HYPERLINK("https://zfin.org/ZDB-GENE-050809-23")</f>
        <v>https://zfin.org/ZDB-GENE-050809-23</v>
      </c>
      <c r="E6019" t="s">
        <v>18031</v>
      </c>
    </row>
    <row r="6020" spans="1:5" x14ac:dyDescent="0.2">
      <c r="A6020" t="s">
        <v>18032</v>
      </c>
      <c r="B6020" t="s">
        <v>18033</v>
      </c>
      <c r="C6020" t="s">
        <v>18033</v>
      </c>
      <c r="D6020" t="str">
        <f>HYPERLINK("https://zfin.org/ZDB-GENE-030326-5")</f>
        <v>https://zfin.org/ZDB-GENE-030326-5</v>
      </c>
      <c r="E6020" t="s">
        <v>18034</v>
      </c>
    </row>
    <row r="6021" spans="1:5" x14ac:dyDescent="0.2">
      <c r="A6021" t="s">
        <v>18035</v>
      </c>
      <c r="B6021" t="s">
        <v>18036</v>
      </c>
      <c r="C6021" t="s">
        <v>18036</v>
      </c>
      <c r="D6021" t="str">
        <f>HYPERLINK("https://zfin.org/ZDB-GENE-061130-2")</f>
        <v>https://zfin.org/ZDB-GENE-061130-2</v>
      </c>
      <c r="E6021" t="s">
        <v>18037</v>
      </c>
    </row>
    <row r="6022" spans="1:5" x14ac:dyDescent="0.2">
      <c r="A6022" t="s">
        <v>18038</v>
      </c>
      <c r="B6022" t="s">
        <v>18039</v>
      </c>
      <c r="C6022" t="s">
        <v>18039</v>
      </c>
      <c r="D6022" t="str">
        <f>HYPERLINK("https://zfin.org/ZDB-GENE-000330-5")</f>
        <v>https://zfin.org/ZDB-GENE-000330-5</v>
      </c>
      <c r="E6022" t="s">
        <v>18040</v>
      </c>
    </row>
    <row r="6023" spans="1:5" x14ac:dyDescent="0.2">
      <c r="A6023" t="s">
        <v>18041</v>
      </c>
      <c r="B6023" t="s">
        <v>18042</v>
      </c>
      <c r="C6023" t="s">
        <v>18042</v>
      </c>
      <c r="D6023" t="str">
        <f>HYPERLINK("https://zfin.org/ZDB-GENE-040426-1930")</f>
        <v>https://zfin.org/ZDB-GENE-040426-1930</v>
      </c>
      <c r="E6023" t="s">
        <v>18043</v>
      </c>
    </row>
    <row r="6024" spans="1:5" x14ac:dyDescent="0.2">
      <c r="A6024" t="s">
        <v>18044</v>
      </c>
      <c r="B6024" t="s">
        <v>18045</v>
      </c>
      <c r="C6024" t="s">
        <v>18045</v>
      </c>
      <c r="D6024" t="str">
        <f>HYPERLINK("https://zfin.org/ZDB-GENE-030410-5")</f>
        <v>https://zfin.org/ZDB-GENE-030410-5</v>
      </c>
      <c r="E6024" t="s">
        <v>18046</v>
      </c>
    </row>
    <row r="6025" spans="1:5" x14ac:dyDescent="0.2">
      <c r="A6025" t="s">
        <v>18047</v>
      </c>
      <c r="B6025" t="s">
        <v>18048</v>
      </c>
      <c r="C6025" t="s">
        <v>18048</v>
      </c>
      <c r="D6025" t="str">
        <f>HYPERLINK("https://zfin.org/ZDB-GENE-030131-6724")</f>
        <v>https://zfin.org/ZDB-GENE-030131-6724</v>
      </c>
      <c r="E6025" t="s">
        <v>18049</v>
      </c>
    </row>
    <row r="6026" spans="1:5" x14ac:dyDescent="0.2">
      <c r="A6026" t="s">
        <v>18050</v>
      </c>
      <c r="B6026" t="s">
        <v>18051</v>
      </c>
      <c r="C6026" t="s">
        <v>18051</v>
      </c>
      <c r="D6026" t="str">
        <f>HYPERLINK("https://zfin.org/ZDB-GENE-060503-538")</f>
        <v>https://zfin.org/ZDB-GENE-060503-538</v>
      </c>
      <c r="E6026" t="s">
        <v>18052</v>
      </c>
    </row>
    <row r="6027" spans="1:5" x14ac:dyDescent="0.2">
      <c r="A6027" t="s">
        <v>18053</v>
      </c>
      <c r="B6027" t="s">
        <v>18054</v>
      </c>
      <c r="C6027" t="s">
        <v>18054</v>
      </c>
      <c r="D6027" t="str">
        <f>HYPERLINK("https://zfin.org/ZDB-GENE-060130-56")</f>
        <v>https://zfin.org/ZDB-GENE-060130-56</v>
      </c>
      <c r="E6027" t="s">
        <v>18055</v>
      </c>
    </row>
    <row r="6028" spans="1:5" x14ac:dyDescent="0.2">
      <c r="A6028" t="s">
        <v>18056</v>
      </c>
      <c r="B6028" t="s">
        <v>18057</v>
      </c>
      <c r="C6028" t="s">
        <v>18057</v>
      </c>
      <c r="D6028" t="str">
        <f>HYPERLINK("https://zfin.org/ZDB-GENE-070705-75")</f>
        <v>https://zfin.org/ZDB-GENE-070705-75</v>
      </c>
      <c r="E6028" t="s">
        <v>18058</v>
      </c>
    </row>
    <row r="6029" spans="1:5" x14ac:dyDescent="0.2">
      <c r="A6029" t="s">
        <v>18059</v>
      </c>
      <c r="B6029" t="s">
        <v>18060</v>
      </c>
      <c r="C6029" t="s">
        <v>18060</v>
      </c>
      <c r="D6029" t="str">
        <f>HYPERLINK("https://zfin.org/ZDB-GENE-040718-244")</f>
        <v>https://zfin.org/ZDB-GENE-040718-244</v>
      </c>
      <c r="E6029" t="s">
        <v>18061</v>
      </c>
    </row>
    <row r="6030" spans="1:5" x14ac:dyDescent="0.2">
      <c r="A6030" t="s">
        <v>18062</v>
      </c>
      <c r="B6030" t="s">
        <v>18063</v>
      </c>
      <c r="C6030" t="s">
        <v>18063</v>
      </c>
      <c r="D6030" t="str">
        <f>HYPERLINK("https://zfin.org/ZDB-GENE-070705-81")</f>
        <v>https://zfin.org/ZDB-GENE-070705-81</v>
      </c>
      <c r="E6030" t="s">
        <v>18064</v>
      </c>
    </row>
    <row r="6031" spans="1:5" x14ac:dyDescent="0.2">
      <c r="A6031" t="s">
        <v>18065</v>
      </c>
      <c r="B6031" t="s">
        <v>18066</v>
      </c>
      <c r="C6031" t="s">
        <v>18066</v>
      </c>
      <c r="D6031" t="str">
        <f>HYPERLINK("https://zfin.org/ZDB-GENE-030131-7103")</f>
        <v>https://zfin.org/ZDB-GENE-030131-7103</v>
      </c>
      <c r="E6031" t="s">
        <v>18067</v>
      </c>
    </row>
    <row r="6032" spans="1:5" x14ac:dyDescent="0.2">
      <c r="A6032" t="s">
        <v>18068</v>
      </c>
      <c r="B6032" t="s">
        <v>18069</v>
      </c>
      <c r="C6032" t="s">
        <v>18069</v>
      </c>
      <c r="D6032" t="str">
        <f>HYPERLINK("https://zfin.org/ZDB-GENE-050208-482")</f>
        <v>https://zfin.org/ZDB-GENE-050208-482</v>
      </c>
      <c r="E6032" t="s">
        <v>18070</v>
      </c>
    </row>
    <row r="6033" spans="1:5" x14ac:dyDescent="0.2">
      <c r="A6033" t="s">
        <v>18071</v>
      </c>
      <c r="B6033" t="s">
        <v>18072</v>
      </c>
      <c r="C6033" t="s">
        <v>18072</v>
      </c>
      <c r="D6033" t="str">
        <f>HYPERLINK("https://zfin.org/ZDB-GENE-030131-2797")</f>
        <v>https://zfin.org/ZDB-GENE-030131-2797</v>
      </c>
      <c r="E6033" t="s">
        <v>18073</v>
      </c>
    </row>
    <row r="6034" spans="1:5" x14ac:dyDescent="0.2">
      <c r="A6034" t="s">
        <v>18074</v>
      </c>
      <c r="B6034" t="s">
        <v>18075</v>
      </c>
      <c r="C6034" t="s">
        <v>18075</v>
      </c>
      <c r="D6034" t="str">
        <f>HYPERLINK("https://zfin.org/ZDB-GENE-011010-1")</f>
        <v>https://zfin.org/ZDB-GENE-011010-1</v>
      </c>
      <c r="E6034" t="s">
        <v>18076</v>
      </c>
    </row>
    <row r="6035" spans="1:5" x14ac:dyDescent="0.2">
      <c r="A6035" t="s">
        <v>18077</v>
      </c>
      <c r="B6035" t="s">
        <v>18078</v>
      </c>
      <c r="C6035" t="s">
        <v>18078</v>
      </c>
      <c r="D6035" t="str">
        <f>HYPERLINK("https://zfin.org/ZDB-GENE-081120-4")</f>
        <v>https://zfin.org/ZDB-GENE-081120-4</v>
      </c>
      <c r="E6035" t="s">
        <v>18079</v>
      </c>
    </row>
    <row r="6036" spans="1:5" x14ac:dyDescent="0.2">
      <c r="A6036" t="s">
        <v>18080</v>
      </c>
      <c r="B6036" t="s">
        <v>18081</v>
      </c>
      <c r="C6036" t="s">
        <v>18081</v>
      </c>
      <c r="D6036" t="str">
        <f>HYPERLINK("https://zfin.org/ZDB-GENE-060503-736")</f>
        <v>https://zfin.org/ZDB-GENE-060503-736</v>
      </c>
      <c r="E6036" t="s">
        <v>18082</v>
      </c>
    </row>
    <row r="6037" spans="1:5" x14ac:dyDescent="0.2">
      <c r="A6037" t="s">
        <v>18083</v>
      </c>
      <c r="B6037" t="s">
        <v>18084</v>
      </c>
      <c r="C6037" t="s">
        <v>18084</v>
      </c>
      <c r="D6037" t="str">
        <f>HYPERLINK("https://zfin.org/ZDB-GENE-040718-319")</f>
        <v>https://zfin.org/ZDB-GENE-040718-319</v>
      </c>
      <c r="E6037" t="s">
        <v>18085</v>
      </c>
    </row>
    <row r="6038" spans="1:5" x14ac:dyDescent="0.2">
      <c r="A6038" t="s">
        <v>18086</v>
      </c>
      <c r="B6038" t="s">
        <v>18087</v>
      </c>
      <c r="C6038" t="s">
        <v>18087</v>
      </c>
      <c r="D6038" t="str">
        <f>HYPERLINK("https://zfin.org/ZDB-GENE-040116-8")</f>
        <v>https://zfin.org/ZDB-GENE-040116-8</v>
      </c>
      <c r="E6038" t="s">
        <v>18088</v>
      </c>
    </row>
    <row r="6039" spans="1:5" x14ac:dyDescent="0.2">
      <c r="A6039" t="s">
        <v>18089</v>
      </c>
      <c r="B6039" t="s">
        <v>18090</v>
      </c>
      <c r="C6039" t="s">
        <v>18090</v>
      </c>
      <c r="D6039" t="str">
        <f>HYPERLINK("https://zfin.org/ZDB-GENE-040822-41")</f>
        <v>https://zfin.org/ZDB-GENE-040822-41</v>
      </c>
      <c r="E6039" t="s">
        <v>18091</v>
      </c>
    </row>
    <row r="6040" spans="1:5" x14ac:dyDescent="0.2">
      <c r="A6040" t="s">
        <v>18092</v>
      </c>
      <c r="B6040" t="s">
        <v>18093</v>
      </c>
      <c r="C6040" t="s">
        <v>18093</v>
      </c>
      <c r="D6040" t="str">
        <f>HYPERLINK("https://zfin.org/ZDB-GENE-050208-495")</f>
        <v>https://zfin.org/ZDB-GENE-050208-495</v>
      </c>
      <c r="E6040" t="s">
        <v>18094</v>
      </c>
    </row>
    <row r="6041" spans="1:5" x14ac:dyDescent="0.2">
      <c r="A6041" t="s">
        <v>18095</v>
      </c>
      <c r="B6041" t="s">
        <v>18096</v>
      </c>
      <c r="C6041" t="s">
        <v>18096</v>
      </c>
      <c r="D6041" t="str">
        <f>HYPERLINK("https://zfin.org/ZDB-GENE-060125-2")</f>
        <v>https://zfin.org/ZDB-GENE-060125-2</v>
      </c>
      <c r="E6041" t="s">
        <v>18097</v>
      </c>
    </row>
    <row r="6042" spans="1:5" x14ac:dyDescent="0.2">
      <c r="A6042" t="s">
        <v>18098</v>
      </c>
      <c r="B6042" t="s">
        <v>18099</v>
      </c>
      <c r="C6042" t="s">
        <v>18099</v>
      </c>
      <c r="D6042" t="str">
        <f>HYPERLINK("https://zfin.org/ZDB-GENE-050522-194")</f>
        <v>https://zfin.org/ZDB-GENE-050522-194</v>
      </c>
      <c r="E6042" t="s">
        <v>18100</v>
      </c>
    </row>
    <row r="6043" spans="1:5" x14ac:dyDescent="0.2">
      <c r="A6043" t="s">
        <v>18101</v>
      </c>
      <c r="B6043" t="s">
        <v>18102</v>
      </c>
      <c r="C6043" t="s">
        <v>18102</v>
      </c>
      <c r="D6043" t="str">
        <f>HYPERLINK("https://zfin.org/ZDB-GENE-990712-17")</f>
        <v>https://zfin.org/ZDB-GENE-990712-17</v>
      </c>
      <c r="E6043" t="s">
        <v>18103</v>
      </c>
    </row>
    <row r="6044" spans="1:5" x14ac:dyDescent="0.2">
      <c r="A6044" t="s">
        <v>18104</v>
      </c>
      <c r="B6044" t="s">
        <v>18105</v>
      </c>
      <c r="C6044" t="s">
        <v>18105</v>
      </c>
      <c r="D6044" t="str">
        <f>HYPERLINK("https://zfin.org/ZDB-GENE-081022-200")</f>
        <v>https://zfin.org/ZDB-GENE-081022-200</v>
      </c>
      <c r="E6044" t="s">
        <v>18106</v>
      </c>
    </row>
    <row r="6045" spans="1:5" x14ac:dyDescent="0.2">
      <c r="A6045" t="s">
        <v>18107</v>
      </c>
      <c r="B6045" t="s">
        <v>18108</v>
      </c>
      <c r="C6045" t="s">
        <v>18108</v>
      </c>
      <c r="D6045" t="str">
        <f>HYPERLINK("https://zfin.org/ZDB-GENE-030131-1348")</f>
        <v>https://zfin.org/ZDB-GENE-030131-1348</v>
      </c>
      <c r="E6045" t="s">
        <v>18109</v>
      </c>
    </row>
    <row r="6046" spans="1:5" x14ac:dyDescent="0.2">
      <c r="A6046" t="s">
        <v>18110</v>
      </c>
      <c r="B6046" t="s">
        <v>18009</v>
      </c>
      <c r="C6046" t="s">
        <v>18111</v>
      </c>
      <c r="D6046" t="str">
        <f>HYPERLINK("https://zfin.org/ZDB-GENE-050126-2")</f>
        <v>https://zfin.org/ZDB-GENE-050126-2</v>
      </c>
      <c r="E6046" t="s">
        <v>18010</v>
      </c>
    </row>
    <row r="6047" spans="1:5" x14ac:dyDescent="0.2">
      <c r="A6047" t="s">
        <v>18112</v>
      </c>
      <c r="B6047" t="s">
        <v>18113</v>
      </c>
      <c r="C6047" t="s">
        <v>18113</v>
      </c>
      <c r="D6047" t="str">
        <f>HYPERLINK("https://zfin.org/ZDB-GENE-030131-2773")</f>
        <v>https://zfin.org/ZDB-GENE-030131-2773</v>
      </c>
      <c r="E6047" t="s">
        <v>18114</v>
      </c>
    </row>
    <row r="6048" spans="1:5" x14ac:dyDescent="0.2">
      <c r="A6048" t="s">
        <v>18115</v>
      </c>
      <c r="B6048" t="s">
        <v>18116</v>
      </c>
      <c r="C6048" t="s">
        <v>18116</v>
      </c>
      <c r="D6048" t="str">
        <f>HYPERLINK("https://zfin.org/ZDB-GENE-010919-3")</f>
        <v>https://zfin.org/ZDB-GENE-010919-3</v>
      </c>
      <c r="E6048" t="s">
        <v>18117</v>
      </c>
    </row>
    <row r="6049" spans="1:5" x14ac:dyDescent="0.2">
      <c r="A6049" t="s">
        <v>18118</v>
      </c>
      <c r="B6049" t="s">
        <v>18119</v>
      </c>
      <c r="C6049" t="s">
        <v>18119</v>
      </c>
      <c r="D6049" t="str">
        <f>HYPERLINK("https://zfin.org/ZDB-GENE-121214-293")</f>
        <v>https://zfin.org/ZDB-GENE-121214-293</v>
      </c>
      <c r="E6049" t="s">
        <v>18120</v>
      </c>
    </row>
    <row r="6050" spans="1:5" x14ac:dyDescent="0.2">
      <c r="A6050" t="s">
        <v>18121</v>
      </c>
      <c r="B6050" t="s">
        <v>18122</v>
      </c>
      <c r="C6050" t="s">
        <v>18122</v>
      </c>
      <c r="D6050" t="str">
        <f>HYPERLINK("https://zfin.org/ZDB-GENE-021212-1")</f>
        <v>https://zfin.org/ZDB-GENE-021212-1</v>
      </c>
      <c r="E6050" t="s">
        <v>18123</v>
      </c>
    </row>
    <row r="6051" spans="1:5" x14ac:dyDescent="0.2">
      <c r="A6051" t="s">
        <v>18124</v>
      </c>
      <c r="B6051" t="s">
        <v>18125</v>
      </c>
      <c r="C6051" t="s">
        <v>18125</v>
      </c>
      <c r="D6051" t="str">
        <f>HYPERLINK("https://zfin.org/ZDB-GENE-130531-28")</f>
        <v>https://zfin.org/ZDB-GENE-130531-28</v>
      </c>
      <c r="E6051" t="s">
        <v>18126</v>
      </c>
    </row>
    <row r="6052" spans="1:5" x14ac:dyDescent="0.2">
      <c r="A6052" t="s">
        <v>18127</v>
      </c>
      <c r="B6052" t="s">
        <v>18128</v>
      </c>
      <c r="C6052" t="s">
        <v>18128</v>
      </c>
      <c r="D6052" t="str">
        <f>HYPERLINK("https://zfin.org/ZDB-GENE-110914-186")</f>
        <v>https://zfin.org/ZDB-GENE-110914-186</v>
      </c>
      <c r="E6052" t="s">
        <v>18129</v>
      </c>
    </row>
    <row r="6053" spans="1:5" x14ac:dyDescent="0.2">
      <c r="A6053" t="s">
        <v>18130</v>
      </c>
      <c r="B6053" t="s">
        <v>18131</v>
      </c>
      <c r="C6053" t="s">
        <v>18131</v>
      </c>
      <c r="D6053" t="str">
        <f>HYPERLINK("https://zfin.org/ZDB-GENE-030131-4189")</f>
        <v>https://zfin.org/ZDB-GENE-030131-4189</v>
      </c>
      <c r="E6053" t="s">
        <v>18132</v>
      </c>
    </row>
    <row r="6054" spans="1:5" x14ac:dyDescent="0.2">
      <c r="A6054" t="s">
        <v>18133</v>
      </c>
      <c r="B6054" t="s">
        <v>18134</v>
      </c>
      <c r="C6054" t="s">
        <v>18134</v>
      </c>
      <c r="D6054" t="str">
        <f>HYPERLINK("https://zfin.org/ZDB-GENE-030616-623")</f>
        <v>https://zfin.org/ZDB-GENE-030616-623</v>
      </c>
      <c r="E6054" t="s">
        <v>18135</v>
      </c>
    </row>
    <row r="6055" spans="1:5" x14ac:dyDescent="0.2">
      <c r="A6055" t="s">
        <v>18136</v>
      </c>
      <c r="B6055" t="s">
        <v>18137</v>
      </c>
      <c r="C6055" t="s">
        <v>18137</v>
      </c>
      <c r="D6055" t="str">
        <f>HYPERLINK("https://zfin.org/ZDB-GENE-080409-1")</f>
        <v>https://zfin.org/ZDB-GENE-080409-1</v>
      </c>
      <c r="E6055" t="s">
        <v>18138</v>
      </c>
    </row>
    <row r="6056" spans="1:5" x14ac:dyDescent="0.2">
      <c r="A6056" t="s">
        <v>18139</v>
      </c>
      <c r="B6056" t="s">
        <v>18140</v>
      </c>
      <c r="C6056" t="s">
        <v>18140</v>
      </c>
      <c r="D6056" t="str">
        <f>HYPERLINK("https://zfin.org/ZDB-GENE-040801-176")</f>
        <v>https://zfin.org/ZDB-GENE-040801-176</v>
      </c>
      <c r="E6056" t="s">
        <v>18141</v>
      </c>
    </row>
    <row r="6057" spans="1:5" x14ac:dyDescent="0.2">
      <c r="A6057" t="s">
        <v>18142</v>
      </c>
      <c r="B6057" t="s">
        <v>18096</v>
      </c>
      <c r="C6057" t="s">
        <v>18143</v>
      </c>
      <c r="D6057" t="str">
        <f>HYPERLINK("https://zfin.org/ZDB-GENE-060125-2")</f>
        <v>https://zfin.org/ZDB-GENE-060125-2</v>
      </c>
      <c r="E6057" t="s">
        <v>18097</v>
      </c>
    </row>
    <row r="6058" spans="1:5" x14ac:dyDescent="0.2">
      <c r="A6058" t="s">
        <v>18144</v>
      </c>
      <c r="B6058" t="s">
        <v>18145</v>
      </c>
      <c r="C6058" t="s">
        <v>18145</v>
      </c>
      <c r="D6058" t="str">
        <f>HYPERLINK("https://zfin.org/ZDB-GENE-041014-193")</f>
        <v>https://zfin.org/ZDB-GENE-041014-193</v>
      </c>
      <c r="E6058" t="s">
        <v>18146</v>
      </c>
    </row>
    <row r="6059" spans="1:5" x14ac:dyDescent="0.2">
      <c r="A6059" t="s">
        <v>18147</v>
      </c>
      <c r="B6059" t="s">
        <v>18148</v>
      </c>
      <c r="C6059" t="s">
        <v>18148</v>
      </c>
      <c r="D6059" t="str">
        <f>HYPERLINK("https://zfin.org/ZDB-GENE-070720-14")</f>
        <v>https://zfin.org/ZDB-GENE-070720-14</v>
      </c>
      <c r="E6059" t="s">
        <v>18149</v>
      </c>
    </row>
    <row r="6060" spans="1:5" x14ac:dyDescent="0.2">
      <c r="A6060" t="s">
        <v>18150</v>
      </c>
      <c r="B6060" t="s">
        <v>18151</v>
      </c>
      <c r="C6060" t="s">
        <v>18151</v>
      </c>
      <c r="D6060" t="str">
        <f>HYPERLINK("https://zfin.org/ZDB-GENE-040426-1262")</f>
        <v>https://zfin.org/ZDB-GENE-040426-1262</v>
      </c>
      <c r="E6060" t="s">
        <v>18152</v>
      </c>
    </row>
    <row r="6061" spans="1:5" x14ac:dyDescent="0.2">
      <c r="A6061" t="s">
        <v>18153</v>
      </c>
      <c r="B6061" t="s">
        <v>18154</v>
      </c>
      <c r="C6061" t="s">
        <v>18154</v>
      </c>
      <c r="D6061" t="str">
        <f>HYPERLINK("https://zfin.org/ZDB-GENE-040426-2662")</f>
        <v>https://zfin.org/ZDB-GENE-040426-2662</v>
      </c>
      <c r="E6061" t="s">
        <v>18155</v>
      </c>
    </row>
    <row r="6062" spans="1:5" x14ac:dyDescent="0.2">
      <c r="A6062" t="s">
        <v>18156</v>
      </c>
      <c r="B6062" t="s">
        <v>18157</v>
      </c>
      <c r="C6062" t="s">
        <v>18157</v>
      </c>
      <c r="D6062" t="str">
        <f>HYPERLINK("https://zfin.org/ZDB-GENE-061110-16")</f>
        <v>https://zfin.org/ZDB-GENE-061110-16</v>
      </c>
      <c r="E6062" t="s">
        <v>18158</v>
      </c>
    </row>
    <row r="6063" spans="1:5" x14ac:dyDescent="0.2">
      <c r="A6063" t="s">
        <v>18159</v>
      </c>
      <c r="B6063" t="s">
        <v>18160</v>
      </c>
      <c r="C6063" t="s">
        <v>18160</v>
      </c>
      <c r="D6063" t="str">
        <f>HYPERLINK("https://zfin.org/ZDB-GENE-091204-207")</f>
        <v>https://zfin.org/ZDB-GENE-091204-207</v>
      </c>
      <c r="E6063" t="s">
        <v>18161</v>
      </c>
    </row>
    <row r="6064" spans="1:5" x14ac:dyDescent="0.2">
      <c r="A6064" t="s">
        <v>18162</v>
      </c>
      <c r="B6064" t="s">
        <v>18163</v>
      </c>
      <c r="C6064" t="s">
        <v>18163</v>
      </c>
      <c r="D6064" t="str">
        <f>HYPERLINK("https://zfin.org/ZDB-GENE-060724-2")</f>
        <v>https://zfin.org/ZDB-GENE-060724-2</v>
      </c>
      <c r="E6064" t="s">
        <v>18164</v>
      </c>
    </row>
    <row r="6065" spans="1:5" x14ac:dyDescent="0.2">
      <c r="A6065" t="s">
        <v>18165</v>
      </c>
      <c r="B6065" t="s">
        <v>18166</v>
      </c>
      <c r="C6065" t="s">
        <v>18166</v>
      </c>
      <c r="D6065" t="str">
        <f>HYPERLINK("https://zfin.org/ZDB-GENE-030131-5453")</f>
        <v>https://zfin.org/ZDB-GENE-030131-5453</v>
      </c>
      <c r="E6065" t="s">
        <v>18167</v>
      </c>
    </row>
    <row r="6066" spans="1:5" x14ac:dyDescent="0.2">
      <c r="A6066" t="s">
        <v>18168</v>
      </c>
      <c r="B6066" t="s">
        <v>18169</v>
      </c>
      <c r="C6066" t="s">
        <v>18169</v>
      </c>
      <c r="D6066" t="str">
        <f>HYPERLINK("https://zfin.org/ZDB-GENE-031204-23")</f>
        <v>https://zfin.org/ZDB-GENE-031204-23</v>
      </c>
      <c r="E6066" t="s">
        <v>18170</v>
      </c>
    </row>
    <row r="6067" spans="1:5" x14ac:dyDescent="0.2">
      <c r="A6067" t="s">
        <v>18171</v>
      </c>
      <c r="B6067" t="s">
        <v>18172</v>
      </c>
      <c r="C6067" t="s">
        <v>18172</v>
      </c>
      <c r="D6067" t="str">
        <f>HYPERLINK("https://zfin.org/ZDB-GENE-060531-45")</f>
        <v>https://zfin.org/ZDB-GENE-060531-45</v>
      </c>
      <c r="E6067" t="s">
        <v>18173</v>
      </c>
    </row>
    <row r="6068" spans="1:5" x14ac:dyDescent="0.2">
      <c r="A6068" t="s">
        <v>18174</v>
      </c>
      <c r="B6068" t="s">
        <v>18175</v>
      </c>
      <c r="C6068" t="s">
        <v>18175</v>
      </c>
      <c r="D6068" t="str">
        <f>HYPERLINK("https://zfin.org/ZDB-GENE-081022-187")</f>
        <v>https://zfin.org/ZDB-GENE-081022-187</v>
      </c>
      <c r="E6068" t="s">
        <v>18176</v>
      </c>
    </row>
    <row r="6069" spans="1:5" x14ac:dyDescent="0.2">
      <c r="A6069" t="s">
        <v>18177</v>
      </c>
      <c r="B6069" t="s">
        <v>18178</v>
      </c>
      <c r="C6069" t="s">
        <v>18178</v>
      </c>
      <c r="D6069" t="str">
        <f>HYPERLINK("https://zfin.org/ZDB-GENE-020419-21")</f>
        <v>https://zfin.org/ZDB-GENE-020419-21</v>
      </c>
      <c r="E6069" t="s">
        <v>18179</v>
      </c>
    </row>
    <row r="6070" spans="1:5" x14ac:dyDescent="0.2">
      <c r="A6070" t="s">
        <v>18180</v>
      </c>
      <c r="B6070" t="s">
        <v>18181</v>
      </c>
      <c r="C6070" t="s">
        <v>18181</v>
      </c>
      <c r="D6070" t="str">
        <f>HYPERLINK("https://zfin.org/ZDB-GENE-030710-7")</f>
        <v>https://zfin.org/ZDB-GENE-030710-7</v>
      </c>
      <c r="E6070" t="s">
        <v>18182</v>
      </c>
    </row>
    <row r="6071" spans="1:5" x14ac:dyDescent="0.2">
      <c r="A6071" t="s">
        <v>18183</v>
      </c>
      <c r="B6071" t="s">
        <v>18184</v>
      </c>
      <c r="C6071" t="s">
        <v>18184</v>
      </c>
      <c r="D6071" t="str">
        <f>HYPERLINK("https://zfin.org/ZDB-GENE-040718-464")</f>
        <v>https://zfin.org/ZDB-GENE-040718-464</v>
      </c>
      <c r="E6071" t="s">
        <v>18185</v>
      </c>
    </row>
    <row r="6072" spans="1:5" x14ac:dyDescent="0.2">
      <c r="A6072" t="s">
        <v>18186</v>
      </c>
      <c r="B6072" t="s">
        <v>18187</v>
      </c>
      <c r="C6072" t="s">
        <v>18187</v>
      </c>
      <c r="D6072" t="str">
        <f>HYPERLINK("https://zfin.org/ZDB-GENE-080219-34")</f>
        <v>https://zfin.org/ZDB-GENE-080219-34</v>
      </c>
      <c r="E6072" t="s">
        <v>18188</v>
      </c>
    </row>
    <row r="6073" spans="1:5" x14ac:dyDescent="0.2">
      <c r="A6073" t="s">
        <v>18189</v>
      </c>
      <c r="B6073" t="s">
        <v>18190</v>
      </c>
      <c r="C6073" t="s">
        <v>18190</v>
      </c>
      <c r="D6073" t="str">
        <f>HYPERLINK("https://zfin.org/ZDB-GENE-090313-318")</f>
        <v>https://zfin.org/ZDB-GENE-090313-318</v>
      </c>
      <c r="E6073" t="s">
        <v>18191</v>
      </c>
    </row>
    <row r="6074" spans="1:5" x14ac:dyDescent="0.2">
      <c r="A6074" t="s">
        <v>18192</v>
      </c>
      <c r="B6074" t="s">
        <v>18193</v>
      </c>
      <c r="C6074" t="s">
        <v>18193</v>
      </c>
      <c r="D6074" t="str">
        <f>HYPERLINK("https://zfin.org/ZDB-GENE-021115-6")</f>
        <v>https://zfin.org/ZDB-GENE-021115-6</v>
      </c>
      <c r="E6074" t="s">
        <v>18194</v>
      </c>
    </row>
    <row r="6075" spans="1:5" x14ac:dyDescent="0.2">
      <c r="A6075" t="s">
        <v>18195</v>
      </c>
      <c r="B6075" t="s">
        <v>18196</v>
      </c>
      <c r="C6075" t="s">
        <v>18196</v>
      </c>
      <c r="D6075" t="str">
        <f>HYPERLINK("https://zfin.org/ZDB-GENE-990706-5")</f>
        <v>https://zfin.org/ZDB-GENE-990706-5</v>
      </c>
      <c r="E6075" t="s">
        <v>18197</v>
      </c>
    </row>
    <row r="6076" spans="1:5" x14ac:dyDescent="0.2">
      <c r="A6076" t="s">
        <v>18198</v>
      </c>
      <c r="B6076" t="s">
        <v>18199</v>
      </c>
      <c r="C6076" t="s">
        <v>18199</v>
      </c>
      <c r="D6076" t="str">
        <f>HYPERLINK("https://zfin.org/ZDB-GENE-011128-3")</f>
        <v>https://zfin.org/ZDB-GENE-011128-3</v>
      </c>
      <c r="E6076" t="s">
        <v>18200</v>
      </c>
    </row>
    <row r="6077" spans="1:5" x14ac:dyDescent="0.2">
      <c r="A6077" t="s">
        <v>18201</v>
      </c>
      <c r="B6077" t="s">
        <v>18202</v>
      </c>
      <c r="C6077" t="s">
        <v>18202</v>
      </c>
      <c r="D6077" t="str">
        <f>HYPERLINK("https://zfin.org/ZDB-GENE-040426-1132")</f>
        <v>https://zfin.org/ZDB-GENE-040426-1132</v>
      </c>
      <c r="E6077" t="s">
        <v>18203</v>
      </c>
    </row>
    <row r="6078" spans="1:5" x14ac:dyDescent="0.2">
      <c r="A6078" t="s">
        <v>18204</v>
      </c>
      <c r="B6078" t="s">
        <v>18205</v>
      </c>
      <c r="C6078" t="s">
        <v>18205</v>
      </c>
      <c r="D6078" t="str">
        <f>HYPERLINK("https://zfin.org/ZDB-GENE-100812-7")</f>
        <v>https://zfin.org/ZDB-GENE-100812-7</v>
      </c>
      <c r="E6078" t="s">
        <v>18206</v>
      </c>
    </row>
    <row r="6079" spans="1:5" x14ac:dyDescent="0.2">
      <c r="A6079" t="s">
        <v>18207</v>
      </c>
      <c r="B6079" t="s">
        <v>18208</v>
      </c>
      <c r="C6079" t="s">
        <v>18208</v>
      </c>
      <c r="D6079" t="str">
        <f>HYPERLINK("https://zfin.org/ZDB-GENE-030131-464")</f>
        <v>https://zfin.org/ZDB-GENE-030131-464</v>
      </c>
      <c r="E6079" t="s">
        <v>18209</v>
      </c>
    </row>
    <row r="6080" spans="1:5" x14ac:dyDescent="0.2">
      <c r="A6080" t="s">
        <v>18210</v>
      </c>
      <c r="B6080" t="s">
        <v>18211</v>
      </c>
      <c r="C6080" t="s">
        <v>18211</v>
      </c>
      <c r="D6080" t="str">
        <f>HYPERLINK("https://zfin.org/ZDB-GENE-040912-142")</f>
        <v>https://zfin.org/ZDB-GENE-040912-142</v>
      </c>
      <c r="E6080" t="s">
        <v>18212</v>
      </c>
    </row>
    <row r="6081" spans="1:5" x14ac:dyDescent="0.2">
      <c r="A6081" t="s">
        <v>18213</v>
      </c>
      <c r="B6081" t="s">
        <v>18214</v>
      </c>
      <c r="C6081" t="s">
        <v>18214</v>
      </c>
      <c r="D6081" t="str">
        <f>HYPERLINK("https://zfin.org/ZDB-GENE-030219-148")</f>
        <v>https://zfin.org/ZDB-GENE-030219-148</v>
      </c>
      <c r="E6081" t="s">
        <v>18215</v>
      </c>
    </row>
    <row r="6082" spans="1:5" x14ac:dyDescent="0.2">
      <c r="A6082" t="s">
        <v>18216</v>
      </c>
      <c r="B6082" t="s">
        <v>18217</v>
      </c>
      <c r="C6082" t="s">
        <v>18217</v>
      </c>
      <c r="D6082" t="str">
        <f>HYPERLINK("https://zfin.org/ZDB-GENE-070702-2")</f>
        <v>https://zfin.org/ZDB-GENE-070702-2</v>
      </c>
      <c r="E6082" t="s">
        <v>18218</v>
      </c>
    </row>
    <row r="6083" spans="1:5" x14ac:dyDescent="0.2">
      <c r="A6083" t="s">
        <v>18219</v>
      </c>
      <c r="B6083" t="s">
        <v>18220</v>
      </c>
      <c r="C6083" t="s">
        <v>18220</v>
      </c>
      <c r="D6083" t="str">
        <f>HYPERLINK("https://zfin.org/ZDB-GENE-061103-529")</f>
        <v>https://zfin.org/ZDB-GENE-061103-529</v>
      </c>
      <c r="E6083" t="s">
        <v>18221</v>
      </c>
    </row>
    <row r="6084" spans="1:5" x14ac:dyDescent="0.2">
      <c r="A6084" t="s">
        <v>18222</v>
      </c>
      <c r="B6084" t="s">
        <v>18223</v>
      </c>
      <c r="C6084" t="s">
        <v>18223</v>
      </c>
      <c r="D6084" t="str">
        <f>HYPERLINK("https://zfin.org/ZDB-GENE-051113-272")</f>
        <v>https://zfin.org/ZDB-GENE-051113-272</v>
      </c>
      <c r="E6084" t="s">
        <v>18224</v>
      </c>
    </row>
    <row r="6085" spans="1:5" x14ac:dyDescent="0.2">
      <c r="A6085" t="s">
        <v>18225</v>
      </c>
      <c r="B6085" t="s">
        <v>18226</v>
      </c>
      <c r="C6085" t="s">
        <v>18226</v>
      </c>
      <c r="D6085" t="str">
        <f>HYPERLINK("https://zfin.org/ZDB-GENE-080225-13")</f>
        <v>https://zfin.org/ZDB-GENE-080225-13</v>
      </c>
      <c r="E6085" t="s">
        <v>18227</v>
      </c>
    </row>
    <row r="6086" spans="1:5" x14ac:dyDescent="0.2">
      <c r="A6086" t="s">
        <v>18228</v>
      </c>
      <c r="B6086" t="s">
        <v>18229</v>
      </c>
      <c r="C6086" t="s">
        <v>18229</v>
      </c>
      <c r="D6086" t="str">
        <f>HYPERLINK("https://zfin.org/ZDB-GENE-090312-186")</f>
        <v>https://zfin.org/ZDB-GENE-090312-186</v>
      </c>
      <c r="E6086" t="s">
        <v>18230</v>
      </c>
    </row>
    <row r="6087" spans="1:5" x14ac:dyDescent="0.2">
      <c r="A6087" t="s">
        <v>18231</v>
      </c>
      <c r="B6087" t="s">
        <v>18232</v>
      </c>
      <c r="C6087" t="s">
        <v>18232</v>
      </c>
      <c r="D6087" t="str">
        <f>HYPERLINK("https://zfin.org/ZDB-GENE-041212-38")</f>
        <v>https://zfin.org/ZDB-GENE-041212-38</v>
      </c>
      <c r="E6087" t="s">
        <v>18233</v>
      </c>
    </row>
    <row r="6088" spans="1:5" x14ac:dyDescent="0.2">
      <c r="A6088" t="s">
        <v>18234</v>
      </c>
      <c r="B6088" t="s">
        <v>18235</v>
      </c>
      <c r="C6088" t="s">
        <v>18235</v>
      </c>
      <c r="D6088" t="str">
        <f>HYPERLINK("https://zfin.org/ZDB-GENE-060526-246")</f>
        <v>https://zfin.org/ZDB-GENE-060526-246</v>
      </c>
      <c r="E6088" t="s">
        <v>18236</v>
      </c>
    </row>
    <row r="6089" spans="1:5" x14ac:dyDescent="0.2">
      <c r="A6089" t="s">
        <v>18237</v>
      </c>
      <c r="B6089" t="s">
        <v>18238</v>
      </c>
      <c r="C6089" t="s">
        <v>18238</v>
      </c>
      <c r="D6089" t="str">
        <f>HYPERLINK("https://zfin.org/ZDB-GENE-060322-2")</f>
        <v>https://zfin.org/ZDB-GENE-060322-2</v>
      </c>
      <c r="E6089" t="s">
        <v>18239</v>
      </c>
    </row>
    <row r="6090" spans="1:5" x14ac:dyDescent="0.2">
      <c r="A6090" t="s">
        <v>18240</v>
      </c>
      <c r="B6090" t="s">
        <v>18241</v>
      </c>
      <c r="C6090" t="s">
        <v>18241</v>
      </c>
      <c r="D6090" t="str">
        <f>HYPERLINK("https://zfin.org/ZDB-GENE-110830-2")</f>
        <v>https://zfin.org/ZDB-GENE-110830-2</v>
      </c>
      <c r="E6090" t="s">
        <v>18242</v>
      </c>
    </row>
    <row r="6091" spans="1:5" x14ac:dyDescent="0.2">
      <c r="A6091" t="s">
        <v>18243</v>
      </c>
      <c r="B6091" t="s">
        <v>18244</v>
      </c>
      <c r="C6091" t="s">
        <v>18244</v>
      </c>
      <c r="D6091" t="str">
        <f>HYPERLINK("https://zfin.org/ZDB-GENE-030131-5705")</f>
        <v>https://zfin.org/ZDB-GENE-030131-5705</v>
      </c>
      <c r="E6091" t="s">
        <v>18245</v>
      </c>
    </row>
    <row r="6092" spans="1:5" x14ac:dyDescent="0.2">
      <c r="A6092" t="s">
        <v>18246</v>
      </c>
      <c r="B6092" t="s">
        <v>18247</v>
      </c>
      <c r="C6092" t="s">
        <v>18247</v>
      </c>
      <c r="D6092" t="str">
        <f>HYPERLINK("https://zfin.org/ZDB-GENE-070705-7")</f>
        <v>https://zfin.org/ZDB-GENE-070705-7</v>
      </c>
      <c r="E6092" t="s">
        <v>18248</v>
      </c>
    </row>
    <row r="6093" spans="1:5" x14ac:dyDescent="0.2">
      <c r="A6093" t="s">
        <v>18249</v>
      </c>
      <c r="B6093" t="s">
        <v>18250</v>
      </c>
      <c r="C6093" t="s">
        <v>18250</v>
      </c>
      <c r="D6093" t="str">
        <f>HYPERLINK("https://zfin.org/ZDB-GENE-030721-3")</f>
        <v>https://zfin.org/ZDB-GENE-030721-3</v>
      </c>
      <c r="E6093" t="s">
        <v>18251</v>
      </c>
    </row>
    <row r="6094" spans="1:5" x14ac:dyDescent="0.2">
      <c r="A6094" t="s">
        <v>18252</v>
      </c>
      <c r="B6094" t="s">
        <v>18253</v>
      </c>
      <c r="C6094" t="s">
        <v>18253</v>
      </c>
      <c r="D6094" t="str">
        <f>HYPERLINK("https://zfin.org/ZDB-GENE-011010-2")</f>
        <v>https://zfin.org/ZDB-GENE-011010-2</v>
      </c>
      <c r="E6094" t="s">
        <v>18254</v>
      </c>
    </row>
    <row r="6095" spans="1:5" x14ac:dyDescent="0.2">
      <c r="A6095" t="s">
        <v>18255</v>
      </c>
      <c r="B6095" t="s">
        <v>18256</v>
      </c>
      <c r="C6095" t="s">
        <v>18256</v>
      </c>
      <c r="D6095" t="str">
        <f>HYPERLINK("https://zfin.org/ZDB-GENE-030131-6321")</f>
        <v>https://zfin.org/ZDB-GENE-030131-6321</v>
      </c>
      <c r="E6095" t="s">
        <v>18257</v>
      </c>
    </row>
    <row r="6096" spans="1:5" x14ac:dyDescent="0.2">
      <c r="A6096" t="s">
        <v>18258</v>
      </c>
      <c r="B6096" t="s">
        <v>18259</v>
      </c>
      <c r="C6096" t="s">
        <v>18259</v>
      </c>
      <c r="D6096" t="str">
        <f>HYPERLINK("https://zfin.org/ZDB-GENE-090409-3")</f>
        <v>https://zfin.org/ZDB-GENE-090409-3</v>
      </c>
      <c r="E6096" t="s">
        <v>18260</v>
      </c>
    </row>
    <row r="6097" spans="1:5" x14ac:dyDescent="0.2">
      <c r="A6097" t="s">
        <v>18261</v>
      </c>
      <c r="B6097" t="s">
        <v>18262</v>
      </c>
      <c r="C6097" t="s">
        <v>18262</v>
      </c>
      <c r="D6097" t="str">
        <f>HYPERLINK("https://zfin.org/ZDB-GENE-060531-72")</f>
        <v>https://zfin.org/ZDB-GENE-060531-72</v>
      </c>
      <c r="E6097" t="s">
        <v>18263</v>
      </c>
    </row>
    <row r="6098" spans="1:5" x14ac:dyDescent="0.2">
      <c r="A6098" t="s">
        <v>18264</v>
      </c>
      <c r="B6098" t="s">
        <v>18265</v>
      </c>
      <c r="C6098" t="s">
        <v>18265</v>
      </c>
      <c r="D6098" t="str">
        <f>HYPERLINK("https://zfin.org/ZDB-GENE-131122-56")</f>
        <v>https://zfin.org/ZDB-GENE-131122-56</v>
      </c>
      <c r="E6098" t="s">
        <v>18266</v>
      </c>
    </row>
    <row r="6099" spans="1:5" x14ac:dyDescent="0.2">
      <c r="A6099" t="s">
        <v>18267</v>
      </c>
      <c r="B6099" t="s">
        <v>18268</v>
      </c>
      <c r="C6099" t="s">
        <v>18268</v>
      </c>
      <c r="D6099" t="str">
        <f>HYPERLINK("https://zfin.org/ZDB-GENE-131121-37")</f>
        <v>https://zfin.org/ZDB-GENE-131121-37</v>
      </c>
      <c r="E6099" t="s">
        <v>18269</v>
      </c>
    </row>
    <row r="6100" spans="1:5" x14ac:dyDescent="0.2">
      <c r="A6100" t="s">
        <v>18270</v>
      </c>
      <c r="B6100" t="s">
        <v>18271</v>
      </c>
      <c r="C6100" t="s">
        <v>18271</v>
      </c>
      <c r="D6100" t="str">
        <f>HYPERLINK("https://zfin.org/ZDB-GENE-060929-744")</f>
        <v>https://zfin.org/ZDB-GENE-060929-744</v>
      </c>
      <c r="E6100" t="s">
        <v>18272</v>
      </c>
    </row>
    <row r="6101" spans="1:5" x14ac:dyDescent="0.2">
      <c r="A6101" t="s">
        <v>18273</v>
      </c>
      <c r="B6101" t="s">
        <v>18274</v>
      </c>
      <c r="C6101" t="s">
        <v>18274</v>
      </c>
      <c r="D6101" t="str">
        <f>HYPERLINK("https://zfin.org/ZDB-GENE-081105-176")</f>
        <v>https://zfin.org/ZDB-GENE-081105-176</v>
      </c>
      <c r="E6101" t="s">
        <v>18275</v>
      </c>
    </row>
    <row r="6102" spans="1:5" x14ac:dyDescent="0.2">
      <c r="A6102" t="s">
        <v>18276</v>
      </c>
      <c r="B6102" t="s">
        <v>18277</v>
      </c>
      <c r="C6102" t="s">
        <v>18277</v>
      </c>
      <c r="D6102" t="str">
        <f>HYPERLINK("https://zfin.org/ZDB-GENE-030131-2906")</f>
        <v>https://zfin.org/ZDB-GENE-030131-2906</v>
      </c>
      <c r="E6102" t="s">
        <v>18278</v>
      </c>
    </row>
    <row r="6103" spans="1:5" x14ac:dyDescent="0.2">
      <c r="A6103" t="s">
        <v>18279</v>
      </c>
      <c r="B6103" t="s">
        <v>18280</v>
      </c>
      <c r="C6103" t="s">
        <v>18280</v>
      </c>
      <c r="D6103" t="str">
        <f>HYPERLINK("https://zfin.org/ZDB-GENE-050522-22")</f>
        <v>https://zfin.org/ZDB-GENE-050522-22</v>
      </c>
      <c r="E6103" t="s">
        <v>18281</v>
      </c>
    </row>
    <row r="6104" spans="1:5" x14ac:dyDescent="0.2">
      <c r="A6104" t="s">
        <v>18282</v>
      </c>
      <c r="B6104" t="s">
        <v>18283</v>
      </c>
      <c r="C6104" t="s">
        <v>18283</v>
      </c>
      <c r="D6104" t="str">
        <f>HYPERLINK("https://zfin.org/ZDB-GENE-050522-100")</f>
        <v>https://zfin.org/ZDB-GENE-050522-100</v>
      </c>
      <c r="E6104" t="s">
        <v>18284</v>
      </c>
    </row>
    <row r="6105" spans="1:5" x14ac:dyDescent="0.2">
      <c r="A6105" t="s">
        <v>18285</v>
      </c>
      <c r="B6105" t="s">
        <v>18286</v>
      </c>
      <c r="C6105" t="s">
        <v>18286</v>
      </c>
      <c r="D6105" t="str">
        <f>HYPERLINK("https://zfin.org/ZDB-GENE-051101-1")</f>
        <v>https://zfin.org/ZDB-GENE-051101-1</v>
      </c>
      <c r="E6105" t="s">
        <v>18287</v>
      </c>
    </row>
    <row r="6106" spans="1:5" x14ac:dyDescent="0.2">
      <c r="A6106" t="s">
        <v>18288</v>
      </c>
      <c r="B6106" t="s">
        <v>18289</v>
      </c>
      <c r="C6106" t="s">
        <v>18289</v>
      </c>
      <c r="D6106" t="str">
        <f>HYPERLINK("https://zfin.org/ZDB-GENE-050417-64")</f>
        <v>https://zfin.org/ZDB-GENE-050417-64</v>
      </c>
      <c r="E6106" t="s">
        <v>18290</v>
      </c>
    </row>
    <row r="6107" spans="1:5" x14ac:dyDescent="0.2">
      <c r="A6107" t="s">
        <v>18291</v>
      </c>
      <c r="B6107" t="s">
        <v>18292</v>
      </c>
      <c r="C6107" t="s">
        <v>18292</v>
      </c>
      <c r="D6107" t="str">
        <f>HYPERLINK("https://zfin.org/ZDB-GENE-070410-23")</f>
        <v>https://zfin.org/ZDB-GENE-070410-23</v>
      </c>
      <c r="E6107" t="s">
        <v>18293</v>
      </c>
    </row>
    <row r="6108" spans="1:5" x14ac:dyDescent="0.2">
      <c r="A6108" t="s">
        <v>18294</v>
      </c>
      <c r="B6108" t="s">
        <v>18295</v>
      </c>
      <c r="C6108" t="s">
        <v>18295</v>
      </c>
      <c r="D6108" t="str">
        <f>HYPERLINK("https://zfin.org/ZDB-GENE-050309-206")</f>
        <v>https://zfin.org/ZDB-GENE-050309-206</v>
      </c>
      <c r="E6108" t="s">
        <v>18296</v>
      </c>
    </row>
    <row r="6109" spans="1:5" x14ac:dyDescent="0.2">
      <c r="A6109" t="s">
        <v>18297</v>
      </c>
      <c r="B6109" t="s">
        <v>18298</v>
      </c>
      <c r="C6109" t="s">
        <v>18298</v>
      </c>
      <c r="D6109" t="str">
        <f>HYPERLINK("https://zfin.org/ZDB-GENE-050208-730")</f>
        <v>https://zfin.org/ZDB-GENE-050208-730</v>
      </c>
      <c r="E6109" t="s">
        <v>18299</v>
      </c>
    </row>
    <row r="6110" spans="1:5" x14ac:dyDescent="0.2">
      <c r="A6110" t="s">
        <v>18300</v>
      </c>
      <c r="B6110" t="s">
        <v>18301</v>
      </c>
      <c r="C6110" t="s">
        <v>18301</v>
      </c>
      <c r="D6110" t="str">
        <f>HYPERLINK("https://zfin.org/ZDB-GENE-050506-131")</f>
        <v>https://zfin.org/ZDB-GENE-050506-131</v>
      </c>
      <c r="E6110" t="s">
        <v>18302</v>
      </c>
    </row>
    <row r="6111" spans="1:5" x14ac:dyDescent="0.2">
      <c r="A6111" t="s">
        <v>18303</v>
      </c>
      <c r="B6111" t="s">
        <v>18304</v>
      </c>
      <c r="C6111" t="s">
        <v>18304</v>
      </c>
      <c r="D6111" t="str">
        <f>HYPERLINK("https://zfin.org/ZDB-GENE-111104-4")</f>
        <v>https://zfin.org/ZDB-GENE-111104-4</v>
      </c>
      <c r="E6111" t="s">
        <v>18305</v>
      </c>
    </row>
    <row r="6112" spans="1:5" x14ac:dyDescent="0.2">
      <c r="A6112" t="s">
        <v>18306</v>
      </c>
      <c r="B6112" t="s">
        <v>18307</v>
      </c>
      <c r="C6112" t="s">
        <v>18307</v>
      </c>
      <c r="D6112" t="str">
        <f>HYPERLINK("https://zfin.org/ZDB-GENE-030131-1923")</f>
        <v>https://zfin.org/ZDB-GENE-030131-1923</v>
      </c>
      <c r="E6112" t="s">
        <v>18308</v>
      </c>
    </row>
    <row r="6113" spans="1:5" x14ac:dyDescent="0.2">
      <c r="A6113" t="s">
        <v>18309</v>
      </c>
      <c r="B6113" t="s">
        <v>18310</v>
      </c>
      <c r="C6113" t="s">
        <v>18310</v>
      </c>
      <c r="D6113" t="str">
        <f>HYPERLINK("https://zfin.org/ZDB-GENE-030131-4156")</f>
        <v>https://zfin.org/ZDB-GENE-030131-4156</v>
      </c>
      <c r="E6113" t="s">
        <v>18311</v>
      </c>
    </row>
    <row r="6114" spans="1:5" x14ac:dyDescent="0.2">
      <c r="A6114" t="s">
        <v>18312</v>
      </c>
      <c r="B6114" t="s">
        <v>18313</v>
      </c>
      <c r="C6114" t="s">
        <v>18313</v>
      </c>
      <c r="D6114" t="str">
        <f>HYPERLINK("https://zfin.org/ZDB-GENE-110411-258")</f>
        <v>https://zfin.org/ZDB-GENE-110411-258</v>
      </c>
      <c r="E6114" t="s">
        <v>18314</v>
      </c>
    </row>
    <row r="6115" spans="1:5" x14ac:dyDescent="0.2">
      <c r="A6115" t="s">
        <v>18315</v>
      </c>
      <c r="B6115" t="s">
        <v>18316</v>
      </c>
      <c r="C6115" t="s">
        <v>18316</v>
      </c>
      <c r="D6115" t="str">
        <f>HYPERLINK("https://zfin.org/ZDB-GENE-051113-152")</f>
        <v>https://zfin.org/ZDB-GENE-051113-152</v>
      </c>
      <c r="E6115" t="s">
        <v>18317</v>
      </c>
    </row>
    <row r="6116" spans="1:5" x14ac:dyDescent="0.2">
      <c r="A6116" t="s">
        <v>18318</v>
      </c>
      <c r="B6116" t="s">
        <v>18319</v>
      </c>
      <c r="C6116" t="s">
        <v>18319</v>
      </c>
      <c r="D6116" t="str">
        <f>HYPERLINK("https://zfin.org/ZDB-GENE-060518-3")</f>
        <v>https://zfin.org/ZDB-GENE-060518-3</v>
      </c>
      <c r="E6116" t="s">
        <v>18320</v>
      </c>
    </row>
    <row r="6117" spans="1:5" x14ac:dyDescent="0.2">
      <c r="A6117" t="s">
        <v>18321</v>
      </c>
      <c r="B6117" t="s">
        <v>18322</v>
      </c>
      <c r="C6117" t="s">
        <v>18322</v>
      </c>
      <c r="D6117" t="str">
        <f>HYPERLINK("https://zfin.org/ZDB-GENE-081031-11")</f>
        <v>https://zfin.org/ZDB-GENE-081031-11</v>
      </c>
      <c r="E6117" t="s">
        <v>18323</v>
      </c>
    </row>
    <row r="6118" spans="1:5" x14ac:dyDescent="0.2">
      <c r="A6118" t="s">
        <v>18324</v>
      </c>
      <c r="B6118" t="s">
        <v>18325</v>
      </c>
      <c r="C6118" t="s">
        <v>18325</v>
      </c>
      <c r="D6118" t="str">
        <f>HYPERLINK("https://zfin.org/ZDB-GENE-131120-171")</f>
        <v>https://zfin.org/ZDB-GENE-131120-171</v>
      </c>
      <c r="E6118" t="s">
        <v>18326</v>
      </c>
    </row>
    <row r="6119" spans="1:5" x14ac:dyDescent="0.2">
      <c r="A6119" t="s">
        <v>18327</v>
      </c>
      <c r="B6119" t="s">
        <v>18328</v>
      </c>
      <c r="C6119" t="s">
        <v>18328</v>
      </c>
      <c r="D6119" t="str">
        <f>HYPERLINK("https://zfin.org/ZDB-GENE-090313-161")</f>
        <v>https://zfin.org/ZDB-GENE-090313-161</v>
      </c>
      <c r="E6119" t="s">
        <v>18329</v>
      </c>
    </row>
    <row r="6120" spans="1:5" x14ac:dyDescent="0.2">
      <c r="A6120" t="s">
        <v>18330</v>
      </c>
      <c r="B6120" t="s">
        <v>18331</v>
      </c>
      <c r="C6120" t="s">
        <v>18331</v>
      </c>
      <c r="D6120" t="str">
        <f>HYPERLINK("https://zfin.org/ZDB-GENE-091113-1")</f>
        <v>https://zfin.org/ZDB-GENE-091113-1</v>
      </c>
      <c r="E6120" t="s">
        <v>18332</v>
      </c>
    </row>
    <row r="6121" spans="1:5" x14ac:dyDescent="0.2">
      <c r="A6121" t="s">
        <v>18333</v>
      </c>
      <c r="B6121" t="s">
        <v>18334</v>
      </c>
      <c r="C6121" t="s">
        <v>18334</v>
      </c>
      <c r="D6121" t="str">
        <f>HYPERLINK("https://zfin.org/ZDB-GENE-090313-35")</f>
        <v>https://zfin.org/ZDB-GENE-090313-35</v>
      </c>
      <c r="E6121" t="s">
        <v>18335</v>
      </c>
    </row>
    <row r="6122" spans="1:5" x14ac:dyDescent="0.2">
      <c r="A6122" t="s">
        <v>18336</v>
      </c>
      <c r="B6122" t="s">
        <v>18337</v>
      </c>
      <c r="C6122" t="s">
        <v>18337</v>
      </c>
      <c r="D6122" t="str">
        <f>HYPERLINK("https://zfin.org/ZDB-GENE-030131-5749")</f>
        <v>https://zfin.org/ZDB-GENE-030131-5749</v>
      </c>
      <c r="E6122" t="s">
        <v>18338</v>
      </c>
    </row>
    <row r="6123" spans="1:5" x14ac:dyDescent="0.2">
      <c r="A6123" t="s">
        <v>18339</v>
      </c>
      <c r="B6123" t="s">
        <v>18340</v>
      </c>
      <c r="C6123" t="s">
        <v>18340</v>
      </c>
      <c r="D6123" t="str">
        <f>HYPERLINK("https://zfin.org/ZDB-GENE-070522-4")</f>
        <v>https://zfin.org/ZDB-GENE-070522-4</v>
      </c>
      <c r="E6123" t="s">
        <v>18341</v>
      </c>
    </row>
    <row r="6124" spans="1:5" x14ac:dyDescent="0.2">
      <c r="A6124" t="s">
        <v>18342</v>
      </c>
      <c r="B6124" t="s">
        <v>18343</v>
      </c>
      <c r="C6124" t="s">
        <v>18343</v>
      </c>
      <c r="D6124" t="str">
        <f>HYPERLINK("https://zfin.org/ZDB-GENE-160113-9")</f>
        <v>https://zfin.org/ZDB-GENE-160113-9</v>
      </c>
      <c r="E6124" t="s">
        <v>18344</v>
      </c>
    </row>
    <row r="6125" spans="1:5" x14ac:dyDescent="0.2">
      <c r="A6125" t="s">
        <v>18345</v>
      </c>
      <c r="B6125" t="s">
        <v>18346</v>
      </c>
      <c r="C6125" t="s">
        <v>18346</v>
      </c>
      <c r="D6125" t="str">
        <f>HYPERLINK("https://zfin.org/ZDB-GENE-070330-1")</f>
        <v>https://zfin.org/ZDB-GENE-070330-1</v>
      </c>
      <c r="E6125" t="s">
        <v>18347</v>
      </c>
    </row>
    <row r="6126" spans="1:5" x14ac:dyDescent="0.2">
      <c r="A6126" t="s">
        <v>18348</v>
      </c>
      <c r="B6126" t="s">
        <v>18349</v>
      </c>
      <c r="C6126" t="s">
        <v>18349</v>
      </c>
      <c r="D6126" t="str">
        <f>HYPERLINK("https://zfin.org/ZDB-GENE-040718-345")</f>
        <v>https://zfin.org/ZDB-GENE-040718-345</v>
      </c>
      <c r="E6126" t="s">
        <v>18350</v>
      </c>
    </row>
    <row r="6127" spans="1:5" x14ac:dyDescent="0.2">
      <c r="A6127" t="s">
        <v>18351</v>
      </c>
      <c r="B6127" t="s">
        <v>18352</v>
      </c>
      <c r="C6127" t="s">
        <v>18352</v>
      </c>
      <c r="D6127" t="str">
        <f>HYPERLINK("https://zfin.org/ZDB-GENE-060929-164")</f>
        <v>https://zfin.org/ZDB-GENE-060929-164</v>
      </c>
      <c r="E6127" t="s">
        <v>18353</v>
      </c>
    </row>
    <row r="6128" spans="1:5" x14ac:dyDescent="0.2">
      <c r="A6128" t="s">
        <v>18354</v>
      </c>
      <c r="B6128" t="s">
        <v>18355</v>
      </c>
      <c r="C6128" t="s">
        <v>18355</v>
      </c>
      <c r="D6128" t="str">
        <f>HYPERLINK("https://zfin.org/ZDB-GENE-030131-6502")</f>
        <v>https://zfin.org/ZDB-GENE-030131-6502</v>
      </c>
      <c r="E6128" t="s">
        <v>18356</v>
      </c>
    </row>
    <row r="6129" spans="1:5" x14ac:dyDescent="0.2">
      <c r="A6129" t="s">
        <v>18357</v>
      </c>
      <c r="B6129" t="s">
        <v>18358</v>
      </c>
      <c r="C6129" t="s">
        <v>18358</v>
      </c>
      <c r="D6129" t="str">
        <f>HYPERLINK("https://zfin.org/ZDB-GENE-030131-6837")</f>
        <v>https://zfin.org/ZDB-GENE-030131-6837</v>
      </c>
      <c r="E6129" t="s">
        <v>18359</v>
      </c>
    </row>
    <row r="6130" spans="1:5" x14ac:dyDescent="0.2">
      <c r="A6130" t="s">
        <v>18360</v>
      </c>
      <c r="B6130" t="s">
        <v>18361</v>
      </c>
      <c r="C6130" t="s">
        <v>18361</v>
      </c>
      <c r="D6130" t="str">
        <f>HYPERLINK("https://zfin.org/ZDB-GENE-050522-495")</f>
        <v>https://zfin.org/ZDB-GENE-050522-495</v>
      </c>
      <c r="E6130" t="s">
        <v>18362</v>
      </c>
    </row>
    <row r="6131" spans="1:5" x14ac:dyDescent="0.2">
      <c r="A6131" t="s">
        <v>18363</v>
      </c>
      <c r="B6131" t="s">
        <v>18364</v>
      </c>
      <c r="C6131" t="s">
        <v>18364</v>
      </c>
      <c r="D6131" t="str">
        <f>HYPERLINK("https://zfin.org/ZDB-GENE-060929-966")</f>
        <v>https://zfin.org/ZDB-GENE-060929-966</v>
      </c>
      <c r="E6131" t="s">
        <v>18365</v>
      </c>
    </row>
    <row r="6132" spans="1:5" x14ac:dyDescent="0.2">
      <c r="A6132" t="s">
        <v>18366</v>
      </c>
      <c r="B6132" t="s">
        <v>18367</v>
      </c>
      <c r="C6132" t="s">
        <v>18367</v>
      </c>
      <c r="D6132" t="str">
        <f>HYPERLINK("https://zfin.org/ZDB-GENE-041010-8")</f>
        <v>https://zfin.org/ZDB-GENE-041010-8</v>
      </c>
      <c r="E6132" t="s">
        <v>18368</v>
      </c>
    </row>
    <row r="6133" spans="1:5" x14ac:dyDescent="0.2">
      <c r="A6133" t="s">
        <v>18369</v>
      </c>
      <c r="B6133" t="s">
        <v>18370</v>
      </c>
      <c r="C6133" t="s">
        <v>18370</v>
      </c>
      <c r="D6133" t="str">
        <f>HYPERLINK("https://zfin.org/ZDB-GENE-020731-6")</f>
        <v>https://zfin.org/ZDB-GENE-020731-6</v>
      </c>
      <c r="E6133" t="s">
        <v>18371</v>
      </c>
    </row>
    <row r="6134" spans="1:5" x14ac:dyDescent="0.2">
      <c r="A6134" t="s">
        <v>18372</v>
      </c>
      <c r="B6134" t="s">
        <v>18373</v>
      </c>
      <c r="C6134" t="s">
        <v>18373</v>
      </c>
      <c r="D6134" t="str">
        <f>HYPERLINK("https://zfin.org/ZDB-GENE-040426-2077")</f>
        <v>https://zfin.org/ZDB-GENE-040426-2077</v>
      </c>
      <c r="E6134" t="s">
        <v>18374</v>
      </c>
    </row>
    <row r="6135" spans="1:5" x14ac:dyDescent="0.2">
      <c r="A6135" t="s">
        <v>18375</v>
      </c>
      <c r="B6135" t="s">
        <v>18376</v>
      </c>
      <c r="C6135" t="s">
        <v>18376</v>
      </c>
      <c r="D6135" t="str">
        <f>HYPERLINK("https://zfin.org/ZDB-GENE-021030-1")</f>
        <v>https://zfin.org/ZDB-GENE-021030-1</v>
      </c>
      <c r="E6135" t="s">
        <v>18377</v>
      </c>
    </row>
    <row r="6136" spans="1:5" x14ac:dyDescent="0.2">
      <c r="A6136" t="s">
        <v>18378</v>
      </c>
      <c r="B6136" t="s">
        <v>18379</v>
      </c>
      <c r="C6136" t="s">
        <v>18379</v>
      </c>
      <c r="D6136" t="str">
        <f>HYPERLINK("https://zfin.org/ZDB-GENE-060929-348")</f>
        <v>https://zfin.org/ZDB-GENE-060929-348</v>
      </c>
      <c r="E6136" t="s">
        <v>18380</v>
      </c>
    </row>
    <row r="6137" spans="1:5" x14ac:dyDescent="0.2">
      <c r="A6137" t="s">
        <v>18381</v>
      </c>
      <c r="B6137" t="s">
        <v>18382</v>
      </c>
      <c r="C6137" t="s">
        <v>18382</v>
      </c>
      <c r="D6137" t="str">
        <f>HYPERLINK("https://zfin.org/ZDB-GENE-050417-381")</f>
        <v>https://zfin.org/ZDB-GENE-050417-381</v>
      </c>
      <c r="E6137" t="s">
        <v>18383</v>
      </c>
    </row>
    <row r="6138" spans="1:5" x14ac:dyDescent="0.2">
      <c r="A6138" t="s">
        <v>18384</v>
      </c>
      <c r="B6138" t="s">
        <v>18385</v>
      </c>
      <c r="C6138" t="s">
        <v>18385</v>
      </c>
      <c r="D6138" t="str">
        <f>HYPERLINK("https://zfin.org/ZDB-GENE-091204-42")</f>
        <v>https://zfin.org/ZDB-GENE-091204-42</v>
      </c>
      <c r="E6138" t="s">
        <v>18386</v>
      </c>
    </row>
    <row r="6139" spans="1:5" x14ac:dyDescent="0.2">
      <c r="A6139" t="s">
        <v>18387</v>
      </c>
      <c r="B6139" t="s">
        <v>18388</v>
      </c>
      <c r="C6139" t="s">
        <v>18388</v>
      </c>
      <c r="D6139" t="str">
        <f>HYPERLINK("https://zfin.org/")</f>
        <v>https://zfin.org/</v>
      </c>
    </row>
    <row r="6140" spans="1:5" x14ac:dyDescent="0.2">
      <c r="A6140" t="s">
        <v>18389</v>
      </c>
      <c r="B6140" t="s">
        <v>18390</v>
      </c>
      <c r="C6140" t="s">
        <v>18390</v>
      </c>
      <c r="D6140" t="str">
        <f>HYPERLINK("https://zfin.org/ZDB-GENE-060503-796")</f>
        <v>https://zfin.org/ZDB-GENE-060503-796</v>
      </c>
      <c r="E6140" t="s">
        <v>18391</v>
      </c>
    </row>
    <row r="6141" spans="1:5" x14ac:dyDescent="0.2">
      <c r="A6141" t="s">
        <v>18392</v>
      </c>
      <c r="B6141" t="s">
        <v>18393</v>
      </c>
      <c r="C6141" t="s">
        <v>18393</v>
      </c>
      <c r="D6141" t="str">
        <f>HYPERLINK("https://zfin.org/ZDB-GENE-081105-56")</f>
        <v>https://zfin.org/ZDB-GENE-081105-56</v>
      </c>
      <c r="E6141" t="s">
        <v>18394</v>
      </c>
    </row>
    <row r="6142" spans="1:5" x14ac:dyDescent="0.2">
      <c r="A6142" t="s">
        <v>18395</v>
      </c>
      <c r="B6142" t="s">
        <v>18396</v>
      </c>
      <c r="C6142" t="s">
        <v>18396</v>
      </c>
      <c r="D6142" t="str">
        <f>HYPERLINK("https://zfin.org/ZDB-GENE-030131-2963")</f>
        <v>https://zfin.org/ZDB-GENE-030131-2963</v>
      </c>
      <c r="E6142" t="s">
        <v>18397</v>
      </c>
    </row>
    <row r="6143" spans="1:5" x14ac:dyDescent="0.2">
      <c r="A6143" t="s">
        <v>18398</v>
      </c>
      <c r="B6143" t="s">
        <v>18399</v>
      </c>
      <c r="C6143" t="s">
        <v>18399</v>
      </c>
      <c r="D6143" t="str">
        <f>HYPERLINK("https://zfin.org/ZDB-GENE-060825-357")</f>
        <v>https://zfin.org/ZDB-GENE-060825-357</v>
      </c>
      <c r="E6143" t="s">
        <v>18400</v>
      </c>
    </row>
    <row r="6144" spans="1:5" x14ac:dyDescent="0.2">
      <c r="A6144" t="s">
        <v>18401</v>
      </c>
      <c r="B6144" t="s">
        <v>18402</v>
      </c>
      <c r="C6144" t="s">
        <v>18402</v>
      </c>
      <c r="D6144" t="str">
        <f>HYPERLINK("https://zfin.org/ZDB-GENE-131121-444")</f>
        <v>https://zfin.org/ZDB-GENE-131121-444</v>
      </c>
      <c r="E6144" t="s">
        <v>18403</v>
      </c>
    </row>
    <row r="6145" spans="1:5" x14ac:dyDescent="0.2">
      <c r="A6145" t="s">
        <v>18404</v>
      </c>
      <c r="B6145" t="s">
        <v>18405</v>
      </c>
      <c r="C6145" t="s">
        <v>18405</v>
      </c>
      <c r="D6145" t="str">
        <f>HYPERLINK("https://zfin.org/ZDB-GENE-030131-8978")</f>
        <v>https://zfin.org/ZDB-GENE-030131-8978</v>
      </c>
      <c r="E6145" t="s">
        <v>18406</v>
      </c>
    </row>
    <row r="6146" spans="1:5" x14ac:dyDescent="0.2">
      <c r="A6146" t="s">
        <v>18407</v>
      </c>
      <c r="B6146" t="s">
        <v>18408</v>
      </c>
      <c r="C6146" t="s">
        <v>18408</v>
      </c>
      <c r="D6146" t="str">
        <f>HYPERLINK("https://zfin.org/ZDB-GENE-091204-54")</f>
        <v>https://zfin.org/ZDB-GENE-091204-54</v>
      </c>
      <c r="E6146" t="s">
        <v>18409</v>
      </c>
    </row>
    <row r="6147" spans="1:5" x14ac:dyDescent="0.2">
      <c r="A6147" t="s">
        <v>18410</v>
      </c>
      <c r="B6147" t="s">
        <v>18411</v>
      </c>
      <c r="C6147" t="s">
        <v>18411</v>
      </c>
      <c r="D6147" t="str">
        <f>HYPERLINK("https://zfin.org/ZDB-GENE-050522-499")</f>
        <v>https://zfin.org/ZDB-GENE-050522-499</v>
      </c>
      <c r="E6147" t="s">
        <v>18412</v>
      </c>
    </row>
    <row r="6148" spans="1:5" x14ac:dyDescent="0.2">
      <c r="A6148" t="s">
        <v>18413</v>
      </c>
      <c r="B6148" t="s">
        <v>18414</v>
      </c>
      <c r="C6148" t="s">
        <v>18414</v>
      </c>
      <c r="D6148" t="str">
        <f>HYPERLINK("https://zfin.org/ZDB-GENE-070424-8")</f>
        <v>https://zfin.org/ZDB-GENE-070424-8</v>
      </c>
      <c r="E6148" t="s">
        <v>18415</v>
      </c>
    </row>
    <row r="6149" spans="1:5" x14ac:dyDescent="0.2">
      <c r="A6149" t="s">
        <v>18416</v>
      </c>
      <c r="B6149" t="s">
        <v>18417</v>
      </c>
      <c r="C6149" t="s">
        <v>18417</v>
      </c>
      <c r="D6149" t="str">
        <f>HYPERLINK("https://zfin.org/ZDB-GENE-991111-5")</f>
        <v>https://zfin.org/ZDB-GENE-991111-5</v>
      </c>
      <c r="E6149" t="s">
        <v>18418</v>
      </c>
    </row>
    <row r="6150" spans="1:5" x14ac:dyDescent="0.2">
      <c r="A6150" t="s">
        <v>18419</v>
      </c>
      <c r="B6150" t="s">
        <v>18420</v>
      </c>
      <c r="C6150" t="s">
        <v>18420</v>
      </c>
      <c r="D6150" t="str">
        <f>HYPERLINK("https://zfin.org/ZDB-GENE-010112-2")</f>
        <v>https://zfin.org/ZDB-GENE-010112-2</v>
      </c>
      <c r="E6150" t="s">
        <v>18421</v>
      </c>
    </row>
    <row r="6151" spans="1:5" x14ac:dyDescent="0.2">
      <c r="A6151" t="s">
        <v>18422</v>
      </c>
      <c r="B6151" t="s">
        <v>18423</v>
      </c>
      <c r="C6151" t="s">
        <v>18423</v>
      </c>
      <c r="D6151" t="str">
        <f>HYPERLINK("https://zfin.org/ZDB-GENE-030131-5735")</f>
        <v>https://zfin.org/ZDB-GENE-030131-5735</v>
      </c>
      <c r="E6151" t="s">
        <v>18424</v>
      </c>
    </row>
    <row r="6152" spans="1:5" x14ac:dyDescent="0.2">
      <c r="A6152" t="s">
        <v>18425</v>
      </c>
      <c r="B6152" t="s">
        <v>18426</v>
      </c>
      <c r="C6152" t="s">
        <v>18426</v>
      </c>
      <c r="D6152" t="str">
        <f>HYPERLINK("https://zfin.org/ZDB-GENE-110624-1")</f>
        <v>https://zfin.org/ZDB-GENE-110624-1</v>
      </c>
      <c r="E6152" t="s">
        <v>18427</v>
      </c>
    </row>
    <row r="6153" spans="1:5" x14ac:dyDescent="0.2">
      <c r="A6153" t="s">
        <v>18428</v>
      </c>
      <c r="B6153" t="s">
        <v>18429</v>
      </c>
      <c r="C6153" t="s">
        <v>18429</v>
      </c>
      <c r="D6153" t="str">
        <f>HYPERLINK("https://zfin.org/ZDB-GENE-110324-1")</f>
        <v>https://zfin.org/ZDB-GENE-110324-1</v>
      </c>
      <c r="E6153" t="s">
        <v>18430</v>
      </c>
    </row>
    <row r="6154" spans="1:5" x14ac:dyDescent="0.2">
      <c r="A6154" t="s">
        <v>18431</v>
      </c>
      <c r="B6154" t="s">
        <v>18432</v>
      </c>
      <c r="C6154" t="s">
        <v>18432</v>
      </c>
      <c r="D6154" t="str">
        <f>HYPERLINK("https://zfin.org/ZDB-GENE-040426-1945")</f>
        <v>https://zfin.org/ZDB-GENE-040426-1945</v>
      </c>
      <c r="E6154" t="s">
        <v>18433</v>
      </c>
    </row>
    <row r="6155" spans="1:5" x14ac:dyDescent="0.2">
      <c r="A6155" t="s">
        <v>18434</v>
      </c>
      <c r="B6155" t="s">
        <v>18435</v>
      </c>
      <c r="C6155" t="s">
        <v>18435</v>
      </c>
      <c r="D6155" t="str">
        <f>HYPERLINK("https://zfin.org/ZDB-GENE-041114-150")</f>
        <v>https://zfin.org/ZDB-GENE-041114-150</v>
      </c>
      <c r="E6155" t="s">
        <v>18436</v>
      </c>
    </row>
    <row r="6156" spans="1:5" x14ac:dyDescent="0.2">
      <c r="A6156" t="s">
        <v>18437</v>
      </c>
      <c r="B6156" t="s">
        <v>18438</v>
      </c>
      <c r="C6156" t="s">
        <v>18438</v>
      </c>
      <c r="D6156" t="str">
        <f>HYPERLINK("https://zfin.org/ZDB-GENE-131127-196")</f>
        <v>https://zfin.org/ZDB-GENE-131127-196</v>
      </c>
      <c r="E6156" t="s">
        <v>18439</v>
      </c>
    </row>
    <row r="6157" spans="1:5" x14ac:dyDescent="0.2">
      <c r="A6157" t="s">
        <v>18440</v>
      </c>
      <c r="B6157" t="s">
        <v>18441</v>
      </c>
      <c r="C6157" t="s">
        <v>18441</v>
      </c>
      <c r="D6157" t="str">
        <f>HYPERLINK("https://zfin.org/ZDB-GENE-060503-78")</f>
        <v>https://zfin.org/ZDB-GENE-060503-78</v>
      </c>
      <c r="E6157" t="s">
        <v>18442</v>
      </c>
    </row>
    <row r="6158" spans="1:5" x14ac:dyDescent="0.2">
      <c r="A6158" t="s">
        <v>18443</v>
      </c>
      <c r="B6158" t="s">
        <v>18444</v>
      </c>
      <c r="C6158" t="s">
        <v>18444</v>
      </c>
      <c r="D6158" t="str">
        <f>HYPERLINK("https://zfin.org/ZDB-GENE-091116-42")</f>
        <v>https://zfin.org/ZDB-GENE-091116-42</v>
      </c>
      <c r="E6158" t="s">
        <v>18445</v>
      </c>
    </row>
    <row r="6159" spans="1:5" x14ac:dyDescent="0.2">
      <c r="A6159" t="s">
        <v>18446</v>
      </c>
      <c r="B6159" t="s">
        <v>18447</v>
      </c>
      <c r="C6159" t="s">
        <v>18447</v>
      </c>
      <c r="D6159" t="str">
        <f>HYPERLINK("https://zfin.org/ZDB-GENE-100921-73")</f>
        <v>https://zfin.org/ZDB-GENE-100921-73</v>
      </c>
      <c r="E6159" t="s">
        <v>18448</v>
      </c>
    </row>
    <row r="6160" spans="1:5" x14ac:dyDescent="0.2">
      <c r="A6160" t="s">
        <v>18449</v>
      </c>
      <c r="B6160" t="s">
        <v>18450</v>
      </c>
      <c r="C6160" t="s">
        <v>18450</v>
      </c>
      <c r="D6160" t="str">
        <f>HYPERLINK("https://zfin.org/ZDB-GENE-040718-457")</f>
        <v>https://zfin.org/ZDB-GENE-040718-457</v>
      </c>
      <c r="E6160" t="s">
        <v>18451</v>
      </c>
    </row>
    <row r="6161" spans="1:5" x14ac:dyDescent="0.2">
      <c r="A6161" t="s">
        <v>18452</v>
      </c>
      <c r="B6161" t="s">
        <v>18453</v>
      </c>
      <c r="C6161" t="s">
        <v>18453</v>
      </c>
      <c r="D6161" t="str">
        <f>HYPERLINK("https://zfin.org/ZDB-GENE-040718-37")</f>
        <v>https://zfin.org/ZDB-GENE-040718-37</v>
      </c>
      <c r="E6161" t="s">
        <v>18454</v>
      </c>
    </row>
    <row r="6162" spans="1:5" x14ac:dyDescent="0.2">
      <c r="A6162" t="s">
        <v>18455</v>
      </c>
      <c r="B6162" t="s">
        <v>18456</v>
      </c>
      <c r="C6162" t="s">
        <v>18456</v>
      </c>
      <c r="D6162" t="str">
        <f>HYPERLINK("https://zfin.org/ZDB-GENE-080516-9")</f>
        <v>https://zfin.org/ZDB-GENE-080516-9</v>
      </c>
      <c r="E6162" t="s">
        <v>18457</v>
      </c>
    </row>
    <row r="6163" spans="1:5" x14ac:dyDescent="0.2">
      <c r="A6163" t="s">
        <v>18458</v>
      </c>
      <c r="B6163" t="s">
        <v>18459</v>
      </c>
      <c r="C6163" t="s">
        <v>18459</v>
      </c>
      <c r="D6163" t="str">
        <f>HYPERLINK("https://zfin.org/ZDB-GENE-050208-409")</f>
        <v>https://zfin.org/ZDB-GENE-050208-409</v>
      </c>
      <c r="E6163" t="s">
        <v>18460</v>
      </c>
    </row>
    <row r="6164" spans="1:5" x14ac:dyDescent="0.2">
      <c r="A6164" t="s">
        <v>18461</v>
      </c>
      <c r="B6164" t="s">
        <v>18462</v>
      </c>
      <c r="C6164" t="s">
        <v>18463</v>
      </c>
      <c r="D6164" t="str">
        <f>HYPERLINK("https://zfin.org/ZDB-GENE-110913-144")</f>
        <v>https://zfin.org/ZDB-GENE-110913-144</v>
      </c>
      <c r="E6164" t="s">
        <v>18464</v>
      </c>
    </row>
    <row r="6165" spans="1:5" x14ac:dyDescent="0.2">
      <c r="A6165" t="s">
        <v>18465</v>
      </c>
      <c r="B6165" t="s">
        <v>18466</v>
      </c>
      <c r="C6165" t="s">
        <v>18466</v>
      </c>
      <c r="D6165" t="str">
        <f>HYPERLINK("https://zfin.org/ZDB-GENE-030131-8542")</f>
        <v>https://zfin.org/ZDB-GENE-030131-8542</v>
      </c>
      <c r="E6165" t="s">
        <v>18467</v>
      </c>
    </row>
    <row r="6166" spans="1:5" x14ac:dyDescent="0.2">
      <c r="A6166" t="s">
        <v>18468</v>
      </c>
      <c r="B6166" t="s">
        <v>18469</v>
      </c>
      <c r="C6166" t="s">
        <v>18469</v>
      </c>
      <c r="D6166" t="str">
        <f>HYPERLINK("https://zfin.org/ZDB-GENE-070117-651")</f>
        <v>https://zfin.org/ZDB-GENE-070117-651</v>
      </c>
      <c r="E6166" t="s">
        <v>18470</v>
      </c>
    </row>
    <row r="6167" spans="1:5" x14ac:dyDescent="0.2">
      <c r="A6167" t="s">
        <v>18471</v>
      </c>
      <c r="B6167" t="s">
        <v>18472</v>
      </c>
      <c r="C6167" t="s">
        <v>18472</v>
      </c>
      <c r="D6167" t="str">
        <f>HYPERLINK("https://zfin.org/ZDB-GENE-110913-53")</f>
        <v>https://zfin.org/ZDB-GENE-110913-53</v>
      </c>
      <c r="E6167" t="s">
        <v>18473</v>
      </c>
    </row>
    <row r="6168" spans="1:5" x14ac:dyDescent="0.2">
      <c r="A6168" t="s">
        <v>18474</v>
      </c>
      <c r="B6168" t="s">
        <v>18475</v>
      </c>
      <c r="C6168" t="s">
        <v>18475</v>
      </c>
      <c r="D6168" t="str">
        <f>HYPERLINK("https://zfin.org/ZDB-GENE-030616-572")</f>
        <v>https://zfin.org/ZDB-GENE-030616-572</v>
      </c>
      <c r="E6168" t="s">
        <v>18476</v>
      </c>
    </row>
    <row r="6169" spans="1:5" x14ac:dyDescent="0.2">
      <c r="A6169" t="s">
        <v>18477</v>
      </c>
      <c r="B6169" t="s">
        <v>18478</v>
      </c>
      <c r="C6169" t="s">
        <v>18478</v>
      </c>
      <c r="D6169" t="str">
        <f>HYPERLINK("https://zfin.org/ZDB-GENE-050208-729")</f>
        <v>https://zfin.org/ZDB-GENE-050208-729</v>
      </c>
      <c r="E6169" t="s">
        <v>18479</v>
      </c>
    </row>
    <row r="6170" spans="1:5" x14ac:dyDescent="0.2">
      <c r="A6170" t="s">
        <v>18480</v>
      </c>
      <c r="B6170" t="s">
        <v>18481</v>
      </c>
      <c r="C6170" t="s">
        <v>18481</v>
      </c>
      <c r="D6170" t="str">
        <f>HYPERLINK("https://zfin.org/ZDB-GENE-131127-452")</f>
        <v>https://zfin.org/ZDB-GENE-131127-452</v>
      </c>
      <c r="E6170" t="s">
        <v>18482</v>
      </c>
    </row>
    <row r="6171" spans="1:5" x14ac:dyDescent="0.2">
      <c r="A6171" t="s">
        <v>18483</v>
      </c>
      <c r="B6171" t="s">
        <v>18484</v>
      </c>
      <c r="C6171" t="s">
        <v>18484</v>
      </c>
      <c r="D6171" t="str">
        <f>HYPERLINK("https://zfin.org/ZDB-GENE-030131-617")</f>
        <v>https://zfin.org/ZDB-GENE-030131-617</v>
      </c>
      <c r="E6171" t="s">
        <v>18485</v>
      </c>
    </row>
    <row r="6172" spans="1:5" x14ac:dyDescent="0.2">
      <c r="A6172" t="s">
        <v>18486</v>
      </c>
      <c r="B6172" t="s">
        <v>18487</v>
      </c>
      <c r="C6172" t="s">
        <v>18487</v>
      </c>
      <c r="D6172" t="str">
        <f>HYPERLINK("https://zfin.org/ZDB-GENE-091204-369")</f>
        <v>https://zfin.org/ZDB-GENE-091204-369</v>
      </c>
      <c r="E6172" t="s">
        <v>18488</v>
      </c>
    </row>
    <row r="6173" spans="1:5" x14ac:dyDescent="0.2">
      <c r="A6173" t="s">
        <v>18489</v>
      </c>
      <c r="B6173" t="s">
        <v>18490</v>
      </c>
      <c r="C6173" t="s">
        <v>18490</v>
      </c>
      <c r="D6173" t="str">
        <f>HYPERLINK("https://zfin.org/ZDB-GENE-040912-62")</f>
        <v>https://zfin.org/ZDB-GENE-040912-62</v>
      </c>
      <c r="E6173" t="s">
        <v>18491</v>
      </c>
    </row>
    <row r="6174" spans="1:5" x14ac:dyDescent="0.2">
      <c r="A6174" t="s">
        <v>18492</v>
      </c>
      <c r="B6174" t="s">
        <v>18493</v>
      </c>
      <c r="C6174" t="s">
        <v>18493</v>
      </c>
      <c r="D6174" t="str">
        <f>HYPERLINK("https://zfin.org/ZDB-GENE-051113-232")</f>
        <v>https://zfin.org/ZDB-GENE-051113-232</v>
      </c>
      <c r="E6174" t="s">
        <v>18494</v>
      </c>
    </row>
    <row r="6175" spans="1:5" x14ac:dyDescent="0.2">
      <c r="A6175" t="s">
        <v>18495</v>
      </c>
      <c r="B6175" t="s">
        <v>18496</v>
      </c>
      <c r="C6175" t="s">
        <v>18496</v>
      </c>
      <c r="D6175" t="str">
        <f>HYPERLINK("https://zfin.org/ZDB-GENE-030131-9071")</f>
        <v>https://zfin.org/ZDB-GENE-030131-9071</v>
      </c>
      <c r="E6175" t="s">
        <v>18497</v>
      </c>
    </row>
    <row r="6176" spans="1:5" x14ac:dyDescent="0.2">
      <c r="A6176" t="s">
        <v>18498</v>
      </c>
      <c r="B6176" t="s">
        <v>18499</v>
      </c>
      <c r="C6176" t="s">
        <v>18499</v>
      </c>
      <c r="D6176" t="str">
        <f>HYPERLINK("https://zfin.org/ZDB-GENE-060531-163")</f>
        <v>https://zfin.org/ZDB-GENE-060531-163</v>
      </c>
      <c r="E6176" t="s">
        <v>18500</v>
      </c>
    </row>
    <row r="6177" spans="1:5" x14ac:dyDescent="0.2">
      <c r="A6177" t="s">
        <v>18501</v>
      </c>
      <c r="B6177" t="s">
        <v>18502</v>
      </c>
      <c r="C6177" t="s">
        <v>18502</v>
      </c>
      <c r="D6177" t="str">
        <f>HYPERLINK("https://zfin.org/ZDB-GENE-081104-33")</f>
        <v>https://zfin.org/ZDB-GENE-081104-33</v>
      </c>
      <c r="E6177" t="s">
        <v>18503</v>
      </c>
    </row>
    <row r="6178" spans="1:5" x14ac:dyDescent="0.2">
      <c r="A6178" t="s">
        <v>18504</v>
      </c>
      <c r="B6178" t="s">
        <v>18505</v>
      </c>
      <c r="C6178" t="s">
        <v>18505</v>
      </c>
      <c r="D6178" t="str">
        <f>HYPERLINK("https://zfin.org/ZDB-GENE-060302-2")</f>
        <v>https://zfin.org/ZDB-GENE-060302-2</v>
      </c>
      <c r="E6178" t="s">
        <v>18506</v>
      </c>
    </row>
    <row r="6179" spans="1:5" x14ac:dyDescent="0.2">
      <c r="A6179" t="s">
        <v>18507</v>
      </c>
      <c r="B6179" t="s">
        <v>18508</v>
      </c>
      <c r="C6179" t="s">
        <v>18508</v>
      </c>
      <c r="D6179" t="str">
        <f>HYPERLINK("https://zfin.org/ZDB-GENE-041114-137")</f>
        <v>https://zfin.org/ZDB-GENE-041114-137</v>
      </c>
      <c r="E6179" t="s">
        <v>18509</v>
      </c>
    </row>
    <row r="6180" spans="1:5" x14ac:dyDescent="0.2">
      <c r="A6180" t="s">
        <v>18510</v>
      </c>
      <c r="B6180" t="s">
        <v>18511</v>
      </c>
      <c r="C6180" t="s">
        <v>18511</v>
      </c>
      <c r="D6180" t="str">
        <f>HYPERLINK("https://zfin.org/ZDB-GENE-141210-2")</f>
        <v>https://zfin.org/ZDB-GENE-141210-2</v>
      </c>
      <c r="E6180" t="s">
        <v>18512</v>
      </c>
    </row>
    <row r="6181" spans="1:5" x14ac:dyDescent="0.2">
      <c r="A6181" t="s">
        <v>18513</v>
      </c>
      <c r="B6181" t="s">
        <v>18514</v>
      </c>
      <c r="C6181" t="s">
        <v>18514</v>
      </c>
      <c r="D6181" t="str">
        <f>HYPERLINK("https://zfin.org/ZDB-GENE-041001-128")</f>
        <v>https://zfin.org/ZDB-GENE-041001-128</v>
      </c>
      <c r="E6181" t="s">
        <v>18515</v>
      </c>
    </row>
    <row r="6182" spans="1:5" x14ac:dyDescent="0.2">
      <c r="A6182" t="s">
        <v>18516</v>
      </c>
      <c r="B6182" t="s">
        <v>18517</v>
      </c>
      <c r="C6182" t="s">
        <v>18517</v>
      </c>
      <c r="D6182" t="str">
        <f>HYPERLINK("https://zfin.org/ZDB-GENE-990714-20")</f>
        <v>https://zfin.org/ZDB-GENE-990714-20</v>
      </c>
      <c r="E6182" t="s">
        <v>18518</v>
      </c>
    </row>
    <row r="6183" spans="1:5" x14ac:dyDescent="0.2">
      <c r="A6183" t="s">
        <v>18519</v>
      </c>
      <c r="B6183" t="s">
        <v>18520</v>
      </c>
      <c r="C6183" t="s">
        <v>18520</v>
      </c>
      <c r="D6183" t="str">
        <f>HYPERLINK("https://zfin.org/ZDB-GENE-030131-6496")</f>
        <v>https://zfin.org/ZDB-GENE-030131-6496</v>
      </c>
      <c r="E6183" t="s">
        <v>18521</v>
      </c>
    </row>
    <row r="6184" spans="1:5" x14ac:dyDescent="0.2">
      <c r="A6184" t="s">
        <v>18522</v>
      </c>
      <c r="B6184" t="s">
        <v>18523</v>
      </c>
      <c r="C6184" t="s">
        <v>18523</v>
      </c>
      <c r="D6184" t="str">
        <f>HYPERLINK("https://zfin.org/ZDB-GENE-040426-2547")</f>
        <v>https://zfin.org/ZDB-GENE-040426-2547</v>
      </c>
      <c r="E6184" t="s">
        <v>18524</v>
      </c>
    </row>
    <row r="6185" spans="1:5" x14ac:dyDescent="0.2">
      <c r="A6185" t="s">
        <v>18525</v>
      </c>
      <c r="B6185" t="s">
        <v>18526</v>
      </c>
      <c r="C6185" t="s">
        <v>18526</v>
      </c>
      <c r="D6185" t="str">
        <f>HYPERLINK("https://zfin.org/ZDB-GENE-080108-5")</f>
        <v>https://zfin.org/ZDB-GENE-080108-5</v>
      </c>
      <c r="E6185" t="s">
        <v>18527</v>
      </c>
    </row>
    <row r="6186" spans="1:5" x14ac:dyDescent="0.2">
      <c r="A6186" t="s">
        <v>18528</v>
      </c>
      <c r="B6186" t="s">
        <v>18529</v>
      </c>
      <c r="C6186" t="s">
        <v>18529</v>
      </c>
      <c r="D6186" t="str">
        <f>HYPERLINK("https://zfin.org/ZDB-GENE-030131-4009")</f>
        <v>https://zfin.org/ZDB-GENE-030131-4009</v>
      </c>
      <c r="E6186" t="s">
        <v>18530</v>
      </c>
    </row>
    <row r="6187" spans="1:5" x14ac:dyDescent="0.2">
      <c r="A6187" t="s">
        <v>18531</v>
      </c>
      <c r="B6187" t="s">
        <v>18532</v>
      </c>
      <c r="C6187" t="s">
        <v>18532</v>
      </c>
      <c r="D6187" t="str">
        <f>HYPERLINK("https://zfin.org/ZDB-GENE-040426-2284")</f>
        <v>https://zfin.org/ZDB-GENE-040426-2284</v>
      </c>
      <c r="E6187" t="s">
        <v>18533</v>
      </c>
    </row>
    <row r="6188" spans="1:5" x14ac:dyDescent="0.2">
      <c r="A6188" t="s">
        <v>18534</v>
      </c>
      <c r="B6188" t="s">
        <v>18535</v>
      </c>
      <c r="C6188" t="s">
        <v>18535</v>
      </c>
      <c r="D6188" t="str">
        <f>HYPERLINK("https://zfin.org/ZDB-GENE-090312-15")</f>
        <v>https://zfin.org/ZDB-GENE-090312-15</v>
      </c>
      <c r="E6188" t="s">
        <v>18536</v>
      </c>
    </row>
    <row r="6189" spans="1:5" x14ac:dyDescent="0.2">
      <c r="A6189" t="s">
        <v>18537</v>
      </c>
      <c r="B6189" t="s">
        <v>18538</v>
      </c>
      <c r="C6189" t="s">
        <v>18538</v>
      </c>
      <c r="D6189" t="str">
        <f>HYPERLINK("https://zfin.org/ZDB-GENE-050522-229")</f>
        <v>https://zfin.org/ZDB-GENE-050522-229</v>
      </c>
      <c r="E6189" t="s">
        <v>18539</v>
      </c>
    </row>
    <row r="6190" spans="1:5" x14ac:dyDescent="0.2">
      <c r="A6190" t="s">
        <v>18540</v>
      </c>
      <c r="B6190" t="s">
        <v>18541</v>
      </c>
      <c r="C6190" t="s">
        <v>18541</v>
      </c>
      <c r="D6190" t="str">
        <f>HYPERLINK("https://zfin.org/ZDB-GENE-031030-10")</f>
        <v>https://zfin.org/ZDB-GENE-031030-10</v>
      </c>
      <c r="E6190" t="s">
        <v>18542</v>
      </c>
    </row>
    <row r="6191" spans="1:5" x14ac:dyDescent="0.2">
      <c r="A6191" t="s">
        <v>18543</v>
      </c>
      <c r="B6191" t="s">
        <v>18544</v>
      </c>
      <c r="C6191" t="s">
        <v>18544</v>
      </c>
      <c r="D6191" t="str">
        <f>HYPERLINK("https://zfin.org/ZDB-GENE-050417-158")</f>
        <v>https://zfin.org/ZDB-GENE-050417-158</v>
      </c>
      <c r="E6191" t="s">
        <v>18545</v>
      </c>
    </row>
    <row r="6192" spans="1:5" x14ac:dyDescent="0.2">
      <c r="A6192" t="s">
        <v>18546</v>
      </c>
      <c r="B6192" t="s">
        <v>18547</v>
      </c>
      <c r="C6192" t="s">
        <v>18547</v>
      </c>
      <c r="D6192" t="str">
        <f>HYPERLINK("https://zfin.org/ZDB-GENE-030131-6955")</f>
        <v>https://zfin.org/ZDB-GENE-030131-6955</v>
      </c>
      <c r="E6192" t="s">
        <v>18548</v>
      </c>
    </row>
    <row r="6193" spans="1:5" x14ac:dyDescent="0.2">
      <c r="A6193" t="s">
        <v>18549</v>
      </c>
      <c r="B6193" t="s">
        <v>18550</v>
      </c>
      <c r="C6193" t="s">
        <v>18550</v>
      </c>
      <c r="D6193" t="str">
        <f>HYPERLINK("https://zfin.org/ZDB-GENE-030131-3663")</f>
        <v>https://zfin.org/ZDB-GENE-030131-3663</v>
      </c>
      <c r="E6193" t="s">
        <v>18551</v>
      </c>
    </row>
    <row r="6194" spans="1:5" x14ac:dyDescent="0.2">
      <c r="A6194" t="s">
        <v>18552</v>
      </c>
      <c r="B6194" t="s">
        <v>625</v>
      </c>
      <c r="C6194" t="s">
        <v>18553</v>
      </c>
      <c r="D6194" t="str">
        <f>HYPERLINK("https://zfin.org/ZDB-GENE-131127-105")</f>
        <v>https://zfin.org/ZDB-GENE-131127-105</v>
      </c>
      <c r="E6194" t="s">
        <v>18554</v>
      </c>
    </row>
    <row r="6195" spans="1:5" x14ac:dyDescent="0.2">
      <c r="A6195" t="s">
        <v>18555</v>
      </c>
      <c r="B6195" t="s">
        <v>18556</v>
      </c>
      <c r="C6195" t="s">
        <v>18556</v>
      </c>
      <c r="D6195" t="str">
        <f>HYPERLINK("https://zfin.org/ZDB-GENE-050419-146")</f>
        <v>https://zfin.org/ZDB-GENE-050419-146</v>
      </c>
      <c r="E6195" t="s">
        <v>18557</v>
      </c>
    </row>
    <row r="6196" spans="1:5" x14ac:dyDescent="0.2">
      <c r="A6196" t="s">
        <v>18558</v>
      </c>
      <c r="B6196" t="s">
        <v>18559</v>
      </c>
      <c r="C6196" t="s">
        <v>18559</v>
      </c>
      <c r="D6196" t="str">
        <f>HYPERLINK("https://zfin.org/ZDB-GENE-121214-4")</f>
        <v>https://zfin.org/ZDB-GENE-121214-4</v>
      </c>
      <c r="E6196" t="s">
        <v>18560</v>
      </c>
    </row>
    <row r="6197" spans="1:5" x14ac:dyDescent="0.2">
      <c r="A6197" t="s">
        <v>18561</v>
      </c>
      <c r="B6197" t="s">
        <v>18562</v>
      </c>
      <c r="C6197" t="s">
        <v>18562</v>
      </c>
      <c r="D6197" t="str">
        <f>HYPERLINK("https://zfin.org/ZDB-GENE-050227-14")</f>
        <v>https://zfin.org/ZDB-GENE-050227-14</v>
      </c>
      <c r="E6197" t="s">
        <v>18563</v>
      </c>
    </row>
    <row r="6198" spans="1:5" x14ac:dyDescent="0.2">
      <c r="A6198" t="s">
        <v>18564</v>
      </c>
      <c r="B6198" t="s">
        <v>18565</v>
      </c>
      <c r="C6198" t="s">
        <v>18565</v>
      </c>
      <c r="D6198" t="str">
        <f>HYPERLINK("https://zfin.org/ZDB-GENE-040822-40")</f>
        <v>https://zfin.org/ZDB-GENE-040822-40</v>
      </c>
      <c r="E6198" t="s">
        <v>18566</v>
      </c>
    </row>
    <row r="6199" spans="1:5" x14ac:dyDescent="0.2">
      <c r="A6199" t="s">
        <v>18567</v>
      </c>
      <c r="B6199" t="s">
        <v>18568</v>
      </c>
      <c r="C6199" t="s">
        <v>18568</v>
      </c>
      <c r="D6199" t="str">
        <f>HYPERLINK("https://zfin.org/ZDB-GENE-060929-748")</f>
        <v>https://zfin.org/ZDB-GENE-060929-748</v>
      </c>
      <c r="E6199" t="s">
        <v>18569</v>
      </c>
    </row>
    <row r="6200" spans="1:5" x14ac:dyDescent="0.2">
      <c r="A6200" t="s">
        <v>18570</v>
      </c>
      <c r="B6200" t="s">
        <v>18571</v>
      </c>
      <c r="C6200" t="s">
        <v>18571</v>
      </c>
      <c r="D6200" t="str">
        <f>HYPERLINK("https://zfin.org/ZDB-GENE-050417-399")</f>
        <v>https://zfin.org/ZDB-GENE-050417-399</v>
      </c>
      <c r="E6200" t="s">
        <v>18572</v>
      </c>
    </row>
    <row r="6201" spans="1:5" x14ac:dyDescent="0.2">
      <c r="A6201" t="s">
        <v>18573</v>
      </c>
      <c r="B6201" t="s">
        <v>18574</v>
      </c>
      <c r="C6201" t="s">
        <v>18574</v>
      </c>
      <c r="D6201" t="str">
        <f>HYPERLINK("https://zfin.org/ZDB-GENE-061201-33")</f>
        <v>https://zfin.org/ZDB-GENE-061201-33</v>
      </c>
      <c r="E6201" t="s">
        <v>18575</v>
      </c>
    </row>
    <row r="6202" spans="1:5" x14ac:dyDescent="0.2">
      <c r="A6202" t="s">
        <v>18576</v>
      </c>
      <c r="B6202" t="s">
        <v>18577</v>
      </c>
      <c r="C6202" t="s">
        <v>18577</v>
      </c>
      <c r="D6202" t="str">
        <f>HYPERLINK("https://zfin.org/ZDB-GENE-110411-104")</f>
        <v>https://zfin.org/ZDB-GENE-110411-104</v>
      </c>
      <c r="E6202" t="s">
        <v>18578</v>
      </c>
    </row>
    <row r="6203" spans="1:5" x14ac:dyDescent="0.2">
      <c r="A6203" t="s">
        <v>18579</v>
      </c>
      <c r="B6203" t="s">
        <v>18580</v>
      </c>
      <c r="C6203" t="s">
        <v>18580</v>
      </c>
      <c r="D6203" t="str">
        <f>HYPERLINK("https://zfin.org/ZDB-GENE-040826-4")</f>
        <v>https://zfin.org/ZDB-GENE-040826-4</v>
      </c>
      <c r="E6203" t="s">
        <v>18581</v>
      </c>
    </row>
    <row r="6204" spans="1:5" x14ac:dyDescent="0.2">
      <c r="A6204" t="s">
        <v>18582</v>
      </c>
      <c r="B6204" t="s">
        <v>18583</v>
      </c>
      <c r="C6204" t="s">
        <v>18583</v>
      </c>
      <c r="D6204" t="str">
        <f>HYPERLINK("https://zfin.org/ZDB-GENE-070112-2072")</f>
        <v>https://zfin.org/ZDB-GENE-070112-2072</v>
      </c>
      <c r="E6204" t="s">
        <v>18584</v>
      </c>
    </row>
    <row r="6205" spans="1:5" x14ac:dyDescent="0.2">
      <c r="A6205" t="s">
        <v>18585</v>
      </c>
      <c r="B6205" t="s">
        <v>18586</v>
      </c>
      <c r="C6205" t="s">
        <v>18586</v>
      </c>
      <c r="D6205" t="str">
        <f>HYPERLINK("https://zfin.org/ZDB-GENE-050809-47")</f>
        <v>https://zfin.org/ZDB-GENE-050809-47</v>
      </c>
      <c r="E6205" t="s">
        <v>18587</v>
      </c>
    </row>
    <row r="6206" spans="1:5" x14ac:dyDescent="0.2">
      <c r="A6206" t="s">
        <v>18588</v>
      </c>
      <c r="B6206" t="s">
        <v>18589</v>
      </c>
      <c r="C6206" t="s">
        <v>18589</v>
      </c>
      <c r="D6206" t="str">
        <f>HYPERLINK("https://zfin.org/ZDB-GENE-031118-36")</f>
        <v>https://zfin.org/ZDB-GENE-031118-36</v>
      </c>
      <c r="E6206" t="s">
        <v>18590</v>
      </c>
    </row>
    <row r="6207" spans="1:5" x14ac:dyDescent="0.2">
      <c r="A6207" t="s">
        <v>18591</v>
      </c>
      <c r="B6207" t="s">
        <v>18592</v>
      </c>
      <c r="C6207" t="s">
        <v>18592</v>
      </c>
      <c r="D6207" t="str">
        <f>HYPERLINK("https://zfin.org/ZDB-GENE-060503-655")</f>
        <v>https://zfin.org/ZDB-GENE-060503-655</v>
      </c>
      <c r="E6207" t="s">
        <v>18593</v>
      </c>
    </row>
    <row r="6208" spans="1:5" x14ac:dyDescent="0.2">
      <c r="A6208" t="s">
        <v>18594</v>
      </c>
      <c r="B6208" t="s">
        <v>18595</v>
      </c>
      <c r="C6208" t="s">
        <v>18595</v>
      </c>
      <c r="D6208" t="str">
        <f>HYPERLINK("https://zfin.org/ZDB-GENE-040426-696")</f>
        <v>https://zfin.org/ZDB-GENE-040426-696</v>
      </c>
      <c r="E6208" t="s">
        <v>18596</v>
      </c>
    </row>
    <row r="6209" spans="1:5" x14ac:dyDescent="0.2">
      <c r="A6209" t="s">
        <v>18597</v>
      </c>
      <c r="B6209" t="s">
        <v>18598</v>
      </c>
      <c r="C6209" t="s">
        <v>18598</v>
      </c>
      <c r="D6209" t="str">
        <f>HYPERLINK("https://zfin.org/ZDB-GENE-041008-93")</f>
        <v>https://zfin.org/ZDB-GENE-041008-93</v>
      </c>
      <c r="E6209" t="s">
        <v>18599</v>
      </c>
    </row>
    <row r="6210" spans="1:5" x14ac:dyDescent="0.2">
      <c r="A6210" t="s">
        <v>18600</v>
      </c>
      <c r="B6210" t="s">
        <v>18601</v>
      </c>
      <c r="C6210" t="s">
        <v>18601</v>
      </c>
      <c r="D6210" t="str">
        <f>HYPERLINK("https://zfin.org/ZDB-GENE-110914-38")</f>
        <v>https://zfin.org/ZDB-GENE-110914-38</v>
      </c>
      <c r="E6210" t="s">
        <v>18602</v>
      </c>
    </row>
    <row r="6211" spans="1:5" x14ac:dyDescent="0.2">
      <c r="A6211" t="s">
        <v>18603</v>
      </c>
      <c r="B6211" t="s">
        <v>18604</v>
      </c>
      <c r="C6211" t="s">
        <v>18604</v>
      </c>
      <c r="D6211" t="str">
        <f>HYPERLINK("https://zfin.org/ZDB-GENE-030429-35")</f>
        <v>https://zfin.org/ZDB-GENE-030429-35</v>
      </c>
      <c r="E6211" t="s">
        <v>18605</v>
      </c>
    </row>
    <row r="6212" spans="1:5" x14ac:dyDescent="0.2">
      <c r="A6212" t="s">
        <v>18606</v>
      </c>
      <c r="B6212" t="s">
        <v>18607</v>
      </c>
      <c r="C6212" t="s">
        <v>18607</v>
      </c>
      <c r="D6212" t="str">
        <f>HYPERLINK("https://zfin.org/ZDB-GENE-050420-289")</f>
        <v>https://zfin.org/ZDB-GENE-050420-289</v>
      </c>
      <c r="E6212" t="s">
        <v>18608</v>
      </c>
    </row>
    <row r="6213" spans="1:5" x14ac:dyDescent="0.2">
      <c r="A6213" t="s">
        <v>18609</v>
      </c>
      <c r="B6213" t="s">
        <v>18610</v>
      </c>
      <c r="C6213" t="s">
        <v>18610</v>
      </c>
      <c r="D6213" t="str">
        <f>HYPERLINK("https://zfin.org/ZDB-GENE-101130-1")</f>
        <v>https://zfin.org/ZDB-GENE-101130-1</v>
      </c>
      <c r="E6213" t="s">
        <v>18611</v>
      </c>
    </row>
    <row r="6214" spans="1:5" x14ac:dyDescent="0.2">
      <c r="A6214" t="s">
        <v>18612</v>
      </c>
      <c r="B6214" t="s">
        <v>18613</v>
      </c>
      <c r="C6214" t="s">
        <v>18613</v>
      </c>
      <c r="D6214" t="str">
        <f>HYPERLINK("https://zfin.org/ZDB-GENE-071126-2")</f>
        <v>https://zfin.org/ZDB-GENE-071126-2</v>
      </c>
      <c r="E6214" t="s">
        <v>18614</v>
      </c>
    </row>
    <row r="6215" spans="1:5" x14ac:dyDescent="0.2">
      <c r="A6215" t="s">
        <v>18615</v>
      </c>
      <c r="B6215" t="s">
        <v>529</v>
      </c>
      <c r="C6215" t="s">
        <v>18616</v>
      </c>
      <c r="D6215" t="str">
        <f>HYPERLINK("https://zfin.org/ZDB-GENE-041010-42")</f>
        <v>https://zfin.org/ZDB-GENE-041010-42</v>
      </c>
      <c r="E6215" t="s">
        <v>18617</v>
      </c>
    </row>
    <row r="6216" spans="1:5" x14ac:dyDescent="0.2">
      <c r="A6216" t="s">
        <v>18618</v>
      </c>
      <c r="B6216" t="s">
        <v>18619</v>
      </c>
      <c r="C6216" t="s">
        <v>18619</v>
      </c>
      <c r="D6216" t="str">
        <f>HYPERLINK("https://zfin.org/ZDB-GENE-050126-3")</f>
        <v>https://zfin.org/ZDB-GENE-050126-3</v>
      </c>
      <c r="E6216" t="s">
        <v>18620</v>
      </c>
    </row>
    <row r="6217" spans="1:5" x14ac:dyDescent="0.2">
      <c r="A6217" t="s">
        <v>18621</v>
      </c>
      <c r="B6217" t="s">
        <v>18622</v>
      </c>
      <c r="C6217" t="s">
        <v>18622</v>
      </c>
      <c r="D6217" t="str">
        <f>HYPERLINK("https://zfin.org/ZDB-GENE-990415-268")</f>
        <v>https://zfin.org/ZDB-GENE-990415-268</v>
      </c>
      <c r="E6217" t="s">
        <v>18623</v>
      </c>
    </row>
    <row r="6218" spans="1:5" x14ac:dyDescent="0.2">
      <c r="A6218" t="s">
        <v>18624</v>
      </c>
      <c r="B6218" t="s">
        <v>18625</v>
      </c>
      <c r="C6218" t="s">
        <v>18625</v>
      </c>
      <c r="D6218" t="str">
        <f>HYPERLINK("https://zfin.org/ZDB-GENE-040426-2590")</f>
        <v>https://zfin.org/ZDB-GENE-040426-2590</v>
      </c>
      <c r="E6218" t="s">
        <v>18626</v>
      </c>
    </row>
    <row r="6219" spans="1:5" x14ac:dyDescent="0.2">
      <c r="A6219" t="s">
        <v>18627</v>
      </c>
      <c r="B6219" t="s">
        <v>18628</v>
      </c>
      <c r="C6219" t="s">
        <v>18628</v>
      </c>
      <c r="D6219" t="str">
        <f>HYPERLINK("https://zfin.org/ZDB-GENE-990415-201")</f>
        <v>https://zfin.org/ZDB-GENE-990415-201</v>
      </c>
      <c r="E6219" t="s">
        <v>18629</v>
      </c>
    </row>
    <row r="6220" spans="1:5" x14ac:dyDescent="0.2">
      <c r="A6220" t="s">
        <v>18630</v>
      </c>
      <c r="B6220" t="s">
        <v>18631</v>
      </c>
      <c r="C6220" t="s">
        <v>18631</v>
      </c>
      <c r="D6220" t="str">
        <f>HYPERLINK("https://zfin.org/ZDB-GENE-031118-220")</f>
        <v>https://zfin.org/ZDB-GENE-031118-220</v>
      </c>
      <c r="E6220" t="s">
        <v>18632</v>
      </c>
    </row>
    <row r="6221" spans="1:5" x14ac:dyDescent="0.2">
      <c r="A6221" t="s">
        <v>18633</v>
      </c>
      <c r="B6221" t="s">
        <v>18634</v>
      </c>
      <c r="C6221" t="s">
        <v>18634</v>
      </c>
      <c r="D6221" t="str">
        <f>HYPERLINK("https://zfin.org/ZDB-GENE-040718-382")</f>
        <v>https://zfin.org/ZDB-GENE-040718-382</v>
      </c>
      <c r="E6221" t="s">
        <v>18635</v>
      </c>
    </row>
    <row r="6222" spans="1:5" x14ac:dyDescent="0.2">
      <c r="A6222" t="s">
        <v>18636</v>
      </c>
      <c r="B6222" t="s">
        <v>18637</v>
      </c>
      <c r="C6222" t="s">
        <v>18637</v>
      </c>
      <c r="D6222" t="str">
        <f>HYPERLINK("https://zfin.org/ZDB-GENE-110714-2")</f>
        <v>https://zfin.org/ZDB-GENE-110714-2</v>
      </c>
      <c r="E6222" t="s">
        <v>18638</v>
      </c>
    </row>
    <row r="6223" spans="1:5" x14ac:dyDescent="0.2">
      <c r="A6223" t="s">
        <v>18639</v>
      </c>
      <c r="B6223" t="s">
        <v>18640</v>
      </c>
      <c r="C6223" t="s">
        <v>18640</v>
      </c>
      <c r="D6223" t="str">
        <f>HYPERLINK("https://zfin.org/ZDB-GENE-050913-89")</f>
        <v>https://zfin.org/ZDB-GENE-050913-89</v>
      </c>
      <c r="E6223" t="s">
        <v>18641</v>
      </c>
    </row>
    <row r="6224" spans="1:5" x14ac:dyDescent="0.2">
      <c r="A6224" t="s">
        <v>18642</v>
      </c>
      <c r="B6224" t="s">
        <v>18643</v>
      </c>
      <c r="C6224" t="s">
        <v>18643</v>
      </c>
      <c r="D6224" t="str">
        <f>HYPERLINK("https://zfin.org/ZDB-GENE-060322-4")</f>
        <v>https://zfin.org/ZDB-GENE-060322-4</v>
      </c>
      <c r="E6224" t="s">
        <v>18644</v>
      </c>
    </row>
    <row r="6225" spans="1:5" x14ac:dyDescent="0.2">
      <c r="A6225" t="s">
        <v>18645</v>
      </c>
      <c r="B6225" t="s">
        <v>18646</v>
      </c>
      <c r="C6225" t="s">
        <v>18646</v>
      </c>
      <c r="D6225" t="str">
        <f>HYPERLINK("https://zfin.org/ZDB-GENE-060503-34")</f>
        <v>https://zfin.org/ZDB-GENE-060503-34</v>
      </c>
      <c r="E6225" t="s">
        <v>18647</v>
      </c>
    </row>
    <row r="6226" spans="1:5" x14ac:dyDescent="0.2">
      <c r="A6226" t="s">
        <v>18648</v>
      </c>
      <c r="B6226" t="s">
        <v>18649</v>
      </c>
      <c r="C6226" t="s">
        <v>18649</v>
      </c>
      <c r="D6226" t="str">
        <f>HYPERLINK("https://zfin.org/ZDB-GENE-040801-231")</f>
        <v>https://zfin.org/ZDB-GENE-040801-231</v>
      </c>
      <c r="E6226" t="s">
        <v>18650</v>
      </c>
    </row>
    <row r="6227" spans="1:5" x14ac:dyDescent="0.2">
      <c r="A6227" t="s">
        <v>18651</v>
      </c>
      <c r="B6227" t="s">
        <v>18652</v>
      </c>
      <c r="C6227" t="s">
        <v>18652</v>
      </c>
      <c r="D6227" t="str">
        <f>HYPERLINK("https://zfin.org/ZDB-GENE-040426-2218")</f>
        <v>https://zfin.org/ZDB-GENE-040426-2218</v>
      </c>
      <c r="E6227" t="s">
        <v>18653</v>
      </c>
    </row>
    <row r="6228" spans="1:5" x14ac:dyDescent="0.2">
      <c r="A6228" t="s">
        <v>18654</v>
      </c>
      <c r="B6228" t="s">
        <v>18655</v>
      </c>
      <c r="C6228" t="s">
        <v>18655</v>
      </c>
      <c r="D6228" t="str">
        <f>HYPERLINK("https://zfin.org/ZDB-GENE-110913-112")</f>
        <v>https://zfin.org/ZDB-GENE-110913-112</v>
      </c>
      <c r="E6228" t="s">
        <v>18656</v>
      </c>
    </row>
    <row r="6229" spans="1:5" x14ac:dyDescent="0.2">
      <c r="A6229" t="s">
        <v>18657</v>
      </c>
      <c r="B6229" t="s">
        <v>18658</v>
      </c>
      <c r="C6229" t="s">
        <v>18658</v>
      </c>
      <c r="D6229" t="str">
        <f>HYPERLINK("https://zfin.org/ZDB-GENE-030131-8307")</f>
        <v>https://zfin.org/ZDB-GENE-030131-8307</v>
      </c>
      <c r="E6229" t="s">
        <v>18659</v>
      </c>
    </row>
    <row r="6230" spans="1:5" x14ac:dyDescent="0.2">
      <c r="A6230" t="s">
        <v>18660</v>
      </c>
      <c r="B6230" t="s">
        <v>18661</v>
      </c>
      <c r="C6230" t="s">
        <v>18661</v>
      </c>
      <c r="D6230" t="str">
        <f>HYPERLINK("https://zfin.org/ZDB-GENE-050706-125")</f>
        <v>https://zfin.org/ZDB-GENE-050706-125</v>
      </c>
      <c r="E6230" t="s">
        <v>18662</v>
      </c>
    </row>
    <row r="6231" spans="1:5" x14ac:dyDescent="0.2">
      <c r="A6231" t="s">
        <v>18663</v>
      </c>
      <c r="B6231" t="s">
        <v>18664</v>
      </c>
      <c r="C6231" t="s">
        <v>18664</v>
      </c>
      <c r="D6231" t="str">
        <f>HYPERLINK("https://zfin.org/ZDB-GENE-120529-1")</f>
        <v>https://zfin.org/ZDB-GENE-120529-1</v>
      </c>
      <c r="E6231" t="s">
        <v>18665</v>
      </c>
    </row>
    <row r="6232" spans="1:5" x14ac:dyDescent="0.2">
      <c r="A6232" t="s">
        <v>18666</v>
      </c>
      <c r="B6232" t="s">
        <v>18667</v>
      </c>
      <c r="C6232" t="s">
        <v>18667</v>
      </c>
      <c r="D6232" t="str">
        <f>HYPERLINK("https://zfin.org/ZDB-GENE-030131-7064")</f>
        <v>https://zfin.org/ZDB-GENE-030131-7064</v>
      </c>
      <c r="E6232" t="s">
        <v>18668</v>
      </c>
    </row>
    <row r="6233" spans="1:5" x14ac:dyDescent="0.2">
      <c r="A6233" t="s">
        <v>18669</v>
      </c>
      <c r="B6233" t="s">
        <v>18670</v>
      </c>
      <c r="C6233" t="s">
        <v>18670</v>
      </c>
      <c r="D6233" t="str">
        <f>HYPERLINK("https://zfin.org/ZDB-GENE-120215-213")</f>
        <v>https://zfin.org/ZDB-GENE-120215-213</v>
      </c>
      <c r="E6233" t="s">
        <v>18671</v>
      </c>
    </row>
    <row r="6234" spans="1:5" x14ac:dyDescent="0.2">
      <c r="A6234" t="s">
        <v>18672</v>
      </c>
      <c r="B6234" t="s">
        <v>18673</v>
      </c>
      <c r="C6234" t="s">
        <v>18673</v>
      </c>
      <c r="D6234" t="str">
        <f>HYPERLINK("https://zfin.org/ZDB-GENE-090313-244")</f>
        <v>https://zfin.org/ZDB-GENE-090313-244</v>
      </c>
      <c r="E6234" t="s">
        <v>18674</v>
      </c>
    </row>
    <row r="6235" spans="1:5" x14ac:dyDescent="0.2">
      <c r="A6235" t="s">
        <v>18675</v>
      </c>
      <c r="B6235" t="s">
        <v>18676</v>
      </c>
      <c r="C6235" t="s">
        <v>18676</v>
      </c>
      <c r="D6235" t="str">
        <f>HYPERLINK("https://zfin.org/ZDB-GENE-030131-5005")</f>
        <v>https://zfin.org/ZDB-GENE-030131-5005</v>
      </c>
      <c r="E6235" t="s">
        <v>18677</v>
      </c>
    </row>
    <row r="6236" spans="1:5" x14ac:dyDescent="0.2">
      <c r="A6236" t="s">
        <v>18678</v>
      </c>
      <c r="B6236" t="s">
        <v>18679</v>
      </c>
      <c r="C6236" t="s">
        <v>18679</v>
      </c>
      <c r="D6236" t="str">
        <f>HYPERLINK("https://zfin.org/ZDB-GENE-090313-243")</f>
        <v>https://zfin.org/ZDB-GENE-090313-243</v>
      </c>
      <c r="E6236" t="s">
        <v>18680</v>
      </c>
    </row>
    <row r="6237" spans="1:5" x14ac:dyDescent="0.2">
      <c r="A6237" t="s">
        <v>18681</v>
      </c>
      <c r="B6237" t="s">
        <v>18682</v>
      </c>
      <c r="C6237" t="s">
        <v>18682</v>
      </c>
      <c r="D6237" t="str">
        <f>HYPERLINK("https://zfin.org/ZDB-GENE-070820-3")</f>
        <v>https://zfin.org/ZDB-GENE-070820-3</v>
      </c>
      <c r="E6237" t="s">
        <v>18683</v>
      </c>
    </row>
    <row r="6238" spans="1:5" x14ac:dyDescent="0.2">
      <c r="A6238" t="s">
        <v>18684</v>
      </c>
      <c r="B6238" t="s">
        <v>18685</v>
      </c>
      <c r="C6238" t="s">
        <v>18685</v>
      </c>
      <c r="D6238" t="str">
        <f>HYPERLINK("https://zfin.org/ZDB-GENE-020905-2")</f>
        <v>https://zfin.org/ZDB-GENE-020905-2</v>
      </c>
      <c r="E6238" t="s">
        <v>18686</v>
      </c>
    </row>
    <row r="6239" spans="1:5" x14ac:dyDescent="0.2">
      <c r="A6239" t="s">
        <v>18687</v>
      </c>
      <c r="B6239" t="s">
        <v>18688</v>
      </c>
      <c r="C6239" t="s">
        <v>18688</v>
      </c>
      <c r="D6239" t="str">
        <f>HYPERLINK("https://zfin.org/ZDB-GENE-040912-181")</f>
        <v>https://zfin.org/ZDB-GENE-040912-181</v>
      </c>
      <c r="E6239" t="s">
        <v>18689</v>
      </c>
    </row>
    <row r="6240" spans="1:5" x14ac:dyDescent="0.2">
      <c r="A6240" t="s">
        <v>18690</v>
      </c>
      <c r="B6240" t="s">
        <v>18691</v>
      </c>
      <c r="C6240" t="s">
        <v>18691</v>
      </c>
      <c r="D6240" t="str">
        <f>HYPERLINK("https://zfin.org/ZDB-GENE-070705-442")</f>
        <v>https://zfin.org/ZDB-GENE-070705-442</v>
      </c>
      <c r="E6240" t="s">
        <v>18692</v>
      </c>
    </row>
    <row r="6241" spans="1:5" x14ac:dyDescent="0.2">
      <c r="A6241" t="s">
        <v>18693</v>
      </c>
      <c r="B6241" t="s">
        <v>18694</v>
      </c>
      <c r="C6241" t="s">
        <v>18694</v>
      </c>
      <c r="D6241" t="str">
        <f>HYPERLINK("https://zfin.org/ZDB-GENE-040808-29")</f>
        <v>https://zfin.org/ZDB-GENE-040808-29</v>
      </c>
      <c r="E6241" t="s">
        <v>18695</v>
      </c>
    </row>
    <row r="6242" spans="1:5" x14ac:dyDescent="0.2">
      <c r="A6242" t="s">
        <v>18696</v>
      </c>
      <c r="B6242" t="s">
        <v>18697</v>
      </c>
      <c r="C6242" t="s">
        <v>18697</v>
      </c>
      <c r="D6242" t="str">
        <f>HYPERLINK("https://zfin.org/ZDB-GENE-031002-1")</f>
        <v>https://zfin.org/ZDB-GENE-031002-1</v>
      </c>
      <c r="E6242" t="s">
        <v>18698</v>
      </c>
    </row>
    <row r="6243" spans="1:5" x14ac:dyDescent="0.2">
      <c r="A6243" t="s">
        <v>18699</v>
      </c>
      <c r="B6243" t="s">
        <v>18700</v>
      </c>
      <c r="C6243" t="s">
        <v>18700</v>
      </c>
      <c r="D6243" t="str">
        <f>HYPERLINK("https://zfin.org/ZDB-GENE-040426-2544")</f>
        <v>https://zfin.org/ZDB-GENE-040426-2544</v>
      </c>
      <c r="E6243" t="s">
        <v>18701</v>
      </c>
    </row>
    <row r="6244" spans="1:5" x14ac:dyDescent="0.2">
      <c r="A6244" t="s">
        <v>18702</v>
      </c>
      <c r="B6244" t="s">
        <v>18703</v>
      </c>
      <c r="C6244" t="s">
        <v>18703</v>
      </c>
      <c r="D6244" t="str">
        <f>HYPERLINK("https://zfin.org/ZDB-GENE-050522-228")</f>
        <v>https://zfin.org/ZDB-GENE-050522-228</v>
      </c>
      <c r="E6244" t="s">
        <v>18704</v>
      </c>
    </row>
    <row r="6245" spans="1:5" x14ac:dyDescent="0.2">
      <c r="A6245" t="s">
        <v>18705</v>
      </c>
      <c r="B6245" t="s">
        <v>18706</v>
      </c>
      <c r="C6245" t="s">
        <v>18706</v>
      </c>
      <c r="D6245" t="str">
        <f>HYPERLINK("https://zfin.org/ZDB-GENE-040426-2853")</f>
        <v>https://zfin.org/ZDB-GENE-040426-2853</v>
      </c>
      <c r="E6245" t="s">
        <v>18707</v>
      </c>
    </row>
    <row r="6246" spans="1:5" x14ac:dyDescent="0.2">
      <c r="A6246" t="s">
        <v>18708</v>
      </c>
      <c r="B6246" t="s">
        <v>18709</v>
      </c>
      <c r="C6246" t="s">
        <v>18709</v>
      </c>
      <c r="D6246" t="str">
        <f>HYPERLINK("https://zfin.org/ZDB-GENE-131120-1")</f>
        <v>https://zfin.org/ZDB-GENE-131120-1</v>
      </c>
      <c r="E6246" t="s">
        <v>18710</v>
      </c>
    </row>
    <row r="6247" spans="1:5" x14ac:dyDescent="0.2">
      <c r="A6247" t="s">
        <v>18711</v>
      </c>
      <c r="B6247" t="s">
        <v>662</v>
      </c>
      <c r="C6247" t="s">
        <v>18712</v>
      </c>
      <c r="D6247" t="str">
        <f>HYPERLINK("https://zfin.org/ZDB-GENE-081105-138")</f>
        <v>https://zfin.org/ZDB-GENE-081105-138</v>
      </c>
      <c r="E6247" t="s">
        <v>18713</v>
      </c>
    </row>
    <row r="6248" spans="1:5" x14ac:dyDescent="0.2">
      <c r="A6248" t="s">
        <v>18714</v>
      </c>
      <c r="B6248" t="s">
        <v>18715</v>
      </c>
      <c r="C6248" t="s">
        <v>18715</v>
      </c>
      <c r="D6248" t="str">
        <f>HYPERLINK("https://zfin.org/ZDB-GENE-081104-186")</f>
        <v>https://zfin.org/ZDB-GENE-081104-186</v>
      </c>
      <c r="E6248" t="s">
        <v>18716</v>
      </c>
    </row>
    <row r="6249" spans="1:5" x14ac:dyDescent="0.2">
      <c r="A6249" t="s">
        <v>18717</v>
      </c>
      <c r="B6249" t="s">
        <v>18718</v>
      </c>
      <c r="C6249" t="s">
        <v>18718</v>
      </c>
      <c r="D6249" t="str">
        <f>HYPERLINK("https://zfin.org/ZDB-GENE-101028-4")</f>
        <v>https://zfin.org/ZDB-GENE-101028-4</v>
      </c>
      <c r="E6249" t="s">
        <v>18719</v>
      </c>
    </row>
    <row r="6250" spans="1:5" x14ac:dyDescent="0.2">
      <c r="A6250" t="s">
        <v>18720</v>
      </c>
      <c r="B6250" t="s">
        <v>18721</v>
      </c>
      <c r="C6250" t="s">
        <v>18721</v>
      </c>
      <c r="D6250" t="str">
        <f>HYPERLINK("https://zfin.org/ZDB-GENE-030131-6215")</f>
        <v>https://zfin.org/ZDB-GENE-030131-6215</v>
      </c>
      <c r="E6250" t="s">
        <v>18722</v>
      </c>
    </row>
    <row r="6251" spans="1:5" x14ac:dyDescent="0.2">
      <c r="A6251" t="s">
        <v>18723</v>
      </c>
      <c r="B6251" t="s">
        <v>18724</v>
      </c>
      <c r="C6251" t="s">
        <v>18724</v>
      </c>
      <c r="D6251" t="str">
        <f>HYPERLINK("https://zfin.org/ZDB-GENE-030131-9634")</f>
        <v>https://zfin.org/ZDB-GENE-030131-9634</v>
      </c>
      <c r="E6251" t="s">
        <v>18725</v>
      </c>
    </row>
    <row r="6252" spans="1:5" x14ac:dyDescent="0.2">
      <c r="A6252" t="s">
        <v>18726</v>
      </c>
      <c r="B6252" t="s">
        <v>18727</v>
      </c>
      <c r="C6252" t="s">
        <v>18727</v>
      </c>
      <c r="D6252" t="str">
        <f>HYPERLINK("https://zfin.org/ZDB-GENE-040910-1")</f>
        <v>https://zfin.org/ZDB-GENE-040910-1</v>
      </c>
      <c r="E6252" t="s">
        <v>18728</v>
      </c>
    </row>
    <row r="6253" spans="1:5" x14ac:dyDescent="0.2">
      <c r="A6253" t="s">
        <v>18729</v>
      </c>
      <c r="B6253" t="s">
        <v>18730</v>
      </c>
      <c r="C6253" t="s">
        <v>18730</v>
      </c>
      <c r="D6253" t="str">
        <f>HYPERLINK("https://zfin.org/ZDB-GENE-040930-6")</f>
        <v>https://zfin.org/ZDB-GENE-040930-6</v>
      </c>
      <c r="E6253" t="s">
        <v>18731</v>
      </c>
    </row>
    <row r="6254" spans="1:5" x14ac:dyDescent="0.2">
      <c r="A6254" t="s">
        <v>18732</v>
      </c>
      <c r="B6254" t="s">
        <v>18733</v>
      </c>
      <c r="C6254" t="s">
        <v>18733</v>
      </c>
      <c r="D6254" t="str">
        <f>HYPERLINK("https://zfin.org/ZDB-GENE-040426-2279")</f>
        <v>https://zfin.org/ZDB-GENE-040426-2279</v>
      </c>
      <c r="E6254" t="s">
        <v>18734</v>
      </c>
    </row>
    <row r="6255" spans="1:5" x14ac:dyDescent="0.2">
      <c r="A6255" t="s">
        <v>18735</v>
      </c>
      <c r="B6255" t="s">
        <v>18736</v>
      </c>
      <c r="C6255" t="s">
        <v>18736</v>
      </c>
      <c r="D6255" t="str">
        <f>HYPERLINK("https://zfin.org/ZDB-GENE-030131-6559")</f>
        <v>https://zfin.org/ZDB-GENE-030131-6559</v>
      </c>
      <c r="E6255" t="s">
        <v>18737</v>
      </c>
    </row>
    <row r="6256" spans="1:5" x14ac:dyDescent="0.2">
      <c r="A6256" t="s">
        <v>18738</v>
      </c>
      <c r="B6256" t="s">
        <v>18739</v>
      </c>
      <c r="C6256" t="s">
        <v>18739</v>
      </c>
      <c r="D6256" t="str">
        <f>HYPERLINK("https://zfin.org/ZDB-GENE-041221-3")</f>
        <v>https://zfin.org/ZDB-GENE-041221-3</v>
      </c>
      <c r="E6256" t="s">
        <v>18740</v>
      </c>
    </row>
    <row r="6257" spans="1:5" x14ac:dyDescent="0.2">
      <c r="A6257" t="s">
        <v>18741</v>
      </c>
      <c r="B6257" t="s">
        <v>18742</v>
      </c>
      <c r="C6257" t="s">
        <v>18742</v>
      </c>
      <c r="D6257" t="str">
        <f>HYPERLINK("https://zfin.org/ZDB-GENE-131127-139")</f>
        <v>https://zfin.org/ZDB-GENE-131127-139</v>
      </c>
      <c r="E6257" t="s">
        <v>18743</v>
      </c>
    </row>
    <row r="6258" spans="1:5" x14ac:dyDescent="0.2">
      <c r="A6258" t="s">
        <v>18744</v>
      </c>
      <c r="B6258" t="s">
        <v>18745</v>
      </c>
      <c r="C6258" t="s">
        <v>18745</v>
      </c>
      <c r="D6258" t="str">
        <f>HYPERLINK("https://zfin.org/ZDB-GENE-040912-128")</f>
        <v>https://zfin.org/ZDB-GENE-040912-128</v>
      </c>
      <c r="E6258" t="s">
        <v>18746</v>
      </c>
    </row>
    <row r="6259" spans="1:5" x14ac:dyDescent="0.2">
      <c r="A6259" t="s">
        <v>18747</v>
      </c>
      <c r="B6259" t="s">
        <v>18748</v>
      </c>
      <c r="C6259" t="s">
        <v>18748</v>
      </c>
      <c r="D6259" t="str">
        <f>HYPERLINK("https://zfin.org/ZDB-GENE-031113-4")</f>
        <v>https://zfin.org/ZDB-GENE-031113-4</v>
      </c>
      <c r="E6259" t="s">
        <v>18749</v>
      </c>
    </row>
    <row r="6260" spans="1:5" x14ac:dyDescent="0.2">
      <c r="A6260" t="s">
        <v>18750</v>
      </c>
      <c r="B6260" t="s">
        <v>18751</v>
      </c>
      <c r="C6260" t="s">
        <v>18751</v>
      </c>
      <c r="D6260" t="str">
        <f>HYPERLINK("https://zfin.org/ZDB-GENE-000920-1")</f>
        <v>https://zfin.org/ZDB-GENE-000920-1</v>
      </c>
      <c r="E6260" t="s">
        <v>18752</v>
      </c>
    </row>
    <row r="6261" spans="1:5" x14ac:dyDescent="0.2">
      <c r="A6261" t="s">
        <v>18753</v>
      </c>
      <c r="B6261" t="s">
        <v>18754</v>
      </c>
      <c r="C6261" t="s">
        <v>18754</v>
      </c>
      <c r="D6261" t="str">
        <f>HYPERLINK("https://zfin.org/ZDB-GENE-030131-1502")</f>
        <v>https://zfin.org/ZDB-GENE-030131-1502</v>
      </c>
      <c r="E6261" t="s">
        <v>18755</v>
      </c>
    </row>
    <row r="6262" spans="1:5" x14ac:dyDescent="0.2">
      <c r="A6262" t="s">
        <v>18756</v>
      </c>
      <c r="B6262" t="s">
        <v>18757</v>
      </c>
      <c r="C6262" t="s">
        <v>18757</v>
      </c>
      <c r="D6262" t="str">
        <f>HYPERLINK("https://zfin.org/ZDB-GENE-050913-110")</f>
        <v>https://zfin.org/ZDB-GENE-050913-110</v>
      </c>
      <c r="E6262" t="s">
        <v>18758</v>
      </c>
    </row>
    <row r="6263" spans="1:5" x14ac:dyDescent="0.2">
      <c r="A6263" t="s">
        <v>18759</v>
      </c>
      <c r="B6263" t="s">
        <v>18760</v>
      </c>
      <c r="C6263" t="s">
        <v>18760</v>
      </c>
      <c r="D6263" t="str">
        <f>HYPERLINK("https://zfin.org/ZDB-GENE-030131-9662")</f>
        <v>https://zfin.org/ZDB-GENE-030131-9662</v>
      </c>
      <c r="E6263" t="s">
        <v>18761</v>
      </c>
    </row>
    <row r="6264" spans="1:5" x14ac:dyDescent="0.2">
      <c r="A6264" t="s">
        <v>18762</v>
      </c>
      <c r="B6264" t="s">
        <v>18763</v>
      </c>
      <c r="C6264" t="s">
        <v>18763</v>
      </c>
      <c r="D6264" t="str">
        <f>HYPERLINK("https://zfin.org/ZDB-GENE-090826-2")</f>
        <v>https://zfin.org/ZDB-GENE-090826-2</v>
      </c>
      <c r="E6264" t="s">
        <v>18764</v>
      </c>
    </row>
    <row r="6265" spans="1:5" x14ac:dyDescent="0.2">
      <c r="A6265" t="s">
        <v>18765</v>
      </c>
      <c r="B6265" t="s">
        <v>18766</v>
      </c>
      <c r="C6265" t="s">
        <v>18766</v>
      </c>
      <c r="D6265" t="str">
        <f>HYPERLINK("https://zfin.org/ZDB-GENE-080220-26")</f>
        <v>https://zfin.org/ZDB-GENE-080220-26</v>
      </c>
      <c r="E6265" t="s">
        <v>18767</v>
      </c>
    </row>
    <row r="6266" spans="1:5" x14ac:dyDescent="0.2">
      <c r="A6266" t="s">
        <v>18768</v>
      </c>
      <c r="B6266" t="s">
        <v>18769</v>
      </c>
      <c r="C6266" t="s">
        <v>18769</v>
      </c>
      <c r="D6266" t="str">
        <f>HYPERLINK("https://zfin.org/ZDB-GENE-131121-71")</f>
        <v>https://zfin.org/ZDB-GENE-131121-71</v>
      </c>
      <c r="E6266" t="s">
        <v>18770</v>
      </c>
    </row>
    <row r="6267" spans="1:5" x14ac:dyDescent="0.2">
      <c r="A6267" t="s">
        <v>18771</v>
      </c>
      <c r="B6267" t="s">
        <v>18772</v>
      </c>
      <c r="C6267" t="s">
        <v>18772</v>
      </c>
      <c r="D6267" t="str">
        <f>HYPERLINK("https://zfin.org/ZDB-GENE-090313-30")</f>
        <v>https://zfin.org/ZDB-GENE-090313-30</v>
      </c>
      <c r="E6267" t="s">
        <v>18773</v>
      </c>
    </row>
    <row r="6268" spans="1:5" x14ac:dyDescent="0.2">
      <c r="A6268" t="s">
        <v>18774</v>
      </c>
      <c r="B6268" t="s">
        <v>18775</v>
      </c>
      <c r="C6268" t="s">
        <v>18775</v>
      </c>
      <c r="D6268" t="str">
        <f>HYPERLINK("https://zfin.org/")</f>
        <v>https://zfin.org/</v>
      </c>
    </row>
    <row r="6269" spans="1:5" x14ac:dyDescent="0.2">
      <c r="A6269" t="s">
        <v>18776</v>
      </c>
      <c r="B6269" t="s">
        <v>18777</v>
      </c>
      <c r="C6269" t="s">
        <v>18777</v>
      </c>
      <c r="D6269" t="str">
        <f>HYPERLINK("https://zfin.org/ZDB-GENE-081107-62")</f>
        <v>https://zfin.org/ZDB-GENE-081107-62</v>
      </c>
      <c r="E6269" t="s">
        <v>18778</v>
      </c>
    </row>
    <row r="6270" spans="1:5" x14ac:dyDescent="0.2">
      <c r="A6270" t="s">
        <v>18779</v>
      </c>
      <c r="B6270" t="s">
        <v>18775</v>
      </c>
      <c r="C6270" t="s">
        <v>18780</v>
      </c>
      <c r="D6270" t="str">
        <f>HYPERLINK("https://zfin.org/ZDB-GENE-040914-27")</f>
        <v>https://zfin.org/ZDB-GENE-040914-27</v>
      </c>
      <c r="E6270" t="s">
        <v>18781</v>
      </c>
    </row>
    <row r="6271" spans="1:5" x14ac:dyDescent="0.2">
      <c r="A6271" t="s">
        <v>18782</v>
      </c>
      <c r="B6271" t="s">
        <v>18783</v>
      </c>
      <c r="C6271" t="s">
        <v>18783</v>
      </c>
      <c r="D6271" t="str">
        <f>HYPERLINK("https://zfin.org/ZDB-GENE-070912-470")</f>
        <v>https://zfin.org/ZDB-GENE-070912-470</v>
      </c>
      <c r="E6271" t="s">
        <v>18784</v>
      </c>
    </row>
    <row r="6272" spans="1:5" x14ac:dyDescent="0.2">
      <c r="A6272" t="s">
        <v>18785</v>
      </c>
      <c r="B6272" t="s">
        <v>18786</v>
      </c>
      <c r="C6272" t="s">
        <v>18786</v>
      </c>
      <c r="D6272" t="str">
        <f>HYPERLINK("https://zfin.org/ZDB-GENE-131127-51")</f>
        <v>https://zfin.org/ZDB-GENE-131127-51</v>
      </c>
      <c r="E6272" t="s">
        <v>18787</v>
      </c>
    </row>
    <row r="6273" spans="1:5" x14ac:dyDescent="0.2">
      <c r="A6273" t="s">
        <v>18788</v>
      </c>
      <c r="B6273" t="s">
        <v>18789</v>
      </c>
      <c r="C6273" t="s">
        <v>18789</v>
      </c>
      <c r="D6273" t="str">
        <f>HYPERLINK("https://zfin.org/ZDB-GENE-130603-58")</f>
        <v>https://zfin.org/ZDB-GENE-130603-58</v>
      </c>
      <c r="E6273" t="s">
        <v>18790</v>
      </c>
    </row>
    <row r="6274" spans="1:5" x14ac:dyDescent="0.2">
      <c r="A6274" t="s">
        <v>18791</v>
      </c>
      <c r="B6274" t="s">
        <v>18792</v>
      </c>
      <c r="C6274" t="s">
        <v>18792</v>
      </c>
      <c r="D6274" t="str">
        <f>HYPERLINK("https://zfin.org/ZDB-GENE-131121-10")</f>
        <v>https://zfin.org/ZDB-GENE-131121-10</v>
      </c>
      <c r="E6274" t="s">
        <v>18793</v>
      </c>
    </row>
    <row r="6275" spans="1:5" x14ac:dyDescent="0.2">
      <c r="A6275" t="s">
        <v>18794</v>
      </c>
      <c r="B6275" t="s">
        <v>18795</v>
      </c>
      <c r="C6275" t="s">
        <v>18795</v>
      </c>
      <c r="D6275" t="str">
        <f>HYPERLINK("https://zfin.org/ZDB-GENE-070912-443")</f>
        <v>https://zfin.org/ZDB-GENE-070912-443</v>
      </c>
      <c r="E6275" t="s">
        <v>18796</v>
      </c>
    </row>
    <row r="6276" spans="1:5" x14ac:dyDescent="0.2">
      <c r="A6276" t="s">
        <v>18797</v>
      </c>
      <c r="B6276" t="s">
        <v>18798</v>
      </c>
      <c r="C6276" t="s">
        <v>18798</v>
      </c>
      <c r="D6276" t="str">
        <f>HYPERLINK("https://zfin.org/ZDB-GENE-061207-7")</f>
        <v>https://zfin.org/ZDB-GENE-061207-7</v>
      </c>
      <c r="E6276" t="s">
        <v>18799</v>
      </c>
    </row>
    <row r="6277" spans="1:5" x14ac:dyDescent="0.2">
      <c r="A6277" t="s">
        <v>18800</v>
      </c>
      <c r="B6277" t="s">
        <v>18801</v>
      </c>
      <c r="C6277" t="s">
        <v>18801</v>
      </c>
      <c r="D6277" t="str">
        <f>HYPERLINK("https://zfin.org/ZDB-GENE-050731-10")</f>
        <v>https://zfin.org/ZDB-GENE-050731-10</v>
      </c>
      <c r="E6277" t="s">
        <v>18802</v>
      </c>
    </row>
    <row r="6278" spans="1:5" x14ac:dyDescent="0.2">
      <c r="A6278" t="s">
        <v>18803</v>
      </c>
      <c r="B6278" t="s">
        <v>18804</v>
      </c>
      <c r="C6278" t="s">
        <v>18804</v>
      </c>
      <c r="D6278" t="str">
        <f>HYPERLINK("https://zfin.org/ZDB-GENE-040426-2755")</f>
        <v>https://zfin.org/ZDB-GENE-040426-2755</v>
      </c>
      <c r="E6278" t="s">
        <v>18805</v>
      </c>
    </row>
    <row r="6279" spans="1:5" x14ac:dyDescent="0.2">
      <c r="A6279" t="s">
        <v>18806</v>
      </c>
      <c r="B6279" t="s">
        <v>18807</v>
      </c>
      <c r="C6279" t="s">
        <v>18807</v>
      </c>
      <c r="D6279" t="str">
        <f>HYPERLINK("https://zfin.org/ZDB-GENE-030131-6041")</f>
        <v>https://zfin.org/ZDB-GENE-030131-6041</v>
      </c>
      <c r="E6279" t="s">
        <v>18808</v>
      </c>
    </row>
    <row r="6280" spans="1:5" x14ac:dyDescent="0.2">
      <c r="A6280" t="s">
        <v>18809</v>
      </c>
      <c r="B6280" t="s">
        <v>18810</v>
      </c>
      <c r="C6280" t="s">
        <v>18810</v>
      </c>
      <c r="D6280" t="str">
        <f>HYPERLINK("https://zfin.org/ZDB-GENE-040718-438")</f>
        <v>https://zfin.org/ZDB-GENE-040718-438</v>
      </c>
      <c r="E6280" t="s">
        <v>18811</v>
      </c>
    </row>
    <row r="6281" spans="1:5" x14ac:dyDescent="0.2">
      <c r="A6281" t="s">
        <v>18812</v>
      </c>
      <c r="B6281" t="s">
        <v>18813</v>
      </c>
      <c r="C6281" t="s">
        <v>18813</v>
      </c>
      <c r="D6281" t="str">
        <f>HYPERLINK("https://zfin.org/ZDB-GENE-040406-3")</f>
        <v>https://zfin.org/ZDB-GENE-040406-3</v>
      </c>
      <c r="E6281" t="s">
        <v>18814</v>
      </c>
    </row>
    <row r="6282" spans="1:5" x14ac:dyDescent="0.2">
      <c r="A6282" t="s">
        <v>18815</v>
      </c>
      <c r="B6282" t="s">
        <v>18816</v>
      </c>
      <c r="C6282" t="s">
        <v>18816</v>
      </c>
      <c r="D6282" t="str">
        <f>HYPERLINK("https://zfin.org/ZDB-GENE-050626-58")</f>
        <v>https://zfin.org/ZDB-GENE-050626-58</v>
      </c>
      <c r="E6282" t="s">
        <v>18817</v>
      </c>
    </row>
    <row r="6283" spans="1:5" x14ac:dyDescent="0.2">
      <c r="A6283" t="s">
        <v>18818</v>
      </c>
      <c r="B6283" t="s">
        <v>18819</v>
      </c>
      <c r="C6283" t="s">
        <v>18819</v>
      </c>
      <c r="D6283" t="str">
        <f>HYPERLINK("https://zfin.org/ZDB-GENE-040718-241")</f>
        <v>https://zfin.org/ZDB-GENE-040718-241</v>
      </c>
      <c r="E6283" t="s">
        <v>18820</v>
      </c>
    </row>
    <row r="6284" spans="1:5" x14ac:dyDescent="0.2">
      <c r="A6284" t="s">
        <v>18821</v>
      </c>
      <c r="B6284" t="s">
        <v>18822</v>
      </c>
      <c r="C6284" t="s">
        <v>18822</v>
      </c>
      <c r="D6284" t="str">
        <f>HYPERLINK("https://zfin.org/ZDB-GENE-091118-73")</f>
        <v>https://zfin.org/ZDB-GENE-091118-73</v>
      </c>
      <c r="E6284" t="s">
        <v>18823</v>
      </c>
    </row>
    <row r="6285" spans="1:5" x14ac:dyDescent="0.2">
      <c r="A6285" t="s">
        <v>18824</v>
      </c>
      <c r="B6285" t="s">
        <v>18825</v>
      </c>
      <c r="C6285" t="s">
        <v>18825</v>
      </c>
      <c r="D6285" t="str">
        <f>HYPERLINK("https://zfin.org/ZDB-GENE-050320-10")</f>
        <v>https://zfin.org/ZDB-GENE-050320-10</v>
      </c>
      <c r="E6285" t="s">
        <v>18826</v>
      </c>
    </row>
    <row r="6286" spans="1:5" x14ac:dyDescent="0.2">
      <c r="A6286" t="s">
        <v>18827</v>
      </c>
      <c r="B6286" t="s">
        <v>18828</v>
      </c>
      <c r="C6286" t="s">
        <v>18828</v>
      </c>
      <c r="D6286" t="str">
        <f>HYPERLINK("https://zfin.org/ZDB-GENE-060810-186")</f>
        <v>https://zfin.org/ZDB-GENE-060810-186</v>
      </c>
      <c r="E6286" t="s">
        <v>18829</v>
      </c>
    </row>
    <row r="6287" spans="1:5" x14ac:dyDescent="0.2">
      <c r="A6287" t="s">
        <v>18830</v>
      </c>
      <c r="B6287" t="s">
        <v>18831</v>
      </c>
      <c r="C6287" t="s">
        <v>18831</v>
      </c>
      <c r="D6287" t="str">
        <f>HYPERLINK("https://zfin.org/ZDB-GENE-030408-5")</f>
        <v>https://zfin.org/ZDB-GENE-030408-5</v>
      </c>
      <c r="E6287" t="s">
        <v>18832</v>
      </c>
    </row>
    <row r="6288" spans="1:5" x14ac:dyDescent="0.2">
      <c r="A6288" t="s">
        <v>18833</v>
      </c>
      <c r="B6288" t="s">
        <v>18834</v>
      </c>
      <c r="C6288" t="s">
        <v>18834</v>
      </c>
      <c r="D6288" t="str">
        <f>HYPERLINK("https://zfin.org/ZDB-GENE-050320-141")</f>
        <v>https://zfin.org/ZDB-GENE-050320-141</v>
      </c>
      <c r="E6288" t="s">
        <v>18835</v>
      </c>
    </row>
    <row r="6289" spans="1:5" x14ac:dyDescent="0.2">
      <c r="A6289" t="s">
        <v>18836</v>
      </c>
      <c r="B6289" t="s">
        <v>18837</v>
      </c>
      <c r="C6289" t="s">
        <v>18837</v>
      </c>
      <c r="D6289" t="str">
        <f>HYPERLINK("https://zfin.org/ZDB-GENE-030114-2")</f>
        <v>https://zfin.org/ZDB-GENE-030114-2</v>
      </c>
      <c r="E6289" t="s">
        <v>18838</v>
      </c>
    </row>
    <row r="6290" spans="1:5" x14ac:dyDescent="0.2">
      <c r="A6290" t="s">
        <v>18839</v>
      </c>
      <c r="B6290" t="s">
        <v>18840</v>
      </c>
      <c r="C6290" t="s">
        <v>18840</v>
      </c>
      <c r="D6290" t="str">
        <f>HYPERLINK("https://zfin.org/ZDB-GENE-030131-6028")</f>
        <v>https://zfin.org/ZDB-GENE-030131-6028</v>
      </c>
      <c r="E6290" t="s">
        <v>18841</v>
      </c>
    </row>
    <row r="6291" spans="1:5" x14ac:dyDescent="0.2">
      <c r="A6291" t="s">
        <v>18842</v>
      </c>
      <c r="B6291" t="s">
        <v>18843</v>
      </c>
      <c r="C6291" t="s">
        <v>18843</v>
      </c>
      <c r="D6291" t="str">
        <f>HYPERLINK("https://zfin.org/ZDB-GENE-041114-113")</f>
        <v>https://zfin.org/ZDB-GENE-041114-113</v>
      </c>
      <c r="E6291" t="s">
        <v>18844</v>
      </c>
    </row>
    <row r="6292" spans="1:5" x14ac:dyDescent="0.2">
      <c r="A6292" t="s">
        <v>18845</v>
      </c>
      <c r="B6292" t="s">
        <v>18846</v>
      </c>
      <c r="C6292" t="s">
        <v>18846</v>
      </c>
      <c r="D6292" t="str">
        <f>HYPERLINK("https://zfin.org/ZDB-GENE-070912-357")</f>
        <v>https://zfin.org/ZDB-GENE-070912-357</v>
      </c>
      <c r="E6292" t="s">
        <v>18847</v>
      </c>
    </row>
    <row r="6293" spans="1:5" x14ac:dyDescent="0.2">
      <c r="A6293" t="s">
        <v>18848</v>
      </c>
      <c r="B6293" t="s">
        <v>18849</v>
      </c>
      <c r="C6293" t="s">
        <v>18849</v>
      </c>
      <c r="D6293" t="str">
        <f>HYPERLINK("https://zfin.org/ZDB-GENE-040426-2115")</f>
        <v>https://zfin.org/ZDB-GENE-040426-2115</v>
      </c>
      <c r="E6293" t="s">
        <v>18850</v>
      </c>
    </row>
    <row r="6294" spans="1:5" x14ac:dyDescent="0.2">
      <c r="A6294" t="s">
        <v>18851</v>
      </c>
      <c r="B6294" t="s">
        <v>18852</v>
      </c>
      <c r="C6294" t="s">
        <v>18852</v>
      </c>
      <c r="D6294" t="str">
        <f>HYPERLINK("https://zfin.org/ZDB-GENE-030131-298")</f>
        <v>https://zfin.org/ZDB-GENE-030131-298</v>
      </c>
      <c r="E6294" t="s">
        <v>18853</v>
      </c>
    </row>
    <row r="6295" spans="1:5" x14ac:dyDescent="0.2">
      <c r="A6295" t="s">
        <v>18854</v>
      </c>
      <c r="B6295" t="s">
        <v>18855</v>
      </c>
      <c r="C6295" t="s">
        <v>18855</v>
      </c>
      <c r="D6295" t="str">
        <f>HYPERLINK("https://zfin.org/ZDB-GENE-050417-235")</f>
        <v>https://zfin.org/ZDB-GENE-050417-235</v>
      </c>
      <c r="E6295" t="s">
        <v>18856</v>
      </c>
    </row>
    <row r="6296" spans="1:5" x14ac:dyDescent="0.2">
      <c r="A6296" t="s">
        <v>18857</v>
      </c>
      <c r="B6296" t="s">
        <v>18858</v>
      </c>
      <c r="C6296" t="s">
        <v>18858</v>
      </c>
      <c r="D6296" t="str">
        <f>HYPERLINK("https://zfin.org/ZDB-GENE-060531-32")</f>
        <v>https://zfin.org/ZDB-GENE-060531-32</v>
      </c>
      <c r="E6296" t="s">
        <v>18859</v>
      </c>
    </row>
    <row r="6297" spans="1:5" x14ac:dyDescent="0.2">
      <c r="A6297" t="s">
        <v>18860</v>
      </c>
      <c r="B6297" t="s">
        <v>18861</v>
      </c>
      <c r="C6297" t="s">
        <v>18861</v>
      </c>
      <c r="D6297" t="str">
        <f>HYPERLINK("https://zfin.org/ZDB-GENE-030131-7656")</f>
        <v>https://zfin.org/ZDB-GENE-030131-7656</v>
      </c>
      <c r="E6297" t="s">
        <v>18862</v>
      </c>
    </row>
    <row r="6298" spans="1:5" x14ac:dyDescent="0.2">
      <c r="A6298" t="s">
        <v>18863</v>
      </c>
      <c r="B6298" t="s">
        <v>18864</v>
      </c>
      <c r="C6298" t="s">
        <v>18864</v>
      </c>
      <c r="D6298" t="str">
        <f>HYPERLINK("https://zfin.org/ZDB-GENE-060810-69")</f>
        <v>https://zfin.org/ZDB-GENE-060810-69</v>
      </c>
      <c r="E6298" t="s">
        <v>18865</v>
      </c>
    </row>
    <row r="6299" spans="1:5" x14ac:dyDescent="0.2">
      <c r="A6299" t="s">
        <v>18866</v>
      </c>
      <c r="B6299" t="s">
        <v>18867</v>
      </c>
      <c r="C6299" t="s">
        <v>18867</v>
      </c>
      <c r="D6299" t="str">
        <f>HYPERLINK("https://zfin.org/ZDB-GENE-030131-8414")</f>
        <v>https://zfin.org/ZDB-GENE-030131-8414</v>
      </c>
      <c r="E6299" t="s">
        <v>18868</v>
      </c>
    </row>
    <row r="6300" spans="1:5" x14ac:dyDescent="0.2">
      <c r="A6300" t="s">
        <v>18869</v>
      </c>
      <c r="B6300" t="s">
        <v>18870</v>
      </c>
      <c r="C6300" t="s">
        <v>18870</v>
      </c>
      <c r="D6300" t="str">
        <f>HYPERLINK("https://zfin.org/ZDB-GENE-121214-108")</f>
        <v>https://zfin.org/ZDB-GENE-121214-108</v>
      </c>
      <c r="E6300" t="s">
        <v>18871</v>
      </c>
    </row>
    <row r="6301" spans="1:5" x14ac:dyDescent="0.2">
      <c r="A6301" t="s">
        <v>18872</v>
      </c>
      <c r="B6301" t="s">
        <v>18873</v>
      </c>
      <c r="C6301" t="s">
        <v>18873</v>
      </c>
      <c r="D6301" t="str">
        <f>HYPERLINK("https://zfin.org/ZDB-GENE-050320-65")</f>
        <v>https://zfin.org/ZDB-GENE-050320-65</v>
      </c>
      <c r="E6301" t="s">
        <v>18874</v>
      </c>
    </row>
    <row r="6302" spans="1:5" x14ac:dyDescent="0.2">
      <c r="A6302" t="s">
        <v>18875</v>
      </c>
      <c r="B6302" t="s">
        <v>18876</v>
      </c>
      <c r="C6302" t="s">
        <v>18876</v>
      </c>
      <c r="D6302" t="str">
        <f>HYPERLINK("https://zfin.org/ZDB-GENE-990415-152")</f>
        <v>https://zfin.org/ZDB-GENE-990415-152</v>
      </c>
      <c r="E6302" t="s">
        <v>18877</v>
      </c>
    </row>
    <row r="6303" spans="1:5" x14ac:dyDescent="0.2">
      <c r="A6303" t="s">
        <v>18878</v>
      </c>
      <c r="B6303" t="s">
        <v>18879</v>
      </c>
      <c r="C6303" t="s">
        <v>18879</v>
      </c>
      <c r="D6303" t="str">
        <f>HYPERLINK("https://zfin.org/ZDB-GENE-040718-184")</f>
        <v>https://zfin.org/ZDB-GENE-040718-184</v>
      </c>
      <c r="E6303" t="s">
        <v>18880</v>
      </c>
    </row>
    <row r="6304" spans="1:5" x14ac:dyDescent="0.2">
      <c r="A6304" t="s">
        <v>18881</v>
      </c>
      <c r="B6304" t="s">
        <v>18882</v>
      </c>
      <c r="C6304" t="s">
        <v>18882</v>
      </c>
      <c r="D6304" t="str">
        <f>HYPERLINK("https://zfin.org/ZDB-GENE-030131-269")</f>
        <v>https://zfin.org/ZDB-GENE-030131-269</v>
      </c>
      <c r="E6304" t="s">
        <v>18883</v>
      </c>
    </row>
    <row r="6305" spans="1:5" x14ac:dyDescent="0.2">
      <c r="A6305" t="s">
        <v>18884</v>
      </c>
      <c r="B6305" t="s">
        <v>18885</v>
      </c>
      <c r="C6305" t="s">
        <v>18885</v>
      </c>
      <c r="D6305" t="str">
        <f>HYPERLINK("https://zfin.org/ZDB-GENE-010919-2")</f>
        <v>https://zfin.org/ZDB-GENE-010919-2</v>
      </c>
      <c r="E6305" t="s">
        <v>18886</v>
      </c>
    </row>
    <row r="6306" spans="1:5" x14ac:dyDescent="0.2">
      <c r="A6306" t="s">
        <v>18887</v>
      </c>
      <c r="B6306" t="s">
        <v>18888</v>
      </c>
      <c r="C6306" t="s">
        <v>18888</v>
      </c>
      <c r="D6306" t="str">
        <f>HYPERLINK("https://zfin.org/ZDB-GENE-141216-145")</f>
        <v>https://zfin.org/ZDB-GENE-141216-145</v>
      </c>
      <c r="E6306" t="s">
        <v>18889</v>
      </c>
    </row>
    <row r="6307" spans="1:5" x14ac:dyDescent="0.2">
      <c r="A6307" t="s">
        <v>18890</v>
      </c>
      <c r="B6307" t="s">
        <v>18891</v>
      </c>
      <c r="C6307" t="s">
        <v>18891</v>
      </c>
      <c r="D6307" t="str">
        <f>HYPERLINK("https://zfin.org/ZDB-GENE-090313-321")</f>
        <v>https://zfin.org/ZDB-GENE-090313-321</v>
      </c>
      <c r="E6307" t="s">
        <v>18892</v>
      </c>
    </row>
    <row r="6308" spans="1:5" x14ac:dyDescent="0.2">
      <c r="A6308" t="s">
        <v>18893</v>
      </c>
      <c r="B6308" t="s">
        <v>18894</v>
      </c>
      <c r="C6308" t="s">
        <v>18894</v>
      </c>
      <c r="D6308" t="str">
        <f>HYPERLINK("https://zfin.org/ZDB-GENE-030131-5201")</f>
        <v>https://zfin.org/ZDB-GENE-030131-5201</v>
      </c>
      <c r="E6308" t="s">
        <v>18895</v>
      </c>
    </row>
    <row r="6309" spans="1:5" x14ac:dyDescent="0.2">
      <c r="A6309" t="s">
        <v>18896</v>
      </c>
      <c r="B6309" t="s">
        <v>18897</v>
      </c>
      <c r="C6309" t="s">
        <v>18897</v>
      </c>
      <c r="D6309" t="str">
        <f>HYPERLINK("https://zfin.org/ZDB-GENE-060503-914")</f>
        <v>https://zfin.org/ZDB-GENE-060503-914</v>
      </c>
      <c r="E6309" t="s">
        <v>18898</v>
      </c>
    </row>
    <row r="6310" spans="1:5" x14ac:dyDescent="0.2">
      <c r="A6310" t="s">
        <v>18899</v>
      </c>
      <c r="B6310" t="s">
        <v>18900</v>
      </c>
      <c r="C6310" t="s">
        <v>18900</v>
      </c>
      <c r="D6310" t="str">
        <f>HYPERLINK("https://zfin.org/ZDB-GENE-090313-193")</f>
        <v>https://zfin.org/ZDB-GENE-090313-193</v>
      </c>
      <c r="E6310" t="s">
        <v>18901</v>
      </c>
    </row>
    <row r="6311" spans="1:5" x14ac:dyDescent="0.2">
      <c r="A6311" t="s">
        <v>18902</v>
      </c>
      <c r="B6311" t="s">
        <v>18903</v>
      </c>
      <c r="C6311" t="s">
        <v>18903</v>
      </c>
      <c r="D6311" t="str">
        <f>HYPERLINK("https://zfin.org/ZDB-GENE-141216-82")</f>
        <v>https://zfin.org/ZDB-GENE-141216-82</v>
      </c>
      <c r="E6311" t="s">
        <v>18904</v>
      </c>
    </row>
    <row r="6312" spans="1:5" x14ac:dyDescent="0.2">
      <c r="A6312" t="s">
        <v>18905</v>
      </c>
      <c r="B6312" t="s">
        <v>18906</v>
      </c>
      <c r="C6312" t="s">
        <v>18906</v>
      </c>
      <c r="D6312" t="str">
        <f>HYPERLINK("https://zfin.org/ZDB-GENE-040426-974")</f>
        <v>https://zfin.org/ZDB-GENE-040426-974</v>
      </c>
      <c r="E6312" t="s">
        <v>18907</v>
      </c>
    </row>
    <row r="6313" spans="1:5" x14ac:dyDescent="0.2">
      <c r="A6313" t="s">
        <v>18908</v>
      </c>
      <c r="B6313" t="s">
        <v>18909</v>
      </c>
      <c r="C6313" t="s">
        <v>18909</v>
      </c>
      <c r="D6313" t="str">
        <f>HYPERLINK("https://zfin.org/ZDB-GENE-030131-2286")</f>
        <v>https://zfin.org/ZDB-GENE-030131-2286</v>
      </c>
      <c r="E6313" t="s">
        <v>18910</v>
      </c>
    </row>
    <row r="6314" spans="1:5" x14ac:dyDescent="0.2">
      <c r="A6314" t="s">
        <v>18911</v>
      </c>
      <c r="B6314" t="s">
        <v>18912</v>
      </c>
      <c r="C6314" t="s">
        <v>18912</v>
      </c>
      <c r="D6314" t="str">
        <f>HYPERLINK("https://zfin.org/ZDB-GENE-040718-479")</f>
        <v>https://zfin.org/ZDB-GENE-040718-479</v>
      </c>
      <c r="E6314" t="s">
        <v>18913</v>
      </c>
    </row>
    <row r="6315" spans="1:5" x14ac:dyDescent="0.2">
      <c r="A6315" t="s">
        <v>18914</v>
      </c>
      <c r="B6315" t="s">
        <v>18915</v>
      </c>
      <c r="C6315" t="s">
        <v>18915</v>
      </c>
      <c r="D6315" t="str">
        <f>HYPERLINK("https://zfin.org/ZDB-GENE-040426-2881")</f>
        <v>https://zfin.org/ZDB-GENE-040426-2881</v>
      </c>
      <c r="E6315" t="s">
        <v>18916</v>
      </c>
    </row>
    <row r="6316" spans="1:5" x14ac:dyDescent="0.2">
      <c r="A6316" t="s">
        <v>18917</v>
      </c>
      <c r="B6316" t="s">
        <v>18918</v>
      </c>
      <c r="C6316" t="s">
        <v>18918</v>
      </c>
      <c r="D6316" t="str">
        <f>HYPERLINK("https://zfin.org/ZDB-GENE-070705-199")</f>
        <v>https://zfin.org/ZDB-GENE-070705-199</v>
      </c>
      <c r="E6316" t="s">
        <v>18919</v>
      </c>
    </row>
    <row r="6317" spans="1:5" x14ac:dyDescent="0.2">
      <c r="A6317" t="s">
        <v>18920</v>
      </c>
      <c r="B6317" t="s">
        <v>18921</v>
      </c>
      <c r="C6317" t="s">
        <v>18921</v>
      </c>
      <c r="D6317" t="str">
        <f>HYPERLINK("https://zfin.org/ZDB-GENE-040724-242")</f>
        <v>https://zfin.org/ZDB-GENE-040724-242</v>
      </c>
      <c r="E6317" t="s">
        <v>18922</v>
      </c>
    </row>
    <row r="6318" spans="1:5" x14ac:dyDescent="0.2">
      <c r="A6318" t="s">
        <v>18923</v>
      </c>
      <c r="B6318" t="s">
        <v>18924</v>
      </c>
      <c r="C6318" t="s">
        <v>18924</v>
      </c>
      <c r="D6318" t="str">
        <f>HYPERLINK("https://zfin.org/ZDB-GENE-030131-5097")</f>
        <v>https://zfin.org/ZDB-GENE-030131-5097</v>
      </c>
      <c r="E6318" t="s">
        <v>18925</v>
      </c>
    </row>
    <row r="6319" spans="1:5" x14ac:dyDescent="0.2">
      <c r="A6319" t="s">
        <v>18926</v>
      </c>
      <c r="B6319" t="s">
        <v>18927</v>
      </c>
      <c r="C6319" t="s">
        <v>18927</v>
      </c>
      <c r="D6319" t="str">
        <f>HYPERLINK("https://zfin.org/ZDB-GENE-060503-499")</f>
        <v>https://zfin.org/ZDB-GENE-060503-499</v>
      </c>
      <c r="E6319" t="s">
        <v>18928</v>
      </c>
    </row>
    <row r="6320" spans="1:5" x14ac:dyDescent="0.2">
      <c r="A6320" t="s">
        <v>18929</v>
      </c>
      <c r="B6320" t="s">
        <v>18930</v>
      </c>
      <c r="C6320" t="s">
        <v>18930</v>
      </c>
      <c r="D6320" t="str">
        <f>HYPERLINK("https://zfin.org/ZDB-GENE-141219-2")</f>
        <v>https://zfin.org/ZDB-GENE-141219-2</v>
      </c>
      <c r="E6320" t="s">
        <v>18931</v>
      </c>
    </row>
    <row r="6321" spans="1:5" x14ac:dyDescent="0.2">
      <c r="A6321" t="s">
        <v>18932</v>
      </c>
      <c r="B6321" t="s">
        <v>18933</v>
      </c>
      <c r="C6321" t="s">
        <v>18933</v>
      </c>
      <c r="D6321" t="str">
        <f>HYPERLINK("https://zfin.org/ZDB-GENE-080917-49")</f>
        <v>https://zfin.org/ZDB-GENE-080917-49</v>
      </c>
      <c r="E6321" t="s">
        <v>18934</v>
      </c>
    </row>
    <row r="6322" spans="1:5" x14ac:dyDescent="0.2">
      <c r="A6322" t="s">
        <v>18935</v>
      </c>
      <c r="B6322" t="s">
        <v>18936</v>
      </c>
      <c r="C6322" t="s">
        <v>18936</v>
      </c>
      <c r="D6322" t="str">
        <f>HYPERLINK("https://zfin.org/ZDB-GENE-030131-3946")</f>
        <v>https://zfin.org/ZDB-GENE-030131-3946</v>
      </c>
      <c r="E6322" t="s">
        <v>18937</v>
      </c>
    </row>
    <row r="6323" spans="1:5" x14ac:dyDescent="0.2">
      <c r="A6323" t="s">
        <v>18938</v>
      </c>
      <c r="B6323" t="s">
        <v>18939</v>
      </c>
      <c r="C6323" t="s">
        <v>18939</v>
      </c>
      <c r="D6323" t="str">
        <f>HYPERLINK("https://zfin.org/ZDB-GENE-060503-445")</f>
        <v>https://zfin.org/ZDB-GENE-060503-445</v>
      </c>
      <c r="E6323" t="s">
        <v>18940</v>
      </c>
    </row>
    <row r="6324" spans="1:5" x14ac:dyDescent="0.2">
      <c r="A6324" t="s">
        <v>18941</v>
      </c>
      <c r="B6324" t="s">
        <v>18942</v>
      </c>
      <c r="C6324" t="s">
        <v>18942</v>
      </c>
      <c r="D6324" t="str">
        <f>HYPERLINK("https://zfin.org/ZDB-GENE-131120-175")</f>
        <v>https://zfin.org/ZDB-GENE-131120-175</v>
      </c>
      <c r="E6324" t="s">
        <v>18943</v>
      </c>
    </row>
    <row r="6325" spans="1:5" x14ac:dyDescent="0.2">
      <c r="A6325" t="s">
        <v>18944</v>
      </c>
      <c r="B6325" t="s">
        <v>18945</v>
      </c>
      <c r="C6325" t="s">
        <v>18945</v>
      </c>
      <c r="D6325" t="str">
        <f>HYPERLINK("https://zfin.org/ZDB-GENE-131121-470")</f>
        <v>https://zfin.org/ZDB-GENE-131121-470</v>
      </c>
      <c r="E6325" t="s">
        <v>18946</v>
      </c>
    </row>
    <row r="6326" spans="1:5" x14ac:dyDescent="0.2">
      <c r="A6326" t="s">
        <v>18947</v>
      </c>
      <c r="B6326" t="s">
        <v>18948</v>
      </c>
      <c r="C6326" t="s">
        <v>18948</v>
      </c>
      <c r="D6326" t="str">
        <f>HYPERLINK("https://zfin.org/ZDB-GENE-070912-512")</f>
        <v>https://zfin.org/ZDB-GENE-070912-512</v>
      </c>
      <c r="E6326" t="s">
        <v>18949</v>
      </c>
    </row>
    <row r="6327" spans="1:5" x14ac:dyDescent="0.2">
      <c r="A6327" t="s">
        <v>18950</v>
      </c>
      <c r="B6327" t="s">
        <v>18951</v>
      </c>
      <c r="C6327" t="s">
        <v>18951</v>
      </c>
      <c r="D6327" t="str">
        <f>HYPERLINK("https://zfin.org/ZDB-GENE-041014-272")</f>
        <v>https://zfin.org/ZDB-GENE-041014-272</v>
      </c>
      <c r="E6327" t="s">
        <v>18952</v>
      </c>
    </row>
    <row r="6328" spans="1:5" x14ac:dyDescent="0.2">
      <c r="A6328" t="s">
        <v>18953</v>
      </c>
      <c r="B6328" t="s">
        <v>18954</v>
      </c>
      <c r="C6328" t="s">
        <v>18954</v>
      </c>
      <c r="D6328" t="str">
        <f>HYPERLINK("https://zfin.org/ZDB-GENE-040419-2")</f>
        <v>https://zfin.org/ZDB-GENE-040419-2</v>
      </c>
      <c r="E6328" t="s">
        <v>18955</v>
      </c>
    </row>
    <row r="6329" spans="1:5" x14ac:dyDescent="0.2">
      <c r="A6329" t="s">
        <v>18956</v>
      </c>
      <c r="B6329" t="s">
        <v>18957</v>
      </c>
      <c r="C6329" t="s">
        <v>18957</v>
      </c>
      <c r="D6329" t="str">
        <f>HYPERLINK("https://zfin.org/ZDB-GENE-030131-5155")</f>
        <v>https://zfin.org/ZDB-GENE-030131-5155</v>
      </c>
      <c r="E6329" t="s">
        <v>18958</v>
      </c>
    </row>
    <row r="6330" spans="1:5" x14ac:dyDescent="0.2">
      <c r="A6330" t="s">
        <v>18959</v>
      </c>
      <c r="B6330" t="s">
        <v>18960</v>
      </c>
      <c r="C6330" t="s">
        <v>18960</v>
      </c>
      <c r="D6330" t="str">
        <f>HYPERLINK("https://zfin.org/ZDB-GENE-040914-82")</f>
        <v>https://zfin.org/ZDB-GENE-040914-82</v>
      </c>
      <c r="E6330" t="s">
        <v>18961</v>
      </c>
    </row>
    <row r="6331" spans="1:5" x14ac:dyDescent="0.2">
      <c r="A6331" t="s">
        <v>18962</v>
      </c>
      <c r="B6331" t="s">
        <v>18963</v>
      </c>
      <c r="C6331" t="s">
        <v>18963</v>
      </c>
      <c r="D6331" t="str">
        <f>HYPERLINK("https://zfin.org/ZDB-GENE-030131-537")</f>
        <v>https://zfin.org/ZDB-GENE-030131-537</v>
      </c>
      <c r="E6331" t="s">
        <v>18964</v>
      </c>
    </row>
    <row r="6332" spans="1:5" x14ac:dyDescent="0.2">
      <c r="A6332" t="s">
        <v>18965</v>
      </c>
      <c r="B6332" t="s">
        <v>18966</v>
      </c>
      <c r="C6332" t="s">
        <v>18966</v>
      </c>
      <c r="D6332" t="str">
        <f>HYPERLINK("https://zfin.org/ZDB-GENE-020423-4")</f>
        <v>https://zfin.org/ZDB-GENE-020423-4</v>
      </c>
      <c r="E6332" t="s">
        <v>18967</v>
      </c>
    </row>
    <row r="6333" spans="1:5" x14ac:dyDescent="0.2">
      <c r="A6333" t="s">
        <v>18968</v>
      </c>
      <c r="B6333" t="s">
        <v>18969</v>
      </c>
      <c r="C6333" t="s">
        <v>18969</v>
      </c>
      <c r="D6333" t="str">
        <f>HYPERLINK("https://zfin.org/ZDB-GENE-081031-76")</f>
        <v>https://zfin.org/ZDB-GENE-081031-76</v>
      </c>
      <c r="E6333" t="s">
        <v>18970</v>
      </c>
    </row>
    <row r="6334" spans="1:5" x14ac:dyDescent="0.2">
      <c r="A6334" t="s">
        <v>18971</v>
      </c>
      <c r="B6334" t="s">
        <v>18972</v>
      </c>
      <c r="C6334" t="s">
        <v>18972</v>
      </c>
      <c r="D6334" t="str">
        <f>HYPERLINK("https://zfin.org/ZDB-GENE-141211-80")</f>
        <v>https://zfin.org/ZDB-GENE-141211-80</v>
      </c>
      <c r="E6334" t="s">
        <v>18973</v>
      </c>
    </row>
    <row r="6335" spans="1:5" x14ac:dyDescent="0.2">
      <c r="A6335" t="s">
        <v>18974</v>
      </c>
      <c r="B6335" t="s">
        <v>18975</v>
      </c>
      <c r="C6335" t="s">
        <v>18975</v>
      </c>
      <c r="D6335" t="str">
        <f>HYPERLINK("https://zfin.org/ZDB-GENE-041021-1")</f>
        <v>https://zfin.org/ZDB-GENE-041021-1</v>
      </c>
      <c r="E6335" t="s">
        <v>18976</v>
      </c>
    </row>
    <row r="6336" spans="1:5" x14ac:dyDescent="0.2">
      <c r="A6336" t="s">
        <v>18977</v>
      </c>
      <c r="B6336" t="s">
        <v>18978</v>
      </c>
      <c r="C6336" t="s">
        <v>18978</v>
      </c>
      <c r="D6336" t="str">
        <f>HYPERLINK("https://zfin.org/ZDB-GENE-050327-16")</f>
        <v>https://zfin.org/ZDB-GENE-050327-16</v>
      </c>
      <c r="E6336" t="s">
        <v>18979</v>
      </c>
    </row>
    <row r="6337" spans="1:5" x14ac:dyDescent="0.2">
      <c r="A6337" t="s">
        <v>18980</v>
      </c>
      <c r="B6337" t="s">
        <v>18981</v>
      </c>
      <c r="C6337" t="s">
        <v>18981</v>
      </c>
      <c r="D6337" t="str">
        <f>HYPERLINK("https://zfin.org/ZDB-GENE-110914-209")</f>
        <v>https://zfin.org/ZDB-GENE-110914-209</v>
      </c>
      <c r="E6337" t="s">
        <v>18982</v>
      </c>
    </row>
    <row r="6338" spans="1:5" x14ac:dyDescent="0.2">
      <c r="A6338" t="s">
        <v>18983</v>
      </c>
      <c r="B6338" t="s">
        <v>18984</v>
      </c>
      <c r="C6338" t="s">
        <v>18984</v>
      </c>
      <c r="D6338" t="str">
        <f>HYPERLINK("https://zfin.org/ZDB-GENE-070705-329")</f>
        <v>https://zfin.org/ZDB-GENE-070705-329</v>
      </c>
      <c r="E6338" t="s">
        <v>18985</v>
      </c>
    </row>
    <row r="6339" spans="1:5" x14ac:dyDescent="0.2">
      <c r="A6339" t="s">
        <v>18986</v>
      </c>
      <c r="B6339" t="s">
        <v>18987</v>
      </c>
      <c r="C6339" t="s">
        <v>18987</v>
      </c>
      <c r="D6339" t="str">
        <f>HYPERLINK("https://zfin.org/ZDB-GENE-070705-331")</f>
        <v>https://zfin.org/ZDB-GENE-070705-331</v>
      </c>
      <c r="E6339" t="s">
        <v>18988</v>
      </c>
    </row>
    <row r="6340" spans="1:5" x14ac:dyDescent="0.2">
      <c r="A6340" t="s">
        <v>18989</v>
      </c>
      <c r="B6340" t="s">
        <v>18990</v>
      </c>
      <c r="C6340" t="s">
        <v>18990</v>
      </c>
      <c r="D6340" t="str">
        <f>HYPERLINK("https://zfin.org/ZDB-GENE-040426-723")</f>
        <v>https://zfin.org/ZDB-GENE-040426-723</v>
      </c>
      <c r="E6340" t="s">
        <v>18991</v>
      </c>
    </row>
    <row r="6341" spans="1:5" x14ac:dyDescent="0.2">
      <c r="A6341" t="s">
        <v>18992</v>
      </c>
      <c r="B6341" t="s">
        <v>18993</v>
      </c>
      <c r="C6341" t="s">
        <v>18993</v>
      </c>
      <c r="D6341" t="str">
        <f>HYPERLINK("https://zfin.org/ZDB-GENE-030131-4357")</f>
        <v>https://zfin.org/ZDB-GENE-030131-4357</v>
      </c>
      <c r="E6341" t="s">
        <v>18994</v>
      </c>
    </row>
    <row r="6342" spans="1:5" x14ac:dyDescent="0.2">
      <c r="A6342" t="s">
        <v>18995</v>
      </c>
      <c r="B6342" t="s">
        <v>18996</v>
      </c>
      <c r="C6342" t="s">
        <v>18996</v>
      </c>
      <c r="D6342" t="str">
        <f>HYPERLINK("https://zfin.org/ZDB-GENE-040625-150")</f>
        <v>https://zfin.org/ZDB-GENE-040625-150</v>
      </c>
      <c r="E6342" t="s">
        <v>18997</v>
      </c>
    </row>
    <row r="6343" spans="1:5" x14ac:dyDescent="0.2">
      <c r="A6343" t="s">
        <v>18998</v>
      </c>
      <c r="B6343" t="s">
        <v>18999</v>
      </c>
      <c r="C6343" t="s">
        <v>18999</v>
      </c>
      <c r="D6343" t="str">
        <f>HYPERLINK("https://zfin.org/ZDB-GENE-120215-198")</f>
        <v>https://zfin.org/ZDB-GENE-120215-198</v>
      </c>
      <c r="E6343" t="s">
        <v>19000</v>
      </c>
    </row>
    <row r="6344" spans="1:5" x14ac:dyDescent="0.2">
      <c r="A6344" t="s">
        <v>19001</v>
      </c>
      <c r="B6344" t="s">
        <v>19002</v>
      </c>
      <c r="C6344" t="s">
        <v>19002</v>
      </c>
      <c r="D6344" t="str">
        <f>HYPERLINK("https://zfin.org/ZDB-GENE-070912-126")</f>
        <v>https://zfin.org/ZDB-GENE-070912-126</v>
      </c>
      <c r="E6344" t="s">
        <v>19003</v>
      </c>
    </row>
    <row r="6345" spans="1:5" x14ac:dyDescent="0.2">
      <c r="A6345" t="s">
        <v>19004</v>
      </c>
      <c r="B6345" t="s">
        <v>19005</v>
      </c>
      <c r="C6345" t="s">
        <v>19005</v>
      </c>
      <c r="D6345" t="str">
        <f>HYPERLINK("https://zfin.org/ZDB-GENE-040625-25")</f>
        <v>https://zfin.org/ZDB-GENE-040625-25</v>
      </c>
      <c r="E6345" t="s">
        <v>19006</v>
      </c>
    </row>
    <row r="6346" spans="1:5" x14ac:dyDescent="0.2">
      <c r="A6346" t="s">
        <v>19007</v>
      </c>
      <c r="B6346" t="s">
        <v>19008</v>
      </c>
      <c r="C6346" t="s">
        <v>19008</v>
      </c>
      <c r="D6346" t="str">
        <f>HYPERLINK("https://zfin.org/ZDB-GENE-030131-5827")</f>
        <v>https://zfin.org/ZDB-GENE-030131-5827</v>
      </c>
      <c r="E6346" t="s">
        <v>19009</v>
      </c>
    </row>
    <row r="6347" spans="1:5" x14ac:dyDescent="0.2">
      <c r="A6347" t="s">
        <v>19010</v>
      </c>
      <c r="B6347" t="s">
        <v>19011</v>
      </c>
      <c r="C6347" t="s">
        <v>19011</v>
      </c>
      <c r="D6347" t="str">
        <f>HYPERLINK("https://zfin.org/ZDB-GENE-030131-9745")</f>
        <v>https://zfin.org/ZDB-GENE-030131-9745</v>
      </c>
      <c r="E6347" t="s">
        <v>19012</v>
      </c>
    </row>
    <row r="6348" spans="1:5" x14ac:dyDescent="0.2">
      <c r="A6348" t="s">
        <v>19013</v>
      </c>
      <c r="B6348" t="s">
        <v>19014</v>
      </c>
      <c r="C6348" t="s">
        <v>19014</v>
      </c>
      <c r="D6348" t="str">
        <f>HYPERLINK("https://zfin.org/ZDB-GENE-010202-2")</f>
        <v>https://zfin.org/ZDB-GENE-010202-2</v>
      </c>
      <c r="E6348" t="s">
        <v>19015</v>
      </c>
    </row>
    <row r="6349" spans="1:5" x14ac:dyDescent="0.2">
      <c r="A6349" t="s">
        <v>19016</v>
      </c>
      <c r="B6349" t="s">
        <v>19017</v>
      </c>
      <c r="C6349" t="s">
        <v>19017</v>
      </c>
      <c r="D6349" t="str">
        <f>HYPERLINK("https://zfin.org/ZDB-GENE-030131-5243")</f>
        <v>https://zfin.org/ZDB-GENE-030131-5243</v>
      </c>
      <c r="E6349" t="s">
        <v>19018</v>
      </c>
    </row>
    <row r="6350" spans="1:5" x14ac:dyDescent="0.2">
      <c r="A6350" t="s">
        <v>19019</v>
      </c>
      <c r="B6350" t="s">
        <v>9692</v>
      </c>
      <c r="C6350" t="s">
        <v>19020</v>
      </c>
      <c r="D6350" t="str">
        <f>HYPERLINK("https://zfin.org/ZDB-GENE-050522-93")</f>
        <v>https://zfin.org/ZDB-GENE-050522-93</v>
      </c>
      <c r="E6350" t="s">
        <v>9694</v>
      </c>
    </row>
    <row r="6351" spans="1:5" x14ac:dyDescent="0.2">
      <c r="A6351" t="s">
        <v>19021</v>
      </c>
      <c r="B6351" t="s">
        <v>19022</v>
      </c>
      <c r="C6351" t="s">
        <v>19022</v>
      </c>
      <c r="D6351" t="str">
        <f>HYPERLINK("https://zfin.org/ZDB-GENE-030131-8805")</f>
        <v>https://zfin.org/ZDB-GENE-030131-8805</v>
      </c>
      <c r="E6351" t="s">
        <v>19023</v>
      </c>
    </row>
    <row r="6352" spans="1:5" x14ac:dyDescent="0.2">
      <c r="A6352" t="s">
        <v>19024</v>
      </c>
      <c r="B6352" t="s">
        <v>19025</v>
      </c>
      <c r="C6352" t="s">
        <v>19025</v>
      </c>
      <c r="D6352" t="str">
        <f>HYPERLINK("https://zfin.org/ZDB-GENE-030131-7831")</f>
        <v>https://zfin.org/ZDB-GENE-030131-7831</v>
      </c>
      <c r="E6352" t="s">
        <v>19026</v>
      </c>
    </row>
    <row r="6353" spans="1:5" x14ac:dyDescent="0.2">
      <c r="A6353" t="s">
        <v>19027</v>
      </c>
      <c r="B6353" t="s">
        <v>19028</v>
      </c>
      <c r="C6353" t="s">
        <v>19028</v>
      </c>
      <c r="D6353" t="str">
        <f>HYPERLINK("https://zfin.org/ZDB-GENE-030131-4827")</f>
        <v>https://zfin.org/ZDB-GENE-030131-4827</v>
      </c>
      <c r="E6353" t="s">
        <v>19029</v>
      </c>
    </row>
    <row r="6354" spans="1:5" x14ac:dyDescent="0.2">
      <c r="A6354" t="s">
        <v>19030</v>
      </c>
      <c r="B6354" t="s">
        <v>19031</v>
      </c>
      <c r="C6354" t="s">
        <v>19031</v>
      </c>
      <c r="D6354" t="str">
        <f>HYPERLINK("https://zfin.org/ZDB-GENE-030131-616")</f>
        <v>https://zfin.org/ZDB-GENE-030131-616</v>
      </c>
      <c r="E6354" t="s">
        <v>19032</v>
      </c>
    </row>
    <row r="6355" spans="1:5" x14ac:dyDescent="0.2">
      <c r="A6355" t="s">
        <v>19033</v>
      </c>
      <c r="B6355" t="s">
        <v>19034</v>
      </c>
      <c r="C6355" t="s">
        <v>19034</v>
      </c>
      <c r="D6355" t="str">
        <f>HYPERLINK("https://zfin.org/ZDB-GENE-080215-10")</f>
        <v>https://zfin.org/ZDB-GENE-080215-10</v>
      </c>
      <c r="E6355" t="s">
        <v>19035</v>
      </c>
    </row>
    <row r="6356" spans="1:5" x14ac:dyDescent="0.2">
      <c r="A6356" t="s">
        <v>19036</v>
      </c>
      <c r="B6356" t="s">
        <v>19037</v>
      </c>
      <c r="C6356" t="s">
        <v>19037</v>
      </c>
      <c r="D6356" t="str">
        <f>HYPERLINK("https://zfin.org/ZDB-GENE-121214-255")</f>
        <v>https://zfin.org/ZDB-GENE-121214-255</v>
      </c>
      <c r="E6356" t="s">
        <v>19038</v>
      </c>
    </row>
    <row r="6357" spans="1:5" x14ac:dyDescent="0.2">
      <c r="A6357" t="s">
        <v>19039</v>
      </c>
      <c r="B6357" t="s">
        <v>19040</v>
      </c>
      <c r="C6357" t="s">
        <v>19040</v>
      </c>
      <c r="D6357" t="str">
        <f>HYPERLINK("https://zfin.org/ZDB-GENE-110714-3")</f>
        <v>https://zfin.org/ZDB-GENE-110714-3</v>
      </c>
      <c r="E6357" t="s">
        <v>19041</v>
      </c>
    </row>
    <row r="6358" spans="1:5" x14ac:dyDescent="0.2">
      <c r="A6358" t="s">
        <v>19042</v>
      </c>
      <c r="B6358" t="s">
        <v>19043</v>
      </c>
      <c r="C6358" t="s">
        <v>19043</v>
      </c>
      <c r="D6358" t="str">
        <f>HYPERLINK("https://zfin.org/ZDB-GENE-050208-281")</f>
        <v>https://zfin.org/ZDB-GENE-050208-281</v>
      </c>
      <c r="E6358" t="s">
        <v>19044</v>
      </c>
    </row>
    <row r="6359" spans="1:5" x14ac:dyDescent="0.2">
      <c r="A6359" t="s">
        <v>19045</v>
      </c>
      <c r="B6359" t="s">
        <v>19046</v>
      </c>
      <c r="C6359" t="s">
        <v>19046</v>
      </c>
      <c r="D6359" t="str">
        <f>HYPERLINK("https://zfin.org/ZDB-GENE-030131-9192")</f>
        <v>https://zfin.org/ZDB-GENE-030131-9192</v>
      </c>
      <c r="E6359" t="s">
        <v>19047</v>
      </c>
    </row>
    <row r="6360" spans="1:5" x14ac:dyDescent="0.2">
      <c r="A6360" t="s">
        <v>19048</v>
      </c>
      <c r="B6360" t="s">
        <v>19049</v>
      </c>
      <c r="C6360" t="s">
        <v>19049</v>
      </c>
      <c r="D6360" t="str">
        <f>HYPERLINK("https://zfin.org/ZDB-GENE-081022-126")</f>
        <v>https://zfin.org/ZDB-GENE-081022-126</v>
      </c>
      <c r="E6360" t="s">
        <v>19050</v>
      </c>
    </row>
    <row r="6361" spans="1:5" x14ac:dyDescent="0.2">
      <c r="A6361" t="s">
        <v>19051</v>
      </c>
      <c r="B6361" t="s">
        <v>19052</v>
      </c>
      <c r="C6361" t="s">
        <v>19052</v>
      </c>
      <c r="D6361" t="str">
        <f>HYPERLINK("https://zfin.org/ZDB-GENE-050320-113")</f>
        <v>https://zfin.org/ZDB-GENE-050320-113</v>
      </c>
      <c r="E6361" t="s">
        <v>19053</v>
      </c>
    </row>
    <row r="6362" spans="1:5" x14ac:dyDescent="0.2">
      <c r="A6362" t="s">
        <v>19054</v>
      </c>
      <c r="B6362" t="s">
        <v>19055</v>
      </c>
      <c r="C6362" t="s">
        <v>19055</v>
      </c>
      <c r="D6362" t="str">
        <f>HYPERLINK("https://zfin.org/ZDB-GENE-070209-131")</f>
        <v>https://zfin.org/ZDB-GENE-070209-131</v>
      </c>
      <c r="E6362" t="s">
        <v>19056</v>
      </c>
    </row>
    <row r="6363" spans="1:5" x14ac:dyDescent="0.2">
      <c r="A6363" t="s">
        <v>19057</v>
      </c>
      <c r="B6363" t="s">
        <v>19058</v>
      </c>
      <c r="C6363" t="s">
        <v>19058</v>
      </c>
      <c r="D6363" t="str">
        <f>HYPERLINK("https://zfin.org/ZDB-GENE-131120-104")</f>
        <v>https://zfin.org/ZDB-GENE-131120-104</v>
      </c>
      <c r="E6363" t="s">
        <v>19059</v>
      </c>
    </row>
    <row r="6364" spans="1:5" x14ac:dyDescent="0.2">
      <c r="A6364" t="s">
        <v>19060</v>
      </c>
      <c r="B6364" t="s">
        <v>19061</v>
      </c>
      <c r="C6364" t="s">
        <v>19061</v>
      </c>
      <c r="D6364" t="str">
        <f>HYPERLINK("https://zfin.org/ZDB-GENE-070912-355")</f>
        <v>https://zfin.org/ZDB-GENE-070912-355</v>
      </c>
      <c r="E6364" t="s">
        <v>19062</v>
      </c>
    </row>
    <row r="6365" spans="1:5" x14ac:dyDescent="0.2">
      <c r="A6365" t="s">
        <v>19063</v>
      </c>
      <c r="B6365" t="s">
        <v>19064</v>
      </c>
      <c r="C6365" t="s">
        <v>19064</v>
      </c>
      <c r="D6365" t="str">
        <f>HYPERLINK("https://zfin.org/ZDB-GENE-040718-442")</f>
        <v>https://zfin.org/ZDB-GENE-040718-442</v>
      </c>
      <c r="E6365" t="s">
        <v>19065</v>
      </c>
    </row>
    <row r="6366" spans="1:5" x14ac:dyDescent="0.2">
      <c r="A6366" t="s">
        <v>19066</v>
      </c>
      <c r="B6366" t="s">
        <v>19067</v>
      </c>
      <c r="C6366" t="s">
        <v>19067</v>
      </c>
      <c r="D6366" t="str">
        <f>HYPERLINK("https://zfin.org/ZDB-GENE-030131-6664")</f>
        <v>https://zfin.org/ZDB-GENE-030131-6664</v>
      </c>
      <c r="E6366" t="s">
        <v>19068</v>
      </c>
    </row>
    <row r="6367" spans="1:5" x14ac:dyDescent="0.2">
      <c r="A6367" t="s">
        <v>19069</v>
      </c>
      <c r="B6367" t="s">
        <v>19070</v>
      </c>
      <c r="C6367" t="s">
        <v>19070</v>
      </c>
      <c r="D6367" t="str">
        <f>HYPERLINK("https://zfin.org/ZDB-GENE-030916-4")</f>
        <v>https://zfin.org/ZDB-GENE-030916-4</v>
      </c>
      <c r="E6367" t="s">
        <v>19071</v>
      </c>
    </row>
    <row r="6368" spans="1:5" x14ac:dyDescent="0.2">
      <c r="A6368" t="s">
        <v>19072</v>
      </c>
      <c r="B6368" t="s">
        <v>19073</v>
      </c>
      <c r="C6368" t="s">
        <v>19073</v>
      </c>
      <c r="D6368" t="str">
        <f>HYPERLINK("https://zfin.org/ZDB-GENE-040827-2")</f>
        <v>https://zfin.org/ZDB-GENE-040827-2</v>
      </c>
      <c r="E6368" t="s">
        <v>19074</v>
      </c>
    </row>
    <row r="6369" spans="1:5" x14ac:dyDescent="0.2">
      <c r="A6369" t="s">
        <v>19075</v>
      </c>
      <c r="B6369" t="s">
        <v>19076</v>
      </c>
      <c r="C6369" t="s">
        <v>19076</v>
      </c>
      <c r="D6369" t="str">
        <f>HYPERLINK("https://zfin.org/ZDB-GENE-041014-270")</f>
        <v>https://zfin.org/ZDB-GENE-041014-270</v>
      </c>
      <c r="E6369" t="s">
        <v>19077</v>
      </c>
    </row>
    <row r="6370" spans="1:5" x14ac:dyDescent="0.2">
      <c r="A6370" t="s">
        <v>19078</v>
      </c>
      <c r="B6370" t="s">
        <v>19079</v>
      </c>
      <c r="C6370" t="s">
        <v>19079</v>
      </c>
      <c r="D6370" t="str">
        <f>HYPERLINK("https://zfin.org/ZDB-GENE-030131-5667")</f>
        <v>https://zfin.org/ZDB-GENE-030131-5667</v>
      </c>
      <c r="E6370" t="s">
        <v>19080</v>
      </c>
    </row>
    <row r="6371" spans="1:5" x14ac:dyDescent="0.2">
      <c r="A6371" t="s">
        <v>19081</v>
      </c>
      <c r="B6371" t="s">
        <v>19082</v>
      </c>
      <c r="C6371" t="s">
        <v>19082</v>
      </c>
      <c r="D6371" t="str">
        <f>HYPERLINK("https://zfin.org/ZDB-GENE-071005-2")</f>
        <v>https://zfin.org/ZDB-GENE-071005-2</v>
      </c>
      <c r="E6371" t="s">
        <v>19083</v>
      </c>
    </row>
    <row r="6372" spans="1:5" x14ac:dyDescent="0.2">
      <c r="A6372" t="s">
        <v>19084</v>
      </c>
      <c r="B6372" t="s">
        <v>19085</v>
      </c>
      <c r="C6372" t="s">
        <v>19085</v>
      </c>
      <c r="D6372" t="str">
        <f>HYPERLINK("https://zfin.org/ZDB-GENE-020220-1")</f>
        <v>https://zfin.org/ZDB-GENE-020220-1</v>
      </c>
      <c r="E6372" t="s">
        <v>19086</v>
      </c>
    </row>
    <row r="6373" spans="1:5" x14ac:dyDescent="0.2">
      <c r="A6373" t="s">
        <v>19087</v>
      </c>
      <c r="B6373" t="s">
        <v>19088</v>
      </c>
      <c r="C6373" t="s">
        <v>19088</v>
      </c>
      <c r="D6373" t="str">
        <f>HYPERLINK("https://zfin.org/ZDB-GENE-070112-1322")</f>
        <v>https://zfin.org/ZDB-GENE-070112-1322</v>
      </c>
      <c r="E6373" t="s">
        <v>19089</v>
      </c>
    </row>
    <row r="6374" spans="1:5" x14ac:dyDescent="0.2">
      <c r="A6374" t="s">
        <v>19090</v>
      </c>
      <c r="B6374" t="s">
        <v>19091</v>
      </c>
      <c r="C6374" t="s">
        <v>19091</v>
      </c>
      <c r="D6374" t="str">
        <f>HYPERLINK("https://zfin.org/ZDB-GENE-060503-536")</f>
        <v>https://zfin.org/ZDB-GENE-060503-536</v>
      </c>
      <c r="E6374" t="s">
        <v>19092</v>
      </c>
    </row>
    <row r="6375" spans="1:5" x14ac:dyDescent="0.2">
      <c r="A6375" t="s">
        <v>19093</v>
      </c>
      <c r="B6375" t="s">
        <v>19094</v>
      </c>
      <c r="C6375" t="s">
        <v>19094</v>
      </c>
      <c r="D6375" t="str">
        <f>HYPERLINK("https://zfin.org/ZDB-GENE-141216-432")</f>
        <v>https://zfin.org/ZDB-GENE-141216-432</v>
      </c>
      <c r="E6375" t="s">
        <v>19095</v>
      </c>
    </row>
    <row r="6376" spans="1:5" x14ac:dyDescent="0.2">
      <c r="A6376" t="s">
        <v>19096</v>
      </c>
      <c r="B6376" t="s">
        <v>19097</v>
      </c>
      <c r="C6376" t="s">
        <v>19097</v>
      </c>
      <c r="D6376" t="str">
        <f>HYPERLINK("https://zfin.org/ZDB-GENE-050306-33")</f>
        <v>https://zfin.org/ZDB-GENE-050306-33</v>
      </c>
      <c r="E6376" t="s">
        <v>19098</v>
      </c>
    </row>
    <row r="6377" spans="1:5" x14ac:dyDescent="0.2">
      <c r="A6377" t="s">
        <v>19099</v>
      </c>
      <c r="B6377" t="s">
        <v>19100</v>
      </c>
      <c r="C6377" t="s">
        <v>19100</v>
      </c>
      <c r="D6377" t="str">
        <f>HYPERLINK("https://zfin.org/ZDB-GENE-990603-4")</f>
        <v>https://zfin.org/ZDB-GENE-990603-4</v>
      </c>
      <c r="E6377" t="s">
        <v>19101</v>
      </c>
    </row>
    <row r="6378" spans="1:5" x14ac:dyDescent="0.2">
      <c r="A6378" t="s">
        <v>19102</v>
      </c>
      <c r="B6378" t="s">
        <v>19103</v>
      </c>
      <c r="C6378" t="s">
        <v>19103</v>
      </c>
      <c r="D6378" t="str">
        <f>HYPERLINK("https://zfin.org/ZDB-GENE-070912-146")</f>
        <v>https://zfin.org/ZDB-GENE-070912-146</v>
      </c>
      <c r="E6378" t="s">
        <v>19104</v>
      </c>
    </row>
    <row r="6379" spans="1:5" x14ac:dyDescent="0.2">
      <c r="A6379" t="s">
        <v>19105</v>
      </c>
      <c r="B6379" t="s">
        <v>19106</v>
      </c>
      <c r="C6379" t="s">
        <v>19106</v>
      </c>
      <c r="D6379" t="str">
        <f>HYPERLINK("https://zfin.org/ZDB-GENE-050420-284")</f>
        <v>https://zfin.org/ZDB-GENE-050420-284</v>
      </c>
      <c r="E6379" t="s">
        <v>19107</v>
      </c>
    </row>
    <row r="6380" spans="1:5" x14ac:dyDescent="0.2">
      <c r="A6380" t="s">
        <v>19108</v>
      </c>
      <c r="B6380" t="s">
        <v>19109</v>
      </c>
      <c r="C6380" t="s">
        <v>19109</v>
      </c>
      <c r="D6380" t="str">
        <f>HYPERLINK("https://zfin.org/ZDB-GENE-040426-914")</f>
        <v>https://zfin.org/ZDB-GENE-040426-914</v>
      </c>
      <c r="E6380" t="s">
        <v>19110</v>
      </c>
    </row>
    <row r="6381" spans="1:5" x14ac:dyDescent="0.2">
      <c r="A6381" t="s">
        <v>19111</v>
      </c>
      <c r="B6381" t="s">
        <v>19112</v>
      </c>
      <c r="C6381" t="s">
        <v>19112</v>
      </c>
      <c r="D6381" t="str">
        <f>HYPERLINK("https://zfin.org/ZDB-GENE-050306-16")</f>
        <v>https://zfin.org/ZDB-GENE-050306-16</v>
      </c>
      <c r="E6381" t="s">
        <v>19113</v>
      </c>
    </row>
    <row r="6382" spans="1:5" x14ac:dyDescent="0.2">
      <c r="A6382" t="s">
        <v>19114</v>
      </c>
      <c r="B6382" t="s">
        <v>19115</v>
      </c>
      <c r="C6382" t="s">
        <v>19115</v>
      </c>
      <c r="D6382" t="str">
        <f>HYPERLINK("https://zfin.org/ZDB-GENE-030131-5829")</f>
        <v>https://zfin.org/ZDB-GENE-030131-5829</v>
      </c>
      <c r="E6382" t="s">
        <v>19116</v>
      </c>
    </row>
    <row r="6383" spans="1:5" x14ac:dyDescent="0.2">
      <c r="A6383" t="s">
        <v>19117</v>
      </c>
      <c r="B6383" t="s">
        <v>19118</v>
      </c>
      <c r="C6383" t="s">
        <v>19118</v>
      </c>
      <c r="D6383" t="str">
        <f>HYPERLINK("https://zfin.org/ZDB-GENE-051113-100")</f>
        <v>https://zfin.org/ZDB-GENE-051113-100</v>
      </c>
      <c r="E6383" t="s">
        <v>19119</v>
      </c>
    </row>
    <row r="6384" spans="1:5" x14ac:dyDescent="0.2">
      <c r="A6384" t="s">
        <v>19120</v>
      </c>
      <c r="B6384" t="s">
        <v>4361</v>
      </c>
      <c r="C6384" t="s">
        <v>19121</v>
      </c>
      <c r="D6384" t="str">
        <f>HYPERLINK("https://zfin.org/ZDB-GENE-070912-73")</f>
        <v>https://zfin.org/ZDB-GENE-070912-73</v>
      </c>
      <c r="E6384" t="s">
        <v>19122</v>
      </c>
    </row>
    <row r="6385" spans="1:5" x14ac:dyDescent="0.2">
      <c r="A6385" t="s">
        <v>19123</v>
      </c>
      <c r="B6385" t="s">
        <v>19124</v>
      </c>
      <c r="C6385" t="s">
        <v>19124</v>
      </c>
      <c r="D6385" t="str">
        <f>HYPERLINK("https://zfin.org/ZDB-GENE-060421-7397")</f>
        <v>https://zfin.org/ZDB-GENE-060421-7397</v>
      </c>
      <c r="E6385" t="s">
        <v>19125</v>
      </c>
    </row>
    <row r="6386" spans="1:5" x14ac:dyDescent="0.2">
      <c r="A6386" t="s">
        <v>19126</v>
      </c>
      <c r="B6386" t="s">
        <v>19127</v>
      </c>
      <c r="C6386" t="s">
        <v>19127</v>
      </c>
      <c r="D6386" t="str">
        <f>HYPERLINK("https://zfin.org/ZDB-GENE-110520-1")</f>
        <v>https://zfin.org/ZDB-GENE-110520-1</v>
      </c>
      <c r="E6386" t="s">
        <v>19128</v>
      </c>
    </row>
    <row r="6387" spans="1:5" x14ac:dyDescent="0.2">
      <c r="A6387" t="s">
        <v>19129</v>
      </c>
      <c r="B6387" t="s">
        <v>19130</v>
      </c>
      <c r="C6387" t="s">
        <v>19130</v>
      </c>
      <c r="D6387" t="str">
        <f>HYPERLINK("https://zfin.org/ZDB-GENE-030707-4")</f>
        <v>https://zfin.org/ZDB-GENE-030707-4</v>
      </c>
      <c r="E6387" t="s">
        <v>19131</v>
      </c>
    </row>
    <row r="6388" spans="1:5" x14ac:dyDescent="0.2">
      <c r="A6388" t="s">
        <v>19132</v>
      </c>
      <c r="B6388" t="s">
        <v>19133</v>
      </c>
      <c r="C6388" t="s">
        <v>19133</v>
      </c>
      <c r="D6388" t="str">
        <f>HYPERLINK("https://zfin.org/ZDB-GENE-050417-103")</f>
        <v>https://zfin.org/ZDB-GENE-050417-103</v>
      </c>
      <c r="E6388" t="s">
        <v>19134</v>
      </c>
    </row>
    <row r="6389" spans="1:5" x14ac:dyDescent="0.2">
      <c r="A6389" t="s">
        <v>19135</v>
      </c>
      <c r="B6389" t="s">
        <v>19136</v>
      </c>
      <c r="C6389" t="s">
        <v>19136</v>
      </c>
      <c r="D6389" t="str">
        <f>HYPERLINK("https://zfin.org/ZDB-GENE-041114-23")</f>
        <v>https://zfin.org/ZDB-GENE-041114-23</v>
      </c>
      <c r="E6389" t="s">
        <v>19137</v>
      </c>
    </row>
    <row r="6390" spans="1:5" x14ac:dyDescent="0.2">
      <c r="A6390" t="s">
        <v>19138</v>
      </c>
      <c r="B6390" t="s">
        <v>19139</v>
      </c>
      <c r="C6390" t="s">
        <v>19139</v>
      </c>
      <c r="D6390" t="str">
        <f>HYPERLINK("https://zfin.org/ZDB-GENE-060929-938")</f>
        <v>https://zfin.org/ZDB-GENE-060929-938</v>
      </c>
      <c r="E6390" t="s">
        <v>19140</v>
      </c>
    </row>
    <row r="6391" spans="1:5" x14ac:dyDescent="0.2">
      <c r="A6391" t="s">
        <v>19141</v>
      </c>
      <c r="B6391" t="s">
        <v>19142</v>
      </c>
      <c r="C6391" t="s">
        <v>19142</v>
      </c>
      <c r="D6391" t="str">
        <f>HYPERLINK("https://zfin.org/ZDB-GENE-030131-309")</f>
        <v>https://zfin.org/ZDB-GENE-030131-309</v>
      </c>
      <c r="E6391" t="s">
        <v>19143</v>
      </c>
    </row>
    <row r="6392" spans="1:5" x14ac:dyDescent="0.2">
      <c r="A6392" t="s">
        <v>19144</v>
      </c>
      <c r="B6392" t="s">
        <v>19145</v>
      </c>
      <c r="C6392" t="s">
        <v>19145</v>
      </c>
      <c r="D6392" t="str">
        <f>HYPERLINK("https://zfin.org/ZDB-GENE-050417-434")</f>
        <v>https://zfin.org/ZDB-GENE-050417-434</v>
      </c>
      <c r="E6392" t="s">
        <v>19146</v>
      </c>
    </row>
    <row r="6393" spans="1:5" x14ac:dyDescent="0.2">
      <c r="A6393" t="s">
        <v>19147</v>
      </c>
      <c r="B6393" t="s">
        <v>19148</v>
      </c>
      <c r="C6393" t="s">
        <v>19148</v>
      </c>
      <c r="D6393" t="str">
        <f>HYPERLINK("https://zfin.org/ZDB-GENE-131126-23")</f>
        <v>https://zfin.org/ZDB-GENE-131126-23</v>
      </c>
      <c r="E6393" t="s">
        <v>19149</v>
      </c>
    </row>
    <row r="6394" spans="1:5" x14ac:dyDescent="0.2">
      <c r="A6394" t="s">
        <v>19150</v>
      </c>
      <c r="B6394" t="s">
        <v>19151</v>
      </c>
      <c r="C6394" t="s">
        <v>19151</v>
      </c>
      <c r="D6394" t="str">
        <f>HYPERLINK("https://zfin.org/ZDB-GENE-030728-4")</f>
        <v>https://zfin.org/ZDB-GENE-030728-4</v>
      </c>
      <c r="E6394" t="s">
        <v>19152</v>
      </c>
    </row>
    <row r="6395" spans="1:5" x14ac:dyDescent="0.2">
      <c r="A6395" t="s">
        <v>19153</v>
      </c>
      <c r="B6395" t="s">
        <v>19154</v>
      </c>
      <c r="C6395" t="s">
        <v>19154</v>
      </c>
      <c r="D6395" t="str">
        <f>HYPERLINK("https://zfin.org/ZDB-GENE-050419-6")</f>
        <v>https://zfin.org/ZDB-GENE-050419-6</v>
      </c>
      <c r="E6395" t="s">
        <v>19155</v>
      </c>
    </row>
    <row r="6396" spans="1:5" x14ac:dyDescent="0.2">
      <c r="A6396" t="s">
        <v>19156</v>
      </c>
      <c r="B6396" t="s">
        <v>19157</v>
      </c>
      <c r="C6396" t="s">
        <v>19157</v>
      </c>
      <c r="D6396" t="str">
        <f>HYPERLINK("https://zfin.org/ZDB-GENE-030131-3250")</f>
        <v>https://zfin.org/ZDB-GENE-030131-3250</v>
      </c>
      <c r="E6396" t="s">
        <v>19158</v>
      </c>
    </row>
    <row r="6397" spans="1:5" x14ac:dyDescent="0.2">
      <c r="A6397" t="s">
        <v>19159</v>
      </c>
      <c r="B6397" t="s">
        <v>19160</v>
      </c>
      <c r="C6397" t="s">
        <v>19160</v>
      </c>
      <c r="D6397" t="str">
        <f>HYPERLINK("https://zfin.org/ZDB-GENE-030131-6586")</f>
        <v>https://zfin.org/ZDB-GENE-030131-6586</v>
      </c>
      <c r="E6397" t="s">
        <v>19161</v>
      </c>
    </row>
    <row r="6398" spans="1:5" x14ac:dyDescent="0.2">
      <c r="A6398" t="s">
        <v>19162</v>
      </c>
      <c r="B6398" t="s">
        <v>19163</v>
      </c>
      <c r="C6398" t="s">
        <v>19163</v>
      </c>
      <c r="D6398" t="str">
        <f>HYPERLINK("https://zfin.org/ZDB-GENE-070530-1")</f>
        <v>https://zfin.org/ZDB-GENE-070530-1</v>
      </c>
      <c r="E6398" t="s">
        <v>19164</v>
      </c>
    </row>
    <row r="6399" spans="1:5" x14ac:dyDescent="0.2">
      <c r="A6399" t="s">
        <v>19165</v>
      </c>
      <c r="B6399" t="s">
        <v>19166</v>
      </c>
      <c r="C6399" t="s">
        <v>19166</v>
      </c>
      <c r="D6399" t="str">
        <f>HYPERLINK("https://zfin.org/ZDB-GENE-040426-1646")</f>
        <v>https://zfin.org/ZDB-GENE-040426-1646</v>
      </c>
      <c r="E6399" t="s">
        <v>19167</v>
      </c>
    </row>
    <row r="6400" spans="1:5" x14ac:dyDescent="0.2">
      <c r="A6400" t="s">
        <v>19168</v>
      </c>
      <c r="B6400" t="s">
        <v>19169</v>
      </c>
      <c r="C6400" t="s">
        <v>19169</v>
      </c>
      <c r="D6400" t="str">
        <f>HYPERLINK("https://zfin.org/ZDB-GENE-040801-10")</f>
        <v>https://zfin.org/ZDB-GENE-040801-10</v>
      </c>
      <c r="E6400" t="s">
        <v>19170</v>
      </c>
    </row>
    <row r="6401" spans="1:5" x14ac:dyDescent="0.2">
      <c r="A6401" t="s">
        <v>19171</v>
      </c>
      <c r="B6401" t="s">
        <v>19172</v>
      </c>
      <c r="C6401" t="s">
        <v>19172</v>
      </c>
      <c r="D6401" t="str">
        <f>HYPERLINK("https://zfin.org/ZDB-GENE-040704-50")</f>
        <v>https://zfin.org/ZDB-GENE-040704-50</v>
      </c>
      <c r="E6401" t="s">
        <v>19173</v>
      </c>
    </row>
    <row r="6402" spans="1:5" x14ac:dyDescent="0.2">
      <c r="A6402" t="s">
        <v>19174</v>
      </c>
      <c r="B6402" t="s">
        <v>19175</v>
      </c>
      <c r="C6402" t="s">
        <v>19175</v>
      </c>
      <c r="D6402" t="str">
        <f>HYPERLINK("https://zfin.org/ZDB-GENE-070705-441")</f>
        <v>https://zfin.org/ZDB-GENE-070705-441</v>
      </c>
      <c r="E6402" t="s">
        <v>19176</v>
      </c>
    </row>
    <row r="6403" spans="1:5" x14ac:dyDescent="0.2">
      <c r="A6403" t="s">
        <v>19177</v>
      </c>
      <c r="B6403" t="s">
        <v>19178</v>
      </c>
      <c r="C6403" t="s">
        <v>19178</v>
      </c>
      <c r="D6403" t="str">
        <f>HYPERLINK("https://zfin.org/ZDB-GENE-030131-3827")</f>
        <v>https://zfin.org/ZDB-GENE-030131-3827</v>
      </c>
      <c r="E6403" t="s">
        <v>19179</v>
      </c>
    </row>
    <row r="6404" spans="1:5" x14ac:dyDescent="0.2">
      <c r="A6404" t="s">
        <v>19180</v>
      </c>
      <c r="B6404" t="s">
        <v>19181</v>
      </c>
      <c r="C6404" t="s">
        <v>19181</v>
      </c>
      <c r="D6404" t="str">
        <f>HYPERLINK("https://zfin.org/ZDB-GENE-041010-62")</f>
        <v>https://zfin.org/ZDB-GENE-041010-62</v>
      </c>
      <c r="E6404" t="s">
        <v>19182</v>
      </c>
    </row>
    <row r="6405" spans="1:5" x14ac:dyDescent="0.2">
      <c r="A6405" t="s">
        <v>19183</v>
      </c>
      <c r="B6405" t="s">
        <v>19184</v>
      </c>
      <c r="C6405" t="s">
        <v>19184</v>
      </c>
      <c r="D6405" t="str">
        <f>HYPERLINK("https://zfin.org/ZDB-GENE-110914-105")</f>
        <v>https://zfin.org/ZDB-GENE-110914-105</v>
      </c>
      <c r="E6405" t="s">
        <v>19185</v>
      </c>
    </row>
    <row r="6406" spans="1:5" x14ac:dyDescent="0.2">
      <c r="A6406" t="s">
        <v>19186</v>
      </c>
      <c r="B6406" t="s">
        <v>19187</v>
      </c>
      <c r="C6406" t="s">
        <v>19187</v>
      </c>
      <c r="D6406" t="str">
        <f>HYPERLINK("https://zfin.org/ZDB-GENE-030131-9045")</f>
        <v>https://zfin.org/ZDB-GENE-030131-9045</v>
      </c>
      <c r="E6406" t="s">
        <v>19188</v>
      </c>
    </row>
    <row r="6407" spans="1:5" x14ac:dyDescent="0.2">
      <c r="A6407" t="s">
        <v>19189</v>
      </c>
      <c r="B6407" t="s">
        <v>19190</v>
      </c>
      <c r="C6407" t="s">
        <v>19190</v>
      </c>
      <c r="D6407" t="str">
        <f>HYPERLINK("https://zfin.org/ZDB-GENE-121219-6")</f>
        <v>https://zfin.org/ZDB-GENE-121219-6</v>
      </c>
      <c r="E6407" t="s">
        <v>19191</v>
      </c>
    </row>
    <row r="6408" spans="1:5" x14ac:dyDescent="0.2">
      <c r="A6408" t="s">
        <v>19192</v>
      </c>
      <c r="B6408" t="s">
        <v>19193</v>
      </c>
      <c r="C6408" t="s">
        <v>19193</v>
      </c>
      <c r="D6408" t="str">
        <f>HYPERLINK("https://zfin.org/ZDB-GENE-050601-2")</f>
        <v>https://zfin.org/ZDB-GENE-050601-2</v>
      </c>
      <c r="E6408" t="s">
        <v>19194</v>
      </c>
    </row>
    <row r="6409" spans="1:5" x14ac:dyDescent="0.2">
      <c r="A6409" t="s">
        <v>19195</v>
      </c>
      <c r="B6409" t="s">
        <v>19196</v>
      </c>
      <c r="C6409" t="s">
        <v>19196</v>
      </c>
      <c r="D6409" t="str">
        <f>HYPERLINK("https://zfin.org/ZDB-GENE-080206-4")</f>
        <v>https://zfin.org/ZDB-GENE-080206-4</v>
      </c>
      <c r="E6409" t="s">
        <v>19197</v>
      </c>
    </row>
    <row r="6410" spans="1:5" x14ac:dyDescent="0.2">
      <c r="A6410" t="s">
        <v>19198</v>
      </c>
      <c r="B6410" t="s">
        <v>19199</v>
      </c>
      <c r="C6410" t="s">
        <v>19199</v>
      </c>
      <c r="D6410" t="str">
        <f>HYPERLINK("https://zfin.org/ZDB-GENE-081106-2")</f>
        <v>https://zfin.org/ZDB-GENE-081106-2</v>
      </c>
      <c r="E6410" t="s">
        <v>19200</v>
      </c>
    </row>
    <row r="6411" spans="1:5" x14ac:dyDescent="0.2">
      <c r="A6411" t="s">
        <v>19201</v>
      </c>
      <c r="B6411" t="s">
        <v>19202</v>
      </c>
      <c r="C6411" t="s">
        <v>19202</v>
      </c>
      <c r="D6411" t="str">
        <f>HYPERLINK("https://zfin.org/ZDB-GENE-031125-4")</f>
        <v>https://zfin.org/ZDB-GENE-031125-4</v>
      </c>
      <c r="E6411" t="s">
        <v>19203</v>
      </c>
    </row>
    <row r="6412" spans="1:5" x14ac:dyDescent="0.2">
      <c r="A6412" t="s">
        <v>19204</v>
      </c>
      <c r="B6412" t="s">
        <v>19205</v>
      </c>
      <c r="C6412" t="s">
        <v>19205</v>
      </c>
      <c r="D6412" t="str">
        <f>HYPERLINK("https://zfin.org/ZDB-GENE-021213-1")</f>
        <v>https://zfin.org/ZDB-GENE-021213-1</v>
      </c>
      <c r="E6412" t="s">
        <v>19206</v>
      </c>
    </row>
    <row r="6413" spans="1:5" x14ac:dyDescent="0.2">
      <c r="A6413" t="s">
        <v>19207</v>
      </c>
      <c r="B6413" t="s">
        <v>19208</v>
      </c>
      <c r="C6413" t="s">
        <v>19208</v>
      </c>
      <c r="D6413" t="str">
        <f>HYPERLINK("https://zfin.org/ZDB-GENE-031107-2")</f>
        <v>https://zfin.org/ZDB-GENE-031107-2</v>
      </c>
      <c r="E6413" t="s">
        <v>19209</v>
      </c>
    </row>
    <row r="6414" spans="1:5" x14ac:dyDescent="0.2">
      <c r="A6414" t="s">
        <v>19210</v>
      </c>
      <c r="B6414" t="s">
        <v>19211</v>
      </c>
      <c r="C6414" t="s">
        <v>19211</v>
      </c>
      <c r="D6414" t="str">
        <f>HYPERLINK("https://zfin.org/ZDB-GENE-080926-4")</f>
        <v>https://zfin.org/ZDB-GENE-080926-4</v>
      </c>
      <c r="E6414" t="s">
        <v>19212</v>
      </c>
    </row>
    <row r="6415" spans="1:5" x14ac:dyDescent="0.2">
      <c r="A6415" t="s">
        <v>19213</v>
      </c>
      <c r="B6415" t="s">
        <v>19214</v>
      </c>
      <c r="C6415" t="s">
        <v>19214</v>
      </c>
      <c r="D6415" t="str">
        <f>HYPERLINK("https://zfin.org/ZDB-GENE-000308-1")</f>
        <v>https://zfin.org/ZDB-GENE-000308-1</v>
      </c>
      <c r="E6415" t="s">
        <v>19215</v>
      </c>
    </row>
    <row r="6416" spans="1:5" x14ac:dyDescent="0.2">
      <c r="A6416" t="s">
        <v>19216</v>
      </c>
      <c r="B6416" t="s">
        <v>19217</v>
      </c>
      <c r="C6416" t="s">
        <v>19217</v>
      </c>
      <c r="D6416" t="str">
        <f>HYPERLINK("https://zfin.org/ZDB-GENE-040426-1924")</f>
        <v>https://zfin.org/ZDB-GENE-040426-1924</v>
      </c>
      <c r="E6416" t="s">
        <v>19218</v>
      </c>
    </row>
    <row r="6417" spans="1:5" x14ac:dyDescent="0.2">
      <c r="A6417" t="s">
        <v>19219</v>
      </c>
      <c r="B6417" t="s">
        <v>19220</v>
      </c>
      <c r="C6417" t="s">
        <v>19220</v>
      </c>
      <c r="D6417" t="str">
        <f>HYPERLINK("https://zfin.org/ZDB-GENE-091204-286")</f>
        <v>https://zfin.org/ZDB-GENE-091204-286</v>
      </c>
      <c r="E6417" t="s">
        <v>19221</v>
      </c>
    </row>
    <row r="6418" spans="1:5" x14ac:dyDescent="0.2">
      <c r="A6418" t="s">
        <v>19222</v>
      </c>
      <c r="B6418" t="s">
        <v>19223</v>
      </c>
      <c r="C6418" t="s">
        <v>19223</v>
      </c>
      <c r="D6418" t="str">
        <f>HYPERLINK("https://zfin.org/ZDB-GENE-080723-31")</f>
        <v>https://zfin.org/ZDB-GENE-080723-31</v>
      </c>
      <c r="E6418" t="s">
        <v>19224</v>
      </c>
    </row>
    <row r="6419" spans="1:5" x14ac:dyDescent="0.2">
      <c r="A6419" t="s">
        <v>19225</v>
      </c>
      <c r="B6419" t="s">
        <v>19226</v>
      </c>
      <c r="C6419" t="s">
        <v>19226</v>
      </c>
      <c r="D6419" t="str">
        <f>HYPERLINK("https://zfin.org/ZDB-GENE-130531-35")</f>
        <v>https://zfin.org/ZDB-GENE-130531-35</v>
      </c>
      <c r="E6419" t="s">
        <v>19227</v>
      </c>
    </row>
    <row r="6420" spans="1:5" x14ac:dyDescent="0.2">
      <c r="A6420" t="s">
        <v>19228</v>
      </c>
      <c r="B6420" t="s">
        <v>19229</v>
      </c>
      <c r="C6420" t="s">
        <v>19229</v>
      </c>
      <c r="D6420" t="str">
        <f>HYPERLINK("https://zfin.org/ZDB-GENE-040426-943")</f>
        <v>https://zfin.org/ZDB-GENE-040426-943</v>
      </c>
      <c r="E6420" t="s">
        <v>19230</v>
      </c>
    </row>
    <row r="6421" spans="1:5" x14ac:dyDescent="0.2">
      <c r="A6421" t="s">
        <v>19231</v>
      </c>
      <c r="B6421" t="s">
        <v>19232</v>
      </c>
      <c r="C6421" t="s">
        <v>19232</v>
      </c>
      <c r="D6421" t="str">
        <f>HYPERLINK("https://zfin.org/ZDB-GENE-040426-1040")</f>
        <v>https://zfin.org/ZDB-GENE-040426-1040</v>
      </c>
      <c r="E6421" t="s">
        <v>19233</v>
      </c>
    </row>
    <row r="6422" spans="1:5" x14ac:dyDescent="0.2">
      <c r="A6422" t="s">
        <v>19234</v>
      </c>
      <c r="B6422" t="s">
        <v>19235</v>
      </c>
      <c r="C6422" t="s">
        <v>19235</v>
      </c>
      <c r="D6422" t="str">
        <f>HYPERLINK("https://zfin.org/ZDB-GENE-030131-2179")</f>
        <v>https://zfin.org/ZDB-GENE-030131-2179</v>
      </c>
      <c r="E6422" t="s">
        <v>19236</v>
      </c>
    </row>
    <row r="6423" spans="1:5" x14ac:dyDescent="0.2">
      <c r="A6423" t="s">
        <v>19237</v>
      </c>
      <c r="B6423" t="s">
        <v>19238</v>
      </c>
      <c r="C6423" t="s">
        <v>19238</v>
      </c>
      <c r="D6423" t="str">
        <f>HYPERLINK("https://zfin.org/ZDB-GENE-050417-174")</f>
        <v>https://zfin.org/ZDB-GENE-050417-174</v>
      </c>
      <c r="E6423" t="s">
        <v>19239</v>
      </c>
    </row>
    <row r="6424" spans="1:5" x14ac:dyDescent="0.2">
      <c r="A6424" t="s">
        <v>19240</v>
      </c>
      <c r="B6424" t="s">
        <v>19241</v>
      </c>
      <c r="C6424" t="s">
        <v>19241</v>
      </c>
      <c r="D6424" t="str">
        <f>HYPERLINK("https://zfin.org/ZDB-GENE-121214-252")</f>
        <v>https://zfin.org/ZDB-GENE-121214-252</v>
      </c>
      <c r="E6424" t="s">
        <v>19242</v>
      </c>
    </row>
    <row r="6425" spans="1:5" x14ac:dyDescent="0.2">
      <c r="A6425" t="s">
        <v>19243</v>
      </c>
      <c r="B6425" t="s">
        <v>19244</v>
      </c>
      <c r="C6425" t="s">
        <v>19245</v>
      </c>
      <c r="D6425" t="str">
        <f>HYPERLINK("https://zfin.org/ZDB-GENE-060503-67")</f>
        <v>https://zfin.org/ZDB-GENE-060503-67</v>
      </c>
      <c r="E6425" t="s">
        <v>19246</v>
      </c>
    </row>
    <row r="6426" spans="1:5" x14ac:dyDescent="0.2">
      <c r="A6426" t="s">
        <v>19247</v>
      </c>
      <c r="B6426" t="s">
        <v>19248</v>
      </c>
      <c r="C6426" t="s">
        <v>19248</v>
      </c>
      <c r="D6426" t="str">
        <f>HYPERLINK("https://zfin.org/ZDB-GENE-060929-868")</f>
        <v>https://zfin.org/ZDB-GENE-060929-868</v>
      </c>
      <c r="E6426" t="s">
        <v>19249</v>
      </c>
    </row>
    <row r="6427" spans="1:5" x14ac:dyDescent="0.2">
      <c r="A6427" t="s">
        <v>19250</v>
      </c>
      <c r="B6427" t="s">
        <v>19251</v>
      </c>
      <c r="C6427" t="s">
        <v>19251</v>
      </c>
      <c r="D6427" t="str">
        <f>HYPERLINK("https://zfin.org/ZDB-GENE-040827-3")</f>
        <v>https://zfin.org/ZDB-GENE-040827-3</v>
      </c>
      <c r="E6427" t="s">
        <v>19252</v>
      </c>
    </row>
    <row r="6428" spans="1:5" x14ac:dyDescent="0.2">
      <c r="A6428" t="s">
        <v>19253</v>
      </c>
      <c r="B6428" t="s">
        <v>19254</v>
      </c>
      <c r="C6428" t="s">
        <v>19254</v>
      </c>
      <c r="D6428" t="str">
        <f>HYPERLINK("https://zfin.org/ZDB-GENE-130212-1")</f>
        <v>https://zfin.org/ZDB-GENE-130212-1</v>
      </c>
      <c r="E6428" t="s">
        <v>19255</v>
      </c>
    </row>
    <row r="6429" spans="1:5" x14ac:dyDescent="0.2">
      <c r="A6429" t="s">
        <v>19256</v>
      </c>
      <c r="B6429" t="s">
        <v>19257</v>
      </c>
      <c r="C6429" t="s">
        <v>19257</v>
      </c>
      <c r="D6429" t="str">
        <f>HYPERLINK("https://zfin.org/ZDB-GENE-040426-1322")</f>
        <v>https://zfin.org/ZDB-GENE-040426-1322</v>
      </c>
      <c r="E6429" t="s">
        <v>19258</v>
      </c>
    </row>
    <row r="6430" spans="1:5" x14ac:dyDescent="0.2">
      <c r="A6430" t="s">
        <v>19259</v>
      </c>
      <c r="B6430" t="s">
        <v>19260</v>
      </c>
      <c r="C6430" t="s">
        <v>19260</v>
      </c>
      <c r="D6430" t="str">
        <f>HYPERLINK("https://zfin.org/ZDB-GENE-040426-2419")</f>
        <v>https://zfin.org/ZDB-GENE-040426-2419</v>
      </c>
      <c r="E6430" t="s">
        <v>19261</v>
      </c>
    </row>
    <row r="6431" spans="1:5" x14ac:dyDescent="0.2">
      <c r="A6431" t="s">
        <v>19262</v>
      </c>
      <c r="B6431" t="s">
        <v>19263</v>
      </c>
      <c r="C6431" t="s">
        <v>19263</v>
      </c>
      <c r="D6431" t="str">
        <f>HYPERLINK("https://zfin.org/ZDB-GENE-060503-475")</f>
        <v>https://zfin.org/ZDB-GENE-060503-475</v>
      </c>
      <c r="E6431" t="s">
        <v>19264</v>
      </c>
    </row>
    <row r="6432" spans="1:5" x14ac:dyDescent="0.2">
      <c r="A6432" t="s">
        <v>19265</v>
      </c>
      <c r="B6432" t="s">
        <v>19266</v>
      </c>
      <c r="C6432" t="s">
        <v>19266</v>
      </c>
      <c r="D6432" t="str">
        <f>HYPERLINK("https://zfin.org/ZDB-GENE-030131-4544")</f>
        <v>https://zfin.org/ZDB-GENE-030131-4544</v>
      </c>
      <c r="E6432" t="s">
        <v>19267</v>
      </c>
    </row>
    <row r="6433" spans="1:5" x14ac:dyDescent="0.2">
      <c r="A6433" t="s">
        <v>19268</v>
      </c>
      <c r="B6433" t="s">
        <v>19269</v>
      </c>
      <c r="C6433" t="s">
        <v>19269</v>
      </c>
      <c r="D6433" t="str">
        <f>HYPERLINK("https://zfin.org/ZDB-GENE-040426-752")</f>
        <v>https://zfin.org/ZDB-GENE-040426-752</v>
      </c>
      <c r="E6433" t="s">
        <v>19270</v>
      </c>
    </row>
    <row r="6434" spans="1:5" x14ac:dyDescent="0.2">
      <c r="A6434" t="s">
        <v>19271</v>
      </c>
      <c r="B6434" t="s">
        <v>19272</v>
      </c>
      <c r="C6434" t="s">
        <v>19272</v>
      </c>
      <c r="D6434" t="str">
        <f>HYPERLINK("https://zfin.org/ZDB-GENE-060503-334")</f>
        <v>https://zfin.org/ZDB-GENE-060503-334</v>
      </c>
      <c r="E6434" t="s">
        <v>19273</v>
      </c>
    </row>
    <row r="6435" spans="1:5" x14ac:dyDescent="0.2">
      <c r="A6435" t="s">
        <v>19274</v>
      </c>
      <c r="B6435" t="s">
        <v>19275</v>
      </c>
      <c r="C6435" t="s">
        <v>19275</v>
      </c>
      <c r="D6435" t="str">
        <f>HYPERLINK("https://zfin.org/ZDB-GENE-030131-5227")</f>
        <v>https://zfin.org/ZDB-GENE-030131-5227</v>
      </c>
      <c r="E6435" t="s">
        <v>19276</v>
      </c>
    </row>
    <row r="6436" spans="1:5" x14ac:dyDescent="0.2">
      <c r="A6436" t="s">
        <v>19277</v>
      </c>
      <c r="B6436" t="s">
        <v>19278</v>
      </c>
      <c r="C6436" t="s">
        <v>19278</v>
      </c>
      <c r="D6436" t="str">
        <f>HYPERLINK("https://zfin.org/ZDB-GENE-040718-427")</f>
        <v>https://zfin.org/ZDB-GENE-040718-427</v>
      </c>
      <c r="E6436" t="s">
        <v>19279</v>
      </c>
    </row>
    <row r="6437" spans="1:5" x14ac:dyDescent="0.2">
      <c r="A6437" t="s">
        <v>19280</v>
      </c>
      <c r="B6437" t="s">
        <v>19281</v>
      </c>
      <c r="C6437" t="s">
        <v>19281</v>
      </c>
      <c r="D6437" t="str">
        <f>HYPERLINK("https://zfin.org/ZDB-GENE-070705-215")</f>
        <v>https://zfin.org/ZDB-GENE-070705-215</v>
      </c>
      <c r="E6437" t="s">
        <v>19282</v>
      </c>
    </row>
    <row r="6438" spans="1:5" x14ac:dyDescent="0.2">
      <c r="A6438" t="s">
        <v>19283</v>
      </c>
      <c r="B6438" t="s">
        <v>19284</v>
      </c>
      <c r="C6438" t="s">
        <v>19284</v>
      </c>
      <c r="D6438" t="str">
        <f>HYPERLINK("https://zfin.org/ZDB-GENE-070912-199")</f>
        <v>https://zfin.org/ZDB-GENE-070912-199</v>
      </c>
      <c r="E6438" t="s">
        <v>19285</v>
      </c>
    </row>
    <row r="6439" spans="1:5" x14ac:dyDescent="0.2">
      <c r="A6439" t="s">
        <v>19286</v>
      </c>
      <c r="B6439" t="s">
        <v>19287</v>
      </c>
      <c r="C6439" t="s">
        <v>19287</v>
      </c>
      <c r="D6439" t="str">
        <f>HYPERLINK("https://zfin.org/ZDB-GENE-040724-207")</f>
        <v>https://zfin.org/ZDB-GENE-040724-207</v>
      </c>
      <c r="E6439" t="s">
        <v>19288</v>
      </c>
    </row>
    <row r="6440" spans="1:5" x14ac:dyDescent="0.2">
      <c r="A6440" t="s">
        <v>19289</v>
      </c>
      <c r="B6440" t="s">
        <v>19290</v>
      </c>
      <c r="C6440" t="s">
        <v>19290</v>
      </c>
      <c r="D6440" t="str">
        <f>HYPERLINK("https://zfin.org/ZDB-GENE-030131-9370")</f>
        <v>https://zfin.org/ZDB-GENE-030131-9370</v>
      </c>
      <c r="E6440" t="s">
        <v>19291</v>
      </c>
    </row>
    <row r="6441" spans="1:5" x14ac:dyDescent="0.2">
      <c r="A6441" t="s">
        <v>19292</v>
      </c>
      <c r="B6441" t="s">
        <v>19293</v>
      </c>
      <c r="C6441" t="s">
        <v>19293</v>
      </c>
      <c r="D6441" t="str">
        <f>HYPERLINK("https://zfin.org/ZDB-GENE-081104-388")</f>
        <v>https://zfin.org/ZDB-GENE-081104-388</v>
      </c>
      <c r="E6441" t="s">
        <v>19294</v>
      </c>
    </row>
    <row r="6442" spans="1:5" x14ac:dyDescent="0.2">
      <c r="A6442" t="s">
        <v>19295</v>
      </c>
      <c r="B6442" t="s">
        <v>19296</v>
      </c>
      <c r="C6442" t="s">
        <v>19296</v>
      </c>
      <c r="D6442" t="str">
        <f>HYPERLINK("https://zfin.org/ZDB-GENE-040426-2110")</f>
        <v>https://zfin.org/ZDB-GENE-040426-2110</v>
      </c>
      <c r="E6442" t="s">
        <v>19297</v>
      </c>
    </row>
    <row r="6443" spans="1:5" x14ac:dyDescent="0.2">
      <c r="A6443" t="s">
        <v>19298</v>
      </c>
      <c r="B6443" t="s">
        <v>19299</v>
      </c>
      <c r="C6443" t="s">
        <v>19299</v>
      </c>
      <c r="D6443" t="str">
        <f>HYPERLINK("https://zfin.org/ZDB-GENE-050208-568")</f>
        <v>https://zfin.org/ZDB-GENE-050208-568</v>
      </c>
      <c r="E6443" t="s">
        <v>19300</v>
      </c>
    </row>
    <row r="6444" spans="1:5" x14ac:dyDescent="0.2">
      <c r="A6444" t="s">
        <v>19301</v>
      </c>
      <c r="B6444" t="s">
        <v>19302</v>
      </c>
      <c r="C6444" t="s">
        <v>19302</v>
      </c>
      <c r="D6444" t="str">
        <f>HYPERLINK("https://zfin.org/ZDB-GENE-030131-6009")</f>
        <v>https://zfin.org/ZDB-GENE-030131-6009</v>
      </c>
      <c r="E6444" t="s">
        <v>19303</v>
      </c>
    </row>
    <row r="6445" spans="1:5" x14ac:dyDescent="0.2">
      <c r="A6445" t="s">
        <v>19304</v>
      </c>
      <c r="B6445" t="s">
        <v>19305</v>
      </c>
      <c r="C6445" t="s">
        <v>19305</v>
      </c>
      <c r="D6445" t="str">
        <f>HYPERLINK("https://zfin.org/ZDB-GENE-030131-8730")</f>
        <v>https://zfin.org/ZDB-GENE-030131-8730</v>
      </c>
      <c r="E6445" t="s">
        <v>19306</v>
      </c>
    </row>
    <row r="6446" spans="1:5" x14ac:dyDescent="0.2">
      <c r="A6446" t="s">
        <v>19307</v>
      </c>
      <c r="B6446" t="s">
        <v>19308</v>
      </c>
      <c r="C6446" t="s">
        <v>19308</v>
      </c>
      <c r="D6446" t="str">
        <f>HYPERLINK("https://zfin.org/ZDB-GENE-040426-2944")</f>
        <v>https://zfin.org/ZDB-GENE-040426-2944</v>
      </c>
      <c r="E6446" t="s">
        <v>19309</v>
      </c>
    </row>
    <row r="6447" spans="1:5" x14ac:dyDescent="0.2">
      <c r="A6447" t="s">
        <v>19310</v>
      </c>
      <c r="B6447" t="s">
        <v>19311</v>
      </c>
      <c r="C6447" t="s">
        <v>19311</v>
      </c>
      <c r="D6447" t="str">
        <f>HYPERLINK("https://zfin.org/ZDB-GENE-070705-216")</f>
        <v>https://zfin.org/ZDB-GENE-070705-216</v>
      </c>
      <c r="E6447" t="s">
        <v>19312</v>
      </c>
    </row>
    <row r="6448" spans="1:5" x14ac:dyDescent="0.2">
      <c r="A6448" t="s">
        <v>19313</v>
      </c>
      <c r="B6448" t="s">
        <v>19314</v>
      </c>
      <c r="C6448" t="s">
        <v>19314</v>
      </c>
      <c r="D6448" t="str">
        <f>HYPERLINK("https://zfin.org/ZDB-GENE-040801-103")</f>
        <v>https://zfin.org/ZDB-GENE-040801-103</v>
      </c>
      <c r="E6448" t="s">
        <v>19315</v>
      </c>
    </row>
    <row r="6449" spans="1:5" x14ac:dyDescent="0.2">
      <c r="A6449" t="s">
        <v>19316</v>
      </c>
      <c r="B6449" t="s">
        <v>19317</v>
      </c>
      <c r="C6449" t="s">
        <v>19317</v>
      </c>
      <c r="D6449" t="str">
        <f>HYPERLINK("https://zfin.org/ZDB-GENE-081104-180")</f>
        <v>https://zfin.org/ZDB-GENE-081104-180</v>
      </c>
      <c r="E6449" t="s">
        <v>19318</v>
      </c>
    </row>
    <row r="6450" spans="1:5" x14ac:dyDescent="0.2">
      <c r="A6450" t="s">
        <v>19319</v>
      </c>
      <c r="B6450" t="s">
        <v>19320</v>
      </c>
      <c r="C6450" t="s">
        <v>19320</v>
      </c>
      <c r="D6450" t="str">
        <f>HYPERLINK("https://zfin.org/ZDB-GENE-040426-2681")</f>
        <v>https://zfin.org/ZDB-GENE-040426-2681</v>
      </c>
      <c r="E6450" t="s">
        <v>19321</v>
      </c>
    </row>
    <row r="6451" spans="1:5" x14ac:dyDescent="0.2">
      <c r="A6451" t="s">
        <v>19322</v>
      </c>
      <c r="B6451" t="s">
        <v>19323</v>
      </c>
      <c r="C6451" t="s">
        <v>19323</v>
      </c>
      <c r="D6451" t="str">
        <f>HYPERLINK("https://zfin.org/ZDB-GENE-030131-8398")</f>
        <v>https://zfin.org/ZDB-GENE-030131-8398</v>
      </c>
      <c r="E6451" t="s">
        <v>19324</v>
      </c>
    </row>
    <row r="6452" spans="1:5" x14ac:dyDescent="0.2">
      <c r="A6452" t="s">
        <v>19325</v>
      </c>
      <c r="B6452" t="s">
        <v>19326</v>
      </c>
      <c r="C6452" t="s">
        <v>19326</v>
      </c>
      <c r="D6452" t="str">
        <f>HYPERLINK("https://zfin.org/ZDB-GENE-040426-1547")</f>
        <v>https://zfin.org/ZDB-GENE-040426-1547</v>
      </c>
      <c r="E6452" t="s">
        <v>19327</v>
      </c>
    </row>
    <row r="6453" spans="1:5" x14ac:dyDescent="0.2">
      <c r="A6453" t="s">
        <v>19328</v>
      </c>
      <c r="B6453" t="s">
        <v>19329</v>
      </c>
      <c r="C6453" t="s">
        <v>19329</v>
      </c>
      <c r="D6453" t="str">
        <f>HYPERLINK("https://zfin.org/ZDB-GENE-040426-1849")</f>
        <v>https://zfin.org/ZDB-GENE-040426-1849</v>
      </c>
      <c r="E6453" t="s">
        <v>19330</v>
      </c>
    </row>
    <row r="6454" spans="1:5" x14ac:dyDescent="0.2">
      <c r="A6454" t="s">
        <v>19331</v>
      </c>
      <c r="B6454" t="s">
        <v>19332</v>
      </c>
      <c r="C6454" t="s">
        <v>19332</v>
      </c>
      <c r="D6454" t="str">
        <f>HYPERLINK("https://zfin.org/ZDB-GENE-081113-6")</f>
        <v>https://zfin.org/ZDB-GENE-081113-6</v>
      </c>
      <c r="E6454" t="s">
        <v>19333</v>
      </c>
    </row>
    <row r="6455" spans="1:5" x14ac:dyDescent="0.2">
      <c r="A6455" t="s">
        <v>19334</v>
      </c>
      <c r="B6455" t="s">
        <v>19335</v>
      </c>
      <c r="C6455" t="s">
        <v>19335</v>
      </c>
      <c r="D6455" t="str">
        <f>HYPERLINK("https://zfin.org/ZDB-GENE-041111-329")</f>
        <v>https://zfin.org/ZDB-GENE-041111-329</v>
      </c>
      <c r="E6455" t="s">
        <v>19336</v>
      </c>
    </row>
    <row r="6456" spans="1:5" x14ac:dyDescent="0.2">
      <c r="A6456" t="s">
        <v>19337</v>
      </c>
      <c r="B6456" t="s">
        <v>19338</v>
      </c>
      <c r="C6456" t="s">
        <v>19338</v>
      </c>
      <c r="D6456" t="str">
        <f>HYPERLINK("https://zfin.org/ZDB-GENE-141216-417")</f>
        <v>https://zfin.org/ZDB-GENE-141216-417</v>
      </c>
      <c r="E6456" t="s">
        <v>19339</v>
      </c>
    </row>
    <row r="6457" spans="1:5" x14ac:dyDescent="0.2">
      <c r="A6457" t="s">
        <v>19340</v>
      </c>
      <c r="B6457" t="s">
        <v>19341</v>
      </c>
      <c r="C6457" t="s">
        <v>19341</v>
      </c>
      <c r="D6457" t="str">
        <f>HYPERLINK("https://zfin.org/ZDB-GENE-031007-1")</f>
        <v>https://zfin.org/ZDB-GENE-031007-1</v>
      </c>
      <c r="E6457" t="s">
        <v>19342</v>
      </c>
    </row>
    <row r="6458" spans="1:5" x14ac:dyDescent="0.2">
      <c r="A6458" t="s">
        <v>19343</v>
      </c>
      <c r="B6458" t="s">
        <v>19344</v>
      </c>
      <c r="C6458" t="s">
        <v>19344</v>
      </c>
      <c r="D6458" t="str">
        <f>HYPERLINK("https://zfin.org/ZDB-GENE-131120-95")</f>
        <v>https://zfin.org/ZDB-GENE-131120-95</v>
      </c>
      <c r="E6458" t="s">
        <v>19345</v>
      </c>
    </row>
    <row r="6459" spans="1:5" x14ac:dyDescent="0.2">
      <c r="A6459" t="s">
        <v>19346</v>
      </c>
      <c r="B6459" t="s">
        <v>19347</v>
      </c>
      <c r="C6459" t="s">
        <v>19347</v>
      </c>
      <c r="D6459" t="str">
        <f>HYPERLINK("https://zfin.org/ZDB-GENE-120215-212")</f>
        <v>https://zfin.org/ZDB-GENE-120215-212</v>
      </c>
      <c r="E6459" t="s">
        <v>19348</v>
      </c>
    </row>
    <row r="6460" spans="1:5" x14ac:dyDescent="0.2">
      <c r="A6460" t="s">
        <v>19349</v>
      </c>
      <c r="B6460" t="s">
        <v>19350</v>
      </c>
      <c r="C6460" t="s">
        <v>19350</v>
      </c>
      <c r="D6460" t="str">
        <f>HYPERLINK("https://zfin.org/ZDB-GENE-060616-238")</f>
        <v>https://zfin.org/ZDB-GENE-060616-238</v>
      </c>
      <c r="E6460" t="s">
        <v>19351</v>
      </c>
    </row>
    <row r="6461" spans="1:5" x14ac:dyDescent="0.2">
      <c r="A6461" t="s">
        <v>19352</v>
      </c>
      <c r="B6461" t="s">
        <v>19353</v>
      </c>
      <c r="C6461" t="s">
        <v>19353</v>
      </c>
      <c r="D6461" t="str">
        <f>HYPERLINK("https://zfin.org/ZDB-GENE-040822-17")</f>
        <v>https://zfin.org/ZDB-GENE-040822-17</v>
      </c>
      <c r="E6461" t="s">
        <v>19354</v>
      </c>
    </row>
    <row r="6462" spans="1:5" x14ac:dyDescent="0.2">
      <c r="A6462" t="s">
        <v>19355</v>
      </c>
      <c r="B6462" t="s">
        <v>19356</v>
      </c>
      <c r="C6462" t="s">
        <v>19356</v>
      </c>
      <c r="D6462" t="str">
        <f>HYPERLINK("https://zfin.org/ZDB-GENE-040704-26")</f>
        <v>https://zfin.org/ZDB-GENE-040704-26</v>
      </c>
      <c r="E6462" t="s">
        <v>19357</v>
      </c>
    </row>
    <row r="6463" spans="1:5" x14ac:dyDescent="0.2">
      <c r="A6463" t="s">
        <v>19358</v>
      </c>
      <c r="B6463" t="s">
        <v>19359</v>
      </c>
      <c r="C6463" t="s">
        <v>19359</v>
      </c>
      <c r="D6463" t="str">
        <f>HYPERLINK("https://zfin.org/")</f>
        <v>https://zfin.org/</v>
      </c>
    </row>
    <row r="6464" spans="1:5" x14ac:dyDescent="0.2">
      <c r="A6464" t="s">
        <v>19360</v>
      </c>
      <c r="B6464" t="s">
        <v>19361</v>
      </c>
      <c r="C6464" t="s">
        <v>19361</v>
      </c>
      <c r="D6464" t="str">
        <f>HYPERLINK("https://zfin.org/ZDB-GENE-030131-9123")</f>
        <v>https://zfin.org/ZDB-GENE-030131-9123</v>
      </c>
      <c r="E6464" t="s">
        <v>19362</v>
      </c>
    </row>
    <row r="6465" spans="1:5" x14ac:dyDescent="0.2">
      <c r="A6465" t="s">
        <v>19363</v>
      </c>
      <c r="B6465" t="s">
        <v>19364</v>
      </c>
      <c r="C6465" t="s">
        <v>19364</v>
      </c>
      <c r="D6465" t="str">
        <f>HYPERLINK("https://zfin.org/ZDB-GENE-100311-2")</f>
        <v>https://zfin.org/ZDB-GENE-100311-2</v>
      </c>
      <c r="E6465" t="s">
        <v>19365</v>
      </c>
    </row>
    <row r="6466" spans="1:5" x14ac:dyDescent="0.2">
      <c r="A6466" t="s">
        <v>19366</v>
      </c>
      <c r="B6466" t="s">
        <v>19367</v>
      </c>
      <c r="C6466" t="s">
        <v>19367</v>
      </c>
      <c r="D6466" t="str">
        <f>HYPERLINK("https://zfin.org/ZDB-GENE-070615-35")</f>
        <v>https://zfin.org/ZDB-GENE-070615-35</v>
      </c>
      <c r="E6466" t="s">
        <v>19368</v>
      </c>
    </row>
    <row r="6467" spans="1:5" x14ac:dyDescent="0.2">
      <c r="A6467" t="s">
        <v>19369</v>
      </c>
      <c r="B6467" t="s">
        <v>19370</v>
      </c>
      <c r="C6467" t="s">
        <v>19370</v>
      </c>
      <c r="D6467" t="str">
        <f>HYPERLINK("https://zfin.org/ZDB-GENE-030131-2694")</f>
        <v>https://zfin.org/ZDB-GENE-030131-2694</v>
      </c>
      <c r="E6467" t="s">
        <v>19371</v>
      </c>
    </row>
    <row r="6468" spans="1:5" x14ac:dyDescent="0.2">
      <c r="A6468" t="s">
        <v>19372</v>
      </c>
      <c r="B6468" t="s">
        <v>19373</v>
      </c>
      <c r="C6468" t="s">
        <v>19373</v>
      </c>
      <c r="D6468" t="str">
        <f>HYPERLINK("https://zfin.org/ZDB-GENE-040426-1733")</f>
        <v>https://zfin.org/ZDB-GENE-040426-1733</v>
      </c>
      <c r="E6468" t="s">
        <v>19374</v>
      </c>
    </row>
    <row r="6469" spans="1:5" x14ac:dyDescent="0.2">
      <c r="A6469" t="s">
        <v>19375</v>
      </c>
      <c r="B6469" t="s">
        <v>19376</v>
      </c>
      <c r="C6469" t="s">
        <v>19376</v>
      </c>
      <c r="D6469" t="str">
        <f>HYPERLINK("https://zfin.org/ZDB-GENE-080502-1")</f>
        <v>https://zfin.org/ZDB-GENE-080502-1</v>
      </c>
      <c r="E6469" t="s">
        <v>19377</v>
      </c>
    </row>
    <row r="6470" spans="1:5" x14ac:dyDescent="0.2">
      <c r="A6470" t="s">
        <v>19378</v>
      </c>
      <c r="B6470" t="s">
        <v>19379</v>
      </c>
      <c r="C6470" t="s">
        <v>19379</v>
      </c>
      <c r="D6470" t="str">
        <f>HYPERLINK("https://zfin.org/ZDB-GENE-100921-61")</f>
        <v>https://zfin.org/ZDB-GENE-100921-61</v>
      </c>
      <c r="E6470" t="s">
        <v>19380</v>
      </c>
    </row>
    <row r="6471" spans="1:5" x14ac:dyDescent="0.2">
      <c r="A6471" t="s">
        <v>19381</v>
      </c>
      <c r="B6471" t="s">
        <v>19382</v>
      </c>
      <c r="C6471" t="s">
        <v>19382</v>
      </c>
      <c r="D6471" t="str">
        <f>HYPERLINK("https://zfin.org/ZDB-GENE-040426-1682")</f>
        <v>https://zfin.org/ZDB-GENE-040426-1682</v>
      </c>
      <c r="E6471" t="s">
        <v>19383</v>
      </c>
    </row>
    <row r="6472" spans="1:5" x14ac:dyDescent="0.2">
      <c r="A6472" t="s">
        <v>19384</v>
      </c>
      <c r="B6472" t="s">
        <v>19385</v>
      </c>
      <c r="C6472" t="s">
        <v>19385</v>
      </c>
      <c r="D6472" t="str">
        <f>HYPERLINK("https://zfin.org/ZDB-GENE-110913-33")</f>
        <v>https://zfin.org/ZDB-GENE-110913-33</v>
      </c>
      <c r="E6472" t="s">
        <v>19386</v>
      </c>
    </row>
    <row r="6473" spans="1:5" x14ac:dyDescent="0.2">
      <c r="A6473" t="s">
        <v>19387</v>
      </c>
      <c r="B6473" t="s">
        <v>19388</v>
      </c>
      <c r="C6473" t="s">
        <v>19388</v>
      </c>
      <c r="D6473" t="str">
        <f>HYPERLINK("https://zfin.org/ZDB-GENE-040801-99")</f>
        <v>https://zfin.org/ZDB-GENE-040801-99</v>
      </c>
      <c r="E6473" t="s">
        <v>19389</v>
      </c>
    </row>
    <row r="6474" spans="1:5" x14ac:dyDescent="0.2">
      <c r="A6474" t="s">
        <v>19390</v>
      </c>
      <c r="B6474" t="s">
        <v>19391</v>
      </c>
      <c r="C6474" t="s">
        <v>19391</v>
      </c>
      <c r="D6474" t="str">
        <f>HYPERLINK("https://zfin.org/ZDB-GENE-030131-4505")</f>
        <v>https://zfin.org/ZDB-GENE-030131-4505</v>
      </c>
      <c r="E6474" t="s">
        <v>19392</v>
      </c>
    </row>
    <row r="6475" spans="1:5" x14ac:dyDescent="0.2">
      <c r="A6475" t="s">
        <v>19393</v>
      </c>
      <c r="B6475" t="s">
        <v>19394</v>
      </c>
      <c r="C6475" t="s">
        <v>19394</v>
      </c>
      <c r="D6475" t="str">
        <f>HYPERLINK("https://zfin.org/ZDB-GENE-061013-752")</f>
        <v>https://zfin.org/ZDB-GENE-061013-752</v>
      </c>
      <c r="E6475" t="s">
        <v>19395</v>
      </c>
    </row>
    <row r="6476" spans="1:5" x14ac:dyDescent="0.2">
      <c r="A6476" t="s">
        <v>19396</v>
      </c>
      <c r="B6476" t="s">
        <v>19397</v>
      </c>
      <c r="C6476" t="s">
        <v>19397</v>
      </c>
      <c r="D6476" t="str">
        <f>HYPERLINK("https://zfin.org/ZDB-GENE-131121-567")</f>
        <v>https://zfin.org/ZDB-GENE-131121-567</v>
      </c>
      <c r="E6476" t="s">
        <v>19398</v>
      </c>
    </row>
    <row r="6477" spans="1:5" x14ac:dyDescent="0.2">
      <c r="A6477" t="s">
        <v>19399</v>
      </c>
      <c r="B6477" t="s">
        <v>19400</v>
      </c>
      <c r="C6477" t="s">
        <v>19400</v>
      </c>
      <c r="D6477" t="str">
        <f>HYPERLINK("https://zfin.org/ZDB-GENE-050320-153")</f>
        <v>https://zfin.org/ZDB-GENE-050320-153</v>
      </c>
      <c r="E6477" t="s">
        <v>19401</v>
      </c>
    </row>
    <row r="6478" spans="1:5" x14ac:dyDescent="0.2">
      <c r="A6478" t="s">
        <v>19402</v>
      </c>
      <c r="B6478" t="s">
        <v>19403</v>
      </c>
      <c r="C6478" t="s">
        <v>19403</v>
      </c>
      <c r="D6478" t="str">
        <f>HYPERLINK("https://zfin.org/ZDB-GENE-061013-318")</f>
        <v>https://zfin.org/ZDB-GENE-061013-318</v>
      </c>
      <c r="E6478" t="s">
        <v>19404</v>
      </c>
    </row>
    <row r="6479" spans="1:5" x14ac:dyDescent="0.2">
      <c r="A6479" t="s">
        <v>19405</v>
      </c>
      <c r="B6479" t="s">
        <v>19406</v>
      </c>
      <c r="C6479" t="s">
        <v>19406</v>
      </c>
      <c r="D6479" t="str">
        <f>HYPERLINK("https://zfin.org/ZDB-GENE-060825-222")</f>
        <v>https://zfin.org/ZDB-GENE-060825-222</v>
      </c>
      <c r="E6479" t="s">
        <v>19407</v>
      </c>
    </row>
    <row r="6480" spans="1:5" x14ac:dyDescent="0.2">
      <c r="A6480" t="s">
        <v>19408</v>
      </c>
      <c r="B6480" t="s">
        <v>19409</v>
      </c>
      <c r="C6480" t="s">
        <v>19409</v>
      </c>
      <c r="D6480" t="str">
        <f>HYPERLINK("https://zfin.org/ZDB-GENE-110914-113")</f>
        <v>https://zfin.org/ZDB-GENE-110914-113</v>
      </c>
      <c r="E6480" t="s">
        <v>19410</v>
      </c>
    </row>
    <row r="6481" spans="1:5" x14ac:dyDescent="0.2">
      <c r="A6481" t="s">
        <v>19411</v>
      </c>
      <c r="B6481" t="s">
        <v>19412</v>
      </c>
      <c r="C6481" t="s">
        <v>19412</v>
      </c>
      <c r="D6481" t="str">
        <f>HYPERLINK("https://zfin.org/ZDB-GENE-110331-1")</f>
        <v>https://zfin.org/ZDB-GENE-110331-1</v>
      </c>
      <c r="E6481" t="s">
        <v>19413</v>
      </c>
    </row>
    <row r="6482" spans="1:5" x14ac:dyDescent="0.2">
      <c r="A6482" t="s">
        <v>19414</v>
      </c>
      <c r="B6482" t="s">
        <v>19415</v>
      </c>
      <c r="C6482" t="s">
        <v>19415</v>
      </c>
      <c r="D6482" t="str">
        <f>HYPERLINK("https://zfin.org/ZDB-GENE-050126-1")</f>
        <v>https://zfin.org/ZDB-GENE-050126-1</v>
      </c>
      <c r="E6482" t="s">
        <v>19416</v>
      </c>
    </row>
    <row r="6483" spans="1:5" x14ac:dyDescent="0.2">
      <c r="A6483" t="s">
        <v>19417</v>
      </c>
      <c r="B6483" t="s">
        <v>19418</v>
      </c>
      <c r="C6483" t="s">
        <v>19418</v>
      </c>
      <c r="D6483" t="str">
        <f>HYPERLINK("https://zfin.org/ZDB-GENE-070912-395")</f>
        <v>https://zfin.org/ZDB-GENE-070912-395</v>
      </c>
      <c r="E6483" t="s">
        <v>19419</v>
      </c>
    </row>
    <row r="6484" spans="1:5" x14ac:dyDescent="0.2">
      <c r="A6484" t="s">
        <v>19420</v>
      </c>
      <c r="B6484" t="s">
        <v>19421</v>
      </c>
      <c r="C6484" t="s">
        <v>19421</v>
      </c>
      <c r="D6484" t="str">
        <f>HYPERLINK("https://zfin.org/ZDB-GENE-080718-4")</f>
        <v>https://zfin.org/ZDB-GENE-080718-4</v>
      </c>
      <c r="E6484" t="s">
        <v>19422</v>
      </c>
    </row>
    <row r="6485" spans="1:5" x14ac:dyDescent="0.2">
      <c r="A6485" t="s">
        <v>19423</v>
      </c>
      <c r="B6485" t="s">
        <v>19424</v>
      </c>
      <c r="C6485" t="s">
        <v>19424</v>
      </c>
      <c r="D6485" t="str">
        <f>HYPERLINK("https://zfin.org/ZDB-GENE-081022-78")</f>
        <v>https://zfin.org/ZDB-GENE-081022-78</v>
      </c>
      <c r="E6485" t="s">
        <v>19425</v>
      </c>
    </row>
    <row r="6486" spans="1:5" x14ac:dyDescent="0.2">
      <c r="A6486" t="s">
        <v>19426</v>
      </c>
      <c r="B6486" t="s">
        <v>19427</v>
      </c>
      <c r="C6486" t="s">
        <v>19427</v>
      </c>
      <c r="D6486" t="str">
        <f>HYPERLINK("https://zfin.org/ZDB-GENE-060503-539")</f>
        <v>https://zfin.org/ZDB-GENE-060503-539</v>
      </c>
      <c r="E6486" t="s">
        <v>19428</v>
      </c>
    </row>
    <row r="6487" spans="1:5" x14ac:dyDescent="0.2">
      <c r="A6487" t="s">
        <v>19429</v>
      </c>
      <c r="B6487" t="s">
        <v>19430</v>
      </c>
      <c r="C6487" t="s">
        <v>19430</v>
      </c>
      <c r="D6487" t="str">
        <f>HYPERLINK("https://zfin.org/ZDB-GENE-040426-777")</f>
        <v>https://zfin.org/ZDB-GENE-040426-777</v>
      </c>
      <c r="E6487" t="s">
        <v>19431</v>
      </c>
    </row>
    <row r="6488" spans="1:5" x14ac:dyDescent="0.2">
      <c r="A6488" t="s">
        <v>19432</v>
      </c>
      <c r="B6488" t="s">
        <v>19433</v>
      </c>
      <c r="C6488" t="s">
        <v>19433</v>
      </c>
      <c r="D6488" t="str">
        <f>HYPERLINK("https://zfin.org/ZDB-GENE-031007-5")</f>
        <v>https://zfin.org/ZDB-GENE-031007-5</v>
      </c>
      <c r="E6488" t="s">
        <v>19434</v>
      </c>
    </row>
    <row r="6489" spans="1:5" x14ac:dyDescent="0.2">
      <c r="A6489" t="s">
        <v>19435</v>
      </c>
      <c r="B6489" t="s">
        <v>19436</v>
      </c>
      <c r="C6489" t="s">
        <v>19436</v>
      </c>
      <c r="D6489" t="str">
        <f>HYPERLINK("https://zfin.org/ZDB-GENE-050522-536")</f>
        <v>https://zfin.org/ZDB-GENE-050522-536</v>
      </c>
      <c r="E6489" t="s">
        <v>19437</v>
      </c>
    </row>
    <row r="6490" spans="1:5" x14ac:dyDescent="0.2">
      <c r="A6490" t="s">
        <v>19438</v>
      </c>
      <c r="B6490" t="s">
        <v>19439</v>
      </c>
      <c r="C6490" t="s">
        <v>19439</v>
      </c>
      <c r="D6490" t="str">
        <f>HYPERLINK("https://zfin.org/ZDB-GENE-091204-397")</f>
        <v>https://zfin.org/ZDB-GENE-091204-397</v>
      </c>
      <c r="E6490" t="s">
        <v>19440</v>
      </c>
    </row>
    <row r="6491" spans="1:5" x14ac:dyDescent="0.2">
      <c r="A6491" t="s">
        <v>19441</v>
      </c>
      <c r="B6491" t="s">
        <v>19442</v>
      </c>
      <c r="C6491" t="s">
        <v>19442</v>
      </c>
      <c r="D6491" t="str">
        <f>HYPERLINK("https://zfin.org/ZDB-GENE-050913-61")</f>
        <v>https://zfin.org/ZDB-GENE-050913-61</v>
      </c>
      <c r="E6491" t="s">
        <v>19443</v>
      </c>
    </row>
    <row r="6492" spans="1:5" x14ac:dyDescent="0.2">
      <c r="A6492" t="s">
        <v>19444</v>
      </c>
      <c r="B6492" t="s">
        <v>19445</v>
      </c>
      <c r="C6492" t="s">
        <v>19445</v>
      </c>
      <c r="D6492" t="str">
        <f>HYPERLINK("https://zfin.org/ZDB-GENE-050227-12")</f>
        <v>https://zfin.org/ZDB-GENE-050227-12</v>
      </c>
      <c r="E6492" t="s">
        <v>19446</v>
      </c>
    </row>
    <row r="6493" spans="1:5" x14ac:dyDescent="0.2">
      <c r="A6493" t="s">
        <v>19447</v>
      </c>
      <c r="B6493" t="s">
        <v>19448</v>
      </c>
      <c r="C6493" t="s">
        <v>19448</v>
      </c>
      <c r="D6493" t="str">
        <f>HYPERLINK("https://zfin.org/ZDB-GENE-090915-1")</f>
        <v>https://zfin.org/ZDB-GENE-090915-1</v>
      </c>
      <c r="E6493" t="s">
        <v>19449</v>
      </c>
    </row>
    <row r="6494" spans="1:5" x14ac:dyDescent="0.2">
      <c r="A6494" t="s">
        <v>19450</v>
      </c>
      <c r="B6494" t="s">
        <v>19451</v>
      </c>
      <c r="C6494" t="s">
        <v>19451</v>
      </c>
      <c r="D6494" t="str">
        <f>HYPERLINK("https://zfin.org/ZDB-GENE-040426-1498")</f>
        <v>https://zfin.org/ZDB-GENE-040426-1498</v>
      </c>
      <c r="E6494" t="s">
        <v>19452</v>
      </c>
    </row>
    <row r="6495" spans="1:5" x14ac:dyDescent="0.2">
      <c r="A6495" t="s">
        <v>19453</v>
      </c>
      <c r="B6495" t="s">
        <v>19454</v>
      </c>
      <c r="C6495" t="s">
        <v>19454</v>
      </c>
      <c r="D6495" t="str">
        <f>HYPERLINK("https://zfin.org/ZDB-GENE-090609-5")</f>
        <v>https://zfin.org/ZDB-GENE-090609-5</v>
      </c>
      <c r="E6495" t="s">
        <v>19455</v>
      </c>
    </row>
    <row r="6496" spans="1:5" x14ac:dyDescent="0.2">
      <c r="A6496" t="s">
        <v>19456</v>
      </c>
      <c r="B6496" t="s">
        <v>19085</v>
      </c>
      <c r="C6496" t="s">
        <v>19457</v>
      </c>
      <c r="D6496" t="str">
        <f>HYPERLINK("https://zfin.org/")</f>
        <v>https://zfin.org/</v>
      </c>
    </row>
    <row r="6497" spans="1:5" x14ac:dyDescent="0.2">
      <c r="A6497" t="s">
        <v>19458</v>
      </c>
      <c r="B6497" t="s">
        <v>19459</v>
      </c>
      <c r="C6497" t="s">
        <v>19459</v>
      </c>
      <c r="D6497" t="str">
        <f>HYPERLINK("https://zfin.org/ZDB-GENE-080724-7")</f>
        <v>https://zfin.org/ZDB-GENE-080724-7</v>
      </c>
      <c r="E6497" t="s">
        <v>19460</v>
      </c>
    </row>
    <row r="6498" spans="1:5" x14ac:dyDescent="0.2">
      <c r="A6498" t="s">
        <v>19461</v>
      </c>
      <c r="B6498" t="s">
        <v>19462</v>
      </c>
      <c r="C6498" t="s">
        <v>19462</v>
      </c>
      <c r="D6498" t="str">
        <f>HYPERLINK("https://zfin.org/ZDB-GENE-120406-11")</f>
        <v>https://zfin.org/ZDB-GENE-120406-11</v>
      </c>
      <c r="E6498" t="s">
        <v>19463</v>
      </c>
    </row>
    <row r="6499" spans="1:5" x14ac:dyDescent="0.2">
      <c r="A6499" t="s">
        <v>19464</v>
      </c>
      <c r="B6499" t="s">
        <v>19465</v>
      </c>
      <c r="C6499" t="s">
        <v>19465</v>
      </c>
      <c r="D6499" t="str">
        <f>HYPERLINK("https://zfin.org/ZDB-GENE-010131-6")</f>
        <v>https://zfin.org/ZDB-GENE-010131-6</v>
      </c>
      <c r="E6499" t="s">
        <v>19466</v>
      </c>
    </row>
    <row r="6500" spans="1:5" x14ac:dyDescent="0.2">
      <c r="A6500" t="s">
        <v>19467</v>
      </c>
      <c r="B6500" t="s">
        <v>19468</v>
      </c>
      <c r="C6500" t="s">
        <v>19468</v>
      </c>
      <c r="D6500" t="str">
        <f>HYPERLINK("https://zfin.org/ZDB-GENE-040121-1")</f>
        <v>https://zfin.org/ZDB-GENE-040121-1</v>
      </c>
      <c r="E6500" t="s">
        <v>19469</v>
      </c>
    </row>
    <row r="6501" spans="1:5" x14ac:dyDescent="0.2">
      <c r="A6501" t="s">
        <v>19470</v>
      </c>
      <c r="B6501" t="s">
        <v>19471</v>
      </c>
      <c r="C6501" t="s">
        <v>19471</v>
      </c>
      <c r="D6501" t="str">
        <f>HYPERLINK("https://zfin.org/ZDB-GENE-131121-510")</f>
        <v>https://zfin.org/ZDB-GENE-131121-510</v>
      </c>
      <c r="E6501" t="s">
        <v>19472</v>
      </c>
    </row>
    <row r="6502" spans="1:5" x14ac:dyDescent="0.2">
      <c r="A6502" t="s">
        <v>19473</v>
      </c>
      <c r="B6502" t="s">
        <v>19474</v>
      </c>
      <c r="C6502" t="s">
        <v>19474</v>
      </c>
      <c r="D6502" t="str">
        <f>HYPERLINK("https://zfin.org/ZDB-GENE-070410-117")</f>
        <v>https://zfin.org/ZDB-GENE-070410-117</v>
      </c>
      <c r="E6502" t="s">
        <v>19475</v>
      </c>
    </row>
    <row r="6503" spans="1:5" x14ac:dyDescent="0.2">
      <c r="A6503" t="s">
        <v>19476</v>
      </c>
      <c r="B6503" t="s">
        <v>19477</v>
      </c>
      <c r="C6503" t="s">
        <v>19477</v>
      </c>
      <c r="D6503" t="str">
        <f>HYPERLINK("https://zfin.org/ZDB-GENE-050913-31")</f>
        <v>https://zfin.org/ZDB-GENE-050913-31</v>
      </c>
      <c r="E6503" t="s">
        <v>19478</v>
      </c>
    </row>
    <row r="6504" spans="1:5" x14ac:dyDescent="0.2">
      <c r="A6504" t="s">
        <v>19479</v>
      </c>
      <c r="B6504" t="s">
        <v>19480</v>
      </c>
      <c r="C6504" t="s">
        <v>19480</v>
      </c>
      <c r="D6504" t="str">
        <f>HYPERLINK("https://zfin.org/ZDB-GENE-060929-1234")</f>
        <v>https://zfin.org/ZDB-GENE-060929-1234</v>
      </c>
      <c r="E6504" t="s">
        <v>19481</v>
      </c>
    </row>
    <row r="6505" spans="1:5" x14ac:dyDescent="0.2">
      <c r="A6505" t="s">
        <v>19482</v>
      </c>
      <c r="B6505" t="s">
        <v>19483</v>
      </c>
      <c r="C6505" t="s">
        <v>19483</v>
      </c>
      <c r="D6505" t="str">
        <f>HYPERLINK("https://zfin.org/ZDB-GENE-050417-87")</f>
        <v>https://zfin.org/ZDB-GENE-050417-87</v>
      </c>
      <c r="E6505" t="s">
        <v>19484</v>
      </c>
    </row>
    <row r="6506" spans="1:5" x14ac:dyDescent="0.2">
      <c r="A6506" t="s">
        <v>19485</v>
      </c>
      <c r="B6506" t="s">
        <v>19486</v>
      </c>
      <c r="C6506" t="s">
        <v>19486</v>
      </c>
      <c r="D6506" t="str">
        <f>HYPERLINK("https://zfin.org/ZDB-GENE-041111-260")</f>
        <v>https://zfin.org/ZDB-GENE-041111-260</v>
      </c>
      <c r="E6506" t="s">
        <v>19487</v>
      </c>
    </row>
    <row r="6507" spans="1:5" x14ac:dyDescent="0.2">
      <c r="A6507" t="s">
        <v>19488</v>
      </c>
      <c r="B6507" t="s">
        <v>19489</v>
      </c>
      <c r="C6507" t="s">
        <v>19489</v>
      </c>
      <c r="D6507" t="str">
        <f>HYPERLINK("https://zfin.org/ZDB-GENE-040927-14")</f>
        <v>https://zfin.org/ZDB-GENE-040927-14</v>
      </c>
      <c r="E6507" t="s">
        <v>19490</v>
      </c>
    </row>
    <row r="6508" spans="1:5" x14ac:dyDescent="0.2">
      <c r="A6508" t="s">
        <v>19491</v>
      </c>
      <c r="B6508" t="s">
        <v>19492</v>
      </c>
      <c r="C6508" t="s">
        <v>19492</v>
      </c>
      <c r="D6508" t="str">
        <f>HYPERLINK("https://zfin.org/ZDB-GENE-050522-301")</f>
        <v>https://zfin.org/ZDB-GENE-050522-301</v>
      </c>
      <c r="E6508" t="s">
        <v>19493</v>
      </c>
    </row>
    <row r="6509" spans="1:5" x14ac:dyDescent="0.2">
      <c r="A6509" t="s">
        <v>19494</v>
      </c>
      <c r="B6509" t="s">
        <v>19495</v>
      </c>
      <c r="C6509" t="s">
        <v>19495</v>
      </c>
      <c r="D6509" t="str">
        <f>HYPERLINK("https://zfin.org/ZDB-GENE-041010-89")</f>
        <v>https://zfin.org/ZDB-GENE-041010-89</v>
      </c>
      <c r="E6509" t="s">
        <v>19496</v>
      </c>
    </row>
    <row r="6510" spans="1:5" x14ac:dyDescent="0.2">
      <c r="A6510" t="s">
        <v>19497</v>
      </c>
      <c r="B6510" t="s">
        <v>19498</v>
      </c>
      <c r="C6510" t="s">
        <v>19498</v>
      </c>
      <c r="D6510" t="str">
        <f>HYPERLINK("https://zfin.org/ZDB-GENE-050419-183")</f>
        <v>https://zfin.org/ZDB-GENE-050419-183</v>
      </c>
      <c r="E6510" t="s">
        <v>19499</v>
      </c>
    </row>
    <row r="6511" spans="1:5" x14ac:dyDescent="0.2">
      <c r="A6511" t="s">
        <v>19500</v>
      </c>
      <c r="B6511" t="s">
        <v>19501</v>
      </c>
      <c r="C6511" t="s">
        <v>19501</v>
      </c>
      <c r="D6511" t="str">
        <f>HYPERLINK("https://zfin.org/ZDB-GENE-040426-1370")</f>
        <v>https://zfin.org/ZDB-GENE-040426-1370</v>
      </c>
      <c r="E6511" t="s">
        <v>19502</v>
      </c>
    </row>
    <row r="6512" spans="1:5" x14ac:dyDescent="0.2">
      <c r="A6512" t="s">
        <v>19503</v>
      </c>
      <c r="B6512" t="s">
        <v>19504</v>
      </c>
      <c r="C6512" t="s">
        <v>19504</v>
      </c>
      <c r="D6512" t="str">
        <f>HYPERLINK("https://zfin.org/ZDB-GENE-040426-911")</f>
        <v>https://zfin.org/ZDB-GENE-040426-911</v>
      </c>
      <c r="E6512" t="s">
        <v>19505</v>
      </c>
    </row>
    <row r="6513" spans="1:5" x14ac:dyDescent="0.2">
      <c r="A6513" t="s">
        <v>19506</v>
      </c>
      <c r="B6513" t="s">
        <v>19507</v>
      </c>
      <c r="C6513" t="s">
        <v>19507</v>
      </c>
      <c r="D6513" t="str">
        <f>HYPERLINK("https://zfin.org/ZDB-GENE-010319-27")</f>
        <v>https://zfin.org/ZDB-GENE-010319-27</v>
      </c>
      <c r="E6513" t="s">
        <v>19508</v>
      </c>
    </row>
    <row r="6514" spans="1:5" x14ac:dyDescent="0.2">
      <c r="A6514" t="s">
        <v>19509</v>
      </c>
      <c r="B6514" t="s">
        <v>19510</v>
      </c>
      <c r="C6514" t="s">
        <v>19510</v>
      </c>
      <c r="D6514" t="str">
        <f>HYPERLINK("https://zfin.org/ZDB-GENE-081008-1")</f>
        <v>https://zfin.org/ZDB-GENE-081008-1</v>
      </c>
      <c r="E6514" t="s">
        <v>19511</v>
      </c>
    </row>
    <row r="6515" spans="1:5" x14ac:dyDescent="0.2">
      <c r="A6515" t="s">
        <v>19512</v>
      </c>
      <c r="B6515" t="s">
        <v>19513</v>
      </c>
      <c r="C6515" t="s">
        <v>19513</v>
      </c>
      <c r="D6515" t="str">
        <f>HYPERLINK("https://zfin.org/ZDB-GENE-110411-190")</f>
        <v>https://zfin.org/ZDB-GENE-110411-190</v>
      </c>
      <c r="E6515" t="s">
        <v>19514</v>
      </c>
    </row>
    <row r="6516" spans="1:5" x14ac:dyDescent="0.2">
      <c r="A6516" t="s">
        <v>19515</v>
      </c>
      <c r="B6516" t="s">
        <v>19516</v>
      </c>
      <c r="C6516" t="s">
        <v>19516</v>
      </c>
      <c r="D6516" t="str">
        <f>HYPERLINK("https://zfin.org/ZDB-GENE-081104-120")</f>
        <v>https://zfin.org/ZDB-GENE-081104-120</v>
      </c>
      <c r="E6516" t="s">
        <v>19517</v>
      </c>
    </row>
    <row r="6517" spans="1:5" x14ac:dyDescent="0.2">
      <c r="A6517" t="s">
        <v>19518</v>
      </c>
      <c r="B6517" t="s">
        <v>19519</v>
      </c>
      <c r="C6517" t="s">
        <v>19519</v>
      </c>
      <c r="D6517" t="str">
        <f>HYPERLINK("https://zfin.org/ZDB-GENE-060718-1")</f>
        <v>https://zfin.org/ZDB-GENE-060718-1</v>
      </c>
      <c r="E6517" t="s">
        <v>19520</v>
      </c>
    </row>
    <row r="6518" spans="1:5" x14ac:dyDescent="0.2">
      <c r="A6518" t="s">
        <v>19521</v>
      </c>
      <c r="B6518" t="s">
        <v>19522</v>
      </c>
      <c r="C6518" t="s">
        <v>19522</v>
      </c>
      <c r="D6518" t="str">
        <f>HYPERLINK("https://zfin.org/ZDB-GENE-040718-248")</f>
        <v>https://zfin.org/ZDB-GENE-040718-248</v>
      </c>
      <c r="E6518" t="s">
        <v>19523</v>
      </c>
    </row>
    <row r="6519" spans="1:5" x14ac:dyDescent="0.2">
      <c r="A6519" t="s">
        <v>19524</v>
      </c>
      <c r="B6519" t="s">
        <v>19525</v>
      </c>
      <c r="C6519" t="s">
        <v>19525</v>
      </c>
      <c r="D6519" t="str">
        <f>HYPERLINK("https://zfin.org/ZDB-GENE-020213-2")</f>
        <v>https://zfin.org/ZDB-GENE-020213-2</v>
      </c>
      <c r="E6519" t="s">
        <v>19526</v>
      </c>
    </row>
    <row r="6520" spans="1:5" x14ac:dyDescent="0.2">
      <c r="A6520" t="s">
        <v>19527</v>
      </c>
      <c r="B6520" t="s">
        <v>19528</v>
      </c>
      <c r="C6520" t="s">
        <v>19528</v>
      </c>
      <c r="D6520" t="str">
        <f>HYPERLINK("https://zfin.org/ZDB-GENE-060512-201")</f>
        <v>https://zfin.org/ZDB-GENE-060512-201</v>
      </c>
      <c r="E6520" t="s">
        <v>19529</v>
      </c>
    </row>
    <row r="6521" spans="1:5" x14ac:dyDescent="0.2">
      <c r="A6521" t="s">
        <v>19530</v>
      </c>
      <c r="B6521" t="s">
        <v>19531</v>
      </c>
      <c r="C6521" t="s">
        <v>19531</v>
      </c>
      <c r="D6521" t="str">
        <f>HYPERLINK("https://zfin.org/ZDB-GENE-040426-2069")</f>
        <v>https://zfin.org/ZDB-GENE-040426-2069</v>
      </c>
      <c r="E6521" t="s">
        <v>19532</v>
      </c>
    </row>
    <row r="6522" spans="1:5" x14ac:dyDescent="0.2">
      <c r="A6522" t="s">
        <v>19533</v>
      </c>
      <c r="B6522" t="s">
        <v>19534</v>
      </c>
      <c r="C6522" t="s">
        <v>19534</v>
      </c>
      <c r="D6522" t="str">
        <f>HYPERLINK("https://zfin.org/ZDB-GENE-020122-3")</f>
        <v>https://zfin.org/ZDB-GENE-020122-3</v>
      </c>
      <c r="E6522" t="s">
        <v>19535</v>
      </c>
    </row>
    <row r="6523" spans="1:5" x14ac:dyDescent="0.2">
      <c r="A6523" t="s">
        <v>19536</v>
      </c>
      <c r="B6523" t="s">
        <v>19537</v>
      </c>
      <c r="C6523" t="s">
        <v>19537</v>
      </c>
      <c r="D6523" t="str">
        <f>HYPERLINK("https://zfin.org/ZDB-GENE-030131-9438")</f>
        <v>https://zfin.org/ZDB-GENE-030131-9438</v>
      </c>
      <c r="E6523" t="s">
        <v>19538</v>
      </c>
    </row>
    <row r="6524" spans="1:5" x14ac:dyDescent="0.2">
      <c r="A6524" t="s">
        <v>19539</v>
      </c>
      <c r="B6524" t="s">
        <v>19540</v>
      </c>
      <c r="C6524" t="s">
        <v>19540</v>
      </c>
      <c r="D6524" t="str">
        <f>HYPERLINK("https://zfin.org/ZDB-GENE-110913-100")</f>
        <v>https://zfin.org/ZDB-GENE-110913-100</v>
      </c>
      <c r="E6524" t="s">
        <v>19541</v>
      </c>
    </row>
    <row r="6525" spans="1:5" x14ac:dyDescent="0.2">
      <c r="A6525" t="s">
        <v>19542</v>
      </c>
      <c r="B6525" t="s">
        <v>19543</v>
      </c>
      <c r="C6525" t="s">
        <v>19543</v>
      </c>
      <c r="D6525" t="str">
        <f>HYPERLINK("https://zfin.org/ZDB-GENE-050417-416")</f>
        <v>https://zfin.org/ZDB-GENE-050417-416</v>
      </c>
      <c r="E6525" t="s">
        <v>19544</v>
      </c>
    </row>
    <row r="6526" spans="1:5" x14ac:dyDescent="0.2">
      <c r="A6526" t="s">
        <v>19545</v>
      </c>
      <c r="B6526" t="s">
        <v>19546</v>
      </c>
      <c r="C6526" t="s">
        <v>19546</v>
      </c>
      <c r="D6526" t="str">
        <f>HYPERLINK("https://zfin.org/ZDB-GENE-040718-296")</f>
        <v>https://zfin.org/ZDB-GENE-040718-296</v>
      </c>
      <c r="E6526" t="s">
        <v>19547</v>
      </c>
    </row>
    <row r="6527" spans="1:5" x14ac:dyDescent="0.2">
      <c r="A6527" t="s">
        <v>19548</v>
      </c>
      <c r="B6527" t="s">
        <v>19549</v>
      </c>
      <c r="C6527" t="s">
        <v>19549</v>
      </c>
      <c r="D6527" t="str">
        <f>HYPERLINK("https://zfin.org/ZDB-GENE-120910-1")</f>
        <v>https://zfin.org/ZDB-GENE-120910-1</v>
      </c>
      <c r="E6527" t="s">
        <v>19550</v>
      </c>
    </row>
    <row r="6528" spans="1:5" x14ac:dyDescent="0.2">
      <c r="A6528" t="s">
        <v>19551</v>
      </c>
      <c r="B6528" t="s">
        <v>19552</v>
      </c>
      <c r="C6528" t="s">
        <v>19552</v>
      </c>
      <c r="D6528" t="str">
        <f>HYPERLINK("https://zfin.org/ZDB-GENE-050522-167")</f>
        <v>https://zfin.org/ZDB-GENE-050522-167</v>
      </c>
      <c r="E6528" t="s">
        <v>19553</v>
      </c>
    </row>
    <row r="6529" spans="1:5" x14ac:dyDescent="0.2">
      <c r="A6529" t="s">
        <v>19554</v>
      </c>
      <c r="B6529" t="s">
        <v>19555</v>
      </c>
      <c r="C6529" t="s">
        <v>19555</v>
      </c>
      <c r="D6529" t="str">
        <f>HYPERLINK("https://zfin.org/ZDB-GENE-081022-37")</f>
        <v>https://zfin.org/ZDB-GENE-081022-37</v>
      </c>
      <c r="E6529" t="s">
        <v>19556</v>
      </c>
    </row>
    <row r="6530" spans="1:5" x14ac:dyDescent="0.2">
      <c r="A6530" t="s">
        <v>19557</v>
      </c>
      <c r="B6530" t="s">
        <v>19558</v>
      </c>
      <c r="C6530" t="s">
        <v>19558</v>
      </c>
      <c r="D6530" t="str">
        <f>HYPERLINK("https://zfin.org/ZDB-GENE-000607-78")</f>
        <v>https://zfin.org/ZDB-GENE-000607-78</v>
      </c>
      <c r="E6530" t="s">
        <v>19559</v>
      </c>
    </row>
    <row r="6531" spans="1:5" x14ac:dyDescent="0.2">
      <c r="A6531" t="s">
        <v>19560</v>
      </c>
      <c r="B6531" t="s">
        <v>19561</v>
      </c>
      <c r="C6531" t="s">
        <v>19561</v>
      </c>
      <c r="D6531" t="str">
        <f>HYPERLINK("https://zfin.org/ZDB-GENE-121214-259")</f>
        <v>https://zfin.org/ZDB-GENE-121214-259</v>
      </c>
      <c r="E6531" t="s">
        <v>19562</v>
      </c>
    </row>
    <row r="6532" spans="1:5" x14ac:dyDescent="0.2">
      <c r="A6532" t="s">
        <v>19563</v>
      </c>
      <c r="B6532" t="s">
        <v>19564</v>
      </c>
      <c r="C6532" t="s">
        <v>19564</v>
      </c>
      <c r="D6532" t="str">
        <f>HYPERLINK("https://zfin.org/ZDB-GENE-040426-2082")</f>
        <v>https://zfin.org/ZDB-GENE-040426-2082</v>
      </c>
      <c r="E6532" t="s">
        <v>19565</v>
      </c>
    </row>
    <row r="6533" spans="1:5" x14ac:dyDescent="0.2">
      <c r="A6533" t="s">
        <v>19566</v>
      </c>
      <c r="B6533" t="s">
        <v>19567</v>
      </c>
      <c r="C6533" t="s">
        <v>19567</v>
      </c>
      <c r="D6533" t="str">
        <f>HYPERLINK("https://zfin.org/ZDB-GENE-040426-1897")</f>
        <v>https://zfin.org/ZDB-GENE-040426-1897</v>
      </c>
      <c r="E6533" t="s">
        <v>19568</v>
      </c>
    </row>
    <row r="6534" spans="1:5" x14ac:dyDescent="0.2">
      <c r="A6534" t="s">
        <v>19569</v>
      </c>
      <c r="B6534" t="s">
        <v>19570</v>
      </c>
      <c r="C6534" t="s">
        <v>19570</v>
      </c>
      <c r="D6534" t="str">
        <f>HYPERLINK("https://zfin.org/ZDB-GENE-040305-2")</f>
        <v>https://zfin.org/ZDB-GENE-040305-2</v>
      </c>
      <c r="E6534" t="s">
        <v>19571</v>
      </c>
    </row>
    <row r="6535" spans="1:5" x14ac:dyDescent="0.2">
      <c r="A6535" t="s">
        <v>19572</v>
      </c>
      <c r="B6535" t="s">
        <v>19573</v>
      </c>
      <c r="C6535" t="s">
        <v>19573</v>
      </c>
      <c r="D6535" t="str">
        <f>HYPERLINK("https://zfin.org/ZDB-GENE-040718-453")</f>
        <v>https://zfin.org/ZDB-GENE-040718-453</v>
      </c>
      <c r="E6535" t="s">
        <v>19574</v>
      </c>
    </row>
    <row r="6536" spans="1:5" x14ac:dyDescent="0.2">
      <c r="A6536" t="s">
        <v>19575</v>
      </c>
      <c r="B6536" t="s">
        <v>19576</v>
      </c>
      <c r="C6536" t="s">
        <v>19576</v>
      </c>
      <c r="D6536" t="str">
        <f>HYPERLINK("https://zfin.org/ZDB-GENE-131120-62")</f>
        <v>https://zfin.org/ZDB-GENE-131120-62</v>
      </c>
      <c r="E6536" t="s">
        <v>19577</v>
      </c>
    </row>
    <row r="6537" spans="1:5" x14ac:dyDescent="0.2">
      <c r="A6537" t="s">
        <v>19578</v>
      </c>
      <c r="B6537" t="s">
        <v>19579</v>
      </c>
      <c r="C6537" t="s">
        <v>19579</v>
      </c>
      <c r="D6537" t="str">
        <f>HYPERLINK("https://zfin.org/ZDB-GENE-040614-4")</f>
        <v>https://zfin.org/ZDB-GENE-040614-4</v>
      </c>
      <c r="E6537" t="s">
        <v>19580</v>
      </c>
    </row>
    <row r="6538" spans="1:5" x14ac:dyDescent="0.2">
      <c r="A6538" t="s">
        <v>19581</v>
      </c>
      <c r="B6538" t="s">
        <v>19582</v>
      </c>
      <c r="C6538" t="s">
        <v>19582</v>
      </c>
      <c r="D6538" t="str">
        <f>HYPERLINK("https://zfin.org/ZDB-GENE-050506-90")</f>
        <v>https://zfin.org/ZDB-GENE-050506-90</v>
      </c>
      <c r="E6538" t="s">
        <v>19583</v>
      </c>
    </row>
    <row r="6539" spans="1:5" x14ac:dyDescent="0.2">
      <c r="A6539" t="s">
        <v>19584</v>
      </c>
      <c r="B6539" t="s">
        <v>19585</v>
      </c>
      <c r="C6539" t="s">
        <v>19585</v>
      </c>
      <c r="D6539" t="str">
        <f>HYPERLINK("https://zfin.org/ZDB-GENE-030131-6168")</f>
        <v>https://zfin.org/ZDB-GENE-030131-6168</v>
      </c>
      <c r="E6539" t="s">
        <v>19586</v>
      </c>
    </row>
    <row r="6540" spans="1:5" x14ac:dyDescent="0.2">
      <c r="A6540" t="s">
        <v>19587</v>
      </c>
      <c r="B6540" t="s">
        <v>19588</v>
      </c>
      <c r="C6540" t="s">
        <v>19588</v>
      </c>
      <c r="D6540" t="str">
        <f>HYPERLINK("https://zfin.org/ZDB-GENE-070424-269")</f>
        <v>https://zfin.org/ZDB-GENE-070424-269</v>
      </c>
      <c r="E6540" t="s">
        <v>19589</v>
      </c>
    </row>
    <row r="6541" spans="1:5" x14ac:dyDescent="0.2">
      <c r="A6541" t="s">
        <v>19590</v>
      </c>
      <c r="B6541" t="s">
        <v>19591</v>
      </c>
      <c r="C6541" t="s">
        <v>19591</v>
      </c>
      <c r="D6541" t="str">
        <f>HYPERLINK("https://zfin.org/ZDB-GENE-040718-26")</f>
        <v>https://zfin.org/ZDB-GENE-040718-26</v>
      </c>
      <c r="E6541" t="s">
        <v>19592</v>
      </c>
    </row>
    <row r="6542" spans="1:5" x14ac:dyDescent="0.2">
      <c r="A6542" t="s">
        <v>19593</v>
      </c>
      <c r="B6542" t="s">
        <v>19594</v>
      </c>
      <c r="C6542" t="s">
        <v>19594</v>
      </c>
      <c r="D6542" t="str">
        <f>HYPERLINK("https://zfin.org/ZDB-GENE-040426-2793")</f>
        <v>https://zfin.org/ZDB-GENE-040426-2793</v>
      </c>
      <c r="E6542" t="s">
        <v>19595</v>
      </c>
    </row>
    <row r="6543" spans="1:5" x14ac:dyDescent="0.2">
      <c r="A6543" t="s">
        <v>19596</v>
      </c>
      <c r="B6543" t="s">
        <v>19597</v>
      </c>
      <c r="C6543" t="s">
        <v>19597</v>
      </c>
      <c r="D6543" t="str">
        <f>HYPERLINK("https://zfin.org/ZDB-GENE-030131-8606")</f>
        <v>https://zfin.org/ZDB-GENE-030131-8606</v>
      </c>
      <c r="E6543" t="s">
        <v>19598</v>
      </c>
    </row>
    <row r="6544" spans="1:5" x14ac:dyDescent="0.2">
      <c r="A6544" t="s">
        <v>19599</v>
      </c>
      <c r="B6544" t="s">
        <v>19600</v>
      </c>
      <c r="C6544" t="s">
        <v>19600</v>
      </c>
      <c r="D6544" t="str">
        <f>HYPERLINK("https://zfin.org/ZDB-GENE-121214-154")</f>
        <v>https://zfin.org/ZDB-GENE-121214-154</v>
      </c>
      <c r="E6544" t="s">
        <v>19601</v>
      </c>
    </row>
    <row r="6545" spans="1:5" x14ac:dyDescent="0.2">
      <c r="A6545" t="s">
        <v>19602</v>
      </c>
      <c r="B6545" t="s">
        <v>19603</v>
      </c>
      <c r="C6545" t="s">
        <v>19603</v>
      </c>
      <c r="D6545" t="str">
        <f>HYPERLINK("https://zfin.org/ZDB-GENE-061013-797")</f>
        <v>https://zfin.org/ZDB-GENE-061013-797</v>
      </c>
      <c r="E6545" t="s">
        <v>19604</v>
      </c>
    </row>
    <row r="6546" spans="1:5" x14ac:dyDescent="0.2">
      <c r="A6546" t="s">
        <v>19605</v>
      </c>
      <c r="B6546" t="s">
        <v>19606</v>
      </c>
      <c r="C6546" t="s">
        <v>19606</v>
      </c>
      <c r="D6546" t="str">
        <f>HYPERLINK("https://zfin.org/ZDB-GENE-030616-60")</f>
        <v>https://zfin.org/ZDB-GENE-030616-60</v>
      </c>
      <c r="E6546" t="s">
        <v>19607</v>
      </c>
    </row>
    <row r="6547" spans="1:5" x14ac:dyDescent="0.2">
      <c r="A6547" t="s">
        <v>19608</v>
      </c>
      <c r="B6547" t="s">
        <v>19609</v>
      </c>
      <c r="C6547" t="s">
        <v>19609</v>
      </c>
      <c r="D6547" t="str">
        <f>HYPERLINK("https://zfin.org/ZDB-GENE-040426-789")</f>
        <v>https://zfin.org/ZDB-GENE-040426-789</v>
      </c>
      <c r="E6547" t="s">
        <v>19610</v>
      </c>
    </row>
    <row r="6548" spans="1:5" x14ac:dyDescent="0.2">
      <c r="A6548" t="s">
        <v>19611</v>
      </c>
      <c r="B6548" t="s">
        <v>19612</v>
      </c>
      <c r="C6548" t="s">
        <v>19612</v>
      </c>
      <c r="D6548" t="str">
        <f>HYPERLINK("https://zfin.org/ZDB-GENE-040426-1102")</f>
        <v>https://zfin.org/ZDB-GENE-040426-1102</v>
      </c>
      <c r="E6548" t="s">
        <v>19613</v>
      </c>
    </row>
    <row r="6549" spans="1:5" x14ac:dyDescent="0.2">
      <c r="A6549" t="s">
        <v>19614</v>
      </c>
      <c r="B6549" t="s">
        <v>19615</v>
      </c>
      <c r="C6549" t="s">
        <v>19615</v>
      </c>
      <c r="D6549" t="str">
        <f>HYPERLINK("https://zfin.org/ZDB-GENE-070410-127")</f>
        <v>https://zfin.org/ZDB-GENE-070410-127</v>
      </c>
      <c r="E6549" t="s">
        <v>19616</v>
      </c>
    </row>
    <row r="6550" spans="1:5" x14ac:dyDescent="0.2">
      <c r="A6550" t="s">
        <v>19617</v>
      </c>
      <c r="B6550" t="s">
        <v>19618</v>
      </c>
      <c r="C6550" t="s">
        <v>19618</v>
      </c>
      <c r="D6550" t="str">
        <f>HYPERLINK("https://zfin.org/ZDB-GENE-130424-1")</f>
        <v>https://zfin.org/ZDB-GENE-130424-1</v>
      </c>
      <c r="E6550" t="s">
        <v>19619</v>
      </c>
    </row>
    <row r="6551" spans="1:5" x14ac:dyDescent="0.2">
      <c r="A6551" t="s">
        <v>19620</v>
      </c>
      <c r="B6551" t="s">
        <v>19621</v>
      </c>
      <c r="C6551" t="s">
        <v>19621</v>
      </c>
      <c r="D6551" t="str">
        <f>HYPERLINK("https://zfin.org/ZDB-GENE-021015-1")</f>
        <v>https://zfin.org/ZDB-GENE-021015-1</v>
      </c>
      <c r="E6551" t="s">
        <v>19622</v>
      </c>
    </row>
    <row r="6552" spans="1:5" x14ac:dyDescent="0.2">
      <c r="A6552" t="s">
        <v>19623</v>
      </c>
      <c r="B6552" t="s">
        <v>19624</v>
      </c>
      <c r="C6552" t="s">
        <v>19624</v>
      </c>
      <c r="D6552" t="str">
        <f>HYPERLINK("https://zfin.org/ZDB-GENE-030131-4017")</f>
        <v>https://zfin.org/ZDB-GENE-030131-4017</v>
      </c>
      <c r="E6552" t="s">
        <v>19625</v>
      </c>
    </row>
    <row r="6553" spans="1:5" x14ac:dyDescent="0.2">
      <c r="A6553" t="s">
        <v>19626</v>
      </c>
      <c r="B6553" t="s">
        <v>19627</v>
      </c>
      <c r="C6553" t="s">
        <v>19627</v>
      </c>
      <c r="D6553" t="str">
        <f>HYPERLINK("https://zfin.org/ZDB-GENE-080219-6")</f>
        <v>https://zfin.org/ZDB-GENE-080219-6</v>
      </c>
      <c r="E6553" t="s">
        <v>19628</v>
      </c>
    </row>
    <row r="6554" spans="1:5" x14ac:dyDescent="0.2">
      <c r="A6554" t="s">
        <v>19629</v>
      </c>
      <c r="B6554" t="s">
        <v>19630</v>
      </c>
      <c r="C6554" t="s">
        <v>19630</v>
      </c>
      <c r="D6554" t="str">
        <f>HYPERLINK("https://zfin.org/ZDB-GENE-141212-279")</f>
        <v>https://zfin.org/ZDB-GENE-141212-279</v>
      </c>
      <c r="E6554" t="s">
        <v>19631</v>
      </c>
    </row>
    <row r="6555" spans="1:5" x14ac:dyDescent="0.2">
      <c r="A6555" t="s">
        <v>19632</v>
      </c>
      <c r="B6555" t="s">
        <v>19633</v>
      </c>
      <c r="C6555" t="s">
        <v>19633</v>
      </c>
      <c r="D6555" t="str">
        <f>HYPERLINK("https://zfin.org/ZDB-GENE-041210-182")</f>
        <v>https://zfin.org/ZDB-GENE-041210-182</v>
      </c>
      <c r="E6555" t="s">
        <v>19634</v>
      </c>
    </row>
    <row r="6556" spans="1:5" x14ac:dyDescent="0.2">
      <c r="A6556" t="s">
        <v>19635</v>
      </c>
      <c r="B6556" t="s">
        <v>19636</v>
      </c>
      <c r="C6556" t="s">
        <v>19636</v>
      </c>
      <c r="D6556" t="str">
        <f>HYPERLINK("https://zfin.org/ZDB-GENE-050208-631")</f>
        <v>https://zfin.org/ZDB-GENE-050208-631</v>
      </c>
      <c r="E6556" t="s">
        <v>19637</v>
      </c>
    </row>
    <row r="6557" spans="1:5" x14ac:dyDescent="0.2">
      <c r="A6557" t="s">
        <v>19638</v>
      </c>
      <c r="B6557" t="s">
        <v>19639</v>
      </c>
      <c r="C6557" t="s">
        <v>19639</v>
      </c>
      <c r="D6557" t="str">
        <f>HYPERLINK("https://zfin.org/ZDB-GENE-050208-648")</f>
        <v>https://zfin.org/ZDB-GENE-050208-648</v>
      </c>
      <c r="E6557" t="s">
        <v>19640</v>
      </c>
    </row>
    <row r="6558" spans="1:5" x14ac:dyDescent="0.2">
      <c r="A6558" t="s">
        <v>19641</v>
      </c>
      <c r="B6558" t="s">
        <v>19642</v>
      </c>
      <c r="C6558" t="s">
        <v>19642</v>
      </c>
      <c r="D6558" t="str">
        <f>HYPERLINK("https://zfin.org/ZDB-GENE-030131-9136")</f>
        <v>https://zfin.org/ZDB-GENE-030131-9136</v>
      </c>
      <c r="E6558" t="s">
        <v>19643</v>
      </c>
    </row>
    <row r="6559" spans="1:5" x14ac:dyDescent="0.2">
      <c r="A6559" t="s">
        <v>19644</v>
      </c>
      <c r="B6559" t="s">
        <v>19645</v>
      </c>
      <c r="C6559" t="s">
        <v>19645</v>
      </c>
      <c r="D6559" t="str">
        <f>HYPERLINK("https://zfin.org/ZDB-GENE-130821-1")</f>
        <v>https://zfin.org/ZDB-GENE-130821-1</v>
      </c>
      <c r="E6559" t="s">
        <v>19646</v>
      </c>
    </row>
    <row r="6560" spans="1:5" x14ac:dyDescent="0.2">
      <c r="A6560" t="s">
        <v>19647</v>
      </c>
      <c r="B6560" t="s">
        <v>19648</v>
      </c>
      <c r="C6560" t="s">
        <v>19648</v>
      </c>
      <c r="D6560" t="str">
        <f>HYPERLINK("https://zfin.org/ZDB-GENE-030131-6034")</f>
        <v>https://zfin.org/ZDB-GENE-030131-6034</v>
      </c>
      <c r="E6560" t="s">
        <v>19649</v>
      </c>
    </row>
    <row r="6561" spans="1:5" x14ac:dyDescent="0.2">
      <c r="A6561" t="s">
        <v>19650</v>
      </c>
      <c r="B6561" t="s">
        <v>19651</v>
      </c>
      <c r="C6561" t="s">
        <v>19651</v>
      </c>
      <c r="D6561" t="str">
        <f>HYPERLINK("https://zfin.org/ZDB-GENE-081104-380")</f>
        <v>https://zfin.org/ZDB-GENE-081104-380</v>
      </c>
      <c r="E6561" t="s">
        <v>19652</v>
      </c>
    </row>
    <row r="6562" spans="1:5" x14ac:dyDescent="0.2">
      <c r="A6562" t="s">
        <v>19653</v>
      </c>
      <c r="B6562" t="s">
        <v>19654</v>
      </c>
      <c r="C6562" t="s">
        <v>19654</v>
      </c>
      <c r="D6562" t="str">
        <f>HYPERLINK("https://zfin.org/ZDB-GENE-131122-67")</f>
        <v>https://zfin.org/ZDB-GENE-131122-67</v>
      </c>
      <c r="E6562" t="s">
        <v>19655</v>
      </c>
    </row>
    <row r="6563" spans="1:5" x14ac:dyDescent="0.2">
      <c r="A6563" t="s">
        <v>19656</v>
      </c>
      <c r="B6563" t="s">
        <v>19525</v>
      </c>
      <c r="C6563" t="s">
        <v>19657</v>
      </c>
      <c r="D6563" t="str">
        <f>HYPERLINK("https://zfin.org/")</f>
        <v>https://zfin.org/</v>
      </c>
    </row>
    <row r="6564" spans="1:5" x14ac:dyDescent="0.2">
      <c r="A6564" t="s">
        <v>19658</v>
      </c>
      <c r="B6564" t="s">
        <v>19659</v>
      </c>
      <c r="C6564" t="s">
        <v>19659</v>
      </c>
      <c r="D6564" t="str">
        <f>HYPERLINK("https://zfin.org/ZDB-GENE-020416-4")</f>
        <v>https://zfin.org/ZDB-GENE-020416-4</v>
      </c>
      <c r="E6564" t="s">
        <v>19660</v>
      </c>
    </row>
    <row r="6565" spans="1:5" x14ac:dyDescent="0.2">
      <c r="A6565" t="s">
        <v>19661</v>
      </c>
      <c r="B6565" t="s">
        <v>19662</v>
      </c>
      <c r="C6565" t="s">
        <v>19662</v>
      </c>
      <c r="D6565" t="str">
        <f>HYPERLINK("https://zfin.org/ZDB-GENE-070808-3")</f>
        <v>https://zfin.org/ZDB-GENE-070808-3</v>
      </c>
      <c r="E6565" t="s">
        <v>19663</v>
      </c>
    </row>
    <row r="6566" spans="1:5" x14ac:dyDescent="0.2">
      <c r="A6566" t="s">
        <v>19664</v>
      </c>
      <c r="B6566" t="s">
        <v>19665</v>
      </c>
      <c r="C6566" t="s">
        <v>19665</v>
      </c>
      <c r="D6566" t="str">
        <f>HYPERLINK("https://zfin.org/ZDB-GENE-070209-211")</f>
        <v>https://zfin.org/ZDB-GENE-070209-211</v>
      </c>
      <c r="E6566" t="s">
        <v>19666</v>
      </c>
    </row>
    <row r="6567" spans="1:5" x14ac:dyDescent="0.2">
      <c r="A6567" t="s">
        <v>19667</v>
      </c>
      <c r="B6567" t="s">
        <v>19668</v>
      </c>
      <c r="C6567" t="s">
        <v>19668</v>
      </c>
      <c r="D6567" t="str">
        <f>HYPERLINK("https://zfin.org/ZDB-GENE-001205-4")</f>
        <v>https://zfin.org/ZDB-GENE-001205-4</v>
      </c>
      <c r="E6567" t="s">
        <v>19669</v>
      </c>
    </row>
    <row r="6568" spans="1:5" x14ac:dyDescent="0.2">
      <c r="A6568" t="s">
        <v>19670</v>
      </c>
      <c r="B6568" t="s">
        <v>19671</v>
      </c>
      <c r="C6568" t="s">
        <v>19671</v>
      </c>
      <c r="D6568" t="str">
        <f>HYPERLINK("https://zfin.org/ZDB-GENE-081105-71")</f>
        <v>https://zfin.org/ZDB-GENE-081105-71</v>
      </c>
      <c r="E6568" t="s">
        <v>19672</v>
      </c>
    </row>
    <row r="6569" spans="1:5" x14ac:dyDescent="0.2">
      <c r="A6569" t="s">
        <v>19673</v>
      </c>
      <c r="B6569" t="s">
        <v>19674</v>
      </c>
      <c r="C6569" t="s">
        <v>19674</v>
      </c>
      <c r="D6569" t="str">
        <f>HYPERLINK("https://zfin.org/ZDB-GENE-040217-1")</f>
        <v>https://zfin.org/ZDB-GENE-040217-1</v>
      </c>
      <c r="E6569" t="s">
        <v>19675</v>
      </c>
    </row>
    <row r="6570" spans="1:5" x14ac:dyDescent="0.2">
      <c r="A6570" t="s">
        <v>19676</v>
      </c>
      <c r="B6570" t="s">
        <v>19677</v>
      </c>
      <c r="C6570" t="s">
        <v>19677</v>
      </c>
      <c r="D6570" t="str">
        <f>HYPERLINK("https://zfin.org/ZDB-GENE-030131-5911")</f>
        <v>https://zfin.org/ZDB-GENE-030131-5911</v>
      </c>
      <c r="E6570" t="s">
        <v>19678</v>
      </c>
    </row>
    <row r="6571" spans="1:5" x14ac:dyDescent="0.2">
      <c r="A6571" t="s">
        <v>19679</v>
      </c>
      <c r="B6571" t="s">
        <v>19680</v>
      </c>
      <c r="C6571" t="s">
        <v>19680</v>
      </c>
      <c r="D6571" t="str">
        <f>HYPERLINK("https://zfin.org/ZDB-GENE-041010-5")</f>
        <v>https://zfin.org/ZDB-GENE-041010-5</v>
      </c>
      <c r="E6571" t="s">
        <v>19681</v>
      </c>
    </row>
    <row r="6572" spans="1:5" x14ac:dyDescent="0.2">
      <c r="A6572" t="s">
        <v>19682</v>
      </c>
      <c r="B6572" t="s">
        <v>19683</v>
      </c>
      <c r="C6572" t="s">
        <v>19683</v>
      </c>
      <c r="D6572" t="str">
        <f>HYPERLINK("https://zfin.org/ZDB-GENE-040625-166")</f>
        <v>https://zfin.org/ZDB-GENE-040625-166</v>
      </c>
      <c r="E6572" t="s">
        <v>19684</v>
      </c>
    </row>
    <row r="6573" spans="1:5" x14ac:dyDescent="0.2">
      <c r="A6573" t="s">
        <v>19685</v>
      </c>
      <c r="B6573" t="s">
        <v>19686</v>
      </c>
      <c r="C6573" t="s">
        <v>19686</v>
      </c>
      <c r="D6573" t="str">
        <f>HYPERLINK("https://zfin.org/ZDB-GENE-091204-314")</f>
        <v>https://zfin.org/ZDB-GENE-091204-314</v>
      </c>
      <c r="E6573" t="s">
        <v>19687</v>
      </c>
    </row>
    <row r="6574" spans="1:5" x14ac:dyDescent="0.2">
      <c r="A6574" t="s">
        <v>19688</v>
      </c>
      <c r="B6574" t="s">
        <v>19689</v>
      </c>
      <c r="C6574" t="s">
        <v>19689</v>
      </c>
      <c r="D6574" t="str">
        <f>HYPERLINK("https://zfin.org/ZDB-GENE-081107-18")</f>
        <v>https://zfin.org/ZDB-GENE-081107-18</v>
      </c>
      <c r="E6574" t="s">
        <v>19690</v>
      </c>
    </row>
    <row r="6575" spans="1:5" x14ac:dyDescent="0.2">
      <c r="A6575" t="s">
        <v>19691</v>
      </c>
      <c r="B6575" t="s">
        <v>19692</v>
      </c>
      <c r="C6575" t="s">
        <v>19692</v>
      </c>
      <c r="D6575" t="str">
        <f>HYPERLINK("https://zfin.org/ZDB-GENE-070830-2")</f>
        <v>https://zfin.org/ZDB-GENE-070830-2</v>
      </c>
      <c r="E6575" t="s">
        <v>19693</v>
      </c>
    </row>
    <row r="6576" spans="1:5" x14ac:dyDescent="0.2">
      <c r="A6576" t="s">
        <v>19694</v>
      </c>
      <c r="B6576" t="s">
        <v>19695</v>
      </c>
      <c r="C6576" t="s">
        <v>19695</v>
      </c>
      <c r="D6576" t="str">
        <f>HYPERLINK("https://zfin.org/ZDB-GENE-040426-958")</f>
        <v>https://zfin.org/ZDB-GENE-040426-958</v>
      </c>
      <c r="E6576" t="s">
        <v>19696</v>
      </c>
    </row>
    <row r="6577" spans="1:5" x14ac:dyDescent="0.2">
      <c r="A6577" t="s">
        <v>19697</v>
      </c>
      <c r="B6577" t="s">
        <v>19698</v>
      </c>
      <c r="C6577" t="s">
        <v>19698</v>
      </c>
      <c r="D6577" t="str">
        <f>HYPERLINK("https://zfin.org/ZDB-GENE-070620-17")</f>
        <v>https://zfin.org/ZDB-GENE-070620-17</v>
      </c>
      <c r="E6577" t="s">
        <v>19699</v>
      </c>
    </row>
    <row r="6578" spans="1:5" x14ac:dyDescent="0.2">
      <c r="A6578" t="s">
        <v>19700</v>
      </c>
      <c r="B6578" t="s">
        <v>19701</v>
      </c>
      <c r="C6578" t="s">
        <v>19701</v>
      </c>
      <c r="D6578" t="str">
        <f>HYPERLINK("https://zfin.org/ZDB-GENE-021209-1")</f>
        <v>https://zfin.org/ZDB-GENE-021209-1</v>
      </c>
      <c r="E6578" t="s">
        <v>19702</v>
      </c>
    </row>
    <row r="6579" spans="1:5" x14ac:dyDescent="0.2">
      <c r="A6579" t="s">
        <v>19703</v>
      </c>
      <c r="B6579" t="s">
        <v>19704</v>
      </c>
      <c r="C6579" t="s">
        <v>19704</v>
      </c>
      <c r="D6579" t="str">
        <f>HYPERLINK("https://zfin.org/ZDB-GENE-040718-459")</f>
        <v>https://zfin.org/ZDB-GENE-040718-459</v>
      </c>
      <c r="E6579" t="s">
        <v>19705</v>
      </c>
    </row>
    <row r="6580" spans="1:5" x14ac:dyDescent="0.2">
      <c r="A6580" t="s">
        <v>19706</v>
      </c>
      <c r="B6580" t="s">
        <v>19707</v>
      </c>
      <c r="C6580" t="s">
        <v>19707</v>
      </c>
      <c r="D6580" t="str">
        <f>HYPERLINK("https://zfin.org/ZDB-GENE-060810-40")</f>
        <v>https://zfin.org/ZDB-GENE-060810-40</v>
      </c>
      <c r="E6580" t="s">
        <v>19708</v>
      </c>
    </row>
    <row r="6581" spans="1:5" x14ac:dyDescent="0.2">
      <c r="A6581" t="s">
        <v>19709</v>
      </c>
      <c r="B6581" t="s">
        <v>19710</v>
      </c>
      <c r="C6581" t="s">
        <v>19710</v>
      </c>
      <c r="D6581" t="str">
        <f>HYPERLINK("https://zfin.org/ZDB-GENE-041114-206")</f>
        <v>https://zfin.org/ZDB-GENE-041114-206</v>
      </c>
      <c r="E6581" t="s">
        <v>19711</v>
      </c>
    </row>
    <row r="6582" spans="1:5" x14ac:dyDescent="0.2">
      <c r="A6582" t="s">
        <v>19712</v>
      </c>
      <c r="B6582" t="s">
        <v>19713</v>
      </c>
      <c r="C6582" t="s">
        <v>19713</v>
      </c>
      <c r="D6582" t="str">
        <f>HYPERLINK("https://zfin.org/ZDB-GENE-080303-32")</f>
        <v>https://zfin.org/ZDB-GENE-080303-32</v>
      </c>
      <c r="E6582" t="s">
        <v>19714</v>
      </c>
    </row>
    <row r="6583" spans="1:5" x14ac:dyDescent="0.2">
      <c r="A6583" t="s">
        <v>19715</v>
      </c>
      <c r="B6583" t="s">
        <v>19716</v>
      </c>
      <c r="C6583" t="s">
        <v>19716</v>
      </c>
      <c r="D6583" t="str">
        <f>HYPERLINK("https://zfin.org/ZDB-GENE-071004-24")</f>
        <v>https://zfin.org/ZDB-GENE-071004-24</v>
      </c>
      <c r="E6583" t="s">
        <v>19717</v>
      </c>
    </row>
    <row r="6584" spans="1:5" x14ac:dyDescent="0.2">
      <c r="A6584" t="s">
        <v>19718</v>
      </c>
      <c r="B6584" t="s">
        <v>19719</v>
      </c>
      <c r="C6584" t="s">
        <v>19719</v>
      </c>
      <c r="D6584" t="str">
        <f>HYPERLINK("https://zfin.org/ZDB-GENE-030131-6141")</f>
        <v>https://zfin.org/ZDB-GENE-030131-6141</v>
      </c>
      <c r="E6584" t="s">
        <v>19720</v>
      </c>
    </row>
    <row r="6585" spans="1:5" x14ac:dyDescent="0.2">
      <c r="A6585" t="s">
        <v>19721</v>
      </c>
      <c r="B6585" t="s">
        <v>19722</v>
      </c>
      <c r="C6585" t="s">
        <v>19722</v>
      </c>
      <c r="D6585" t="str">
        <f>HYPERLINK("https://zfin.org/ZDB-GENE-030131-6757")</f>
        <v>https://zfin.org/ZDB-GENE-030131-6757</v>
      </c>
      <c r="E6585" t="s">
        <v>19723</v>
      </c>
    </row>
    <row r="6586" spans="1:5" x14ac:dyDescent="0.2">
      <c r="A6586" t="s">
        <v>19724</v>
      </c>
      <c r="B6586" t="s">
        <v>19725</v>
      </c>
      <c r="C6586" t="s">
        <v>19725</v>
      </c>
      <c r="D6586" t="str">
        <f>HYPERLINK("https://zfin.org/ZDB-GENE-141216-480")</f>
        <v>https://zfin.org/ZDB-GENE-141216-480</v>
      </c>
      <c r="E6586" t="s">
        <v>19726</v>
      </c>
    </row>
    <row r="6587" spans="1:5" x14ac:dyDescent="0.2">
      <c r="A6587" t="s">
        <v>19727</v>
      </c>
      <c r="B6587" t="s">
        <v>19728</v>
      </c>
      <c r="C6587" t="s">
        <v>19728</v>
      </c>
      <c r="D6587" t="str">
        <f>HYPERLINK("https://zfin.org/ZDB-GENE-010522-1")</f>
        <v>https://zfin.org/ZDB-GENE-010522-1</v>
      </c>
      <c r="E6587" t="s">
        <v>19729</v>
      </c>
    </row>
    <row r="6588" spans="1:5" x14ac:dyDescent="0.2">
      <c r="A6588" t="s">
        <v>19730</v>
      </c>
      <c r="B6588" t="s">
        <v>19731</v>
      </c>
      <c r="C6588" t="s">
        <v>19731</v>
      </c>
      <c r="D6588" t="str">
        <f>HYPERLINK("https://zfin.org/ZDB-GENE-060526-194")</f>
        <v>https://zfin.org/ZDB-GENE-060526-194</v>
      </c>
      <c r="E6588" t="s">
        <v>19732</v>
      </c>
    </row>
    <row r="6589" spans="1:5" x14ac:dyDescent="0.2">
      <c r="A6589" t="s">
        <v>19733</v>
      </c>
      <c r="B6589" t="s">
        <v>19734</v>
      </c>
      <c r="C6589" t="s">
        <v>19734</v>
      </c>
      <c r="D6589" t="str">
        <f>HYPERLINK("https://zfin.org/ZDB-GENE-030131-2059")</f>
        <v>https://zfin.org/ZDB-GENE-030131-2059</v>
      </c>
      <c r="E6589" t="s">
        <v>19735</v>
      </c>
    </row>
    <row r="6590" spans="1:5" x14ac:dyDescent="0.2">
      <c r="A6590" t="s">
        <v>19736</v>
      </c>
      <c r="B6590" t="s">
        <v>19737</v>
      </c>
      <c r="C6590" t="s">
        <v>19737</v>
      </c>
      <c r="D6590" t="str">
        <f>HYPERLINK("https://zfin.org/ZDB-GENE-040801-19")</f>
        <v>https://zfin.org/ZDB-GENE-040801-19</v>
      </c>
      <c r="E6590" t="s">
        <v>19738</v>
      </c>
    </row>
    <row r="6591" spans="1:5" x14ac:dyDescent="0.2">
      <c r="A6591" t="s">
        <v>19739</v>
      </c>
      <c r="B6591" t="s">
        <v>19740</v>
      </c>
      <c r="C6591" t="s">
        <v>19740</v>
      </c>
      <c r="D6591" t="str">
        <f>HYPERLINK("https://zfin.org/ZDB-GENE-110914-109")</f>
        <v>https://zfin.org/ZDB-GENE-110914-109</v>
      </c>
      <c r="E6591" t="s">
        <v>19741</v>
      </c>
    </row>
    <row r="6592" spans="1:5" x14ac:dyDescent="0.2">
      <c r="A6592" t="s">
        <v>19742</v>
      </c>
      <c r="B6592" t="s">
        <v>19743</v>
      </c>
      <c r="C6592" t="s">
        <v>19743</v>
      </c>
      <c r="D6592" t="str">
        <f>HYPERLINK("https://zfin.org/ZDB-GENE-050523-2")</f>
        <v>https://zfin.org/ZDB-GENE-050523-2</v>
      </c>
      <c r="E6592" t="s">
        <v>19744</v>
      </c>
    </row>
    <row r="6593" spans="1:5" x14ac:dyDescent="0.2">
      <c r="A6593" t="s">
        <v>19745</v>
      </c>
      <c r="B6593" t="s">
        <v>19746</v>
      </c>
      <c r="C6593" t="s">
        <v>19746</v>
      </c>
      <c r="D6593" t="str">
        <f>HYPERLINK("https://zfin.org/ZDB-GENE-030131-5502")</f>
        <v>https://zfin.org/ZDB-GENE-030131-5502</v>
      </c>
      <c r="E6593" t="s">
        <v>19747</v>
      </c>
    </row>
    <row r="6594" spans="1:5" x14ac:dyDescent="0.2">
      <c r="A6594" t="s">
        <v>19748</v>
      </c>
      <c r="B6594" t="s">
        <v>19749</v>
      </c>
      <c r="C6594" t="s">
        <v>19749</v>
      </c>
      <c r="D6594" t="str">
        <f>HYPERLINK("https://zfin.org/ZDB-GENE-030131-7672")</f>
        <v>https://zfin.org/ZDB-GENE-030131-7672</v>
      </c>
      <c r="E6594" t="s">
        <v>19750</v>
      </c>
    </row>
    <row r="6595" spans="1:5" x14ac:dyDescent="0.2">
      <c r="A6595" t="s">
        <v>19751</v>
      </c>
      <c r="B6595" t="s">
        <v>19752</v>
      </c>
      <c r="C6595" t="s">
        <v>19752</v>
      </c>
      <c r="D6595" t="str">
        <f>HYPERLINK("https://zfin.org/ZDB-GENE-081104-80")</f>
        <v>https://zfin.org/ZDB-GENE-081104-80</v>
      </c>
      <c r="E6595" t="s">
        <v>19753</v>
      </c>
    </row>
    <row r="6596" spans="1:5" x14ac:dyDescent="0.2">
      <c r="A6596" t="s">
        <v>19754</v>
      </c>
      <c r="B6596" t="s">
        <v>19755</v>
      </c>
      <c r="C6596" t="s">
        <v>19755</v>
      </c>
      <c r="D6596" t="str">
        <f>HYPERLINK("https://zfin.org/ZDB-GENE-030131-2399")</f>
        <v>https://zfin.org/ZDB-GENE-030131-2399</v>
      </c>
      <c r="E6596" t="s">
        <v>19756</v>
      </c>
    </row>
    <row r="6597" spans="1:5" x14ac:dyDescent="0.2">
      <c r="A6597" t="s">
        <v>19757</v>
      </c>
      <c r="B6597" t="s">
        <v>19758</v>
      </c>
      <c r="C6597" t="s">
        <v>19758</v>
      </c>
      <c r="D6597" t="str">
        <f>HYPERLINK("https://zfin.org/ZDB-GENE-091120-1")</f>
        <v>https://zfin.org/ZDB-GENE-091120-1</v>
      </c>
      <c r="E6597" t="s">
        <v>19759</v>
      </c>
    </row>
    <row r="6598" spans="1:5" x14ac:dyDescent="0.2">
      <c r="A6598" t="s">
        <v>19760</v>
      </c>
      <c r="B6598" t="s">
        <v>19761</v>
      </c>
      <c r="C6598" t="s">
        <v>19761</v>
      </c>
      <c r="D6598" t="str">
        <f>HYPERLINK("https://zfin.org/ZDB-GENE-030131-4678")</f>
        <v>https://zfin.org/ZDB-GENE-030131-4678</v>
      </c>
      <c r="E6598" t="s">
        <v>19762</v>
      </c>
    </row>
    <row r="6599" spans="1:5" x14ac:dyDescent="0.2">
      <c r="A6599" t="s">
        <v>19763</v>
      </c>
      <c r="B6599" t="s">
        <v>19764</v>
      </c>
      <c r="C6599" t="s">
        <v>19764</v>
      </c>
      <c r="D6599" t="str">
        <f>HYPERLINK("https://zfin.org/ZDB-GENE-060503-772")</f>
        <v>https://zfin.org/ZDB-GENE-060503-772</v>
      </c>
      <c r="E6599" t="s">
        <v>19765</v>
      </c>
    </row>
    <row r="6600" spans="1:5" x14ac:dyDescent="0.2">
      <c r="A6600" t="s">
        <v>19766</v>
      </c>
      <c r="B6600" t="s">
        <v>19767</v>
      </c>
      <c r="C6600" t="s">
        <v>19767</v>
      </c>
      <c r="D6600" t="str">
        <f>HYPERLINK("https://zfin.org/ZDB-GENE-041111-232")</f>
        <v>https://zfin.org/ZDB-GENE-041111-232</v>
      </c>
      <c r="E6600" t="s">
        <v>19768</v>
      </c>
    </row>
    <row r="6601" spans="1:5" x14ac:dyDescent="0.2">
      <c r="A6601" t="s">
        <v>19769</v>
      </c>
      <c r="B6601" t="s">
        <v>19770</v>
      </c>
      <c r="C6601" t="s">
        <v>19770</v>
      </c>
      <c r="D6601" t="str">
        <f>HYPERLINK("https://zfin.org/ZDB-GENE-030131-8769")</f>
        <v>https://zfin.org/ZDB-GENE-030131-8769</v>
      </c>
      <c r="E6601" t="s">
        <v>19771</v>
      </c>
    </row>
    <row r="6602" spans="1:5" x14ac:dyDescent="0.2">
      <c r="A6602" t="s">
        <v>19772</v>
      </c>
      <c r="B6602" t="s">
        <v>19773</v>
      </c>
      <c r="C6602" t="s">
        <v>19773</v>
      </c>
      <c r="D6602" t="str">
        <f>HYPERLINK("https://zfin.org/ZDB-GENE-050420-89")</f>
        <v>https://zfin.org/ZDB-GENE-050420-89</v>
      </c>
      <c r="E6602" t="s">
        <v>19774</v>
      </c>
    </row>
    <row r="6603" spans="1:5" x14ac:dyDescent="0.2">
      <c r="A6603" t="s">
        <v>19775</v>
      </c>
      <c r="B6603" t="s">
        <v>19776</v>
      </c>
      <c r="C6603" t="s">
        <v>19776</v>
      </c>
      <c r="D6603" t="str">
        <f>HYPERLINK("https://zfin.org/ZDB-GENE-131119-65")</f>
        <v>https://zfin.org/ZDB-GENE-131119-65</v>
      </c>
      <c r="E6603" t="s">
        <v>19777</v>
      </c>
    </row>
    <row r="6604" spans="1:5" x14ac:dyDescent="0.2">
      <c r="A6604" t="s">
        <v>19778</v>
      </c>
      <c r="B6604" t="s">
        <v>19779</v>
      </c>
      <c r="C6604" t="s">
        <v>19779</v>
      </c>
      <c r="D6604" t="str">
        <f>HYPERLINK("https://zfin.org/ZDB-GENE-051113-68")</f>
        <v>https://zfin.org/ZDB-GENE-051113-68</v>
      </c>
      <c r="E6604" t="s">
        <v>19780</v>
      </c>
    </row>
    <row r="6605" spans="1:5" x14ac:dyDescent="0.2">
      <c r="A6605" t="s">
        <v>19781</v>
      </c>
      <c r="B6605" t="s">
        <v>19782</v>
      </c>
      <c r="C6605" t="s">
        <v>19782</v>
      </c>
      <c r="D6605" t="str">
        <f>HYPERLINK("https://zfin.org/ZDB-GENE-081104-326")</f>
        <v>https://zfin.org/ZDB-GENE-081104-326</v>
      </c>
      <c r="E6605" t="s">
        <v>19783</v>
      </c>
    </row>
    <row r="6606" spans="1:5" x14ac:dyDescent="0.2">
      <c r="A6606" t="s">
        <v>19784</v>
      </c>
      <c r="B6606" t="s">
        <v>19785</v>
      </c>
      <c r="C6606" t="s">
        <v>19785</v>
      </c>
      <c r="D6606" t="str">
        <f>HYPERLINK("https://zfin.org/ZDB-GENE-050327-52")</f>
        <v>https://zfin.org/ZDB-GENE-050327-52</v>
      </c>
      <c r="E6606" t="s">
        <v>19786</v>
      </c>
    </row>
    <row r="6607" spans="1:5" x14ac:dyDescent="0.2">
      <c r="A6607" t="s">
        <v>19787</v>
      </c>
      <c r="B6607" t="s">
        <v>19788</v>
      </c>
      <c r="C6607" t="s">
        <v>19788</v>
      </c>
      <c r="D6607" t="str">
        <f>HYPERLINK("https://zfin.org/ZDB-GENE-040718-57")</f>
        <v>https://zfin.org/ZDB-GENE-040718-57</v>
      </c>
      <c r="E6607" t="s">
        <v>19789</v>
      </c>
    </row>
    <row r="6608" spans="1:5" x14ac:dyDescent="0.2">
      <c r="A6608" t="s">
        <v>19790</v>
      </c>
      <c r="B6608" t="s">
        <v>19791</v>
      </c>
      <c r="C6608" t="s">
        <v>19791</v>
      </c>
      <c r="D6608" t="str">
        <f>HYPERLINK("https://zfin.org/ZDB-GENE-070112-1102")</f>
        <v>https://zfin.org/ZDB-GENE-070112-1102</v>
      </c>
      <c r="E6608" t="s">
        <v>19792</v>
      </c>
    </row>
    <row r="6609" spans="1:5" x14ac:dyDescent="0.2">
      <c r="A6609" t="s">
        <v>19793</v>
      </c>
      <c r="B6609" t="s">
        <v>19794</v>
      </c>
      <c r="C6609" t="s">
        <v>19794</v>
      </c>
      <c r="D6609" t="str">
        <f>HYPERLINK("https://zfin.org/ZDB-GENE-050320-3")</f>
        <v>https://zfin.org/ZDB-GENE-050320-3</v>
      </c>
      <c r="E6609" t="s">
        <v>19795</v>
      </c>
    </row>
    <row r="6610" spans="1:5" x14ac:dyDescent="0.2">
      <c r="A6610" t="s">
        <v>19796</v>
      </c>
      <c r="B6610" t="s">
        <v>19797</v>
      </c>
      <c r="C6610" t="s">
        <v>19797</v>
      </c>
      <c r="D6610" t="str">
        <f>HYPERLINK("https://zfin.org/ZDB-GENE-030131-8991")</f>
        <v>https://zfin.org/ZDB-GENE-030131-8991</v>
      </c>
      <c r="E6610" t="s">
        <v>19798</v>
      </c>
    </row>
    <row r="6611" spans="1:5" x14ac:dyDescent="0.2">
      <c r="A6611" t="s">
        <v>19799</v>
      </c>
      <c r="B6611" t="s">
        <v>19800</v>
      </c>
      <c r="C6611" t="s">
        <v>19800</v>
      </c>
      <c r="D6611" t="str">
        <f>HYPERLINK("https://zfin.org/ZDB-GENE-040718-74")</f>
        <v>https://zfin.org/ZDB-GENE-040718-74</v>
      </c>
      <c r="E6611" t="s">
        <v>19801</v>
      </c>
    </row>
    <row r="6612" spans="1:5" x14ac:dyDescent="0.2">
      <c r="A6612" t="s">
        <v>19802</v>
      </c>
      <c r="B6612" t="s">
        <v>19803</v>
      </c>
      <c r="C6612" t="s">
        <v>19803</v>
      </c>
      <c r="D6612" t="str">
        <f>HYPERLINK("https://zfin.org/ZDB-GENE-061027-46")</f>
        <v>https://zfin.org/ZDB-GENE-061027-46</v>
      </c>
      <c r="E6612" t="s">
        <v>19804</v>
      </c>
    </row>
    <row r="6613" spans="1:5" x14ac:dyDescent="0.2">
      <c r="A6613" t="s">
        <v>19805</v>
      </c>
      <c r="B6613" t="s">
        <v>19806</v>
      </c>
      <c r="C6613" t="s">
        <v>19806</v>
      </c>
      <c r="D6613" t="str">
        <f>HYPERLINK("https://zfin.org/ZDB-GENE-990415-38")</f>
        <v>https://zfin.org/ZDB-GENE-990415-38</v>
      </c>
      <c r="E6613" t="s">
        <v>19807</v>
      </c>
    </row>
    <row r="6614" spans="1:5" x14ac:dyDescent="0.2">
      <c r="A6614" t="s">
        <v>19808</v>
      </c>
      <c r="B6614" t="s">
        <v>19809</v>
      </c>
      <c r="C6614" t="s">
        <v>19809</v>
      </c>
      <c r="D6614" t="str">
        <f>HYPERLINK("https://zfin.org/ZDB-GENE-070705-184")</f>
        <v>https://zfin.org/ZDB-GENE-070705-184</v>
      </c>
      <c r="E6614" t="s">
        <v>19810</v>
      </c>
    </row>
    <row r="6615" spans="1:5" x14ac:dyDescent="0.2">
      <c r="A6615" t="s">
        <v>19811</v>
      </c>
      <c r="B6615" t="s">
        <v>19812</v>
      </c>
      <c r="C6615" t="s">
        <v>19812</v>
      </c>
      <c r="D6615" t="str">
        <f>HYPERLINK("https://zfin.org/ZDB-GENE-131125-9")</f>
        <v>https://zfin.org/ZDB-GENE-131125-9</v>
      </c>
      <c r="E6615" t="s">
        <v>19813</v>
      </c>
    </row>
    <row r="6616" spans="1:5" x14ac:dyDescent="0.2">
      <c r="A6616" t="s">
        <v>19814</v>
      </c>
      <c r="B6616" t="s">
        <v>19815</v>
      </c>
      <c r="C6616" t="s">
        <v>19815</v>
      </c>
      <c r="D6616" t="str">
        <f>HYPERLINK("https://zfin.org/ZDB-GENE-070705-482")</f>
        <v>https://zfin.org/ZDB-GENE-070705-482</v>
      </c>
      <c r="E6616" t="s">
        <v>19816</v>
      </c>
    </row>
    <row r="6617" spans="1:5" x14ac:dyDescent="0.2">
      <c r="A6617" t="s">
        <v>19817</v>
      </c>
      <c r="B6617" t="s">
        <v>19818</v>
      </c>
      <c r="C6617" t="s">
        <v>19818</v>
      </c>
      <c r="D6617" t="str">
        <f>HYPERLINK("https://zfin.org/ZDB-GENE-010131-8")</f>
        <v>https://zfin.org/ZDB-GENE-010131-8</v>
      </c>
      <c r="E6617" t="s">
        <v>19819</v>
      </c>
    </row>
    <row r="6618" spans="1:5" x14ac:dyDescent="0.2">
      <c r="A6618" t="s">
        <v>19820</v>
      </c>
      <c r="B6618" t="s">
        <v>19821</v>
      </c>
      <c r="C6618" t="s">
        <v>19821</v>
      </c>
      <c r="D6618" t="str">
        <f>HYPERLINK("https://zfin.org/ZDB-GENE-131121-126")</f>
        <v>https://zfin.org/ZDB-GENE-131121-126</v>
      </c>
      <c r="E6618" t="s">
        <v>19822</v>
      </c>
    </row>
    <row r="6619" spans="1:5" x14ac:dyDescent="0.2">
      <c r="A6619" t="s">
        <v>19823</v>
      </c>
      <c r="B6619" t="s">
        <v>19824</v>
      </c>
      <c r="C6619" t="s">
        <v>19824</v>
      </c>
      <c r="D6619" t="str">
        <f>HYPERLINK("https://zfin.org/ZDB-GENE-040801-24")</f>
        <v>https://zfin.org/ZDB-GENE-040801-24</v>
      </c>
      <c r="E6619" t="s">
        <v>19825</v>
      </c>
    </row>
    <row r="6620" spans="1:5" x14ac:dyDescent="0.2">
      <c r="A6620" t="s">
        <v>19826</v>
      </c>
      <c r="B6620" t="s">
        <v>19827</v>
      </c>
      <c r="C6620" t="s">
        <v>19827</v>
      </c>
      <c r="D6620" t="str">
        <f>HYPERLINK("https://zfin.org/ZDB-GENE-131127-216")</f>
        <v>https://zfin.org/ZDB-GENE-131127-216</v>
      </c>
      <c r="E6620" t="s">
        <v>19828</v>
      </c>
    </row>
    <row r="6621" spans="1:5" x14ac:dyDescent="0.2">
      <c r="A6621" t="s">
        <v>19829</v>
      </c>
      <c r="B6621" t="s">
        <v>19830</v>
      </c>
      <c r="C6621" t="s">
        <v>19830</v>
      </c>
      <c r="D6621" t="str">
        <f>HYPERLINK("https://zfin.org/ZDB-GENE-110411-38")</f>
        <v>https://zfin.org/ZDB-GENE-110411-38</v>
      </c>
      <c r="E6621" t="s">
        <v>19831</v>
      </c>
    </row>
    <row r="6622" spans="1:5" x14ac:dyDescent="0.2">
      <c r="A6622" t="s">
        <v>19832</v>
      </c>
      <c r="B6622" t="s">
        <v>19833</v>
      </c>
      <c r="C6622" t="s">
        <v>19833</v>
      </c>
      <c r="D6622" t="str">
        <f>HYPERLINK("https://zfin.org/ZDB-GENE-040426-2848")</f>
        <v>https://zfin.org/ZDB-GENE-040426-2848</v>
      </c>
      <c r="E6622" t="s">
        <v>19834</v>
      </c>
    </row>
    <row r="6623" spans="1:5" x14ac:dyDescent="0.2">
      <c r="A6623" t="s">
        <v>19835</v>
      </c>
      <c r="B6623" t="s">
        <v>19836</v>
      </c>
      <c r="C6623" t="s">
        <v>19836</v>
      </c>
      <c r="D6623" t="str">
        <f>HYPERLINK("https://zfin.org/ZDB-GENE-030131-1581")</f>
        <v>https://zfin.org/ZDB-GENE-030131-1581</v>
      </c>
      <c r="E6623" t="s">
        <v>19837</v>
      </c>
    </row>
    <row r="6624" spans="1:5" x14ac:dyDescent="0.2">
      <c r="A6624" t="s">
        <v>19838</v>
      </c>
      <c r="B6624" t="s">
        <v>19839</v>
      </c>
      <c r="C6624" t="s">
        <v>19839</v>
      </c>
      <c r="D6624" t="str">
        <f>HYPERLINK("https://zfin.org/ZDB-GENE-021115-2")</f>
        <v>https://zfin.org/ZDB-GENE-021115-2</v>
      </c>
      <c r="E6624" t="s">
        <v>19840</v>
      </c>
    </row>
    <row r="6625" spans="1:5" x14ac:dyDescent="0.2">
      <c r="A6625" t="s">
        <v>19841</v>
      </c>
      <c r="B6625" t="s">
        <v>19842</v>
      </c>
      <c r="C6625" t="s">
        <v>19842</v>
      </c>
      <c r="D6625" t="str">
        <f>HYPERLINK("https://zfin.org/ZDB-GENE-001019-1")</f>
        <v>https://zfin.org/ZDB-GENE-001019-1</v>
      </c>
      <c r="E6625" t="s">
        <v>19843</v>
      </c>
    </row>
    <row r="6626" spans="1:5" x14ac:dyDescent="0.2">
      <c r="A6626" t="s">
        <v>19844</v>
      </c>
      <c r="B6626" t="s">
        <v>19845</v>
      </c>
      <c r="C6626" t="s">
        <v>19845</v>
      </c>
      <c r="D6626" t="str">
        <f>HYPERLINK("https://zfin.org/ZDB-GENE-030131-3102")</f>
        <v>https://zfin.org/ZDB-GENE-030131-3102</v>
      </c>
      <c r="E6626" t="s">
        <v>19846</v>
      </c>
    </row>
    <row r="6627" spans="1:5" x14ac:dyDescent="0.2">
      <c r="A6627" t="s">
        <v>19847</v>
      </c>
      <c r="B6627" t="s">
        <v>19848</v>
      </c>
      <c r="C6627" t="s">
        <v>19848</v>
      </c>
      <c r="D6627" t="str">
        <f>HYPERLINK("https://zfin.org/ZDB-GENE-040625-76")</f>
        <v>https://zfin.org/ZDB-GENE-040625-76</v>
      </c>
      <c r="E6627" t="s">
        <v>19849</v>
      </c>
    </row>
    <row r="6628" spans="1:5" x14ac:dyDescent="0.2">
      <c r="A6628" t="s">
        <v>19850</v>
      </c>
      <c r="B6628" t="s">
        <v>19851</v>
      </c>
      <c r="C6628" t="s">
        <v>19851</v>
      </c>
      <c r="D6628" t="str">
        <f>HYPERLINK("https://zfin.org/ZDB-GENE-040718-404")</f>
        <v>https://zfin.org/ZDB-GENE-040718-404</v>
      </c>
      <c r="E6628" t="s">
        <v>19852</v>
      </c>
    </row>
    <row r="6629" spans="1:5" x14ac:dyDescent="0.2">
      <c r="A6629" t="s">
        <v>19853</v>
      </c>
      <c r="B6629" t="s">
        <v>19854</v>
      </c>
      <c r="C6629" t="s">
        <v>19854</v>
      </c>
      <c r="D6629" t="str">
        <f>HYPERLINK("https://zfin.org/ZDB-GENE-081007-1")</f>
        <v>https://zfin.org/ZDB-GENE-081007-1</v>
      </c>
      <c r="E6629" t="s">
        <v>19855</v>
      </c>
    </row>
    <row r="6630" spans="1:5" x14ac:dyDescent="0.2">
      <c r="A6630" t="s">
        <v>19856</v>
      </c>
      <c r="B6630" t="s">
        <v>19857</v>
      </c>
      <c r="C6630" t="s">
        <v>19857</v>
      </c>
      <c r="D6630" t="str">
        <f>HYPERLINK("https://zfin.org/ZDB-GENE-080220-51")</f>
        <v>https://zfin.org/ZDB-GENE-080220-51</v>
      </c>
      <c r="E6630" t="s">
        <v>19858</v>
      </c>
    </row>
    <row r="6631" spans="1:5" x14ac:dyDescent="0.2">
      <c r="A6631" t="s">
        <v>19859</v>
      </c>
      <c r="B6631" t="s">
        <v>19860</v>
      </c>
      <c r="C6631" t="s">
        <v>19860</v>
      </c>
      <c r="D6631" t="str">
        <f>HYPERLINK("https://zfin.org/ZDB-GENE-120215-258")</f>
        <v>https://zfin.org/ZDB-GENE-120215-258</v>
      </c>
      <c r="E6631" t="s">
        <v>19861</v>
      </c>
    </row>
    <row r="6632" spans="1:5" x14ac:dyDescent="0.2">
      <c r="A6632" t="s">
        <v>19862</v>
      </c>
      <c r="B6632" t="s">
        <v>19863</v>
      </c>
      <c r="C6632" t="s">
        <v>19863</v>
      </c>
      <c r="D6632" t="str">
        <f>HYPERLINK("https://zfin.org/ZDB-GENE-060331-129")</f>
        <v>https://zfin.org/ZDB-GENE-060331-129</v>
      </c>
      <c r="E6632" t="s">
        <v>19864</v>
      </c>
    </row>
    <row r="6633" spans="1:5" x14ac:dyDescent="0.2">
      <c r="A6633" t="s">
        <v>19865</v>
      </c>
      <c r="B6633" t="s">
        <v>19866</v>
      </c>
      <c r="C6633" t="s">
        <v>19866</v>
      </c>
      <c r="D6633" t="str">
        <f>HYPERLINK("https://zfin.org/ZDB-GENE-090909-1")</f>
        <v>https://zfin.org/ZDB-GENE-090909-1</v>
      </c>
      <c r="E6633" t="s">
        <v>19867</v>
      </c>
    </row>
    <row r="6634" spans="1:5" x14ac:dyDescent="0.2">
      <c r="A6634" t="s">
        <v>19868</v>
      </c>
      <c r="B6634" t="s">
        <v>19869</v>
      </c>
      <c r="C6634" t="s">
        <v>19869</v>
      </c>
      <c r="D6634" t="str">
        <f>HYPERLINK("https://zfin.org/ZDB-GENE-041114-84")</f>
        <v>https://zfin.org/ZDB-GENE-041114-84</v>
      </c>
      <c r="E6634" t="s">
        <v>19870</v>
      </c>
    </row>
    <row r="6635" spans="1:5" x14ac:dyDescent="0.2">
      <c r="A6635" t="s">
        <v>19871</v>
      </c>
      <c r="B6635" t="s">
        <v>19872</v>
      </c>
      <c r="C6635" t="s">
        <v>19872</v>
      </c>
      <c r="D6635" t="str">
        <f>HYPERLINK("https://zfin.org/ZDB-GENE-050419-180")</f>
        <v>https://zfin.org/ZDB-GENE-050419-180</v>
      </c>
      <c r="E6635" t="s">
        <v>19873</v>
      </c>
    </row>
    <row r="6636" spans="1:5" x14ac:dyDescent="0.2">
      <c r="A6636" t="s">
        <v>19874</v>
      </c>
      <c r="B6636" t="s">
        <v>19875</v>
      </c>
      <c r="C6636" t="s">
        <v>19875</v>
      </c>
      <c r="D6636" t="str">
        <f>HYPERLINK("https://zfin.org/ZDB-GENE-061013-787")</f>
        <v>https://zfin.org/ZDB-GENE-061013-787</v>
      </c>
      <c r="E6636" t="s">
        <v>19876</v>
      </c>
    </row>
    <row r="6637" spans="1:5" x14ac:dyDescent="0.2">
      <c r="A6637" t="s">
        <v>19877</v>
      </c>
      <c r="B6637" t="s">
        <v>19878</v>
      </c>
      <c r="C6637" t="s">
        <v>19878</v>
      </c>
      <c r="D6637" t="str">
        <f>HYPERLINK("https://zfin.org/ZDB-GENE-040912-117")</f>
        <v>https://zfin.org/ZDB-GENE-040912-117</v>
      </c>
      <c r="E6637" t="s">
        <v>19879</v>
      </c>
    </row>
    <row r="6638" spans="1:5" x14ac:dyDescent="0.2">
      <c r="A6638" t="s">
        <v>19880</v>
      </c>
      <c r="B6638" t="s">
        <v>19881</v>
      </c>
      <c r="C6638" t="s">
        <v>19881</v>
      </c>
      <c r="D6638" t="str">
        <f>HYPERLINK("https://zfin.org/ZDB-GENE-110913-98")</f>
        <v>https://zfin.org/ZDB-GENE-110913-98</v>
      </c>
      <c r="E6638" t="s">
        <v>19882</v>
      </c>
    </row>
    <row r="6639" spans="1:5" x14ac:dyDescent="0.2">
      <c r="A6639" t="s">
        <v>19883</v>
      </c>
      <c r="B6639" t="s">
        <v>19884</v>
      </c>
      <c r="C6639" t="s">
        <v>19884</v>
      </c>
      <c r="D6639" t="str">
        <f>HYPERLINK("https://zfin.org/ZDB-GENE-050203-2")</f>
        <v>https://zfin.org/ZDB-GENE-050203-2</v>
      </c>
      <c r="E6639" t="s">
        <v>19885</v>
      </c>
    </row>
    <row r="6640" spans="1:5" x14ac:dyDescent="0.2">
      <c r="A6640" t="s">
        <v>19886</v>
      </c>
      <c r="B6640" t="s">
        <v>19887</v>
      </c>
      <c r="C6640" t="s">
        <v>19887</v>
      </c>
      <c r="D6640" t="str">
        <f>HYPERLINK("https://zfin.org/ZDB-GENE-121214-351")</f>
        <v>https://zfin.org/ZDB-GENE-121214-351</v>
      </c>
      <c r="E6640" t="s">
        <v>19888</v>
      </c>
    </row>
    <row r="6641" spans="1:5" x14ac:dyDescent="0.2">
      <c r="A6641" t="s">
        <v>19889</v>
      </c>
      <c r="B6641" t="s">
        <v>19890</v>
      </c>
      <c r="C6641" t="s">
        <v>19890</v>
      </c>
      <c r="D6641" t="str">
        <f>HYPERLINK("https://zfin.org/ZDB-GENE-030131-1949")</f>
        <v>https://zfin.org/ZDB-GENE-030131-1949</v>
      </c>
      <c r="E6641" t="s">
        <v>19891</v>
      </c>
    </row>
    <row r="6642" spans="1:5" x14ac:dyDescent="0.2">
      <c r="A6642" t="s">
        <v>19892</v>
      </c>
      <c r="B6642" t="s">
        <v>19893</v>
      </c>
      <c r="C6642" t="s">
        <v>19893</v>
      </c>
      <c r="D6642" t="str">
        <f>HYPERLINK("https://zfin.org/ZDB-GENE-091204-263")</f>
        <v>https://zfin.org/ZDB-GENE-091204-263</v>
      </c>
      <c r="E6642" t="s">
        <v>19894</v>
      </c>
    </row>
    <row r="6643" spans="1:5" x14ac:dyDescent="0.2">
      <c r="A6643" t="s">
        <v>19895</v>
      </c>
      <c r="B6643" t="s">
        <v>19896</v>
      </c>
      <c r="C6643" t="s">
        <v>19896</v>
      </c>
      <c r="D6643" t="str">
        <f>HYPERLINK("https://zfin.org/ZDB-GENE-040426-2669")</f>
        <v>https://zfin.org/ZDB-GENE-040426-2669</v>
      </c>
      <c r="E6643" t="s">
        <v>19897</v>
      </c>
    </row>
    <row r="6644" spans="1:5" x14ac:dyDescent="0.2">
      <c r="A6644" t="s">
        <v>19898</v>
      </c>
      <c r="B6644" t="s">
        <v>19899</v>
      </c>
      <c r="C6644" t="s">
        <v>19899</v>
      </c>
      <c r="D6644" t="str">
        <f>HYPERLINK("https://zfin.org/ZDB-GENE-040718-425")</f>
        <v>https://zfin.org/ZDB-GENE-040718-425</v>
      </c>
      <c r="E6644" t="s">
        <v>19900</v>
      </c>
    </row>
    <row r="6645" spans="1:5" x14ac:dyDescent="0.2">
      <c r="A6645" t="s">
        <v>19901</v>
      </c>
      <c r="B6645" t="s">
        <v>19902</v>
      </c>
      <c r="C6645" t="s">
        <v>19902</v>
      </c>
      <c r="D6645" t="str">
        <f>HYPERLINK("https://zfin.org/ZDB-GENE-081104-479")</f>
        <v>https://zfin.org/ZDB-GENE-081104-479</v>
      </c>
      <c r="E6645" t="s">
        <v>19903</v>
      </c>
    </row>
    <row r="6646" spans="1:5" x14ac:dyDescent="0.2">
      <c r="A6646" t="s">
        <v>19904</v>
      </c>
      <c r="B6646" t="s">
        <v>19905</v>
      </c>
      <c r="C6646" t="s">
        <v>19905</v>
      </c>
      <c r="D6646" t="str">
        <f>HYPERLINK("https://zfin.org/ZDB-GENE-050202-4")</f>
        <v>https://zfin.org/ZDB-GENE-050202-4</v>
      </c>
      <c r="E6646" t="s">
        <v>19906</v>
      </c>
    </row>
    <row r="6647" spans="1:5" x14ac:dyDescent="0.2">
      <c r="A6647" t="s">
        <v>19907</v>
      </c>
      <c r="B6647" t="s">
        <v>19908</v>
      </c>
      <c r="C6647" t="s">
        <v>19908</v>
      </c>
      <c r="D6647" t="str">
        <f>HYPERLINK("https://zfin.org/ZDB-GENE-060628-2")</f>
        <v>https://zfin.org/ZDB-GENE-060628-2</v>
      </c>
      <c r="E6647" t="s">
        <v>19909</v>
      </c>
    </row>
    <row r="6648" spans="1:5" x14ac:dyDescent="0.2">
      <c r="A6648" t="s">
        <v>19910</v>
      </c>
      <c r="B6648" t="s">
        <v>19911</v>
      </c>
      <c r="C6648" t="s">
        <v>19911</v>
      </c>
      <c r="D6648" t="str">
        <f>HYPERLINK("https://zfin.org/ZDB-GENE-081104-264")</f>
        <v>https://zfin.org/ZDB-GENE-081104-264</v>
      </c>
      <c r="E6648" t="s">
        <v>19912</v>
      </c>
    </row>
    <row r="6649" spans="1:5" x14ac:dyDescent="0.2">
      <c r="A6649" t="s">
        <v>19913</v>
      </c>
      <c r="B6649" t="s">
        <v>19914</v>
      </c>
      <c r="C6649" t="s">
        <v>19914</v>
      </c>
      <c r="D6649" t="str">
        <f>HYPERLINK("https://zfin.org/ZDB-GENE-030131-2711")</f>
        <v>https://zfin.org/ZDB-GENE-030131-2711</v>
      </c>
      <c r="E6649" t="s">
        <v>19915</v>
      </c>
    </row>
    <row r="6650" spans="1:5" x14ac:dyDescent="0.2">
      <c r="A6650" t="s">
        <v>19916</v>
      </c>
      <c r="B6650" t="s">
        <v>19917</v>
      </c>
      <c r="C6650" t="s">
        <v>19917</v>
      </c>
      <c r="D6650" t="str">
        <f>HYPERLINK("https://zfin.org/ZDB-GENE-050208-453")</f>
        <v>https://zfin.org/ZDB-GENE-050208-453</v>
      </c>
      <c r="E6650" t="s">
        <v>19918</v>
      </c>
    </row>
    <row r="6651" spans="1:5" x14ac:dyDescent="0.2">
      <c r="A6651" t="s">
        <v>19919</v>
      </c>
      <c r="B6651" t="s">
        <v>19920</v>
      </c>
      <c r="C6651" t="s">
        <v>19920</v>
      </c>
      <c r="D6651" t="str">
        <f>HYPERLINK("https://zfin.org/ZDB-GENE-040722-1")</f>
        <v>https://zfin.org/ZDB-GENE-040722-1</v>
      </c>
      <c r="E6651" t="s">
        <v>19921</v>
      </c>
    </row>
    <row r="6652" spans="1:5" x14ac:dyDescent="0.2">
      <c r="A6652" t="s">
        <v>19922</v>
      </c>
      <c r="B6652" t="s">
        <v>19923</v>
      </c>
      <c r="C6652" t="s">
        <v>19923</v>
      </c>
      <c r="D6652" t="str">
        <f>HYPERLINK("https://zfin.org/ZDB-GENE-070912-206")</f>
        <v>https://zfin.org/ZDB-GENE-070912-206</v>
      </c>
      <c r="E6652" t="s">
        <v>19924</v>
      </c>
    </row>
    <row r="6653" spans="1:5" x14ac:dyDescent="0.2">
      <c r="A6653" t="s">
        <v>19925</v>
      </c>
      <c r="B6653" t="s">
        <v>19926</v>
      </c>
      <c r="C6653" t="s">
        <v>19926</v>
      </c>
      <c r="D6653" t="str">
        <f>HYPERLINK("https://zfin.org/ZDB-GENE-050706-104")</f>
        <v>https://zfin.org/ZDB-GENE-050706-104</v>
      </c>
      <c r="E6653" t="s">
        <v>19927</v>
      </c>
    </row>
    <row r="6654" spans="1:5" x14ac:dyDescent="0.2">
      <c r="A6654" t="s">
        <v>19928</v>
      </c>
      <c r="B6654" t="s">
        <v>19929</v>
      </c>
      <c r="C6654" t="s">
        <v>19929</v>
      </c>
      <c r="D6654" t="str">
        <f>HYPERLINK("https://zfin.org/ZDB-GENE-110119-1")</f>
        <v>https://zfin.org/ZDB-GENE-110119-1</v>
      </c>
      <c r="E6654" t="s">
        <v>19930</v>
      </c>
    </row>
    <row r="6655" spans="1:5" x14ac:dyDescent="0.2">
      <c r="A6655" t="s">
        <v>19931</v>
      </c>
      <c r="B6655" t="s">
        <v>19932</v>
      </c>
      <c r="C6655" t="s">
        <v>19932</v>
      </c>
      <c r="D6655" t="str">
        <f>HYPERLINK("https://zfin.org/ZDB-GENE-041210-112")</f>
        <v>https://zfin.org/ZDB-GENE-041210-112</v>
      </c>
      <c r="E6655" t="s">
        <v>19933</v>
      </c>
    </row>
    <row r="6656" spans="1:5" x14ac:dyDescent="0.2">
      <c r="A6656" t="s">
        <v>19934</v>
      </c>
      <c r="B6656" t="s">
        <v>19935</v>
      </c>
      <c r="C6656" t="s">
        <v>19935</v>
      </c>
      <c r="D6656" t="str">
        <f>HYPERLINK("https://zfin.org/ZDB-GENE-130530-818")</f>
        <v>https://zfin.org/ZDB-GENE-130530-818</v>
      </c>
      <c r="E6656" t="s">
        <v>19936</v>
      </c>
    </row>
    <row r="6657" spans="1:5" x14ac:dyDescent="0.2">
      <c r="A6657" t="s">
        <v>19937</v>
      </c>
      <c r="B6657" t="s">
        <v>19938</v>
      </c>
      <c r="C6657" t="s">
        <v>19938</v>
      </c>
      <c r="D6657" t="str">
        <f>HYPERLINK("https://zfin.org/ZDB-GENE-030131-8137")</f>
        <v>https://zfin.org/ZDB-GENE-030131-8137</v>
      </c>
      <c r="E6657" t="s">
        <v>19939</v>
      </c>
    </row>
    <row r="6658" spans="1:5" x14ac:dyDescent="0.2">
      <c r="A6658" t="s">
        <v>19940</v>
      </c>
      <c r="B6658" t="s">
        <v>19941</v>
      </c>
      <c r="C6658" t="s">
        <v>19941</v>
      </c>
      <c r="D6658" t="str">
        <f>HYPERLINK("https://zfin.org/ZDB-GENE-050522-280")</f>
        <v>https://zfin.org/ZDB-GENE-050522-280</v>
      </c>
      <c r="E6658" t="s">
        <v>19942</v>
      </c>
    </row>
    <row r="6659" spans="1:5" x14ac:dyDescent="0.2">
      <c r="A6659" t="s">
        <v>19943</v>
      </c>
      <c r="B6659" t="s">
        <v>19944</v>
      </c>
      <c r="C6659" t="s">
        <v>19944</v>
      </c>
      <c r="D6659" t="str">
        <f>HYPERLINK("https://zfin.org/ZDB-GENE-040724-201")</f>
        <v>https://zfin.org/ZDB-GENE-040724-201</v>
      </c>
      <c r="E6659" t="s">
        <v>19945</v>
      </c>
    </row>
    <row r="6660" spans="1:5" x14ac:dyDescent="0.2">
      <c r="A6660" t="s">
        <v>19946</v>
      </c>
      <c r="B6660" t="s">
        <v>19947</v>
      </c>
      <c r="C6660" t="s">
        <v>19947</v>
      </c>
      <c r="D6660" t="str">
        <f>HYPERLINK("https://zfin.org/ZDB-GENE-121214-31")</f>
        <v>https://zfin.org/ZDB-GENE-121214-31</v>
      </c>
      <c r="E6660" t="s">
        <v>19948</v>
      </c>
    </row>
    <row r="6661" spans="1:5" x14ac:dyDescent="0.2">
      <c r="A6661" t="s">
        <v>19949</v>
      </c>
      <c r="B6661" t="s">
        <v>19950</v>
      </c>
      <c r="C6661" t="s">
        <v>19950</v>
      </c>
      <c r="D6661" t="str">
        <f>HYPERLINK("https://zfin.org/ZDB-GENE-040718-435")</f>
        <v>https://zfin.org/ZDB-GENE-040718-435</v>
      </c>
      <c r="E6661" t="s">
        <v>19951</v>
      </c>
    </row>
    <row r="6662" spans="1:5" x14ac:dyDescent="0.2">
      <c r="A6662" t="s">
        <v>19952</v>
      </c>
      <c r="B6662" t="s">
        <v>19953</v>
      </c>
      <c r="C6662" t="s">
        <v>19953</v>
      </c>
      <c r="D6662" t="str">
        <f>HYPERLINK("https://zfin.org/ZDB-GENE-120215-108")</f>
        <v>https://zfin.org/ZDB-GENE-120215-108</v>
      </c>
      <c r="E6662" t="s">
        <v>19954</v>
      </c>
    </row>
    <row r="6663" spans="1:5" x14ac:dyDescent="0.2">
      <c r="A6663" t="s">
        <v>19955</v>
      </c>
      <c r="B6663" t="s">
        <v>19956</v>
      </c>
      <c r="C6663" t="s">
        <v>19956</v>
      </c>
      <c r="D6663" t="str">
        <f>HYPERLINK("https://zfin.org/ZDB-GENE-050107-4")</f>
        <v>https://zfin.org/ZDB-GENE-050107-4</v>
      </c>
      <c r="E6663" t="s">
        <v>19957</v>
      </c>
    </row>
    <row r="6664" spans="1:5" x14ac:dyDescent="0.2">
      <c r="A6664" t="s">
        <v>19958</v>
      </c>
      <c r="B6664" t="s">
        <v>19959</v>
      </c>
      <c r="C6664" t="s">
        <v>19959</v>
      </c>
      <c r="D6664" t="str">
        <f>HYPERLINK("https://zfin.org/ZDB-GENE-040718-21")</f>
        <v>https://zfin.org/ZDB-GENE-040718-21</v>
      </c>
      <c r="E6664" t="s">
        <v>19960</v>
      </c>
    </row>
    <row r="6665" spans="1:5" x14ac:dyDescent="0.2">
      <c r="A6665" t="s">
        <v>19961</v>
      </c>
      <c r="B6665" t="s">
        <v>19962</v>
      </c>
      <c r="C6665" t="s">
        <v>19962</v>
      </c>
      <c r="D6665" t="str">
        <f>HYPERLINK("https://zfin.org/ZDB-GENE-160114-79")</f>
        <v>https://zfin.org/ZDB-GENE-160114-79</v>
      </c>
      <c r="E6665" t="s">
        <v>19963</v>
      </c>
    </row>
    <row r="6666" spans="1:5" x14ac:dyDescent="0.2">
      <c r="A6666" t="s">
        <v>19964</v>
      </c>
      <c r="B6666" t="s">
        <v>19965</v>
      </c>
      <c r="C6666" t="s">
        <v>19965</v>
      </c>
      <c r="D6666" t="str">
        <f>HYPERLINK("https://zfin.org/ZDB-GENE-050208-655")</f>
        <v>https://zfin.org/ZDB-GENE-050208-655</v>
      </c>
      <c r="E6666" t="s">
        <v>19966</v>
      </c>
    </row>
    <row r="6667" spans="1:5" x14ac:dyDescent="0.2">
      <c r="A6667" t="s">
        <v>19967</v>
      </c>
      <c r="B6667" t="s">
        <v>19968</v>
      </c>
      <c r="C6667" t="s">
        <v>19968</v>
      </c>
      <c r="D6667" t="str">
        <f>HYPERLINK("https://zfin.org/ZDB-GENE-060503-266")</f>
        <v>https://zfin.org/ZDB-GENE-060503-266</v>
      </c>
      <c r="E6667" t="s">
        <v>19969</v>
      </c>
    </row>
    <row r="6668" spans="1:5" x14ac:dyDescent="0.2">
      <c r="A6668" t="s">
        <v>19970</v>
      </c>
      <c r="B6668" t="s">
        <v>19971</v>
      </c>
      <c r="C6668" t="s">
        <v>19971</v>
      </c>
      <c r="D6668" t="str">
        <f>HYPERLINK("https://zfin.org/ZDB-GENE-081104-394")</f>
        <v>https://zfin.org/ZDB-GENE-081104-394</v>
      </c>
      <c r="E6668" t="s">
        <v>19972</v>
      </c>
    </row>
    <row r="6669" spans="1:5" x14ac:dyDescent="0.2">
      <c r="A6669" t="s">
        <v>19973</v>
      </c>
      <c r="B6669" t="s">
        <v>19974</v>
      </c>
      <c r="C6669" t="s">
        <v>19974</v>
      </c>
      <c r="D6669" t="str">
        <f>HYPERLINK("https://zfin.org/ZDB-GENE-020419-37")</f>
        <v>https://zfin.org/ZDB-GENE-020419-37</v>
      </c>
      <c r="E6669" t="s">
        <v>19975</v>
      </c>
    </row>
    <row r="6670" spans="1:5" x14ac:dyDescent="0.2">
      <c r="A6670" t="s">
        <v>19976</v>
      </c>
      <c r="B6670" t="s">
        <v>19977</v>
      </c>
      <c r="C6670" t="s">
        <v>19977</v>
      </c>
      <c r="D6670" t="str">
        <f>HYPERLINK("https://zfin.org/ZDB-GENE-081022-128")</f>
        <v>https://zfin.org/ZDB-GENE-081022-128</v>
      </c>
      <c r="E6670" t="s">
        <v>19978</v>
      </c>
    </row>
    <row r="6671" spans="1:5" x14ac:dyDescent="0.2">
      <c r="A6671" t="s">
        <v>19979</v>
      </c>
      <c r="B6671" t="s">
        <v>19980</v>
      </c>
      <c r="C6671" t="s">
        <v>19980</v>
      </c>
      <c r="D6671" t="str">
        <f>HYPERLINK("https://zfin.org/ZDB-GENE-041111-182")</f>
        <v>https://zfin.org/ZDB-GENE-041111-182</v>
      </c>
      <c r="E6671" t="s">
        <v>19981</v>
      </c>
    </row>
    <row r="6672" spans="1:5" x14ac:dyDescent="0.2">
      <c r="A6672" t="s">
        <v>19982</v>
      </c>
      <c r="B6672" t="s">
        <v>19983</v>
      </c>
      <c r="C6672" t="s">
        <v>19983</v>
      </c>
      <c r="D6672" t="str">
        <f>HYPERLINK("https://zfin.org/ZDB-GENE-131120-42")</f>
        <v>https://zfin.org/ZDB-GENE-131120-42</v>
      </c>
      <c r="E6672" t="s">
        <v>19984</v>
      </c>
    </row>
    <row r="6673" spans="1:5" x14ac:dyDescent="0.2">
      <c r="A6673" t="s">
        <v>19985</v>
      </c>
      <c r="B6673" t="s">
        <v>19986</v>
      </c>
      <c r="C6673" t="s">
        <v>19986</v>
      </c>
      <c r="D6673" t="str">
        <f>HYPERLINK("https://zfin.org/ZDB-GENE-070209-32")</f>
        <v>https://zfin.org/ZDB-GENE-070209-32</v>
      </c>
      <c r="E6673" t="s">
        <v>19987</v>
      </c>
    </row>
    <row r="6674" spans="1:5" x14ac:dyDescent="0.2">
      <c r="A6674" t="s">
        <v>19988</v>
      </c>
      <c r="B6674" t="s">
        <v>19989</v>
      </c>
      <c r="C6674" t="s">
        <v>19989</v>
      </c>
      <c r="D6674" t="str">
        <f>HYPERLINK("https://zfin.org/ZDB-GENE-061207-30")</f>
        <v>https://zfin.org/ZDB-GENE-061207-30</v>
      </c>
      <c r="E6674" t="s">
        <v>19990</v>
      </c>
    </row>
    <row r="6675" spans="1:5" x14ac:dyDescent="0.2">
      <c r="A6675" t="s">
        <v>19991</v>
      </c>
      <c r="B6675" t="s">
        <v>19992</v>
      </c>
      <c r="C6675" t="s">
        <v>19992</v>
      </c>
      <c r="D6675" t="str">
        <f>HYPERLINK("https://zfin.org/ZDB-GENE-100405-3")</f>
        <v>https://zfin.org/ZDB-GENE-100405-3</v>
      </c>
      <c r="E6675" t="s">
        <v>19993</v>
      </c>
    </row>
    <row r="6676" spans="1:5" x14ac:dyDescent="0.2">
      <c r="A6676" t="s">
        <v>19994</v>
      </c>
      <c r="B6676" t="s">
        <v>19995</v>
      </c>
      <c r="C6676" t="s">
        <v>19995</v>
      </c>
      <c r="D6676" t="str">
        <f>HYPERLINK("https://zfin.org/ZDB-GENE-991019-4")</f>
        <v>https://zfin.org/ZDB-GENE-991019-4</v>
      </c>
      <c r="E6676" t="s">
        <v>19996</v>
      </c>
    </row>
    <row r="6677" spans="1:5" x14ac:dyDescent="0.2">
      <c r="A6677" t="s">
        <v>19997</v>
      </c>
      <c r="B6677" t="s">
        <v>19998</v>
      </c>
      <c r="C6677" t="s">
        <v>19998</v>
      </c>
      <c r="D6677" t="str">
        <f>HYPERLINK("https://zfin.org/ZDB-GENE-110914-154")</f>
        <v>https://zfin.org/ZDB-GENE-110914-154</v>
      </c>
      <c r="E6677" t="s">
        <v>19999</v>
      </c>
    </row>
    <row r="6678" spans="1:5" x14ac:dyDescent="0.2">
      <c r="A6678" t="s">
        <v>20000</v>
      </c>
      <c r="B6678" t="s">
        <v>20001</v>
      </c>
      <c r="C6678" t="s">
        <v>20001</v>
      </c>
      <c r="D6678" t="str">
        <f>HYPERLINK("https://zfin.org/ZDB-GENE-991117-1")</f>
        <v>https://zfin.org/ZDB-GENE-991117-1</v>
      </c>
      <c r="E6678" t="s">
        <v>20002</v>
      </c>
    </row>
    <row r="6679" spans="1:5" x14ac:dyDescent="0.2">
      <c r="A6679" t="s">
        <v>20003</v>
      </c>
      <c r="B6679" t="s">
        <v>20004</v>
      </c>
      <c r="C6679" t="s">
        <v>20004</v>
      </c>
      <c r="D6679" t="str">
        <f>HYPERLINK("https://zfin.org/ZDB-GENE-050522-49")</f>
        <v>https://zfin.org/ZDB-GENE-050522-49</v>
      </c>
      <c r="E6679" t="s">
        <v>20005</v>
      </c>
    </row>
    <row r="6680" spans="1:5" x14ac:dyDescent="0.2">
      <c r="A6680" t="s">
        <v>20006</v>
      </c>
      <c r="B6680" t="s">
        <v>20007</v>
      </c>
      <c r="C6680" t="s">
        <v>20007</v>
      </c>
      <c r="D6680" t="str">
        <f>HYPERLINK("https://zfin.org/ZDB-GENE-030131-1390")</f>
        <v>https://zfin.org/ZDB-GENE-030131-1390</v>
      </c>
      <c r="E6680" t="s">
        <v>20008</v>
      </c>
    </row>
    <row r="6681" spans="1:5" x14ac:dyDescent="0.2">
      <c r="A6681" t="s">
        <v>20009</v>
      </c>
      <c r="B6681" t="s">
        <v>20010</v>
      </c>
      <c r="C6681" t="s">
        <v>20010</v>
      </c>
      <c r="D6681" t="str">
        <f>HYPERLINK("https://zfin.org/ZDB-GENE-060503-700")</f>
        <v>https://zfin.org/ZDB-GENE-060503-700</v>
      </c>
      <c r="E6681" t="s">
        <v>20011</v>
      </c>
    </row>
    <row r="6682" spans="1:5" x14ac:dyDescent="0.2">
      <c r="A6682" t="s">
        <v>20012</v>
      </c>
      <c r="B6682" t="s">
        <v>20013</v>
      </c>
      <c r="C6682" t="s">
        <v>20013</v>
      </c>
      <c r="D6682" t="str">
        <f>HYPERLINK("https://zfin.org/ZDB-GENE-050208-336")</f>
        <v>https://zfin.org/ZDB-GENE-050208-336</v>
      </c>
      <c r="E6682" t="s">
        <v>20014</v>
      </c>
    </row>
    <row r="6683" spans="1:5" x14ac:dyDescent="0.2">
      <c r="A6683" t="s">
        <v>20015</v>
      </c>
      <c r="B6683" t="s">
        <v>20016</v>
      </c>
      <c r="C6683" t="s">
        <v>20016</v>
      </c>
      <c r="D6683" t="str">
        <f>HYPERLINK("https://zfin.org/ZDB-GENE-070607-1")</f>
        <v>https://zfin.org/ZDB-GENE-070607-1</v>
      </c>
      <c r="E6683" t="s">
        <v>20017</v>
      </c>
    </row>
    <row r="6684" spans="1:5" x14ac:dyDescent="0.2">
      <c r="A6684" t="s">
        <v>20018</v>
      </c>
      <c r="B6684" t="s">
        <v>20019</v>
      </c>
      <c r="C6684" t="s">
        <v>20019</v>
      </c>
      <c r="D6684" t="str">
        <f>HYPERLINK("https://zfin.org/ZDB-GENE-050417-187")</f>
        <v>https://zfin.org/ZDB-GENE-050417-187</v>
      </c>
      <c r="E6684" t="s">
        <v>20020</v>
      </c>
    </row>
    <row r="6685" spans="1:5" x14ac:dyDescent="0.2">
      <c r="A6685" t="s">
        <v>20021</v>
      </c>
      <c r="B6685" t="s">
        <v>20022</v>
      </c>
      <c r="C6685" t="s">
        <v>20022</v>
      </c>
      <c r="D6685" t="str">
        <f>HYPERLINK("https://zfin.org/ZDB-GENE-061013-99")</f>
        <v>https://zfin.org/ZDB-GENE-061013-99</v>
      </c>
      <c r="E6685" t="s">
        <v>20023</v>
      </c>
    </row>
    <row r="6686" spans="1:5" x14ac:dyDescent="0.2">
      <c r="A6686" t="s">
        <v>20024</v>
      </c>
      <c r="B6686" t="s">
        <v>20025</v>
      </c>
      <c r="C6686" t="s">
        <v>20025</v>
      </c>
      <c r="D6686" t="str">
        <f>HYPERLINK("https://zfin.org/ZDB-GENE-040910-4")</f>
        <v>https://zfin.org/ZDB-GENE-040910-4</v>
      </c>
      <c r="E6686" t="s">
        <v>20026</v>
      </c>
    </row>
    <row r="6687" spans="1:5" x14ac:dyDescent="0.2">
      <c r="A6687" t="s">
        <v>20027</v>
      </c>
      <c r="B6687" t="s">
        <v>20028</v>
      </c>
      <c r="C6687" t="s">
        <v>20028</v>
      </c>
      <c r="D6687" t="str">
        <f>HYPERLINK("https://zfin.org/ZDB-GENE-091204-424")</f>
        <v>https://zfin.org/ZDB-GENE-091204-424</v>
      </c>
      <c r="E6687" t="s">
        <v>20029</v>
      </c>
    </row>
    <row r="6688" spans="1:5" x14ac:dyDescent="0.2">
      <c r="A6688" t="s">
        <v>20030</v>
      </c>
      <c r="B6688" t="s">
        <v>20031</v>
      </c>
      <c r="C6688" t="s">
        <v>20031</v>
      </c>
      <c r="D6688" t="str">
        <f>HYPERLINK("https://zfin.org/ZDB-GENE-091230-6")</f>
        <v>https://zfin.org/ZDB-GENE-091230-6</v>
      </c>
      <c r="E6688" t="s">
        <v>20032</v>
      </c>
    </row>
    <row r="6689" spans="1:5" x14ac:dyDescent="0.2">
      <c r="A6689" t="s">
        <v>20033</v>
      </c>
      <c r="B6689" t="s">
        <v>20034</v>
      </c>
      <c r="C6689" t="s">
        <v>20034</v>
      </c>
      <c r="D6689" t="str">
        <f>HYPERLINK("https://zfin.org/ZDB-GENE-131125-37")</f>
        <v>https://zfin.org/ZDB-GENE-131125-37</v>
      </c>
      <c r="E6689" t="s">
        <v>20035</v>
      </c>
    </row>
    <row r="6690" spans="1:5" x14ac:dyDescent="0.2">
      <c r="A6690" t="s">
        <v>20036</v>
      </c>
      <c r="B6690" t="s">
        <v>20037</v>
      </c>
      <c r="C6690" t="s">
        <v>20037</v>
      </c>
      <c r="D6690" t="str">
        <f>HYPERLINK("https://zfin.org/ZDB-GENE-041210-191")</f>
        <v>https://zfin.org/ZDB-GENE-041210-191</v>
      </c>
      <c r="E6690" t="s">
        <v>20038</v>
      </c>
    </row>
    <row r="6691" spans="1:5" x14ac:dyDescent="0.2">
      <c r="A6691" t="s">
        <v>20039</v>
      </c>
      <c r="B6691" t="s">
        <v>20040</v>
      </c>
      <c r="C6691" t="s">
        <v>20040</v>
      </c>
      <c r="D6691" t="str">
        <f>HYPERLINK("https://zfin.org/ZDB-GENE-050208-331")</f>
        <v>https://zfin.org/ZDB-GENE-050208-331</v>
      </c>
      <c r="E6691" t="s">
        <v>20041</v>
      </c>
    </row>
    <row r="6692" spans="1:5" x14ac:dyDescent="0.2">
      <c r="A6692" t="s">
        <v>20042</v>
      </c>
      <c r="B6692" t="s">
        <v>20043</v>
      </c>
      <c r="C6692" t="s">
        <v>20043</v>
      </c>
      <c r="D6692" t="str">
        <f>HYPERLINK("https://zfin.org/ZDB-GENE-040718-255")</f>
        <v>https://zfin.org/ZDB-GENE-040718-255</v>
      </c>
      <c r="E6692" t="s">
        <v>20044</v>
      </c>
    </row>
    <row r="6693" spans="1:5" x14ac:dyDescent="0.2">
      <c r="A6693" t="s">
        <v>20045</v>
      </c>
      <c r="B6693" t="s">
        <v>20046</v>
      </c>
      <c r="C6693" t="s">
        <v>20046</v>
      </c>
      <c r="D6693" t="str">
        <f>HYPERLINK("https://zfin.org/ZDB-GENE-040704-55")</f>
        <v>https://zfin.org/ZDB-GENE-040704-55</v>
      </c>
      <c r="E6693" t="s">
        <v>20047</v>
      </c>
    </row>
    <row r="6694" spans="1:5" x14ac:dyDescent="0.2">
      <c r="A6694" t="s">
        <v>20048</v>
      </c>
      <c r="B6694" t="s">
        <v>20049</v>
      </c>
      <c r="C6694" t="s">
        <v>20049</v>
      </c>
      <c r="D6694" t="str">
        <f>HYPERLINK("https://zfin.org/ZDB-GENE-060421-3419")</f>
        <v>https://zfin.org/ZDB-GENE-060421-3419</v>
      </c>
      <c r="E6694" t="s">
        <v>20050</v>
      </c>
    </row>
    <row r="6695" spans="1:5" x14ac:dyDescent="0.2">
      <c r="A6695" t="s">
        <v>20051</v>
      </c>
      <c r="B6695" t="s">
        <v>20052</v>
      </c>
      <c r="C6695" t="s">
        <v>20052</v>
      </c>
      <c r="D6695" t="str">
        <f>HYPERLINK("https://zfin.org/ZDB-GENE-060503-233")</f>
        <v>https://zfin.org/ZDB-GENE-060503-233</v>
      </c>
      <c r="E6695" t="s">
        <v>20053</v>
      </c>
    </row>
    <row r="6696" spans="1:5" x14ac:dyDescent="0.2">
      <c r="A6696" t="s">
        <v>20054</v>
      </c>
      <c r="B6696" t="s">
        <v>20055</v>
      </c>
      <c r="C6696" t="s">
        <v>20055</v>
      </c>
      <c r="D6696" t="str">
        <f>HYPERLINK("https://zfin.org/ZDB-GENE-070705-355")</f>
        <v>https://zfin.org/ZDB-GENE-070705-355</v>
      </c>
      <c r="E6696" t="s">
        <v>20056</v>
      </c>
    </row>
    <row r="6697" spans="1:5" x14ac:dyDescent="0.2">
      <c r="A6697" t="s">
        <v>20057</v>
      </c>
      <c r="B6697" t="s">
        <v>20058</v>
      </c>
      <c r="C6697" t="s">
        <v>20058</v>
      </c>
      <c r="D6697" t="str">
        <f>HYPERLINK("https://zfin.org/ZDB-GENE-061215-37")</f>
        <v>https://zfin.org/ZDB-GENE-061215-37</v>
      </c>
      <c r="E6697" t="s">
        <v>20059</v>
      </c>
    </row>
    <row r="6698" spans="1:5" x14ac:dyDescent="0.2">
      <c r="A6698" t="s">
        <v>20060</v>
      </c>
      <c r="B6698" t="s">
        <v>20061</v>
      </c>
      <c r="C6698" t="s">
        <v>20061</v>
      </c>
      <c r="D6698" t="str">
        <f>HYPERLINK("https://zfin.org/ZDB-GENE-080220-38")</f>
        <v>https://zfin.org/ZDB-GENE-080220-38</v>
      </c>
      <c r="E6698" t="s">
        <v>20062</v>
      </c>
    </row>
    <row r="6699" spans="1:5" x14ac:dyDescent="0.2">
      <c r="A6699" t="s">
        <v>20063</v>
      </c>
      <c r="B6699" t="s">
        <v>20064</v>
      </c>
      <c r="C6699" t="s">
        <v>20064</v>
      </c>
      <c r="D6699" t="str">
        <f>HYPERLINK("https://zfin.org/ZDB-GENE-081105-137")</f>
        <v>https://zfin.org/ZDB-GENE-081105-137</v>
      </c>
      <c r="E6699" t="s">
        <v>20065</v>
      </c>
    </row>
    <row r="6700" spans="1:5" x14ac:dyDescent="0.2">
      <c r="A6700" t="s">
        <v>20066</v>
      </c>
      <c r="B6700" t="s">
        <v>20067</v>
      </c>
      <c r="C6700" t="s">
        <v>20067</v>
      </c>
      <c r="D6700" t="str">
        <f>HYPERLINK("https://zfin.org/ZDB-GENE-101007-4")</f>
        <v>https://zfin.org/ZDB-GENE-101007-4</v>
      </c>
      <c r="E6700" t="s">
        <v>20068</v>
      </c>
    </row>
    <row r="6701" spans="1:5" x14ac:dyDescent="0.2">
      <c r="A6701" t="s">
        <v>20069</v>
      </c>
      <c r="B6701" t="s">
        <v>20070</v>
      </c>
      <c r="C6701" t="s">
        <v>20070</v>
      </c>
      <c r="D6701" t="str">
        <f>HYPERLINK("https://zfin.org/ZDB-GENE-061013-438")</f>
        <v>https://zfin.org/ZDB-GENE-061013-438</v>
      </c>
      <c r="E6701" t="s">
        <v>20071</v>
      </c>
    </row>
    <row r="6702" spans="1:5" x14ac:dyDescent="0.2">
      <c r="A6702" t="s">
        <v>20072</v>
      </c>
      <c r="B6702" t="s">
        <v>20073</v>
      </c>
      <c r="C6702" t="s">
        <v>20073</v>
      </c>
      <c r="D6702" t="str">
        <f>HYPERLINK("https://zfin.org/ZDB-GENE-041114-42")</f>
        <v>https://zfin.org/ZDB-GENE-041114-42</v>
      </c>
      <c r="E6702" t="s">
        <v>20074</v>
      </c>
    </row>
    <row r="6703" spans="1:5" x14ac:dyDescent="0.2">
      <c r="A6703" t="s">
        <v>20075</v>
      </c>
      <c r="B6703" t="s">
        <v>20076</v>
      </c>
      <c r="C6703" t="s">
        <v>20076</v>
      </c>
      <c r="D6703" t="str">
        <f>HYPERLINK("https://zfin.org/ZDB-GENE-040426-2187")</f>
        <v>https://zfin.org/ZDB-GENE-040426-2187</v>
      </c>
      <c r="E6703" t="s">
        <v>20077</v>
      </c>
    </row>
    <row r="6704" spans="1:5" x14ac:dyDescent="0.2">
      <c r="A6704" t="s">
        <v>20078</v>
      </c>
      <c r="B6704" t="s">
        <v>20079</v>
      </c>
      <c r="C6704" t="s">
        <v>20079</v>
      </c>
      <c r="D6704" t="str">
        <f>HYPERLINK("https://zfin.org/ZDB-GENE-050417-472")</f>
        <v>https://zfin.org/ZDB-GENE-050417-472</v>
      </c>
      <c r="E6704" t="s">
        <v>20080</v>
      </c>
    </row>
    <row r="6705" spans="1:5" x14ac:dyDescent="0.2">
      <c r="A6705" t="s">
        <v>20081</v>
      </c>
      <c r="B6705" t="s">
        <v>20082</v>
      </c>
      <c r="C6705" t="s">
        <v>20082</v>
      </c>
      <c r="D6705" t="str">
        <f>HYPERLINK("https://zfin.org/ZDB-GENE-030131-7031")</f>
        <v>https://zfin.org/ZDB-GENE-030131-7031</v>
      </c>
      <c r="E6705" t="s">
        <v>20083</v>
      </c>
    </row>
    <row r="6706" spans="1:5" x14ac:dyDescent="0.2">
      <c r="A6706" t="s">
        <v>20084</v>
      </c>
      <c r="B6706" t="s">
        <v>20085</v>
      </c>
      <c r="C6706" t="s">
        <v>20085</v>
      </c>
      <c r="D6706" t="str">
        <f>HYPERLINK("https://zfin.org/ZDB-GENE-041014-312")</f>
        <v>https://zfin.org/ZDB-GENE-041014-312</v>
      </c>
      <c r="E6706" t="s">
        <v>20086</v>
      </c>
    </row>
    <row r="6707" spans="1:5" x14ac:dyDescent="0.2">
      <c r="A6707" t="s">
        <v>20087</v>
      </c>
      <c r="B6707" t="s">
        <v>20088</v>
      </c>
      <c r="C6707" t="s">
        <v>20088</v>
      </c>
      <c r="D6707" t="str">
        <f>HYPERLINK("https://zfin.org/ZDB-GENE-110914-169")</f>
        <v>https://zfin.org/ZDB-GENE-110914-169</v>
      </c>
      <c r="E6707" t="s">
        <v>20089</v>
      </c>
    </row>
    <row r="6708" spans="1:5" x14ac:dyDescent="0.2">
      <c r="A6708" t="s">
        <v>20090</v>
      </c>
      <c r="B6708" t="s">
        <v>20091</v>
      </c>
      <c r="C6708" t="s">
        <v>20091</v>
      </c>
      <c r="D6708" t="str">
        <f>HYPERLINK("https://zfin.org/ZDB-GENE-040718-257")</f>
        <v>https://zfin.org/ZDB-GENE-040718-257</v>
      </c>
      <c r="E6708" t="s">
        <v>20092</v>
      </c>
    </row>
    <row r="6709" spans="1:5" x14ac:dyDescent="0.2">
      <c r="A6709" t="s">
        <v>20093</v>
      </c>
      <c r="B6709" t="s">
        <v>20094</v>
      </c>
      <c r="C6709" t="s">
        <v>20094</v>
      </c>
      <c r="D6709" t="str">
        <f>HYPERLINK("https://zfin.org/ZDB-GENE-030131-6117")</f>
        <v>https://zfin.org/ZDB-GENE-030131-6117</v>
      </c>
      <c r="E6709" t="s">
        <v>20095</v>
      </c>
    </row>
    <row r="6710" spans="1:5" x14ac:dyDescent="0.2">
      <c r="A6710" t="s">
        <v>20096</v>
      </c>
      <c r="B6710" t="s">
        <v>20097</v>
      </c>
      <c r="C6710" t="s">
        <v>20097</v>
      </c>
      <c r="D6710" t="str">
        <f>HYPERLINK("https://zfin.org/ZDB-GENE-041111-244")</f>
        <v>https://zfin.org/ZDB-GENE-041111-244</v>
      </c>
      <c r="E6710" t="s">
        <v>20098</v>
      </c>
    </row>
    <row r="6711" spans="1:5" x14ac:dyDescent="0.2">
      <c r="A6711" t="s">
        <v>20099</v>
      </c>
      <c r="B6711" t="s">
        <v>20100</v>
      </c>
      <c r="C6711" t="s">
        <v>20100</v>
      </c>
      <c r="D6711" t="str">
        <f>HYPERLINK("https://zfin.org/ZDB-GENE-040801-87")</f>
        <v>https://zfin.org/ZDB-GENE-040801-87</v>
      </c>
      <c r="E6711" t="s">
        <v>20101</v>
      </c>
    </row>
    <row r="6712" spans="1:5" x14ac:dyDescent="0.2">
      <c r="A6712" t="s">
        <v>20102</v>
      </c>
      <c r="B6712" t="s">
        <v>20103</v>
      </c>
      <c r="C6712" t="s">
        <v>20103</v>
      </c>
      <c r="D6712" t="str">
        <f>HYPERLINK("https://zfin.org/ZDB-GENE-990708-8")</f>
        <v>https://zfin.org/ZDB-GENE-990708-8</v>
      </c>
      <c r="E6712" t="s">
        <v>20104</v>
      </c>
    </row>
    <row r="6713" spans="1:5" x14ac:dyDescent="0.2">
      <c r="A6713" t="s">
        <v>20105</v>
      </c>
      <c r="B6713" t="s">
        <v>20106</v>
      </c>
      <c r="C6713" t="s">
        <v>20106</v>
      </c>
      <c r="D6713" t="str">
        <f>HYPERLINK("https://zfin.org/ZDB-GENE-110411-256")</f>
        <v>https://zfin.org/ZDB-GENE-110411-256</v>
      </c>
      <c r="E6713" t="s">
        <v>20107</v>
      </c>
    </row>
    <row r="6714" spans="1:5" x14ac:dyDescent="0.2">
      <c r="A6714" t="s">
        <v>20108</v>
      </c>
      <c r="B6714" t="s">
        <v>20109</v>
      </c>
      <c r="C6714" t="s">
        <v>20109</v>
      </c>
      <c r="D6714" t="str">
        <f>HYPERLINK("https://zfin.org/ZDB-GENE-030131-6266")</f>
        <v>https://zfin.org/ZDB-GENE-030131-6266</v>
      </c>
      <c r="E6714" t="s">
        <v>20110</v>
      </c>
    </row>
    <row r="6715" spans="1:5" x14ac:dyDescent="0.2">
      <c r="A6715" t="s">
        <v>20111</v>
      </c>
      <c r="B6715" t="s">
        <v>20112</v>
      </c>
      <c r="C6715" t="s">
        <v>20112</v>
      </c>
      <c r="D6715" t="str">
        <f>HYPERLINK("https://zfin.org/ZDB-GENE-030131-2843")</f>
        <v>https://zfin.org/ZDB-GENE-030131-2843</v>
      </c>
      <c r="E6715" t="s">
        <v>20113</v>
      </c>
    </row>
    <row r="6716" spans="1:5" x14ac:dyDescent="0.2">
      <c r="A6716" t="s">
        <v>20114</v>
      </c>
      <c r="B6716" t="s">
        <v>20115</v>
      </c>
      <c r="C6716" t="s">
        <v>20115</v>
      </c>
      <c r="D6716" t="str">
        <f>HYPERLINK("https://zfin.org/ZDB-GENE-040426-2487")</f>
        <v>https://zfin.org/ZDB-GENE-040426-2487</v>
      </c>
      <c r="E6716" t="s">
        <v>20116</v>
      </c>
    </row>
    <row r="6717" spans="1:5" x14ac:dyDescent="0.2">
      <c r="A6717" t="s">
        <v>20117</v>
      </c>
      <c r="B6717" t="s">
        <v>20118</v>
      </c>
      <c r="C6717" t="s">
        <v>20118</v>
      </c>
      <c r="D6717" t="str">
        <f>HYPERLINK("https://zfin.org/ZDB-GENE-040426-2835")</f>
        <v>https://zfin.org/ZDB-GENE-040426-2835</v>
      </c>
      <c r="E6717" t="s">
        <v>20119</v>
      </c>
    </row>
    <row r="6718" spans="1:5" x14ac:dyDescent="0.2">
      <c r="A6718" t="s">
        <v>20120</v>
      </c>
      <c r="B6718" t="s">
        <v>20121</v>
      </c>
      <c r="C6718" t="s">
        <v>20121</v>
      </c>
      <c r="D6718" t="str">
        <f>HYPERLINK("https://zfin.org/ZDB-GENE-040912-155")</f>
        <v>https://zfin.org/ZDB-GENE-040912-155</v>
      </c>
      <c r="E6718" t="s">
        <v>20122</v>
      </c>
    </row>
    <row r="6719" spans="1:5" x14ac:dyDescent="0.2">
      <c r="A6719" t="s">
        <v>20123</v>
      </c>
      <c r="B6719" t="s">
        <v>20124</v>
      </c>
      <c r="C6719" t="s">
        <v>20124</v>
      </c>
      <c r="D6719" t="str">
        <f>HYPERLINK("https://zfin.org/ZDB-GENE-031118-67")</f>
        <v>https://zfin.org/ZDB-GENE-031118-67</v>
      </c>
      <c r="E6719" t="s">
        <v>20125</v>
      </c>
    </row>
    <row r="6720" spans="1:5" x14ac:dyDescent="0.2">
      <c r="A6720" t="s">
        <v>20126</v>
      </c>
      <c r="B6720" t="s">
        <v>20127</v>
      </c>
      <c r="C6720" t="s">
        <v>20127</v>
      </c>
      <c r="D6720" t="str">
        <f>HYPERLINK("https://zfin.org/ZDB-GENE-060503-408")</f>
        <v>https://zfin.org/ZDB-GENE-060503-408</v>
      </c>
      <c r="E6720" t="s">
        <v>20128</v>
      </c>
    </row>
    <row r="6721" spans="1:5" x14ac:dyDescent="0.2">
      <c r="A6721" t="s">
        <v>20129</v>
      </c>
      <c r="B6721" t="s">
        <v>20130</v>
      </c>
      <c r="C6721" t="s">
        <v>20130</v>
      </c>
      <c r="D6721" t="str">
        <f>HYPERLINK("https://zfin.org/ZDB-GENE-040426-837")</f>
        <v>https://zfin.org/ZDB-GENE-040426-837</v>
      </c>
      <c r="E6721" t="s">
        <v>20131</v>
      </c>
    </row>
    <row r="6722" spans="1:5" x14ac:dyDescent="0.2">
      <c r="A6722" t="s">
        <v>20132</v>
      </c>
      <c r="B6722" t="s">
        <v>20133</v>
      </c>
      <c r="C6722" t="s">
        <v>20133</v>
      </c>
      <c r="D6722" t="str">
        <f>HYPERLINK("https://zfin.org/ZDB-GENE-030131-8497")</f>
        <v>https://zfin.org/ZDB-GENE-030131-8497</v>
      </c>
      <c r="E6722" t="s">
        <v>20134</v>
      </c>
    </row>
    <row r="6723" spans="1:5" x14ac:dyDescent="0.2">
      <c r="A6723" t="s">
        <v>20135</v>
      </c>
      <c r="B6723" t="s">
        <v>20136</v>
      </c>
      <c r="C6723" t="s">
        <v>20136</v>
      </c>
      <c r="D6723" t="str">
        <f>HYPERLINK("https://zfin.org/ZDB-GENE-070928-32")</f>
        <v>https://zfin.org/ZDB-GENE-070928-32</v>
      </c>
      <c r="E6723" t="s">
        <v>20137</v>
      </c>
    </row>
    <row r="6724" spans="1:5" x14ac:dyDescent="0.2">
      <c r="A6724" t="s">
        <v>20138</v>
      </c>
      <c r="B6724" t="s">
        <v>20139</v>
      </c>
      <c r="C6724" t="s">
        <v>20140</v>
      </c>
      <c r="D6724" t="str">
        <f>HYPERLINK("https://zfin.org/ZDB-GENE-040801-35")</f>
        <v>https://zfin.org/ZDB-GENE-040801-35</v>
      </c>
      <c r="E6724" t="s">
        <v>20141</v>
      </c>
    </row>
    <row r="6725" spans="1:5" x14ac:dyDescent="0.2">
      <c r="A6725" t="s">
        <v>20142</v>
      </c>
      <c r="B6725" t="s">
        <v>20143</v>
      </c>
      <c r="C6725" t="s">
        <v>20143</v>
      </c>
      <c r="D6725" t="str">
        <f>HYPERLINK("https://zfin.org/ZDB-GENE-060526-45")</f>
        <v>https://zfin.org/ZDB-GENE-060526-45</v>
      </c>
      <c r="E6725" t="s">
        <v>20144</v>
      </c>
    </row>
    <row r="6726" spans="1:5" x14ac:dyDescent="0.2">
      <c r="A6726" t="s">
        <v>20145</v>
      </c>
      <c r="B6726" t="s">
        <v>20146</v>
      </c>
      <c r="C6726" t="s">
        <v>20146</v>
      </c>
      <c r="D6726" t="str">
        <f>HYPERLINK("https://zfin.org/ZDB-GENE-040426-1938")</f>
        <v>https://zfin.org/ZDB-GENE-040426-1938</v>
      </c>
      <c r="E6726" t="s">
        <v>20147</v>
      </c>
    </row>
    <row r="6727" spans="1:5" x14ac:dyDescent="0.2">
      <c r="A6727" t="s">
        <v>20148</v>
      </c>
      <c r="B6727" t="s">
        <v>20149</v>
      </c>
      <c r="C6727" t="s">
        <v>20149</v>
      </c>
      <c r="D6727" t="str">
        <f>HYPERLINK("https://zfin.org/ZDB-GENE-030616-399")</f>
        <v>https://zfin.org/ZDB-GENE-030616-399</v>
      </c>
      <c r="E6727" t="s">
        <v>20150</v>
      </c>
    </row>
    <row r="6728" spans="1:5" x14ac:dyDescent="0.2">
      <c r="A6728" t="s">
        <v>20151</v>
      </c>
      <c r="B6728" t="s">
        <v>20152</v>
      </c>
      <c r="C6728" t="s">
        <v>20152</v>
      </c>
      <c r="D6728" t="str">
        <f>HYPERLINK("https://zfin.org/ZDB-GENE-040426-1840")</f>
        <v>https://zfin.org/ZDB-GENE-040426-1840</v>
      </c>
      <c r="E6728" t="s">
        <v>20153</v>
      </c>
    </row>
    <row r="6729" spans="1:5" x14ac:dyDescent="0.2">
      <c r="A6729" t="s">
        <v>20154</v>
      </c>
      <c r="B6729" t="s">
        <v>20155</v>
      </c>
      <c r="C6729" t="s">
        <v>20155</v>
      </c>
      <c r="D6729" t="str">
        <f>HYPERLINK("https://zfin.org/ZDB-GENE-130625-1")</f>
        <v>https://zfin.org/ZDB-GENE-130625-1</v>
      </c>
      <c r="E6729" t="s">
        <v>20156</v>
      </c>
    </row>
    <row r="6730" spans="1:5" x14ac:dyDescent="0.2">
      <c r="A6730" t="s">
        <v>20157</v>
      </c>
      <c r="B6730" t="s">
        <v>20158</v>
      </c>
      <c r="C6730" t="s">
        <v>20158</v>
      </c>
      <c r="D6730" t="str">
        <f>HYPERLINK("https://zfin.org/ZDB-GENE-050522-508")</f>
        <v>https://zfin.org/ZDB-GENE-050522-508</v>
      </c>
      <c r="E6730" t="s">
        <v>20159</v>
      </c>
    </row>
    <row r="6731" spans="1:5" x14ac:dyDescent="0.2">
      <c r="A6731" t="s">
        <v>20160</v>
      </c>
      <c r="B6731" t="s">
        <v>20161</v>
      </c>
      <c r="C6731" t="s">
        <v>20161</v>
      </c>
      <c r="D6731" t="str">
        <f>HYPERLINK("https://zfin.org/ZDB-GENE-040426-2152")</f>
        <v>https://zfin.org/ZDB-GENE-040426-2152</v>
      </c>
      <c r="E6731" t="s">
        <v>20162</v>
      </c>
    </row>
    <row r="6732" spans="1:5" x14ac:dyDescent="0.2">
      <c r="A6732" t="s">
        <v>20163</v>
      </c>
      <c r="B6732" t="s">
        <v>20164</v>
      </c>
      <c r="C6732" t="s">
        <v>20164</v>
      </c>
      <c r="D6732" t="str">
        <f>HYPERLINK("https://zfin.org/ZDB-GENE-040718-400")</f>
        <v>https://zfin.org/ZDB-GENE-040718-400</v>
      </c>
      <c r="E6732" t="s">
        <v>20165</v>
      </c>
    </row>
    <row r="6733" spans="1:5" x14ac:dyDescent="0.2">
      <c r="A6733" t="s">
        <v>20166</v>
      </c>
      <c r="B6733" t="s">
        <v>20167</v>
      </c>
      <c r="C6733" t="s">
        <v>20167</v>
      </c>
      <c r="D6733" t="str">
        <f>HYPERLINK("https://zfin.org/ZDB-GENE-070911-2")</f>
        <v>https://zfin.org/ZDB-GENE-070911-2</v>
      </c>
      <c r="E6733" t="s">
        <v>20168</v>
      </c>
    </row>
    <row r="6734" spans="1:5" x14ac:dyDescent="0.2">
      <c r="A6734" t="s">
        <v>20169</v>
      </c>
      <c r="B6734" t="s">
        <v>20170</v>
      </c>
      <c r="C6734" t="s">
        <v>20170</v>
      </c>
      <c r="D6734" t="str">
        <f>HYPERLINK("https://zfin.org/ZDB-GENE-091204-10")</f>
        <v>https://zfin.org/ZDB-GENE-091204-10</v>
      </c>
      <c r="E6734" t="s">
        <v>20171</v>
      </c>
    </row>
    <row r="6735" spans="1:5" x14ac:dyDescent="0.2">
      <c r="A6735" t="s">
        <v>20172</v>
      </c>
      <c r="B6735" t="s">
        <v>20173</v>
      </c>
      <c r="C6735" t="s">
        <v>20173</v>
      </c>
      <c r="D6735" t="str">
        <f>HYPERLINK("https://zfin.org/ZDB-GENE-030131-5505")</f>
        <v>https://zfin.org/ZDB-GENE-030131-5505</v>
      </c>
      <c r="E6735" t="s">
        <v>20174</v>
      </c>
    </row>
    <row r="6736" spans="1:5" x14ac:dyDescent="0.2">
      <c r="A6736" t="s">
        <v>20175</v>
      </c>
      <c r="B6736" t="s">
        <v>20176</v>
      </c>
      <c r="C6736" t="s">
        <v>20176</v>
      </c>
      <c r="D6736" t="str">
        <f>HYPERLINK("https://zfin.org/ZDB-GENE-070912-508")</f>
        <v>https://zfin.org/ZDB-GENE-070912-508</v>
      </c>
      <c r="E6736" t="s">
        <v>20177</v>
      </c>
    </row>
    <row r="6737" spans="1:5" x14ac:dyDescent="0.2">
      <c r="A6737" t="s">
        <v>20178</v>
      </c>
      <c r="B6737" t="s">
        <v>20179</v>
      </c>
      <c r="C6737" t="s">
        <v>20179</v>
      </c>
      <c r="D6737" t="str">
        <f>HYPERLINK("https://zfin.org/ZDB-GENE-041008-136")</f>
        <v>https://zfin.org/ZDB-GENE-041008-136</v>
      </c>
      <c r="E6737" t="s">
        <v>20180</v>
      </c>
    </row>
    <row r="6738" spans="1:5" x14ac:dyDescent="0.2">
      <c r="A6738" t="s">
        <v>20181</v>
      </c>
      <c r="B6738" t="s">
        <v>20182</v>
      </c>
      <c r="C6738" t="s">
        <v>20182</v>
      </c>
      <c r="D6738" t="str">
        <f>HYPERLINK("https://zfin.org/ZDB-GENE-041114-175")</f>
        <v>https://zfin.org/ZDB-GENE-041114-175</v>
      </c>
      <c r="E6738" t="s">
        <v>20183</v>
      </c>
    </row>
    <row r="6739" spans="1:5" x14ac:dyDescent="0.2">
      <c r="A6739" t="s">
        <v>20184</v>
      </c>
      <c r="B6739" t="s">
        <v>20185</v>
      </c>
      <c r="C6739" t="s">
        <v>20185</v>
      </c>
      <c r="D6739" t="str">
        <f>HYPERLINK("https://zfin.org/ZDB-GENE-041014-337")</f>
        <v>https://zfin.org/ZDB-GENE-041014-337</v>
      </c>
      <c r="E6739" t="s">
        <v>20186</v>
      </c>
    </row>
    <row r="6740" spans="1:5" x14ac:dyDescent="0.2">
      <c r="A6740" t="s">
        <v>20187</v>
      </c>
      <c r="B6740" t="s">
        <v>20188</v>
      </c>
      <c r="C6740" t="s">
        <v>20188</v>
      </c>
      <c r="D6740" t="str">
        <f>HYPERLINK("https://zfin.org/ZDB-GENE-041210-98")</f>
        <v>https://zfin.org/ZDB-GENE-041210-98</v>
      </c>
      <c r="E6740" t="s">
        <v>20189</v>
      </c>
    </row>
    <row r="6741" spans="1:5" x14ac:dyDescent="0.2">
      <c r="A6741" t="s">
        <v>20190</v>
      </c>
      <c r="B6741" t="s">
        <v>20191</v>
      </c>
      <c r="C6741" t="s">
        <v>20191</v>
      </c>
      <c r="D6741" t="str">
        <f>HYPERLINK("https://zfin.org/ZDB-GENE-040426-1978")</f>
        <v>https://zfin.org/ZDB-GENE-040426-1978</v>
      </c>
      <c r="E6741" t="s">
        <v>20192</v>
      </c>
    </row>
    <row r="6742" spans="1:5" x14ac:dyDescent="0.2">
      <c r="A6742" t="s">
        <v>20193</v>
      </c>
      <c r="B6742" t="s">
        <v>20194</v>
      </c>
      <c r="C6742" t="s">
        <v>20194</v>
      </c>
      <c r="D6742" t="str">
        <f>HYPERLINK("https://zfin.org/ZDB-GENE-090402-1")</f>
        <v>https://zfin.org/ZDB-GENE-090402-1</v>
      </c>
      <c r="E6742" t="s">
        <v>20195</v>
      </c>
    </row>
    <row r="6743" spans="1:5" x14ac:dyDescent="0.2">
      <c r="A6743" t="s">
        <v>20196</v>
      </c>
      <c r="B6743" t="s">
        <v>20197</v>
      </c>
      <c r="C6743" t="s">
        <v>20197</v>
      </c>
      <c r="D6743" t="str">
        <f>HYPERLINK("https://zfin.org/ZDB-GENE-031008-3")</f>
        <v>https://zfin.org/ZDB-GENE-031008-3</v>
      </c>
      <c r="E6743" t="s">
        <v>20198</v>
      </c>
    </row>
    <row r="6744" spans="1:5" x14ac:dyDescent="0.2">
      <c r="A6744" t="s">
        <v>20199</v>
      </c>
      <c r="B6744" t="s">
        <v>20200</v>
      </c>
      <c r="C6744" t="s">
        <v>20200</v>
      </c>
      <c r="D6744" t="str">
        <f>HYPERLINK("https://zfin.org/ZDB-GENE-080416-4")</f>
        <v>https://zfin.org/ZDB-GENE-080416-4</v>
      </c>
      <c r="E6744" t="s">
        <v>20201</v>
      </c>
    </row>
    <row r="6745" spans="1:5" x14ac:dyDescent="0.2">
      <c r="A6745" t="s">
        <v>20202</v>
      </c>
      <c r="B6745" t="s">
        <v>20203</v>
      </c>
      <c r="C6745" t="s">
        <v>20203</v>
      </c>
      <c r="D6745" t="str">
        <f>HYPERLINK("https://zfin.org/ZDB-GENE-030131-5409")</f>
        <v>https://zfin.org/ZDB-GENE-030131-5409</v>
      </c>
      <c r="E6745" t="s">
        <v>20204</v>
      </c>
    </row>
    <row r="6746" spans="1:5" x14ac:dyDescent="0.2">
      <c r="A6746" t="s">
        <v>20205</v>
      </c>
      <c r="B6746" t="s">
        <v>20206</v>
      </c>
      <c r="C6746" t="s">
        <v>20206</v>
      </c>
      <c r="D6746" t="str">
        <f>HYPERLINK("https://zfin.org/ZDB-GENE-040319-2")</f>
        <v>https://zfin.org/ZDB-GENE-040319-2</v>
      </c>
      <c r="E6746" t="s">
        <v>20207</v>
      </c>
    </row>
    <row r="6747" spans="1:5" x14ac:dyDescent="0.2">
      <c r="A6747" t="s">
        <v>20208</v>
      </c>
      <c r="B6747" t="s">
        <v>20209</v>
      </c>
      <c r="C6747" t="s">
        <v>20209</v>
      </c>
      <c r="D6747" t="str">
        <f>HYPERLINK("https://zfin.org/ZDB-GENE-030131-4415")</f>
        <v>https://zfin.org/ZDB-GENE-030131-4415</v>
      </c>
      <c r="E6747" t="s">
        <v>20210</v>
      </c>
    </row>
    <row r="6748" spans="1:5" x14ac:dyDescent="0.2">
      <c r="A6748" t="s">
        <v>20211</v>
      </c>
      <c r="B6748" t="s">
        <v>20212</v>
      </c>
      <c r="C6748" t="s">
        <v>20212</v>
      </c>
      <c r="D6748" t="str">
        <f>HYPERLINK("https://zfin.org/ZDB-GENE-111109-3")</f>
        <v>https://zfin.org/ZDB-GENE-111109-3</v>
      </c>
      <c r="E6748" t="s">
        <v>20213</v>
      </c>
    </row>
    <row r="6749" spans="1:5" x14ac:dyDescent="0.2">
      <c r="A6749" t="s">
        <v>20214</v>
      </c>
      <c r="B6749" t="s">
        <v>20215</v>
      </c>
      <c r="C6749" t="s">
        <v>20215</v>
      </c>
      <c r="D6749" t="str">
        <f>HYPERLINK("https://zfin.org/ZDB-GENE-040426-2936")</f>
        <v>https://zfin.org/ZDB-GENE-040426-2936</v>
      </c>
      <c r="E6749" t="s">
        <v>20216</v>
      </c>
    </row>
    <row r="6750" spans="1:5" x14ac:dyDescent="0.2">
      <c r="A6750" t="s">
        <v>20217</v>
      </c>
      <c r="B6750" t="s">
        <v>20218</v>
      </c>
      <c r="C6750" t="s">
        <v>20218</v>
      </c>
      <c r="D6750" t="str">
        <f>HYPERLINK("https://zfin.org/ZDB-GENE-041001-117")</f>
        <v>https://zfin.org/ZDB-GENE-041001-117</v>
      </c>
      <c r="E6750" t="s">
        <v>20219</v>
      </c>
    </row>
    <row r="6751" spans="1:5" x14ac:dyDescent="0.2">
      <c r="A6751" t="s">
        <v>20220</v>
      </c>
      <c r="B6751" t="s">
        <v>20221</v>
      </c>
      <c r="C6751" t="s">
        <v>20221</v>
      </c>
      <c r="D6751" t="str">
        <f>HYPERLINK("https://zfin.org/ZDB-GENE-050913-144")</f>
        <v>https://zfin.org/ZDB-GENE-050913-144</v>
      </c>
      <c r="E6751" t="s">
        <v>20222</v>
      </c>
    </row>
    <row r="6752" spans="1:5" x14ac:dyDescent="0.2">
      <c r="A6752" t="s">
        <v>20223</v>
      </c>
      <c r="B6752" t="s">
        <v>20224</v>
      </c>
      <c r="C6752" t="s">
        <v>20224</v>
      </c>
      <c r="D6752" t="str">
        <f>HYPERLINK("https://zfin.org/ZDB-GENE-040426-1113")</f>
        <v>https://zfin.org/ZDB-GENE-040426-1113</v>
      </c>
      <c r="E6752" t="s">
        <v>20225</v>
      </c>
    </row>
    <row r="6753" spans="1:5" x14ac:dyDescent="0.2">
      <c r="A6753" t="s">
        <v>20226</v>
      </c>
      <c r="B6753" t="s">
        <v>20227</v>
      </c>
      <c r="C6753" t="s">
        <v>20227</v>
      </c>
      <c r="D6753" t="str">
        <f>HYPERLINK("https://zfin.org/ZDB-GENE-041114-9")</f>
        <v>https://zfin.org/ZDB-GENE-041114-9</v>
      </c>
      <c r="E6753" t="s">
        <v>20228</v>
      </c>
    </row>
    <row r="6754" spans="1:5" x14ac:dyDescent="0.2">
      <c r="A6754" t="s">
        <v>20229</v>
      </c>
      <c r="B6754" t="s">
        <v>20230</v>
      </c>
      <c r="C6754" t="s">
        <v>20230</v>
      </c>
      <c r="D6754" t="str">
        <f>HYPERLINK("https://zfin.org/ZDB-GENE-041121-17")</f>
        <v>https://zfin.org/ZDB-GENE-041121-17</v>
      </c>
      <c r="E6754" t="s">
        <v>20231</v>
      </c>
    </row>
    <row r="6755" spans="1:5" x14ac:dyDescent="0.2">
      <c r="A6755" t="s">
        <v>20232</v>
      </c>
      <c r="B6755" t="s">
        <v>20233</v>
      </c>
      <c r="C6755" t="s">
        <v>20233</v>
      </c>
      <c r="D6755" t="str">
        <f>HYPERLINK("https://zfin.org/ZDB-GENE-050208-235")</f>
        <v>https://zfin.org/ZDB-GENE-050208-235</v>
      </c>
      <c r="E6755" t="s">
        <v>20234</v>
      </c>
    </row>
    <row r="6756" spans="1:5" x14ac:dyDescent="0.2">
      <c r="A6756" t="s">
        <v>20235</v>
      </c>
      <c r="B6756" t="s">
        <v>20236</v>
      </c>
      <c r="C6756" t="s">
        <v>20236</v>
      </c>
      <c r="D6756" t="str">
        <f>HYPERLINK("https://zfin.org/ZDB-GENE-080102-1")</f>
        <v>https://zfin.org/ZDB-GENE-080102-1</v>
      </c>
      <c r="E6756" t="s">
        <v>20237</v>
      </c>
    </row>
    <row r="6757" spans="1:5" x14ac:dyDescent="0.2">
      <c r="A6757" t="s">
        <v>20238</v>
      </c>
      <c r="B6757" t="s">
        <v>20239</v>
      </c>
      <c r="C6757" t="s">
        <v>20239</v>
      </c>
      <c r="D6757" t="str">
        <f>HYPERLINK("https://zfin.org/ZDB-GENE-041210-222")</f>
        <v>https://zfin.org/ZDB-GENE-041210-222</v>
      </c>
      <c r="E6757" t="s">
        <v>20240</v>
      </c>
    </row>
    <row r="6758" spans="1:5" x14ac:dyDescent="0.2">
      <c r="A6758" t="s">
        <v>20241</v>
      </c>
      <c r="B6758" t="s">
        <v>20242</v>
      </c>
      <c r="C6758" t="s">
        <v>20242</v>
      </c>
      <c r="D6758" t="str">
        <f>HYPERLINK("https://zfin.org/ZDB-GENE-091204-41")</f>
        <v>https://zfin.org/ZDB-GENE-091204-41</v>
      </c>
      <c r="E6758" t="s">
        <v>20243</v>
      </c>
    </row>
    <row r="6759" spans="1:5" x14ac:dyDescent="0.2">
      <c r="A6759" t="s">
        <v>20244</v>
      </c>
      <c r="B6759" t="s">
        <v>20245</v>
      </c>
      <c r="C6759" t="s">
        <v>20245</v>
      </c>
      <c r="D6759" t="str">
        <f>HYPERLINK("https://zfin.org/ZDB-GENE-040426-1515")</f>
        <v>https://zfin.org/ZDB-GENE-040426-1515</v>
      </c>
      <c r="E6759" t="s">
        <v>20246</v>
      </c>
    </row>
    <row r="6760" spans="1:5" x14ac:dyDescent="0.2">
      <c r="A6760" t="s">
        <v>20247</v>
      </c>
      <c r="B6760" t="s">
        <v>20248</v>
      </c>
      <c r="C6760" t="s">
        <v>20248</v>
      </c>
      <c r="D6760" t="str">
        <f>HYPERLINK("https://zfin.org/ZDB-GENE-141212-266")</f>
        <v>https://zfin.org/ZDB-GENE-141212-266</v>
      </c>
      <c r="E6760" t="s">
        <v>20249</v>
      </c>
    </row>
    <row r="6761" spans="1:5" x14ac:dyDescent="0.2">
      <c r="A6761" t="s">
        <v>20250</v>
      </c>
      <c r="B6761" t="s">
        <v>20251</v>
      </c>
      <c r="C6761" t="s">
        <v>20251</v>
      </c>
      <c r="D6761" t="str">
        <f>HYPERLINK("https://zfin.org/ZDB-GENE-090313-197")</f>
        <v>https://zfin.org/ZDB-GENE-090313-197</v>
      </c>
      <c r="E6761" t="s">
        <v>20252</v>
      </c>
    </row>
    <row r="6762" spans="1:5" x14ac:dyDescent="0.2">
      <c r="A6762" t="s">
        <v>20253</v>
      </c>
      <c r="B6762" t="s">
        <v>20254</v>
      </c>
      <c r="C6762" t="s">
        <v>20254</v>
      </c>
      <c r="D6762" t="str">
        <f>HYPERLINK("https://zfin.org/ZDB-GENE-100427-6")</f>
        <v>https://zfin.org/ZDB-GENE-100427-6</v>
      </c>
      <c r="E6762" t="s">
        <v>20255</v>
      </c>
    </row>
    <row r="6763" spans="1:5" x14ac:dyDescent="0.2">
      <c r="A6763" t="s">
        <v>20256</v>
      </c>
      <c r="B6763" t="s">
        <v>20257</v>
      </c>
      <c r="C6763" t="s">
        <v>20257</v>
      </c>
      <c r="D6763" t="str">
        <f>HYPERLINK("https://zfin.org/ZDB-GENE-020530-2")</f>
        <v>https://zfin.org/ZDB-GENE-020530-2</v>
      </c>
      <c r="E6763" t="s">
        <v>20258</v>
      </c>
    </row>
    <row r="6764" spans="1:5" x14ac:dyDescent="0.2">
      <c r="A6764" t="s">
        <v>20259</v>
      </c>
      <c r="B6764" t="s">
        <v>20260</v>
      </c>
      <c r="C6764" t="s">
        <v>20260</v>
      </c>
      <c r="D6764" t="str">
        <f>HYPERLINK("https://zfin.org/ZDB-GENE-040704-49")</f>
        <v>https://zfin.org/ZDB-GENE-040704-49</v>
      </c>
      <c r="E6764" t="s">
        <v>20261</v>
      </c>
    </row>
    <row r="6765" spans="1:5" x14ac:dyDescent="0.2">
      <c r="A6765" t="s">
        <v>20262</v>
      </c>
      <c r="B6765" t="s">
        <v>20263</v>
      </c>
      <c r="C6765" t="s">
        <v>20263</v>
      </c>
      <c r="D6765" t="str">
        <f>HYPERLINK("https://zfin.org/ZDB-GENE-070209-149")</f>
        <v>https://zfin.org/ZDB-GENE-070209-149</v>
      </c>
      <c r="E6765" t="s">
        <v>20264</v>
      </c>
    </row>
    <row r="6766" spans="1:5" x14ac:dyDescent="0.2">
      <c r="A6766" t="s">
        <v>20265</v>
      </c>
      <c r="B6766" t="s">
        <v>20266</v>
      </c>
      <c r="C6766" t="s">
        <v>20266</v>
      </c>
      <c r="D6766" t="str">
        <f>HYPERLINK("https://zfin.org/ZDB-GENE-140107-1")</f>
        <v>https://zfin.org/ZDB-GENE-140107-1</v>
      </c>
      <c r="E6766" t="s">
        <v>20267</v>
      </c>
    </row>
    <row r="6767" spans="1:5" x14ac:dyDescent="0.2">
      <c r="A6767" t="s">
        <v>20268</v>
      </c>
      <c r="B6767" t="s">
        <v>20269</v>
      </c>
      <c r="C6767" t="s">
        <v>20269</v>
      </c>
      <c r="D6767" t="str">
        <f>HYPERLINK("https://zfin.org/ZDB-GENE-050309-289")</f>
        <v>https://zfin.org/ZDB-GENE-050309-289</v>
      </c>
      <c r="E6767" t="s">
        <v>20270</v>
      </c>
    </row>
    <row r="6768" spans="1:5" x14ac:dyDescent="0.2">
      <c r="A6768" t="s">
        <v>20271</v>
      </c>
      <c r="B6768" t="s">
        <v>20272</v>
      </c>
      <c r="C6768" t="s">
        <v>20272</v>
      </c>
      <c r="D6768" t="str">
        <f>HYPERLINK("https://zfin.org/ZDB-GENE-030131-4042")</f>
        <v>https://zfin.org/ZDB-GENE-030131-4042</v>
      </c>
      <c r="E6768" t="s">
        <v>20273</v>
      </c>
    </row>
    <row r="6769" spans="1:5" x14ac:dyDescent="0.2">
      <c r="A6769" t="s">
        <v>20274</v>
      </c>
      <c r="B6769" t="s">
        <v>20275</v>
      </c>
      <c r="C6769" t="s">
        <v>20275</v>
      </c>
      <c r="D6769" t="str">
        <f>HYPERLINK("https://zfin.org/ZDB-GENE-040901-2")</f>
        <v>https://zfin.org/ZDB-GENE-040901-2</v>
      </c>
      <c r="E6769" t="s">
        <v>20276</v>
      </c>
    </row>
    <row r="6770" spans="1:5" x14ac:dyDescent="0.2">
      <c r="A6770" t="s">
        <v>20277</v>
      </c>
      <c r="B6770" t="s">
        <v>20278</v>
      </c>
      <c r="C6770" t="s">
        <v>20278</v>
      </c>
      <c r="D6770" t="str">
        <f>HYPERLINK("https://zfin.org/ZDB-GENE-060503-55")</f>
        <v>https://zfin.org/ZDB-GENE-060503-55</v>
      </c>
      <c r="E6770" t="s">
        <v>20279</v>
      </c>
    </row>
    <row r="6771" spans="1:5" x14ac:dyDescent="0.2">
      <c r="A6771" t="s">
        <v>20280</v>
      </c>
      <c r="B6771" t="s">
        <v>20281</v>
      </c>
      <c r="C6771" t="s">
        <v>20281</v>
      </c>
      <c r="D6771" t="str">
        <f>HYPERLINK("https://zfin.org/ZDB-GENE-030616-515")</f>
        <v>https://zfin.org/ZDB-GENE-030616-515</v>
      </c>
      <c r="E6771" t="s">
        <v>20282</v>
      </c>
    </row>
    <row r="6772" spans="1:5" x14ac:dyDescent="0.2">
      <c r="A6772" t="s">
        <v>20283</v>
      </c>
      <c r="B6772" t="s">
        <v>20284</v>
      </c>
      <c r="C6772" t="s">
        <v>20284</v>
      </c>
      <c r="D6772" t="str">
        <f>HYPERLINK("https://zfin.org/ZDB-GENE-040712-5")</f>
        <v>https://zfin.org/ZDB-GENE-040712-5</v>
      </c>
      <c r="E6772" t="s">
        <v>20285</v>
      </c>
    </row>
    <row r="6773" spans="1:5" x14ac:dyDescent="0.2">
      <c r="A6773" t="s">
        <v>20286</v>
      </c>
      <c r="B6773" t="s">
        <v>20287</v>
      </c>
      <c r="C6773" t="s">
        <v>20287</v>
      </c>
      <c r="D6773" t="str">
        <f>HYPERLINK("https://zfin.org/ZDB-GENE-050417-83")</f>
        <v>https://zfin.org/ZDB-GENE-050417-83</v>
      </c>
      <c r="E6773" t="s">
        <v>20288</v>
      </c>
    </row>
    <row r="6774" spans="1:5" x14ac:dyDescent="0.2">
      <c r="A6774" t="s">
        <v>20289</v>
      </c>
      <c r="B6774" t="s">
        <v>20290</v>
      </c>
      <c r="C6774" t="s">
        <v>20290</v>
      </c>
      <c r="D6774" t="str">
        <f>HYPERLINK("https://zfin.org/ZDB-GENE-081104-106")</f>
        <v>https://zfin.org/ZDB-GENE-081104-106</v>
      </c>
      <c r="E6774" t="s">
        <v>20291</v>
      </c>
    </row>
    <row r="6775" spans="1:5" x14ac:dyDescent="0.2">
      <c r="A6775" t="s">
        <v>20292</v>
      </c>
      <c r="B6775" t="s">
        <v>20293</v>
      </c>
      <c r="C6775" t="s">
        <v>20293</v>
      </c>
      <c r="D6775" t="str">
        <f>HYPERLINK("https://zfin.org/ZDB-GENEP-041001-14")</f>
        <v>https://zfin.org/ZDB-GENEP-041001-14</v>
      </c>
      <c r="E6775" t="s">
        <v>20294</v>
      </c>
    </row>
    <row r="6776" spans="1:5" x14ac:dyDescent="0.2">
      <c r="A6776" t="s">
        <v>20295</v>
      </c>
      <c r="B6776" t="s">
        <v>20296</v>
      </c>
      <c r="C6776" t="s">
        <v>20296</v>
      </c>
      <c r="D6776" t="str">
        <f>HYPERLINK("https://zfin.org/ZDB-GENE-030131-9359")</f>
        <v>https://zfin.org/ZDB-GENE-030131-9359</v>
      </c>
      <c r="E6776" t="s">
        <v>20297</v>
      </c>
    </row>
    <row r="6777" spans="1:5" x14ac:dyDescent="0.2">
      <c r="A6777" t="s">
        <v>20298</v>
      </c>
      <c r="B6777" t="s">
        <v>20299</v>
      </c>
      <c r="C6777" t="s">
        <v>20299</v>
      </c>
      <c r="D6777" t="str">
        <f>HYPERLINK("https://zfin.org/ZDB-GENE-990415-220")</f>
        <v>https://zfin.org/ZDB-GENE-990415-220</v>
      </c>
      <c r="E6777" t="s">
        <v>20300</v>
      </c>
    </row>
    <row r="6778" spans="1:5" x14ac:dyDescent="0.2">
      <c r="A6778" t="s">
        <v>20301</v>
      </c>
      <c r="B6778" t="s">
        <v>20302</v>
      </c>
      <c r="C6778" t="s">
        <v>20302</v>
      </c>
      <c r="D6778" t="str">
        <f>HYPERLINK("https://zfin.org/ZDB-GENE-030131-7850")</f>
        <v>https://zfin.org/ZDB-GENE-030131-7850</v>
      </c>
      <c r="E6778" t="s">
        <v>20303</v>
      </c>
    </row>
    <row r="6779" spans="1:5" x14ac:dyDescent="0.2">
      <c r="A6779" t="s">
        <v>20304</v>
      </c>
      <c r="B6779" t="s">
        <v>20305</v>
      </c>
      <c r="C6779" t="s">
        <v>20305</v>
      </c>
      <c r="D6779" t="str">
        <f>HYPERLINK("https://zfin.org/ZDB-GENE-121214-111")</f>
        <v>https://zfin.org/ZDB-GENE-121214-111</v>
      </c>
      <c r="E6779" t="s">
        <v>20306</v>
      </c>
    </row>
    <row r="6780" spans="1:5" x14ac:dyDescent="0.2">
      <c r="A6780" t="s">
        <v>20307</v>
      </c>
      <c r="B6780" t="s">
        <v>20308</v>
      </c>
      <c r="C6780" t="s">
        <v>20308</v>
      </c>
      <c r="D6780" t="str">
        <f>HYPERLINK("https://zfin.org/ZDB-GENE-081022-158")</f>
        <v>https://zfin.org/ZDB-GENE-081022-158</v>
      </c>
      <c r="E6780" t="s">
        <v>20309</v>
      </c>
    </row>
    <row r="6781" spans="1:5" x14ac:dyDescent="0.2">
      <c r="A6781" t="s">
        <v>20310</v>
      </c>
      <c r="B6781" t="s">
        <v>20311</v>
      </c>
      <c r="C6781" t="s">
        <v>20311</v>
      </c>
      <c r="D6781" t="str">
        <f>HYPERLINK("https://zfin.org/ZDB-GENE-040912-85")</f>
        <v>https://zfin.org/ZDB-GENE-040912-85</v>
      </c>
      <c r="E6781" t="s">
        <v>20312</v>
      </c>
    </row>
    <row r="6782" spans="1:5" x14ac:dyDescent="0.2">
      <c r="A6782" t="s">
        <v>20313</v>
      </c>
      <c r="B6782" t="s">
        <v>20314</v>
      </c>
      <c r="C6782" t="s">
        <v>20314</v>
      </c>
      <c r="D6782" t="str">
        <f>HYPERLINK("https://zfin.org/ZDB-GENE-040426-1298")</f>
        <v>https://zfin.org/ZDB-GENE-040426-1298</v>
      </c>
      <c r="E6782" t="s">
        <v>20315</v>
      </c>
    </row>
    <row r="6783" spans="1:5" x14ac:dyDescent="0.2">
      <c r="A6783" t="s">
        <v>20316</v>
      </c>
      <c r="B6783" t="s">
        <v>20317</v>
      </c>
      <c r="C6783" t="s">
        <v>20317</v>
      </c>
      <c r="D6783" t="str">
        <f>HYPERLINK("https://zfin.org/ZDB-GENE-030131-7433")</f>
        <v>https://zfin.org/ZDB-GENE-030131-7433</v>
      </c>
      <c r="E6783" t="s">
        <v>20318</v>
      </c>
    </row>
    <row r="6784" spans="1:5" x14ac:dyDescent="0.2">
      <c r="A6784" t="s">
        <v>20319</v>
      </c>
      <c r="B6784" t="s">
        <v>20320</v>
      </c>
      <c r="C6784" t="s">
        <v>20320</v>
      </c>
      <c r="D6784" t="str">
        <f>HYPERLINK("https://zfin.org/ZDB-GENE-160114-86")</f>
        <v>https://zfin.org/ZDB-GENE-160114-86</v>
      </c>
      <c r="E6784" t="s">
        <v>20321</v>
      </c>
    </row>
    <row r="6785" spans="1:5" x14ac:dyDescent="0.2">
      <c r="A6785" t="s">
        <v>20322</v>
      </c>
      <c r="B6785" t="s">
        <v>20323</v>
      </c>
      <c r="C6785" t="s">
        <v>20323</v>
      </c>
      <c r="D6785" t="str">
        <f>HYPERLINK("https://zfin.org/ZDB-GENE-040718-302")</f>
        <v>https://zfin.org/ZDB-GENE-040718-302</v>
      </c>
      <c r="E6785" t="s">
        <v>20324</v>
      </c>
    </row>
    <row r="6786" spans="1:5" x14ac:dyDescent="0.2">
      <c r="A6786" t="s">
        <v>20325</v>
      </c>
      <c r="B6786" t="s">
        <v>20326</v>
      </c>
      <c r="C6786" t="s">
        <v>20326</v>
      </c>
      <c r="D6786" t="str">
        <f>HYPERLINK("https://zfin.org/ZDB-GENE-141216-213")</f>
        <v>https://zfin.org/ZDB-GENE-141216-213</v>
      </c>
      <c r="E6786" t="s">
        <v>20327</v>
      </c>
    </row>
    <row r="6787" spans="1:5" x14ac:dyDescent="0.2">
      <c r="A6787" t="s">
        <v>20328</v>
      </c>
      <c r="B6787" t="s">
        <v>20329</v>
      </c>
      <c r="C6787" t="s">
        <v>20329</v>
      </c>
      <c r="D6787" t="str">
        <f>HYPERLINK("https://zfin.org/ZDB-GENE-050417-236")</f>
        <v>https://zfin.org/ZDB-GENE-050417-236</v>
      </c>
      <c r="E6787" t="s">
        <v>20330</v>
      </c>
    </row>
    <row r="6788" spans="1:5" x14ac:dyDescent="0.2">
      <c r="A6788" t="s">
        <v>20331</v>
      </c>
      <c r="B6788" t="s">
        <v>20332</v>
      </c>
      <c r="C6788" t="s">
        <v>20332</v>
      </c>
      <c r="D6788" t="str">
        <f>HYPERLINK("https://zfin.org/ZDB-GENE-141219-46")</f>
        <v>https://zfin.org/ZDB-GENE-141219-46</v>
      </c>
      <c r="E6788" t="s">
        <v>20333</v>
      </c>
    </row>
    <row r="6789" spans="1:5" x14ac:dyDescent="0.2">
      <c r="A6789" t="s">
        <v>20334</v>
      </c>
      <c r="B6789" t="s">
        <v>20335</v>
      </c>
      <c r="C6789" t="s">
        <v>20335</v>
      </c>
      <c r="D6789" t="str">
        <f>HYPERLINK("https://zfin.org/ZDB-GENE-030131-2392")</f>
        <v>https://zfin.org/ZDB-GENE-030131-2392</v>
      </c>
      <c r="E6789" t="s">
        <v>20336</v>
      </c>
    </row>
    <row r="6790" spans="1:5" x14ac:dyDescent="0.2">
      <c r="A6790" t="s">
        <v>20337</v>
      </c>
      <c r="B6790" t="s">
        <v>20338</v>
      </c>
      <c r="C6790" t="s">
        <v>20338</v>
      </c>
      <c r="D6790" t="str">
        <f>HYPERLINK("https://zfin.org/ZDB-GENE-990714-22")</f>
        <v>https://zfin.org/ZDB-GENE-990714-22</v>
      </c>
      <c r="E6790" t="s">
        <v>20339</v>
      </c>
    </row>
    <row r="6791" spans="1:5" x14ac:dyDescent="0.2">
      <c r="A6791" t="s">
        <v>20340</v>
      </c>
      <c r="B6791" t="s">
        <v>20341</v>
      </c>
      <c r="C6791" t="s">
        <v>20341</v>
      </c>
      <c r="D6791" t="str">
        <f>HYPERLINK("https://zfin.org/ZDB-GENE-050913-85")</f>
        <v>https://zfin.org/ZDB-GENE-050913-85</v>
      </c>
      <c r="E6791" t="s">
        <v>20342</v>
      </c>
    </row>
    <row r="6792" spans="1:5" x14ac:dyDescent="0.2">
      <c r="A6792" t="s">
        <v>20343</v>
      </c>
      <c r="B6792" t="s">
        <v>20344</v>
      </c>
      <c r="C6792" t="s">
        <v>20344</v>
      </c>
      <c r="D6792" t="str">
        <f>HYPERLINK("https://zfin.org/ZDB-GENE-050306-41")</f>
        <v>https://zfin.org/ZDB-GENE-050306-41</v>
      </c>
      <c r="E6792" t="s">
        <v>20345</v>
      </c>
    </row>
    <row r="6793" spans="1:5" x14ac:dyDescent="0.2">
      <c r="A6793" t="s">
        <v>20346</v>
      </c>
      <c r="B6793" t="s">
        <v>20347</v>
      </c>
      <c r="C6793" t="s">
        <v>20347</v>
      </c>
      <c r="D6793" t="str">
        <f>HYPERLINK("https://zfin.org/ZDB-GENE-040426-1925")</f>
        <v>https://zfin.org/ZDB-GENE-040426-1925</v>
      </c>
      <c r="E6793" t="s">
        <v>20348</v>
      </c>
    </row>
    <row r="6794" spans="1:5" x14ac:dyDescent="0.2">
      <c r="A6794" t="s">
        <v>20349</v>
      </c>
      <c r="B6794" t="s">
        <v>20350</v>
      </c>
      <c r="C6794" t="s">
        <v>20350</v>
      </c>
      <c r="D6794" t="str">
        <f>HYPERLINK("https://zfin.org/ZDB-GENE-090313-198")</f>
        <v>https://zfin.org/ZDB-GENE-090313-198</v>
      </c>
      <c r="E6794" t="s">
        <v>20351</v>
      </c>
    </row>
    <row r="6795" spans="1:5" x14ac:dyDescent="0.2">
      <c r="A6795" t="s">
        <v>20352</v>
      </c>
      <c r="B6795" t="s">
        <v>20353</v>
      </c>
      <c r="C6795" t="s">
        <v>20353</v>
      </c>
      <c r="D6795" t="str">
        <f>HYPERLINK("https://zfin.org/ZDB-GENE-090311-17")</f>
        <v>https://zfin.org/ZDB-GENE-090311-17</v>
      </c>
      <c r="E6795" t="s">
        <v>20354</v>
      </c>
    </row>
    <row r="6796" spans="1:5" x14ac:dyDescent="0.2">
      <c r="A6796" t="s">
        <v>20355</v>
      </c>
      <c r="B6796" t="s">
        <v>20356</v>
      </c>
      <c r="C6796" t="s">
        <v>20356</v>
      </c>
      <c r="D6796" t="str">
        <f>HYPERLINK("https://zfin.org/ZDB-GENE-030131-433")</f>
        <v>https://zfin.org/ZDB-GENE-030131-433</v>
      </c>
      <c r="E6796" t="s">
        <v>20357</v>
      </c>
    </row>
    <row r="6797" spans="1:5" x14ac:dyDescent="0.2">
      <c r="A6797" t="s">
        <v>20358</v>
      </c>
      <c r="B6797" t="s">
        <v>20359</v>
      </c>
      <c r="C6797" t="s">
        <v>20359</v>
      </c>
      <c r="D6797" t="str">
        <f>HYPERLINK("https://zfin.org/ZDB-GENE-060531-20")</f>
        <v>https://zfin.org/ZDB-GENE-060531-20</v>
      </c>
      <c r="E6797" t="s">
        <v>20360</v>
      </c>
    </row>
    <row r="6798" spans="1:5" x14ac:dyDescent="0.2">
      <c r="A6798" t="s">
        <v>20361</v>
      </c>
      <c r="B6798" t="s">
        <v>20362</v>
      </c>
      <c r="C6798" t="s">
        <v>20362</v>
      </c>
      <c r="D6798" t="str">
        <f>HYPERLINK("https://zfin.org/ZDB-GENE-060929-828")</f>
        <v>https://zfin.org/ZDB-GENE-060929-828</v>
      </c>
      <c r="E6798" t="s">
        <v>20363</v>
      </c>
    </row>
    <row r="6799" spans="1:5" x14ac:dyDescent="0.2">
      <c r="A6799" t="s">
        <v>20364</v>
      </c>
      <c r="B6799" t="s">
        <v>20365</v>
      </c>
      <c r="C6799" t="s">
        <v>20365</v>
      </c>
      <c r="D6799" t="str">
        <f>HYPERLINK("https://zfin.org/ZDB-GENE-050320-51")</f>
        <v>https://zfin.org/ZDB-GENE-050320-51</v>
      </c>
      <c r="E6799" t="s">
        <v>20366</v>
      </c>
    </row>
    <row r="6800" spans="1:5" x14ac:dyDescent="0.2">
      <c r="A6800" t="s">
        <v>20367</v>
      </c>
      <c r="B6800" t="s">
        <v>20368</v>
      </c>
      <c r="C6800" t="s">
        <v>20368</v>
      </c>
      <c r="D6800" t="str">
        <f>HYPERLINK("https://zfin.org/ZDB-GENE-030131-4491")</f>
        <v>https://zfin.org/ZDB-GENE-030131-4491</v>
      </c>
      <c r="E6800" t="s">
        <v>20369</v>
      </c>
    </row>
    <row r="6801" spans="1:5" x14ac:dyDescent="0.2">
      <c r="A6801" t="s">
        <v>20370</v>
      </c>
      <c r="B6801" t="s">
        <v>20371</v>
      </c>
      <c r="C6801" t="s">
        <v>20371</v>
      </c>
      <c r="D6801" t="str">
        <f>HYPERLINK("https://zfin.org/ZDB-GENE-041001-119")</f>
        <v>https://zfin.org/ZDB-GENE-041001-119</v>
      </c>
      <c r="E6801" t="s">
        <v>20372</v>
      </c>
    </row>
    <row r="6802" spans="1:5" x14ac:dyDescent="0.2">
      <c r="A6802" t="s">
        <v>20373</v>
      </c>
      <c r="B6802" t="s">
        <v>20374</v>
      </c>
      <c r="C6802" t="s">
        <v>20374</v>
      </c>
      <c r="D6802" t="str">
        <f>HYPERLINK("https://zfin.org/ZDB-GENE-030131-4816")</f>
        <v>https://zfin.org/ZDB-GENE-030131-4816</v>
      </c>
      <c r="E6802" t="s">
        <v>20375</v>
      </c>
    </row>
    <row r="6803" spans="1:5" x14ac:dyDescent="0.2">
      <c r="A6803" t="s">
        <v>20376</v>
      </c>
      <c r="B6803" t="s">
        <v>20377</v>
      </c>
      <c r="C6803" t="s">
        <v>20377</v>
      </c>
      <c r="D6803" t="str">
        <f>HYPERLINK("https://zfin.org/ZDB-GENE-020104-1")</f>
        <v>https://zfin.org/ZDB-GENE-020104-1</v>
      </c>
      <c r="E6803" t="s">
        <v>20378</v>
      </c>
    </row>
    <row r="6804" spans="1:5" x14ac:dyDescent="0.2">
      <c r="A6804" t="s">
        <v>20379</v>
      </c>
      <c r="B6804" t="s">
        <v>20380</v>
      </c>
      <c r="C6804" t="s">
        <v>20380</v>
      </c>
      <c r="D6804" t="str">
        <f>HYPERLINK("https://zfin.org/ZDB-GENE-090313-124")</f>
        <v>https://zfin.org/ZDB-GENE-090313-124</v>
      </c>
      <c r="E6804" t="s">
        <v>20381</v>
      </c>
    </row>
    <row r="6805" spans="1:5" x14ac:dyDescent="0.2">
      <c r="A6805" t="s">
        <v>20382</v>
      </c>
      <c r="B6805" t="s">
        <v>20383</v>
      </c>
      <c r="C6805" t="s">
        <v>20383</v>
      </c>
      <c r="D6805" t="str">
        <f>HYPERLINK("https://zfin.org/ZDB-GENE-030131-5130")</f>
        <v>https://zfin.org/ZDB-GENE-030131-5130</v>
      </c>
      <c r="E6805" t="s">
        <v>20384</v>
      </c>
    </row>
    <row r="6806" spans="1:5" x14ac:dyDescent="0.2">
      <c r="A6806" t="s">
        <v>20385</v>
      </c>
      <c r="B6806" t="s">
        <v>20386</v>
      </c>
      <c r="C6806" t="s">
        <v>20386</v>
      </c>
      <c r="D6806" t="str">
        <f>HYPERLINK("https://zfin.org/ZDB-GENE-060421-5153")</f>
        <v>https://zfin.org/ZDB-GENE-060421-5153</v>
      </c>
      <c r="E6806" t="s">
        <v>20387</v>
      </c>
    </row>
    <row r="6807" spans="1:5" x14ac:dyDescent="0.2">
      <c r="A6807" t="s">
        <v>20388</v>
      </c>
      <c r="B6807" t="s">
        <v>20389</v>
      </c>
      <c r="C6807" t="s">
        <v>20389</v>
      </c>
      <c r="D6807" t="str">
        <f>HYPERLINK("https://zfin.org/ZDB-GENE-141222-51")</f>
        <v>https://zfin.org/ZDB-GENE-141222-51</v>
      </c>
      <c r="E6807" t="s">
        <v>20390</v>
      </c>
    </row>
    <row r="6808" spans="1:5" x14ac:dyDescent="0.2">
      <c r="A6808" t="s">
        <v>20391</v>
      </c>
      <c r="B6808" t="s">
        <v>20392</v>
      </c>
      <c r="C6808" t="s">
        <v>20392</v>
      </c>
      <c r="D6808" t="str">
        <f>HYPERLINK("https://zfin.org/ZDB-GENE-050417-189")</f>
        <v>https://zfin.org/ZDB-GENE-050417-189</v>
      </c>
      <c r="E6808" t="s">
        <v>20393</v>
      </c>
    </row>
    <row r="6809" spans="1:5" x14ac:dyDescent="0.2">
      <c r="A6809" t="s">
        <v>20394</v>
      </c>
      <c r="B6809" t="s">
        <v>20395</v>
      </c>
      <c r="C6809" t="s">
        <v>20395</v>
      </c>
      <c r="D6809" t="str">
        <f>HYPERLINK("https://zfin.org/ZDB-GENE-040426-1576")</f>
        <v>https://zfin.org/ZDB-GENE-040426-1576</v>
      </c>
      <c r="E6809" t="s">
        <v>20396</v>
      </c>
    </row>
    <row r="6810" spans="1:5" x14ac:dyDescent="0.2">
      <c r="A6810" t="s">
        <v>20397</v>
      </c>
      <c r="B6810" t="s">
        <v>20398</v>
      </c>
      <c r="C6810" t="s">
        <v>20398</v>
      </c>
      <c r="D6810" t="str">
        <f>HYPERLINK("https://zfin.org/ZDB-GENE-060929-352")</f>
        <v>https://zfin.org/ZDB-GENE-060929-352</v>
      </c>
      <c r="E6810" t="s">
        <v>20399</v>
      </c>
    </row>
    <row r="6811" spans="1:5" x14ac:dyDescent="0.2">
      <c r="A6811" t="s">
        <v>20400</v>
      </c>
      <c r="B6811" t="s">
        <v>20401</v>
      </c>
      <c r="C6811" t="s">
        <v>20401</v>
      </c>
      <c r="D6811" t="str">
        <f>HYPERLINK("https://zfin.org/ZDB-GENE-070112-2122")</f>
        <v>https://zfin.org/ZDB-GENE-070112-2122</v>
      </c>
      <c r="E6811" t="s">
        <v>20402</v>
      </c>
    </row>
    <row r="6812" spans="1:5" x14ac:dyDescent="0.2">
      <c r="A6812" t="s">
        <v>20403</v>
      </c>
      <c r="B6812" t="s">
        <v>20404</v>
      </c>
      <c r="C6812" t="s">
        <v>20404</v>
      </c>
      <c r="D6812" t="str">
        <f>HYPERLINK("https://zfin.org/ZDB-GENE-040426-1631")</f>
        <v>https://zfin.org/ZDB-GENE-040426-1631</v>
      </c>
      <c r="E6812" t="s">
        <v>20405</v>
      </c>
    </row>
    <row r="6813" spans="1:5" x14ac:dyDescent="0.2">
      <c r="A6813" t="s">
        <v>20406</v>
      </c>
      <c r="B6813" t="s">
        <v>20407</v>
      </c>
      <c r="C6813" t="s">
        <v>20407</v>
      </c>
      <c r="D6813" t="str">
        <f>HYPERLINK("https://zfin.org/ZDB-GENE-080303-28")</f>
        <v>https://zfin.org/ZDB-GENE-080303-28</v>
      </c>
      <c r="E6813" t="s">
        <v>20408</v>
      </c>
    </row>
    <row r="6814" spans="1:5" x14ac:dyDescent="0.2">
      <c r="A6814" t="s">
        <v>20409</v>
      </c>
      <c r="B6814" t="s">
        <v>20410</v>
      </c>
      <c r="C6814" t="s">
        <v>20410</v>
      </c>
      <c r="D6814" t="str">
        <f>HYPERLINK("https://zfin.org/ZDB-GENE-120215-146")</f>
        <v>https://zfin.org/ZDB-GENE-120215-146</v>
      </c>
      <c r="E6814" t="s">
        <v>20411</v>
      </c>
    </row>
    <row r="6815" spans="1:5" x14ac:dyDescent="0.2">
      <c r="A6815" t="s">
        <v>20412</v>
      </c>
      <c r="B6815" t="s">
        <v>20413</v>
      </c>
      <c r="C6815" t="s">
        <v>20413</v>
      </c>
      <c r="D6815" t="str">
        <f>HYPERLINK("https://zfin.org/ZDB-GENE-040426-2922")</f>
        <v>https://zfin.org/ZDB-GENE-040426-2922</v>
      </c>
      <c r="E6815" t="s">
        <v>20414</v>
      </c>
    </row>
    <row r="6816" spans="1:5" x14ac:dyDescent="0.2">
      <c r="A6816" t="s">
        <v>20415</v>
      </c>
      <c r="B6816" t="s">
        <v>20416</v>
      </c>
      <c r="C6816" t="s">
        <v>20416</v>
      </c>
      <c r="D6816" t="str">
        <f>HYPERLINK("https://zfin.org/ZDB-GENE-040426-1811")</f>
        <v>https://zfin.org/ZDB-GENE-040426-1811</v>
      </c>
      <c r="E6816" t="s">
        <v>20417</v>
      </c>
    </row>
    <row r="6817" spans="1:5" x14ac:dyDescent="0.2">
      <c r="A6817" t="s">
        <v>20418</v>
      </c>
      <c r="B6817" t="s">
        <v>20419</v>
      </c>
      <c r="C6817" t="s">
        <v>20419</v>
      </c>
      <c r="D6817" t="str">
        <f>HYPERLINK("https://zfin.org/ZDB-GENE-040426-686")</f>
        <v>https://zfin.org/ZDB-GENE-040426-686</v>
      </c>
      <c r="E6817" t="s">
        <v>20420</v>
      </c>
    </row>
    <row r="6818" spans="1:5" x14ac:dyDescent="0.2">
      <c r="A6818" t="s">
        <v>20421</v>
      </c>
      <c r="B6818" t="s">
        <v>20422</v>
      </c>
      <c r="C6818" t="s">
        <v>20422</v>
      </c>
      <c r="D6818" t="str">
        <f>HYPERLINK("https://zfin.org/")</f>
        <v>https://zfin.org/</v>
      </c>
    </row>
    <row r="6819" spans="1:5" x14ac:dyDescent="0.2">
      <c r="A6819" t="s">
        <v>20423</v>
      </c>
      <c r="B6819" t="s">
        <v>20424</v>
      </c>
      <c r="C6819" t="s">
        <v>20424</v>
      </c>
      <c r="D6819" t="str">
        <f>HYPERLINK("https://zfin.org/ZDB-GENE-030131-5884")</f>
        <v>https://zfin.org/ZDB-GENE-030131-5884</v>
      </c>
      <c r="E6819" t="s">
        <v>20425</v>
      </c>
    </row>
    <row r="6820" spans="1:5" x14ac:dyDescent="0.2">
      <c r="A6820" t="s">
        <v>20426</v>
      </c>
      <c r="B6820" t="s">
        <v>20427</v>
      </c>
      <c r="C6820" t="s">
        <v>20427</v>
      </c>
      <c r="D6820" t="str">
        <f>HYPERLINK("https://zfin.org/ZDB-GENE-120920-1")</f>
        <v>https://zfin.org/ZDB-GENE-120920-1</v>
      </c>
      <c r="E6820" t="s">
        <v>20428</v>
      </c>
    </row>
    <row r="6821" spans="1:5" x14ac:dyDescent="0.2">
      <c r="A6821" t="s">
        <v>20429</v>
      </c>
      <c r="B6821" t="s">
        <v>20430</v>
      </c>
      <c r="C6821" t="s">
        <v>20430</v>
      </c>
      <c r="D6821" t="str">
        <f>HYPERLINK("https://zfin.org/ZDB-GENE-050417-444")</f>
        <v>https://zfin.org/ZDB-GENE-050417-444</v>
      </c>
      <c r="E6821" t="s">
        <v>20431</v>
      </c>
    </row>
    <row r="6822" spans="1:5" x14ac:dyDescent="0.2">
      <c r="A6822" t="s">
        <v>20432</v>
      </c>
      <c r="B6822" t="s">
        <v>20433</v>
      </c>
      <c r="C6822" t="s">
        <v>20433</v>
      </c>
      <c r="D6822" t="str">
        <f>HYPERLINK("https://zfin.org/ZDB-GENE-050417-102")</f>
        <v>https://zfin.org/ZDB-GENE-050417-102</v>
      </c>
      <c r="E6822" t="s">
        <v>20434</v>
      </c>
    </row>
    <row r="6823" spans="1:5" x14ac:dyDescent="0.2">
      <c r="A6823" t="s">
        <v>20435</v>
      </c>
      <c r="B6823" t="s">
        <v>20436</v>
      </c>
      <c r="C6823" t="s">
        <v>20436</v>
      </c>
      <c r="D6823" t="str">
        <f>HYPERLINK("https://zfin.org/ZDB-GENE-051128-1")</f>
        <v>https://zfin.org/ZDB-GENE-051128-1</v>
      </c>
      <c r="E6823" t="s">
        <v>20437</v>
      </c>
    </row>
    <row r="6824" spans="1:5" x14ac:dyDescent="0.2">
      <c r="A6824" t="s">
        <v>20438</v>
      </c>
      <c r="B6824" t="s">
        <v>20439</v>
      </c>
      <c r="C6824" t="s">
        <v>20439</v>
      </c>
      <c r="D6824" t="str">
        <f>HYPERLINK("https://zfin.org/ZDB-GENE-030131-5552")</f>
        <v>https://zfin.org/ZDB-GENE-030131-5552</v>
      </c>
      <c r="E6824" t="s">
        <v>20440</v>
      </c>
    </row>
    <row r="6825" spans="1:5" x14ac:dyDescent="0.2">
      <c r="A6825" t="s">
        <v>20441</v>
      </c>
      <c r="B6825" t="s">
        <v>20442</v>
      </c>
      <c r="C6825" t="s">
        <v>20442</v>
      </c>
      <c r="D6825" t="str">
        <f>HYPERLINK("https://zfin.org/ZDB-GENE-141216-141")</f>
        <v>https://zfin.org/ZDB-GENE-141216-141</v>
      </c>
      <c r="E6825" t="s">
        <v>20443</v>
      </c>
    </row>
    <row r="6826" spans="1:5" x14ac:dyDescent="0.2">
      <c r="A6826" t="s">
        <v>20444</v>
      </c>
      <c r="B6826" t="s">
        <v>20445</v>
      </c>
      <c r="C6826" t="s">
        <v>20445</v>
      </c>
      <c r="D6826" t="str">
        <f>HYPERLINK("https://zfin.org/ZDB-GENE-110407-3")</f>
        <v>https://zfin.org/ZDB-GENE-110407-3</v>
      </c>
      <c r="E6826" t="s">
        <v>20446</v>
      </c>
    </row>
    <row r="6827" spans="1:5" x14ac:dyDescent="0.2">
      <c r="A6827" t="s">
        <v>20447</v>
      </c>
      <c r="B6827" t="s">
        <v>20448</v>
      </c>
      <c r="C6827" t="s">
        <v>20448</v>
      </c>
      <c r="D6827" t="str">
        <f>HYPERLINK("https://zfin.org/ZDB-GENE-121214-269")</f>
        <v>https://zfin.org/ZDB-GENE-121214-269</v>
      </c>
      <c r="E6827" t="s">
        <v>20449</v>
      </c>
    </row>
    <row r="6828" spans="1:5" x14ac:dyDescent="0.2">
      <c r="A6828" t="s">
        <v>20450</v>
      </c>
      <c r="B6828" t="s">
        <v>20451</v>
      </c>
      <c r="C6828" t="s">
        <v>20451</v>
      </c>
      <c r="D6828" t="str">
        <f>HYPERLINK("https://zfin.org/ZDB-GENE-060201-4")</f>
        <v>https://zfin.org/ZDB-GENE-060201-4</v>
      </c>
      <c r="E6828" t="s">
        <v>20452</v>
      </c>
    </row>
    <row r="6829" spans="1:5" x14ac:dyDescent="0.2">
      <c r="A6829" t="s">
        <v>20453</v>
      </c>
      <c r="B6829" t="s">
        <v>20454</v>
      </c>
      <c r="C6829" t="s">
        <v>20454</v>
      </c>
      <c r="D6829" t="str">
        <f>HYPERLINK("https://zfin.org/ZDB-GENE-100922-251")</f>
        <v>https://zfin.org/ZDB-GENE-100922-251</v>
      </c>
      <c r="E6829" t="s">
        <v>20455</v>
      </c>
    </row>
    <row r="6830" spans="1:5" x14ac:dyDescent="0.2">
      <c r="A6830" t="s">
        <v>20456</v>
      </c>
      <c r="B6830" t="s">
        <v>20457</v>
      </c>
      <c r="C6830" t="s">
        <v>20457</v>
      </c>
      <c r="D6830" t="str">
        <f>HYPERLINK("https://zfin.org/ZDB-GENE-131127-252")</f>
        <v>https://zfin.org/ZDB-GENE-131127-252</v>
      </c>
      <c r="E6830" t="s">
        <v>20458</v>
      </c>
    </row>
    <row r="6831" spans="1:5" x14ac:dyDescent="0.2">
      <c r="A6831" t="s">
        <v>20459</v>
      </c>
      <c r="B6831" t="s">
        <v>20460</v>
      </c>
      <c r="C6831" t="s">
        <v>20460</v>
      </c>
      <c r="D6831" t="str">
        <f>HYPERLINK("https://zfin.org/ZDB-GENE-040426-21")</f>
        <v>https://zfin.org/ZDB-GENE-040426-21</v>
      </c>
      <c r="E6831" t="s">
        <v>20461</v>
      </c>
    </row>
    <row r="6832" spans="1:5" x14ac:dyDescent="0.2">
      <c r="A6832" t="s">
        <v>20462</v>
      </c>
      <c r="B6832" t="s">
        <v>20463</v>
      </c>
      <c r="C6832" t="s">
        <v>20463</v>
      </c>
      <c r="D6832" t="str">
        <f>HYPERLINK("https://zfin.org/ZDB-GENE-070912-444")</f>
        <v>https://zfin.org/ZDB-GENE-070912-444</v>
      </c>
      <c r="E6832" t="s">
        <v>20464</v>
      </c>
    </row>
    <row r="6833" spans="1:5" x14ac:dyDescent="0.2">
      <c r="A6833" t="s">
        <v>20465</v>
      </c>
      <c r="B6833" t="s">
        <v>20466</v>
      </c>
      <c r="C6833" t="s">
        <v>20466</v>
      </c>
      <c r="D6833" t="str">
        <f>HYPERLINK("https://zfin.org/ZDB-GENE-990415-92")</f>
        <v>https://zfin.org/ZDB-GENE-990415-92</v>
      </c>
      <c r="E6833" t="s">
        <v>20467</v>
      </c>
    </row>
    <row r="6834" spans="1:5" x14ac:dyDescent="0.2">
      <c r="A6834" t="s">
        <v>20468</v>
      </c>
      <c r="B6834" t="s">
        <v>20469</v>
      </c>
      <c r="C6834" t="s">
        <v>20469</v>
      </c>
      <c r="D6834" t="str">
        <f>HYPERLINK("https://zfin.org/ZDB-GENE-111109-2")</f>
        <v>https://zfin.org/ZDB-GENE-111109-2</v>
      </c>
      <c r="E6834" t="s">
        <v>20470</v>
      </c>
    </row>
    <row r="6835" spans="1:5" x14ac:dyDescent="0.2">
      <c r="A6835" t="s">
        <v>20471</v>
      </c>
      <c r="B6835" t="s">
        <v>20472</v>
      </c>
      <c r="C6835" t="s">
        <v>20472</v>
      </c>
      <c r="D6835" t="str">
        <f>HYPERLINK("https://zfin.org/ZDB-GENE-030131-6378")</f>
        <v>https://zfin.org/ZDB-GENE-030131-6378</v>
      </c>
      <c r="E6835" t="s">
        <v>20473</v>
      </c>
    </row>
    <row r="6836" spans="1:5" x14ac:dyDescent="0.2">
      <c r="A6836" t="s">
        <v>20474</v>
      </c>
      <c r="B6836" t="s">
        <v>20475</v>
      </c>
      <c r="C6836" t="s">
        <v>20475</v>
      </c>
      <c r="D6836" t="str">
        <f>HYPERLINK("https://zfin.org/ZDB-GENE-030131-5794")</f>
        <v>https://zfin.org/ZDB-GENE-030131-5794</v>
      </c>
      <c r="E6836" t="s">
        <v>20476</v>
      </c>
    </row>
    <row r="6837" spans="1:5" x14ac:dyDescent="0.2">
      <c r="A6837" t="s">
        <v>20477</v>
      </c>
      <c r="B6837" t="s">
        <v>20478</v>
      </c>
      <c r="C6837" t="s">
        <v>20478</v>
      </c>
      <c r="D6837" t="str">
        <f>HYPERLINK("https://zfin.org/ZDB-GENE-040426-1138")</f>
        <v>https://zfin.org/ZDB-GENE-040426-1138</v>
      </c>
      <c r="E6837" t="s">
        <v>20479</v>
      </c>
    </row>
    <row r="6838" spans="1:5" x14ac:dyDescent="0.2">
      <c r="A6838" t="s">
        <v>20480</v>
      </c>
      <c r="B6838" t="s">
        <v>20481</v>
      </c>
      <c r="C6838" t="s">
        <v>20481</v>
      </c>
      <c r="D6838" t="str">
        <f>HYPERLINK("https://zfin.org/ZDB-GENE-061013-328")</f>
        <v>https://zfin.org/ZDB-GENE-061013-328</v>
      </c>
      <c r="E6838" t="s">
        <v>20482</v>
      </c>
    </row>
    <row r="6839" spans="1:5" x14ac:dyDescent="0.2">
      <c r="A6839" t="s">
        <v>20483</v>
      </c>
      <c r="B6839" t="s">
        <v>20484</v>
      </c>
      <c r="C6839" t="s">
        <v>20484</v>
      </c>
      <c r="D6839" t="str">
        <f>HYPERLINK("https://zfin.org/ZDB-GENE-050522-393")</f>
        <v>https://zfin.org/ZDB-GENE-050522-393</v>
      </c>
      <c r="E6839" t="s">
        <v>20485</v>
      </c>
    </row>
    <row r="6840" spans="1:5" x14ac:dyDescent="0.2">
      <c r="A6840" t="s">
        <v>20486</v>
      </c>
      <c r="B6840" t="s">
        <v>20487</v>
      </c>
      <c r="C6840" t="s">
        <v>20487</v>
      </c>
      <c r="D6840" t="str">
        <f>HYPERLINK("https://zfin.org/ZDB-GENE-040718-270")</f>
        <v>https://zfin.org/ZDB-GENE-040718-270</v>
      </c>
      <c r="E6840" t="s">
        <v>20488</v>
      </c>
    </row>
    <row r="6841" spans="1:5" x14ac:dyDescent="0.2">
      <c r="A6841" t="s">
        <v>20489</v>
      </c>
      <c r="B6841" t="s">
        <v>20490</v>
      </c>
      <c r="C6841" t="s">
        <v>20490</v>
      </c>
      <c r="D6841" t="str">
        <f>HYPERLINK("https://zfin.org/ZDB-GENE-050417-263")</f>
        <v>https://zfin.org/ZDB-GENE-050417-263</v>
      </c>
      <c r="E6841" t="s">
        <v>20491</v>
      </c>
    </row>
    <row r="6842" spans="1:5" x14ac:dyDescent="0.2">
      <c r="A6842" t="s">
        <v>20492</v>
      </c>
      <c r="B6842" t="s">
        <v>20493</v>
      </c>
      <c r="C6842" t="s">
        <v>20493</v>
      </c>
      <c r="D6842" t="str">
        <f>HYPERLINK("https://zfin.org/ZDB-GENE-141212-331")</f>
        <v>https://zfin.org/ZDB-GENE-141212-331</v>
      </c>
      <c r="E6842" t="s">
        <v>20494</v>
      </c>
    </row>
    <row r="6843" spans="1:5" x14ac:dyDescent="0.2">
      <c r="A6843" t="s">
        <v>20495</v>
      </c>
      <c r="B6843" t="s">
        <v>20496</v>
      </c>
      <c r="C6843" t="s">
        <v>20496</v>
      </c>
      <c r="D6843" t="str">
        <f>HYPERLINK("https://zfin.org/ZDB-GENE-040426-1907")</f>
        <v>https://zfin.org/ZDB-GENE-040426-1907</v>
      </c>
      <c r="E6843" t="s">
        <v>20497</v>
      </c>
    </row>
    <row r="6844" spans="1:5" x14ac:dyDescent="0.2">
      <c r="A6844" t="s">
        <v>20498</v>
      </c>
      <c r="B6844" t="s">
        <v>20499</v>
      </c>
      <c r="C6844" t="s">
        <v>20499</v>
      </c>
      <c r="D6844" t="str">
        <f>HYPERLINK("https://zfin.org/ZDB-GENE-030131-3101")</f>
        <v>https://zfin.org/ZDB-GENE-030131-3101</v>
      </c>
      <c r="E6844" t="s">
        <v>20500</v>
      </c>
    </row>
    <row r="6845" spans="1:5" x14ac:dyDescent="0.2">
      <c r="A6845" t="s">
        <v>20501</v>
      </c>
      <c r="B6845" t="s">
        <v>20502</v>
      </c>
      <c r="C6845" t="s">
        <v>20502</v>
      </c>
      <c r="D6845" t="str">
        <f>HYPERLINK("https://zfin.org/ZDB-GENE-030131-8451")</f>
        <v>https://zfin.org/ZDB-GENE-030131-8451</v>
      </c>
      <c r="E6845" t="s">
        <v>20503</v>
      </c>
    </row>
    <row r="6846" spans="1:5" x14ac:dyDescent="0.2">
      <c r="A6846" t="s">
        <v>20504</v>
      </c>
      <c r="B6846" t="s">
        <v>20505</v>
      </c>
      <c r="C6846" t="s">
        <v>20505</v>
      </c>
      <c r="D6846" t="str">
        <f>HYPERLINK("https://zfin.org/ZDB-GENE-050913-60")</f>
        <v>https://zfin.org/ZDB-GENE-050913-60</v>
      </c>
      <c r="E6846" t="s">
        <v>20506</v>
      </c>
    </row>
    <row r="6847" spans="1:5" x14ac:dyDescent="0.2">
      <c r="A6847" t="s">
        <v>20507</v>
      </c>
      <c r="B6847" t="s">
        <v>20508</v>
      </c>
      <c r="C6847" t="s">
        <v>20508</v>
      </c>
      <c r="D6847" t="str">
        <f>HYPERLINK("https://zfin.org/ZDB-GENE-030131-8263")</f>
        <v>https://zfin.org/ZDB-GENE-030131-8263</v>
      </c>
      <c r="E6847" t="s">
        <v>20509</v>
      </c>
    </row>
    <row r="6848" spans="1:5" x14ac:dyDescent="0.2">
      <c r="A6848" t="s">
        <v>20510</v>
      </c>
      <c r="B6848" t="s">
        <v>20511</v>
      </c>
      <c r="C6848" t="s">
        <v>20511</v>
      </c>
      <c r="D6848" t="str">
        <f>HYPERLINK("https://zfin.org/ZDB-GENE-030131-3149")</f>
        <v>https://zfin.org/ZDB-GENE-030131-3149</v>
      </c>
      <c r="E6848" t="s">
        <v>20512</v>
      </c>
    </row>
    <row r="6849" spans="1:5" x14ac:dyDescent="0.2">
      <c r="A6849" t="s">
        <v>20513</v>
      </c>
      <c r="B6849" t="s">
        <v>20514</v>
      </c>
      <c r="C6849" t="s">
        <v>20514</v>
      </c>
      <c r="D6849" t="str">
        <f>HYPERLINK("https://zfin.org/ZDB-GENE-001120-2")</f>
        <v>https://zfin.org/ZDB-GENE-001120-2</v>
      </c>
      <c r="E6849" t="s">
        <v>20515</v>
      </c>
    </row>
    <row r="6850" spans="1:5" x14ac:dyDescent="0.2">
      <c r="A6850" t="s">
        <v>20516</v>
      </c>
      <c r="B6850" t="s">
        <v>20517</v>
      </c>
      <c r="C6850" t="s">
        <v>20517</v>
      </c>
      <c r="D6850" t="str">
        <f>HYPERLINK("https://zfin.org/ZDB-GENE-060526-200")</f>
        <v>https://zfin.org/ZDB-GENE-060526-200</v>
      </c>
      <c r="E6850" t="s">
        <v>20518</v>
      </c>
    </row>
    <row r="6851" spans="1:5" x14ac:dyDescent="0.2">
      <c r="A6851" t="s">
        <v>20519</v>
      </c>
      <c r="B6851" t="s">
        <v>20520</v>
      </c>
      <c r="C6851" t="s">
        <v>20520</v>
      </c>
      <c r="D6851" t="str">
        <f>HYPERLINK("https://zfin.org/ZDB-GENE-030131-7118")</f>
        <v>https://zfin.org/ZDB-GENE-030131-7118</v>
      </c>
      <c r="E6851" t="s">
        <v>20521</v>
      </c>
    </row>
    <row r="6852" spans="1:5" x14ac:dyDescent="0.2">
      <c r="A6852" t="s">
        <v>20522</v>
      </c>
      <c r="B6852" t="s">
        <v>20523</v>
      </c>
      <c r="C6852" t="s">
        <v>20524</v>
      </c>
      <c r="D6852" t="str">
        <f>HYPERLINK("https://zfin.org/ZDB-GENE-110914-127")</f>
        <v>https://zfin.org/ZDB-GENE-110914-127</v>
      </c>
      <c r="E6852" t="s">
        <v>20525</v>
      </c>
    </row>
    <row r="6853" spans="1:5" x14ac:dyDescent="0.2">
      <c r="A6853" t="s">
        <v>20526</v>
      </c>
      <c r="B6853" t="s">
        <v>20527</v>
      </c>
      <c r="C6853" t="s">
        <v>20527</v>
      </c>
      <c r="D6853" t="str">
        <f>HYPERLINK("https://zfin.org/ZDB-GENE-030131-5611")</f>
        <v>https://zfin.org/ZDB-GENE-030131-5611</v>
      </c>
      <c r="E6853" t="s">
        <v>20528</v>
      </c>
    </row>
    <row r="6854" spans="1:5" x14ac:dyDescent="0.2">
      <c r="A6854" t="s">
        <v>20529</v>
      </c>
      <c r="B6854" t="s">
        <v>20530</v>
      </c>
      <c r="C6854" t="s">
        <v>20530</v>
      </c>
      <c r="D6854" t="str">
        <f>HYPERLINK("https://zfin.org/ZDB-GENE-080506-1")</f>
        <v>https://zfin.org/ZDB-GENE-080506-1</v>
      </c>
      <c r="E6854" t="s">
        <v>20531</v>
      </c>
    </row>
    <row r="6855" spans="1:5" x14ac:dyDescent="0.2">
      <c r="A6855" t="s">
        <v>20532</v>
      </c>
      <c r="B6855" t="s">
        <v>20533</v>
      </c>
      <c r="C6855" t="s">
        <v>20533</v>
      </c>
      <c r="D6855" t="str">
        <f>HYPERLINK("https://zfin.org/ZDB-GENE-131121-310")</f>
        <v>https://zfin.org/ZDB-GENE-131121-310</v>
      </c>
      <c r="E6855" t="s">
        <v>20534</v>
      </c>
    </row>
    <row r="6856" spans="1:5" x14ac:dyDescent="0.2">
      <c r="A6856" t="s">
        <v>20535</v>
      </c>
      <c r="B6856" t="s">
        <v>20536</v>
      </c>
      <c r="C6856" t="s">
        <v>20536</v>
      </c>
      <c r="D6856" t="str">
        <f>HYPERLINK("https://zfin.org/ZDB-GENE-070117-2423")</f>
        <v>https://zfin.org/ZDB-GENE-070117-2423</v>
      </c>
      <c r="E6856" t="s">
        <v>20537</v>
      </c>
    </row>
    <row r="6857" spans="1:5" x14ac:dyDescent="0.2">
      <c r="A6857" t="s">
        <v>20538</v>
      </c>
      <c r="B6857" t="s">
        <v>20539</v>
      </c>
      <c r="C6857" t="s">
        <v>20539</v>
      </c>
      <c r="D6857" t="str">
        <f>HYPERLINK("https://zfin.org/ZDB-GENE-050506-82")</f>
        <v>https://zfin.org/ZDB-GENE-050506-82</v>
      </c>
      <c r="E6857" t="s">
        <v>20540</v>
      </c>
    </row>
    <row r="6858" spans="1:5" x14ac:dyDescent="0.2">
      <c r="A6858" t="s">
        <v>20541</v>
      </c>
      <c r="B6858" t="s">
        <v>20542</v>
      </c>
      <c r="C6858" t="s">
        <v>20542</v>
      </c>
      <c r="D6858" t="str">
        <f>HYPERLINK("https://zfin.org/ZDB-GENE-060503-666")</f>
        <v>https://zfin.org/ZDB-GENE-060503-666</v>
      </c>
      <c r="E6858" t="s">
        <v>20543</v>
      </c>
    </row>
    <row r="6859" spans="1:5" x14ac:dyDescent="0.2">
      <c r="A6859" t="s">
        <v>20544</v>
      </c>
      <c r="B6859" t="s">
        <v>20545</v>
      </c>
      <c r="C6859" t="s">
        <v>20545</v>
      </c>
      <c r="D6859" t="str">
        <f>HYPERLINK("https://zfin.org/ZDB-GENE-070705-123")</f>
        <v>https://zfin.org/ZDB-GENE-070705-123</v>
      </c>
      <c r="E6859" t="s">
        <v>20546</v>
      </c>
    </row>
    <row r="6860" spans="1:5" x14ac:dyDescent="0.2">
      <c r="A6860" t="s">
        <v>20547</v>
      </c>
      <c r="B6860" t="s">
        <v>20548</v>
      </c>
      <c r="C6860" t="s">
        <v>20548</v>
      </c>
      <c r="D6860" t="str">
        <f>HYPERLINK("https://zfin.org/ZDB-GENE-050417-330")</f>
        <v>https://zfin.org/ZDB-GENE-050417-330</v>
      </c>
      <c r="E6860" t="s">
        <v>20549</v>
      </c>
    </row>
    <row r="6861" spans="1:5" x14ac:dyDescent="0.2">
      <c r="A6861" t="s">
        <v>20550</v>
      </c>
      <c r="B6861" t="s">
        <v>20551</v>
      </c>
      <c r="C6861" t="s">
        <v>20551</v>
      </c>
      <c r="D6861" t="str">
        <f>HYPERLINK("https://zfin.org/ZDB-GENE-040625-11")</f>
        <v>https://zfin.org/ZDB-GENE-040625-11</v>
      </c>
      <c r="E6861" t="s">
        <v>20552</v>
      </c>
    </row>
    <row r="6862" spans="1:5" x14ac:dyDescent="0.2">
      <c r="A6862" t="s">
        <v>20553</v>
      </c>
      <c r="B6862" t="s">
        <v>20554</v>
      </c>
      <c r="C6862" t="s">
        <v>20554</v>
      </c>
      <c r="D6862" t="str">
        <f>HYPERLINK("https://zfin.org/ZDB-GENE-030131-2426")</f>
        <v>https://zfin.org/ZDB-GENE-030131-2426</v>
      </c>
      <c r="E6862" t="s">
        <v>20555</v>
      </c>
    </row>
    <row r="6863" spans="1:5" x14ac:dyDescent="0.2">
      <c r="A6863" t="s">
        <v>20556</v>
      </c>
      <c r="B6863" t="s">
        <v>20557</v>
      </c>
      <c r="C6863" t="s">
        <v>20557</v>
      </c>
      <c r="D6863" t="str">
        <f>HYPERLINK("https://zfin.org/ZDB-GENE-040426-1936")</f>
        <v>https://zfin.org/ZDB-GENE-040426-1936</v>
      </c>
      <c r="E6863" t="s">
        <v>20558</v>
      </c>
    </row>
    <row r="6864" spans="1:5" x14ac:dyDescent="0.2">
      <c r="A6864" t="s">
        <v>20559</v>
      </c>
      <c r="B6864" t="s">
        <v>20560</v>
      </c>
      <c r="C6864" t="s">
        <v>20560</v>
      </c>
      <c r="D6864" t="str">
        <f>HYPERLINK("https://zfin.org/ZDB-GENE-070410-58")</f>
        <v>https://zfin.org/ZDB-GENE-070410-58</v>
      </c>
      <c r="E6864" t="s">
        <v>20561</v>
      </c>
    </row>
    <row r="6865" spans="1:5" x14ac:dyDescent="0.2">
      <c r="A6865" t="s">
        <v>20562</v>
      </c>
      <c r="B6865" t="s">
        <v>20563</v>
      </c>
      <c r="C6865" t="s">
        <v>20563</v>
      </c>
      <c r="D6865" t="str">
        <f>HYPERLINK("https://zfin.org/ZDB-GENE-081103-17")</f>
        <v>https://zfin.org/ZDB-GENE-081103-17</v>
      </c>
      <c r="E6865" t="s">
        <v>20564</v>
      </c>
    </row>
    <row r="6866" spans="1:5" x14ac:dyDescent="0.2">
      <c r="A6866" t="s">
        <v>20565</v>
      </c>
      <c r="B6866" t="s">
        <v>20566</v>
      </c>
      <c r="C6866" t="s">
        <v>20566</v>
      </c>
      <c r="D6866" t="str">
        <f>HYPERLINK("https://zfin.org/ZDB-GENE-090313-206")</f>
        <v>https://zfin.org/ZDB-GENE-090313-206</v>
      </c>
      <c r="E6866" t="s">
        <v>20567</v>
      </c>
    </row>
    <row r="6867" spans="1:5" x14ac:dyDescent="0.2">
      <c r="A6867" t="s">
        <v>20568</v>
      </c>
      <c r="B6867" t="s">
        <v>20569</v>
      </c>
      <c r="C6867" t="s">
        <v>20569</v>
      </c>
      <c r="D6867" t="str">
        <f>HYPERLINK("https://zfin.org/ZDB-GENE-030131-2005")</f>
        <v>https://zfin.org/ZDB-GENE-030131-2005</v>
      </c>
      <c r="E6867" t="s">
        <v>20570</v>
      </c>
    </row>
    <row r="6868" spans="1:5" x14ac:dyDescent="0.2">
      <c r="A6868" t="s">
        <v>20571</v>
      </c>
      <c r="B6868" t="s">
        <v>20572</v>
      </c>
      <c r="C6868" t="s">
        <v>20572</v>
      </c>
      <c r="D6868" t="str">
        <f>HYPERLINK("https://zfin.org/ZDB-GENE-131126-20")</f>
        <v>https://zfin.org/ZDB-GENE-131126-20</v>
      </c>
      <c r="E6868" t="s">
        <v>20573</v>
      </c>
    </row>
    <row r="6869" spans="1:5" x14ac:dyDescent="0.2">
      <c r="A6869" t="s">
        <v>20574</v>
      </c>
      <c r="B6869" t="s">
        <v>20575</v>
      </c>
      <c r="C6869" t="s">
        <v>20575</v>
      </c>
      <c r="D6869" t="str">
        <f>HYPERLINK("https://zfin.org/ZDB-GENE-040625-82")</f>
        <v>https://zfin.org/ZDB-GENE-040625-82</v>
      </c>
      <c r="E6869" t="s">
        <v>20576</v>
      </c>
    </row>
    <row r="6870" spans="1:5" x14ac:dyDescent="0.2">
      <c r="A6870" t="s">
        <v>20577</v>
      </c>
      <c r="B6870" t="s">
        <v>20578</v>
      </c>
      <c r="C6870" t="s">
        <v>20578</v>
      </c>
      <c r="D6870" t="str">
        <f>HYPERLINK("https://zfin.org/ZDB-GENE-041210-192")</f>
        <v>https://zfin.org/ZDB-GENE-041210-192</v>
      </c>
      <c r="E6870" t="s">
        <v>20579</v>
      </c>
    </row>
    <row r="6871" spans="1:5" x14ac:dyDescent="0.2">
      <c r="A6871" t="s">
        <v>20580</v>
      </c>
      <c r="B6871" t="s">
        <v>20581</v>
      </c>
      <c r="C6871" t="s">
        <v>20581</v>
      </c>
      <c r="D6871" t="str">
        <f>HYPERLINK("https://zfin.org/ZDB-GENE-110914-173")</f>
        <v>https://zfin.org/ZDB-GENE-110914-173</v>
      </c>
      <c r="E6871" t="s">
        <v>20582</v>
      </c>
    </row>
    <row r="6872" spans="1:5" x14ac:dyDescent="0.2">
      <c r="A6872" t="s">
        <v>20583</v>
      </c>
      <c r="B6872" t="s">
        <v>20584</v>
      </c>
      <c r="C6872" t="s">
        <v>20584</v>
      </c>
      <c r="D6872" t="str">
        <f>HYPERLINK("https://zfin.org/ZDB-GENE-131120-182")</f>
        <v>https://zfin.org/ZDB-GENE-131120-182</v>
      </c>
      <c r="E6872" t="s">
        <v>20585</v>
      </c>
    </row>
    <row r="6873" spans="1:5" x14ac:dyDescent="0.2">
      <c r="A6873" t="s">
        <v>20586</v>
      </c>
      <c r="B6873" t="s">
        <v>20587</v>
      </c>
      <c r="C6873" t="s">
        <v>20587</v>
      </c>
      <c r="D6873" t="str">
        <f>HYPERLINK("https://zfin.org/ZDB-GENE-020419-19")</f>
        <v>https://zfin.org/ZDB-GENE-020419-19</v>
      </c>
      <c r="E6873" t="s">
        <v>20588</v>
      </c>
    </row>
    <row r="6874" spans="1:5" x14ac:dyDescent="0.2">
      <c r="A6874" t="s">
        <v>20589</v>
      </c>
      <c r="B6874" t="s">
        <v>20590</v>
      </c>
      <c r="C6874" t="s">
        <v>20590</v>
      </c>
      <c r="D6874" t="str">
        <f>HYPERLINK("https://zfin.org/ZDB-GENE-110131-10")</f>
        <v>https://zfin.org/ZDB-GENE-110131-10</v>
      </c>
      <c r="E6874" t="s">
        <v>20591</v>
      </c>
    </row>
    <row r="6875" spans="1:5" x14ac:dyDescent="0.2">
      <c r="A6875" t="s">
        <v>20592</v>
      </c>
      <c r="B6875" t="s">
        <v>20593</v>
      </c>
      <c r="C6875" t="s">
        <v>20593</v>
      </c>
      <c r="D6875" t="str">
        <f>HYPERLINK("https://zfin.org/ZDB-GENE-131121-342")</f>
        <v>https://zfin.org/ZDB-GENE-131121-342</v>
      </c>
      <c r="E6875" t="s">
        <v>20594</v>
      </c>
    </row>
    <row r="6876" spans="1:5" x14ac:dyDescent="0.2">
      <c r="A6876" t="s">
        <v>20595</v>
      </c>
      <c r="B6876" t="s">
        <v>20596</v>
      </c>
      <c r="C6876" t="s">
        <v>20596</v>
      </c>
      <c r="D6876" t="str">
        <f>HYPERLINK("https://zfin.org/ZDB-GENE-081104-477")</f>
        <v>https://zfin.org/ZDB-GENE-081104-477</v>
      </c>
      <c r="E6876" t="s">
        <v>20597</v>
      </c>
    </row>
    <row r="6877" spans="1:5" x14ac:dyDescent="0.2">
      <c r="A6877" t="s">
        <v>20598</v>
      </c>
      <c r="B6877" t="s">
        <v>20599</v>
      </c>
      <c r="C6877" t="s">
        <v>20599</v>
      </c>
      <c r="D6877" t="str">
        <f>HYPERLINK("https://zfin.org/ZDB-GENE-030131-3019")</f>
        <v>https://zfin.org/ZDB-GENE-030131-3019</v>
      </c>
      <c r="E6877" t="s">
        <v>20600</v>
      </c>
    </row>
    <row r="6878" spans="1:5" x14ac:dyDescent="0.2">
      <c r="A6878" t="s">
        <v>20601</v>
      </c>
      <c r="B6878" t="s">
        <v>20602</v>
      </c>
      <c r="C6878" t="s">
        <v>20602</v>
      </c>
      <c r="D6878" t="str">
        <f>HYPERLINK("https://zfin.org/ZDB-GENE-050417-310")</f>
        <v>https://zfin.org/ZDB-GENE-050417-310</v>
      </c>
      <c r="E6878" t="s">
        <v>20603</v>
      </c>
    </row>
    <row r="6879" spans="1:5" x14ac:dyDescent="0.2">
      <c r="A6879" t="s">
        <v>20604</v>
      </c>
      <c r="B6879" t="s">
        <v>20605</v>
      </c>
      <c r="C6879" t="s">
        <v>20605</v>
      </c>
      <c r="D6879" t="str">
        <f>HYPERLINK("https://zfin.org/ZDB-GENE-030131-469")</f>
        <v>https://zfin.org/ZDB-GENE-030131-469</v>
      </c>
      <c r="E6879" t="s">
        <v>20606</v>
      </c>
    </row>
    <row r="6880" spans="1:5" x14ac:dyDescent="0.2">
      <c r="A6880" t="s">
        <v>20607</v>
      </c>
      <c r="B6880" t="s">
        <v>20608</v>
      </c>
      <c r="C6880" t="s">
        <v>20608</v>
      </c>
      <c r="D6880" t="str">
        <f>HYPERLINK("https://zfin.org/ZDB-GENE-070912-209")</f>
        <v>https://zfin.org/ZDB-GENE-070912-209</v>
      </c>
      <c r="E6880" t="s">
        <v>20609</v>
      </c>
    </row>
    <row r="6881" spans="1:5" x14ac:dyDescent="0.2">
      <c r="A6881" t="s">
        <v>20610</v>
      </c>
      <c r="B6881" t="s">
        <v>20611</v>
      </c>
      <c r="C6881" t="s">
        <v>20611</v>
      </c>
      <c r="D6881" t="str">
        <f>HYPERLINK("https://zfin.org/ZDB-GENE-040426-2255")</f>
        <v>https://zfin.org/ZDB-GENE-040426-2255</v>
      </c>
      <c r="E6881" t="s">
        <v>20612</v>
      </c>
    </row>
    <row r="6882" spans="1:5" x14ac:dyDescent="0.2">
      <c r="A6882" t="s">
        <v>20613</v>
      </c>
      <c r="B6882" t="s">
        <v>20614</v>
      </c>
      <c r="C6882" t="s">
        <v>20614</v>
      </c>
      <c r="D6882" t="str">
        <f>HYPERLINK("https://zfin.org/ZDB-GENE-160114-87")</f>
        <v>https://zfin.org/ZDB-GENE-160114-87</v>
      </c>
      <c r="E6882" t="s">
        <v>20615</v>
      </c>
    </row>
    <row r="6883" spans="1:5" x14ac:dyDescent="0.2">
      <c r="A6883" t="s">
        <v>20616</v>
      </c>
      <c r="B6883" t="s">
        <v>20617</v>
      </c>
      <c r="C6883" t="s">
        <v>20617</v>
      </c>
      <c r="D6883" t="str">
        <f>HYPERLINK("https://zfin.org/ZDB-GENE-071004-73")</f>
        <v>https://zfin.org/ZDB-GENE-071004-73</v>
      </c>
      <c r="E6883" t="s">
        <v>20618</v>
      </c>
    </row>
    <row r="6884" spans="1:5" x14ac:dyDescent="0.2">
      <c r="A6884" t="s">
        <v>20619</v>
      </c>
      <c r="B6884" t="s">
        <v>20620</v>
      </c>
      <c r="C6884" t="s">
        <v>20620</v>
      </c>
      <c r="D6884" t="str">
        <f>HYPERLINK("https://zfin.org/ZDB-GENE-131127-357")</f>
        <v>https://zfin.org/ZDB-GENE-131127-357</v>
      </c>
      <c r="E6884" t="s">
        <v>20621</v>
      </c>
    </row>
    <row r="6885" spans="1:5" x14ac:dyDescent="0.2">
      <c r="A6885" t="s">
        <v>20622</v>
      </c>
      <c r="B6885" t="s">
        <v>20623</v>
      </c>
      <c r="C6885" t="s">
        <v>20623</v>
      </c>
      <c r="D6885" t="str">
        <f>HYPERLINK("https://zfin.org/ZDB-GENE-110914-99")</f>
        <v>https://zfin.org/ZDB-GENE-110914-99</v>
      </c>
      <c r="E6885" t="s">
        <v>20624</v>
      </c>
    </row>
    <row r="6886" spans="1:5" x14ac:dyDescent="0.2">
      <c r="A6886" t="s">
        <v>20625</v>
      </c>
      <c r="B6886" t="s">
        <v>20626</v>
      </c>
      <c r="C6886" t="s">
        <v>20626</v>
      </c>
      <c r="D6886" t="str">
        <f>HYPERLINK("https://zfin.org/ZDB-GENE-060929-918")</f>
        <v>https://zfin.org/ZDB-GENE-060929-918</v>
      </c>
      <c r="E6886" t="s">
        <v>20627</v>
      </c>
    </row>
    <row r="6887" spans="1:5" x14ac:dyDescent="0.2">
      <c r="A6887" t="s">
        <v>20628</v>
      </c>
      <c r="B6887" t="s">
        <v>20629</v>
      </c>
      <c r="C6887" t="s">
        <v>20629</v>
      </c>
      <c r="D6887" t="str">
        <f>HYPERLINK("https://zfin.org/ZDB-GENE-110913-128")</f>
        <v>https://zfin.org/ZDB-GENE-110913-128</v>
      </c>
      <c r="E6887" t="s">
        <v>20630</v>
      </c>
    </row>
    <row r="6888" spans="1:5" x14ac:dyDescent="0.2">
      <c r="A6888" t="s">
        <v>20631</v>
      </c>
      <c r="B6888" t="s">
        <v>20632</v>
      </c>
      <c r="C6888" t="s">
        <v>20632</v>
      </c>
      <c r="D6888" t="str">
        <f>HYPERLINK("https://zfin.org/ZDB-GENE-050417-3")</f>
        <v>https://zfin.org/ZDB-GENE-050417-3</v>
      </c>
      <c r="E6888" t="s">
        <v>20633</v>
      </c>
    </row>
    <row r="6889" spans="1:5" x14ac:dyDescent="0.2">
      <c r="A6889" t="s">
        <v>20634</v>
      </c>
      <c r="B6889" t="s">
        <v>20635</v>
      </c>
      <c r="C6889" t="s">
        <v>20635</v>
      </c>
      <c r="D6889" t="str">
        <f>HYPERLINK("https://zfin.org/ZDB-GENE-030131-8581")</f>
        <v>https://zfin.org/ZDB-GENE-030131-8581</v>
      </c>
      <c r="E6889" t="s">
        <v>20636</v>
      </c>
    </row>
    <row r="6890" spans="1:5" x14ac:dyDescent="0.2">
      <c r="A6890" t="s">
        <v>20637</v>
      </c>
      <c r="B6890" t="s">
        <v>20638</v>
      </c>
      <c r="C6890" t="s">
        <v>20638</v>
      </c>
      <c r="D6890" t="str">
        <f>HYPERLINK("https://zfin.org/ZDB-GENE-110913-180")</f>
        <v>https://zfin.org/ZDB-GENE-110913-180</v>
      </c>
      <c r="E6890" t="s">
        <v>20639</v>
      </c>
    </row>
    <row r="6891" spans="1:5" x14ac:dyDescent="0.2">
      <c r="A6891" t="s">
        <v>20640</v>
      </c>
      <c r="B6891" t="s">
        <v>20641</v>
      </c>
      <c r="C6891" t="s">
        <v>20641</v>
      </c>
      <c r="D6891" t="str">
        <f>HYPERLINK("https://zfin.org/ZDB-GENE-040718-77")</f>
        <v>https://zfin.org/ZDB-GENE-040718-77</v>
      </c>
      <c r="E6891" t="s">
        <v>20642</v>
      </c>
    </row>
    <row r="6892" spans="1:5" x14ac:dyDescent="0.2">
      <c r="A6892" t="s">
        <v>20643</v>
      </c>
      <c r="B6892" t="s">
        <v>20644</v>
      </c>
      <c r="C6892" t="s">
        <v>20644</v>
      </c>
      <c r="D6892" t="str">
        <f>HYPERLINK("https://zfin.org/ZDB-GENE-050522-502")</f>
        <v>https://zfin.org/ZDB-GENE-050522-502</v>
      </c>
      <c r="E6892" t="s">
        <v>20645</v>
      </c>
    </row>
    <row r="6893" spans="1:5" x14ac:dyDescent="0.2">
      <c r="A6893" t="s">
        <v>20646</v>
      </c>
      <c r="B6893" t="s">
        <v>20647</v>
      </c>
      <c r="C6893" t="s">
        <v>20647</v>
      </c>
      <c r="D6893" t="str">
        <f>HYPERLINK("https://zfin.org/ZDB-GENE-030131-4433")</f>
        <v>https://zfin.org/ZDB-GENE-030131-4433</v>
      </c>
      <c r="E6893" t="s">
        <v>20648</v>
      </c>
    </row>
    <row r="6894" spans="1:5" x14ac:dyDescent="0.2">
      <c r="A6894" t="s">
        <v>20649</v>
      </c>
      <c r="B6894" t="s">
        <v>20650</v>
      </c>
      <c r="C6894" t="s">
        <v>20650</v>
      </c>
      <c r="D6894" t="str">
        <f>HYPERLINK("https://zfin.org/ZDB-GENE-131127-172")</f>
        <v>https://zfin.org/ZDB-GENE-131127-172</v>
      </c>
      <c r="E6894" t="s">
        <v>20651</v>
      </c>
    </row>
    <row r="6895" spans="1:5" x14ac:dyDescent="0.2">
      <c r="A6895" t="s">
        <v>20652</v>
      </c>
      <c r="B6895" t="s">
        <v>20653</v>
      </c>
      <c r="C6895" t="s">
        <v>20653</v>
      </c>
      <c r="D6895" t="str">
        <f>HYPERLINK("https://zfin.org/ZDB-GENE-050309-240")</f>
        <v>https://zfin.org/ZDB-GENE-050309-240</v>
      </c>
      <c r="E6895" t="s">
        <v>20654</v>
      </c>
    </row>
    <row r="6896" spans="1:5" x14ac:dyDescent="0.2">
      <c r="A6896" t="s">
        <v>20655</v>
      </c>
      <c r="B6896" t="s">
        <v>20656</v>
      </c>
      <c r="C6896" t="s">
        <v>20656</v>
      </c>
      <c r="D6896" t="str">
        <f>HYPERLINK("https://zfin.org/ZDB-GENE-091113-7")</f>
        <v>https://zfin.org/ZDB-GENE-091113-7</v>
      </c>
      <c r="E6896" t="s">
        <v>20657</v>
      </c>
    </row>
    <row r="6897" spans="1:5" x14ac:dyDescent="0.2">
      <c r="A6897" t="s">
        <v>20658</v>
      </c>
      <c r="B6897" t="s">
        <v>20659</v>
      </c>
      <c r="C6897" t="s">
        <v>20659</v>
      </c>
      <c r="D6897" t="str">
        <f>HYPERLINK("https://zfin.org/ZDB-GENE-991206-8")</f>
        <v>https://zfin.org/ZDB-GENE-991206-8</v>
      </c>
      <c r="E6897" t="s">
        <v>20660</v>
      </c>
    </row>
    <row r="6898" spans="1:5" x14ac:dyDescent="0.2">
      <c r="A6898" t="s">
        <v>20661</v>
      </c>
      <c r="B6898" t="s">
        <v>20662</v>
      </c>
      <c r="C6898" t="s">
        <v>20662</v>
      </c>
      <c r="D6898" t="str">
        <f>HYPERLINK("https://zfin.org/ZDB-GENE-040718-461")</f>
        <v>https://zfin.org/ZDB-GENE-040718-461</v>
      </c>
      <c r="E6898" t="s">
        <v>20663</v>
      </c>
    </row>
    <row r="6899" spans="1:5" x14ac:dyDescent="0.2">
      <c r="A6899" t="s">
        <v>20664</v>
      </c>
      <c r="B6899" t="s">
        <v>20665</v>
      </c>
      <c r="C6899" t="s">
        <v>20665</v>
      </c>
      <c r="D6899" t="str">
        <f>HYPERLINK("https://zfin.org/ZDB-GENE-050417-7")</f>
        <v>https://zfin.org/ZDB-GENE-050417-7</v>
      </c>
      <c r="E6899" t="s">
        <v>20666</v>
      </c>
    </row>
    <row r="6900" spans="1:5" x14ac:dyDescent="0.2">
      <c r="A6900" t="s">
        <v>20667</v>
      </c>
      <c r="B6900" t="s">
        <v>20668</v>
      </c>
      <c r="C6900" t="s">
        <v>20668</v>
      </c>
      <c r="D6900" t="str">
        <f>HYPERLINK("https://zfin.org/ZDB-GENE-041010-201")</f>
        <v>https://zfin.org/ZDB-GENE-041010-201</v>
      </c>
      <c r="E6900" t="s">
        <v>20669</v>
      </c>
    </row>
    <row r="6901" spans="1:5" x14ac:dyDescent="0.2">
      <c r="A6901" t="s">
        <v>20670</v>
      </c>
      <c r="B6901" t="s">
        <v>20671</v>
      </c>
      <c r="C6901" t="s">
        <v>20671</v>
      </c>
      <c r="D6901" t="str">
        <f>HYPERLINK("https://zfin.org/ZDB-GENE-030131-8760")</f>
        <v>https://zfin.org/ZDB-GENE-030131-8760</v>
      </c>
      <c r="E6901" t="s">
        <v>20672</v>
      </c>
    </row>
    <row r="6902" spans="1:5" x14ac:dyDescent="0.2">
      <c r="A6902" t="s">
        <v>20673</v>
      </c>
      <c r="B6902" t="s">
        <v>20674</v>
      </c>
      <c r="C6902" t="s">
        <v>20674</v>
      </c>
      <c r="D6902" t="str">
        <f>HYPERLINK("https://zfin.org/ZDB-GENE-070705-63")</f>
        <v>https://zfin.org/ZDB-GENE-070705-63</v>
      </c>
      <c r="E6902" t="s">
        <v>20675</v>
      </c>
    </row>
    <row r="6903" spans="1:5" x14ac:dyDescent="0.2">
      <c r="A6903" t="s">
        <v>20676</v>
      </c>
      <c r="B6903" t="s">
        <v>20677</v>
      </c>
      <c r="C6903" t="s">
        <v>20677</v>
      </c>
      <c r="D6903" t="str">
        <f>HYPERLINK("https://zfin.org/ZDB-GENE-980528-2059")</f>
        <v>https://zfin.org/ZDB-GENE-980528-2059</v>
      </c>
      <c r="E6903" t="s">
        <v>20678</v>
      </c>
    </row>
    <row r="6904" spans="1:5" x14ac:dyDescent="0.2">
      <c r="A6904" t="s">
        <v>20679</v>
      </c>
      <c r="B6904" t="s">
        <v>20680</v>
      </c>
      <c r="C6904" t="s">
        <v>20680</v>
      </c>
      <c r="D6904" t="str">
        <f>HYPERLINK("https://zfin.org/ZDB-GENE-081104-478")</f>
        <v>https://zfin.org/ZDB-GENE-081104-478</v>
      </c>
      <c r="E6904" t="s">
        <v>20681</v>
      </c>
    </row>
    <row r="6905" spans="1:5" x14ac:dyDescent="0.2">
      <c r="A6905" t="s">
        <v>20682</v>
      </c>
      <c r="B6905" t="s">
        <v>20683</v>
      </c>
      <c r="C6905" t="s">
        <v>20683</v>
      </c>
      <c r="D6905" t="str">
        <f>HYPERLINK("https://zfin.org/ZDB-GENE-990415-45")</f>
        <v>https://zfin.org/ZDB-GENE-990415-45</v>
      </c>
      <c r="E6905" t="s">
        <v>20684</v>
      </c>
    </row>
    <row r="6906" spans="1:5" x14ac:dyDescent="0.2">
      <c r="A6906" t="s">
        <v>20685</v>
      </c>
      <c r="B6906" t="s">
        <v>20686</v>
      </c>
      <c r="C6906" t="s">
        <v>20686</v>
      </c>
      <c r="D6906" t="str">
        <f>HYPERLINK("https://zfin.org/ZDB-GENE-040426-2614")</f>
        <v>https://zfin.org/ZDB-GENE-040426-2614</v>
      </c>
      <c r="E6906" t="s">
        <v>20687</v>
      </c>
    </row>
    <row r="6907" spans="1:5" x14ac:dyDescent="0.2">
      <c r="A6907" t="s">
        <v>20688</v>
      </c>
      <c r="B6907" t="s">
        <v>20689</v>
      </c>
      <c r="C6907" t="s">
        <v>20689</v>
      </c>
      <c r="D6907" t="str">
        <f>HYPERLINK("https://zfin.org/ZDB-GENE-090313-40")</f>
        <v>https://zfin.org/ZDB-GENE-090313-40</v>
      </c>
      <c r="E6907" t="s">
        <v>20690</v>
      </c>
    </row>
    <row r="6908" spans="1:5" x14ac:dyDescent="0.2">
      <c r="A6908" t="s">
        <v>20691</v>
      </c>
      <c r="B6908" t="s">
        <v>20692</v>
      </c>
      <c r="C6908" t="s">
        <v>20692</v>
      </c>
      <c r="D6908" t="str">
        <f>HYPERLINK("https://zfin.org/ZDB-GENE-060526-255")</f>
        <v>https://zfin.org/ZDB-GENE-060526-255</v>
      </c>
      <c r="E6908" t="s">
        <v>20693</v>
      </c>
    </row>
    <row r="6909" spans="1:5" x14ac:dyDescent="0.2">
      <c r="A6909" t="s">
        <v>20694</v>
      </c>
      <c r="B6909" t="s">
        <v>20695</v>
      </c>
      <c r="C6909" t="s">
        <v>20695</v>
      </c>
      <c r="D6909" t="str">
        <f>HYPERLINK("https://zfin.org/ZDB-GENE-030131-4653")</f>
        <v>https://zfin.org/ZDB-GENE-030131-4653</v>
      </c>
      <c r="E6909" t="s">
        <v>20696</v>
      </c>
    </row>
    <row r="6910" spans="1:5" x14ac:dyDescent="0.2">
      <c r="A6910" t="s">
        <v>20697</v>
      </c>
      <c r="B6910" t="s">
        <v>20698</v>
      </c>
      <c r="C6910" t="s">
        <v>20698</v>
      </c>
      <c r="D6910" t="str">
        <f>HYPERLINK("https://zfin.org/ZDB-GENE-001229-2")</f>
        <v>https://zfin.org/ZDB-GENE-001229-2</v>
      </c>
      <c r="E6910" t="s">
        <v>20699</v>
      </c>
    </row>
    <row r="6911" spans="1:5" x14ac:dyDescent="0.2">
      <c r="A6911" t="s">
        <v>20700</v>
      </c>
      <c r="B6911" t="s">
        <v>20701</v>
      </c>
      <c r="C6911" t="s">
        <v>20701</v>
      </c>
      <c r="D6911" t="str">
        <f>HYPERLINK("https://zfin.org/ZDB-GENE-070912-478")</f>
        <v>https://zfin.org/ZDB-GENE-070912-478</v>
      </c>
      <c r="E6911" t="s">
        <v>20702</v>
      </c>
    </row>
    <row r="6912" spans="1:5" x14ac:dyDescent="0.2">
      <c r="A6912" t="s">
        <v>20703</v>
      </c>
      <c r="B6912" t="s">
        <v>20704</v>
      </c>
      <c r="C6912" t="s">
        <v>20704</v>
      </c>
      <c r="D6912" t="str">
        <f>HYPERLINK("https://zfin.org/ZDB-GENE-150311-1")</f>
        <v>https://zfin.org/ZDB-GENE-150311-1</v>
      </c>
      <c r="E6912" t="s">
        <v>20705</v>
      </c>
    </row>
    <row r="6913" spans="1:5" x14ac:dyDescent="0.2">
      <c r="A6913" t="s">
        <v>20706</v>
      </c>
      <c r="B6913" t="s">
        <v>20707</v>
      </c>
      <c r="C6913" t="s">
        <v>20707</v>
      </c>
      <c r="D6913" t="str">
        <f>HYPERLINK("https://zfin.org/ZDB-GENE-040704-72")</f>
        <v>https://zfin.org/ZDB-GENE-040704-72</v>
      </c>
      <c r="E6913" t="s">
        <v>20708</v>
      </c>
    </row>
    <row r="6914" spans="1:5" x14ac:dyDescent="0.2">
      <c r="A6914" t="s">
        <v>20709</v>
      </c>
      <c r="B6914" t="s">
        <v>20710</v>
      </c>
      <c r="C6914" t="s">
        <v>20710</v>
      </c>
      <c r="D6914" t="str">
        <f>HYPERLINK("https://zfin.org/ZDB-GENE-070112-991")</f>
        <v>https://zfin.org/ZDB-GENE-070112-991</v>
      </c>
      <c r="E6914" t="s">
        <v>20711</v>
      </c>
    </row>
    <row r="6915" spans="1:5" x14ac:dyDescent="0.2">
      <c r="A6915" t="s">
        <v>20712</v>
      </c>
      <c r="B6915" t="s">
        <v>20713</v>
      </c>
      <c r="C6915" t="s">
        <v>20713</v>
      </c>
      <c r="D6915" t="str">
        <f>HYPERLINK("https://zfin.org/ZDB-GENE-050522-70")</f>
        <v>https://zfin.org/ZDB-GENE-050522-70</v>
      </c>
      <c r="E6915" t="s">
        <v>20714</v>
      </c>
    </row>
    <row r="6916" spans="1:5" x14ac:dyDescent="0.2">
      <c r="A6916" t="s">
        <v>20715</v>
      </c>
      <c r="B6916" t="s">
        <v>20716</v>
      </c>
      <c r="C6916" t="s">
        <v>20716</v>
      </c>
      <c r="D6916" t="str">
        <f>HYPERLINK("https://zfin.org/ZDB-GENE-050419-73")</f>
        <v>https://zfin.org/ZDB-GENE-050419-73</v>
      </c>
      <c r="E6916" t="s">
        <v>20717</v>
      </c>
    </row>
    <row r="6917" spans="1:5" x14ac:dyDescent="0.2">
      <c r="A6917" t="s">
        <v>20718</v>
      </c>
      <c r="B6917" t="s">
        <v>20719</v>
      </c>
      <c r="C6917" t="s">
        <v>20719</v>
      </c>
      <c r="D6917" t="str">
        <f>HYPERLINK("https://zfin.org/ZDB-GENE-060526-216")</f>
        <v>https://zfin.org/ZDB-GENE-060526-216</v>
      </c>
      <c r="E6917" t="s">
        <v>20720</v>
      </c>
    </row>
    <row r="6918" spans="1:5" x14ac:dyDescent="0.2">
      <c r="A6918" t="s">
        <v>20721</v>
      </c>
      <c r="B6918" t="s">
        <v>20722</v>
      </c>
      <c r="C6918" t="s">
        <v>20723</v>
      </c>
      <c r="D6918" t="str">
        <f>HYPERLINK("https://zfin.org/ZDB-GENE-110913-11")</f>
        <v>https://zfin.org/ZDB-GENE-110913-11</v>
      </c>
      <c r="E6918" t="s">
        <v>20724</v>
      </c>
    </row>
    <row r="6919" spans="1:5" x14ac:dyDescent="0.2">
      <c r="A6919" t="s">
        <v>20725</v>
      </c>
      <c r="B6919" t="s">
        <v>20726</v>
      </c>
      <c r="C6919" t="s">
        <v>20726</v>
      </c>
      <c r="D6919" t="str">
        <f>HYPERLINK("https://zfin.org/ZDB-GENE-110913-17")</f>
        <v>https://zfin.org/ZDB-GENE-110913-17</v>
      </c>
      <c r="E6919" t="s">
        <v>20727</v>
      </c>
    </row>
    <row r="6920" spans="1:5" x14ac:dyDescent="0.2">
      <c r="A6920" t="s">
        <v>20728</v>
      </c>
      <c r="B6920" t="s">
        <v>20729</v>
      </c>
      <c r="C6920" t="s">
        <v>20729</v>
      </c>
      <c r="D6920" t="str">
        <f>HYPERLINK("https://zfin.org/ZDB-GENE-060512-34")</f>
        <v>https://zfin.org/ZDB-GENE-060512-34</v>
      </c>
      <c r="E6920" t="s">
        <v>20730</v>
      </c>
    </row>
    <row r="6921" spans="1:5" x14ac:dyDescent="0.2">
      <c r="A6921" t="s">
        <v>20731</v>
      </c>
      <c r="B6921" t="s">
        <v>20732</v>
      </c>
      <c r="C6921" t="s">
        <v>20732</v>
      </c>
      <c r="D6921" t="str">
        <f>HYPERLINK("https://zfin.org/ZDB-GENE-030804-3")</f>
        <v>https://zfin.org/ZDB-GENE-030804-3</v>
      </c>
      <c r="E6921" t="s">
        <v>20733</v>
      </c>
    </row>
    <row r="6922" spans="1:5" x14ac:dyDescent="0.2">
      <c r="A6922" t="s">
        <v>20734</v>
      </c>
      <c r="B6922" t="s">
        <v>20735</v>
      </c>
      <c r="C6922" t="s">
        <v>20735</v>
      </c>
      <c r="D6922" t="str">
        <f>HYPERLINK("https://zfin.org/")</f>
        <v>https://zfin.org/</v>
      </c>
    </row>
    <row r="6923" spans="1:5" x14ac:dyDescent="0.2">
      <c r="A6923" t="s">
        <v>20736</v>
      </c>
      <c r="B6923" t="s">
        <v>20737</v>
      </c>
      <c r="C6923" t="s">
        <v>20737</v>
      </c>
      <c r="D6923" t="str">
        <f>HYPERLINK("https://zfin.org/ZDB-GENE-040704-32")</f>
        <v>https://zfin.org/ZDB-GENE-040704-32</v>
      </c>
      <c r="E6923" t="s">
        <v>20738</v>
      </c>
    </row>
    <row r="6924" spans="1:5" x14ac:dyDescent="0.2">
      <c r="A6924" t="s">
        <v>20739</v>
      </c>
      <c r="B6924" t="s">
        <v>20740</v>
      </c>
      <c r="C6924" t="s">
        <v>20740</v>
      </c>
      <c r="D6924" t="str">
        <f>HYPERLINK("https://zfin.org/ZDB-GENE-050417-175")</f>
        <v>https://zfin.org/ZDB-GENE-050417-175</v>
      </c>
      <c r="E6924" t="s">
        <v>20741</v>
      </c>
    </row>
    <row r="6925" spans="1:5" x14ac:dyDescent="0.2">
      <c r="A6925" t="s">
        <v>20742</v>
      </c>
      <c r="B6925" t="s">
        <v>20743</v>
      </c>
      <c r="C6925" t="s">
        <v>20743</v>
      </c>
      <c r="D6925" t="str">
        <f>HYPERLINK("https://zfin.org/ZDB-GENE-081104-521")</f>
        <v>https://zfin.org/ZDB-GENE-081104-521</v>
      </c>
      <c r="E6925" t="s">
        <v>20744</v>
      </c>
    </row>
    <row r="6926" spans="1:5" x14ac:dyDescent="0.2">
      <c r="A6926" t="s">
        <v>20745</v>
      </c>
      <c r="B6926" t="s">
        <v>20746</v>
      </c>
      <c r="C6926" t="s">
        <v>20746</v>
      </c>
      <c r="D6926" t="str">
        <f>HYPERLINK("https://zfin.org/ZDB-GENE-030131-4134")</f>
        <v>https://zfin.org/ZDB-GENE-030131-4134</v>
      </c>
      <c r="E6926" t="s">
        <v>20747</v>
      </c>
    </row>
    <row r="6927" spans="1:5" x14ac:dyDescent="0.2">
      <c r="A6927" t="s">
        <v>20748</v>
      </c>
      <c r="B6927" t="s">
        <v>20749</v>
      </c>
      <c r="C6927" t="s">
        <v>20749</v>
      </c>
      <c r="D6927" t="str">
        <f>HYPERLINK("https://zfin.org/ZDB-GENE-040426-2132")</f>
        <v>https://zfin.org/ZDB-GENE-040426-2132</v>
      </c>
      <c r="E6927" t="s">
        <v>20750</v>
      </c>
    </row>
    <row r="6928" spans="1:5" x14ac:dyDescent="0.2">
      <c r="A6928" t="s">
        <v>20751</v>
      </c>
      <c r="B6928" t="s">
        <v>20752</v>
      </c>
      <c r="C6928" t="s">
        <v>20752</v>
      </c>
      <c r="D6928" t="str">
        <f>HYPERLINK("https://zfin.org/ZDB-GENE-160114-34")</f>
        <v>https://zfin.org/ZDB-GENE-160114-34</v>
      </c>
      <c r="E6928" t="s">
        <v>20753</v>
      </c>
    </row>
    <row r="6929" spans="1:5" x14ac:dyDescent="0.2">
      <c r="A6929" t="s">
        <v>20754</v>
      </c>
      <c r="B6929" t="s">
        <v>20755</v>
      </c>
      <c r="C6929" t="s">
        <v>20755</v>
      </c>
      <c r="D6929" t="str">
        <f>HYPERLINK("https://zfin.org/ZDB-GENE-080723-40")</f>
        <v>https://zfin.org/ZDB-GENE-080723-40</v>
      </c>
      <c r="E6929" t="s">
        <v>20756</v>
      </c>
    </row>
    <row r="6930" spans="1:5" x14ac:dyDescent="0.2">
      <c r="A6930" t="s">
        <v>20757</v>
      </c>
      <c r="B6930" t="s">
        <v>20758</v>
      </c>
      <c r="C6930" t="s">
        <v>20758</v>
      </c>
      <c r="D6930" t="str">
        <f>HYPERLINK("https://zfin.org/ZDB-GENE-030131-6922")</f>
        <v>https://zfin.org/ZDB-GENE-030131-6922</v>
      </c>
      <c r="E6930" t="s">
        <v>20759</v>
      </c>
    </row>
    <row r="6931" spans="1:5" x14ac:dyDescent="0.2">
      <c r="A6931" t="s">
        <v>20760</v>
      </c>
      <c r="B6931" t="s">
        <v>20761</v>
      </c>
      <c r="C6931" t="s">
        <v>20761</v>
      </c>
      <c r="D6931" t="str">
        <f>HYPERLINK("https://zfin.org/ZDB-GENE-040426-2741")</f>
        <v>https://zfin.org/ZDB-GENE-040426-2741</v>
      </c>
      <c r="E6931" t="s">
        <v>20762</v>
      </c>
    </row>
    <row r="6932" spans="1:5" x14ac:dyDescent="0.2">
      <c r="A6932" t="s">
        <v>20763</v>
      </c>
      <c r="B6932" t="s">
        <v>20764</v>
      </c>
      <c r="C6932" t="s">
        <v>20764</v>
      </c>
      <c r="D6932" t="str">
        <f>HYPERLINK("https://zfin.org/ZDB-GENE-070112-2352")</f>
        <v>https://zfin.org/ZDB-GENE-070112-2352</v>
      </c>
      <c r="E6932" t="s">
        <v>20765</v>
      </c>
    </row>
    <row r="6933" spans="1:5" x14ac:dyDescent="0.2">
      <c r="A6933" t="s">
        <v>20766</v>
      </c>
      <c r="B6933" t="s">
        <v>20767</v>
      </c>
      <c r="C6933" t="s">
        <v>20767</v>
      </c>
      <c r="D6933" t="str">
        <f>HYPERLINK("https://zfin.org/ZDB-GENE-030829-61")</f>
        <v>https://zfin.org/ZDB-GENE-030829-61</v>
      </c>
      <c r="E6933" t="s">
        <v>20768</v>
      </c>
    </row>
    <row r="6934" spans="1:5" x14ac:dyDescent="0.2">
      <c r="A6934" t="s">
        <v>20769</v>
      </c>
      <c r="B6934" t="s">
        <v>20770</v>
      </c>
      <c r="C6934" t="s">
        <v>20770</v>
      </c>
      <c r="D6934" t="str">
        <f>HYPERLINK("https://zfin.org/ZDB-GENE-030131-6544")</f>
        <v>https://zfin.org/ZDB-GENE-030131-6544</v>
      </c>
      <c r="E6934" t="s">
        <v>20771</v>
      </c>
    </row>
    <row r="6935" spans="1:5" x14ac:dyDescent="0.2">
      <c r="A6935" t="s">
        <v>20772</v>
      </c>
      <c r="B6935" t="s">
        <v>20773</v>
      </c>
      <c r="C6935" t="s">
        <v>20773</v>
      </c>
      <c r="D6935" t="str">
        <f>HYPERLINK("https://zfin.org/ZDB-GENE-121214-310")</f>
        <v>https://zfin.org/ZDB-GENE-121214-310</v>
      </c>
      <c r="E6935" t="s">
        <v>20774</v>
      </c>
    </row>
    <row r="6936" spans="1:5" x14ac:dyDescent="0.2">
      <c r="A6936" t="s">
        <v>20775</v>
      </c>
      <c r="B6936" t="s">
        <v>20776</v>
      </c>
      <c r="C6936" t="s">
        <v>20776</v>
      </c>
      <c r="D6936" t="str">
        <f>HYPERLINK("https://zfin.org/ZDB-GENE-050522-266")</f>
        <v>https://zfin.org/ZDB-GENE-050522-266</v>
      </c>
      <c r="E6936" t="s">
        <v>20777</v>
      </c>
    </row>
    <row r="6937" spans="1:5" x14ac:dyDescent="0.2">
      <c r="A6937" t="s">
        <v>20778</v>
      </c>
      <c r="B6937" t="s">
        <v>20779</v>
      </c>
      <c r="C6937" t="s">
        <v>20779</v>
      </c>
      <c r="D6937" t="str">
        <f>HYPERLINK("https://zfin.org/ZDB-GENE-080829-11")</f>
        <v>https://zfin.org/ZDB-GENE-080829-11</v>
      </c>
      <c r="E6937" t="s">
        <v>20780</v>
      </c>
    </row>
    <row r="6938" spans="1:5" x14ac:dyDescent="0.2">
      <c r="A6938" t="s">
        <v>20781</v>
      </c>
      <c r="B6938" t="s">
        <v>20782</v>
      </c>
      <c r="C6938" t="s">
        <v>20782</v>
      </c>
      <c r="D6938" t="str">
        <f>HYPERLINK("https://zfin.org/ZDB-GENE-030131-6933")</f>
        <v>https://zfin.org/ZDB-GENE-030131-6933</v>
      </c>
      <c r="E6938" t="s">
        <v>20783</v>
      </c>
    </row>
    <row r="6939" spans="1:5" x14ac:dyDescent="0.2">
      <c r="A6939" t="s">
        <v>20784</v>
      </c>
      <c r="B6939" t="s">
        <v>20785</v>
      </c>
      <c r="C6939" t="s">
        <v>20785</v>
      </c>
      <c r="D6939" t="str">
        <f>HYPERLINK("https://zfin.org/ZDB-GENE-070615-4")</f>
        <v>https://zfin.org/ZDB-GENE-070615-4</v>
      </c>
      <c r="E6939" t="s">
        <v>20786</v>
      </c>
    </row>
    <row r="6940" spans="1:5" x14ac:dyDescent="0.2">
      <c r="A6940" t="s">
        <v>20787</v>
      </c>
      <c r="B6940" t="s">
        <v>20788</v>
      </c>
      <c r="C6940" t="s">
        <v>20788</v>
      </c>
      <c r="D6940" t="str">
        <f>HYPERLINK("https://zfin.org/ZDB-GENE-070112-342")</f>
        <v>https://zfin.org/ZDB-GENE-070112-342</v>
      </c>
      <c r="E6940" t="s">
        <v>20789</v>
      </c>
    </row>
    <row r="6941" spans="1:5" x14ac:dyDescent="0.2">
      <c r="A6941" t="s">
        <v>20790</v>
      </c>
      <c r="B6941" t="s">
        <v>20791</v>
      </c>
      <c r="C6941" t="s">
        <v>20791</v>
      </c>
      <c r="D6941" t="str">
        <f>HYPERLINK("https://zfin.org/ZDB-GENE-050522-491")</f>
        <v>https://zfin.org/ZDB-GENE-050522-491</v>
      </c>
      <c r="E6941" t="s">
        <v>20792</v>
      </c>
    </row>
    <row r="6942" spans="1:5" x14ac:dyDescent="0.2">
      <c r="A6942" t="s">
        <v>20793</v>
      </c>
      <c r="B6942" t="s">
        <v>20794</v>
      </c>
      <c r="C6942" t="s">
        <v>20794</v>
      </c>
      <c r="D6942" t="str">
        <f>HYPERLINK("https://zfin.org/ZDB-GENE-081022-130")</f>
        <v>https://zfin.org/ZDB-GENE-081022-130</v>
      </c>
      <c r="E6942" t="s">
        <v>20795</v>
      </c>
    </row>
    <row r="6943" spans="1:5" x14ac:dyDescent="0.2">
      <c r="A6943" t="s">
        <v>20796</v>
      </c>
      <c r="B6943" t="s">
        <v>20797</v>
      </c>
      <c r="C6943" t="s">
        <v>20797</v>
      </c>
      <c r="D6943" t="str">
        <f>HYPERLINK("https://zfin.org/ZDB-GENE-060421-6479")</f>
        <v>https://zfin.org/ZDB-GENE-060421-6479</v>
      </c>
      <c r="E6943" t="s">
        <v>20798</v>
      </c>
    </row>
    <row r="6944" spans="1:5" x14ac:dyDescent="0.2">
      <c r="A6944" t="s">
        <v>20799</v>
      </c>
      <c r="B6944" t="s">
        <v>20800</v>
      </c>
      <c r="C6944" t="s">
        <v>20800</v>
      </c>
      <c r="D6944" t="str">
        <f>HYPERLINK("https://zfin.org/ZDB-GENE-050522-161")</f>
        <v>https://zfin.org/ZDB-GENE-050522-161</v>
      </c>
      <c r="E6944" t="s">
        <v>20801</v>
      </c>
    </row>
    <row r="6945" spans="1:5" x14ac:dyDescent="0.2">
      <c r="A6945" t="s">
        <v>20802</v>
      </c>
      <c r="B6945" t="s">
        <v>20803</v>
      </c>
      <c r="C6945" t="s">
        <v>20803</v>
      </c>
      <c r="D6945" t="str">
        <f>HYPERLINK("https://zfin.org/ZDB-GENE-040426-2477")</f>
        <v>https://zfin.org/ZDB-GENE-040426-2477</v>
      </c>
      <c r="E6945" t="s">
        <v>20804</v>
      </c>
    </row>
    <row r="6946" spans="1:5" x14ac:dyDescent="0.2">
      <c r="A6946" t="s">
        <v>20805</v>
      </c>
      <c r="B6946" t="s">
        <v>20806</v>
      </c>
      <c r="C6946" t="s">
        <v>20806</v>
      </c>
      <c r="D6946" t="str">
        <f>HYPERLINK("https://zfin.org/ZDB-GENE-030219-75")</f>
        <v>https://zfin.org/ZDB-GENE-030219-75</v>
      </c>
      <c r="E6946" t="s">
        <v>20807</v>
      </c>
    </row>
    <row r="6947" spans="1:5" x14ac:dyDescent="0.2">
      <c r="A6947" t="s">
        <v>20808</v>
      </c>
      <c r="B6947" t="s">
        <v>20809</v>
      </c>
      <c r="C6947" t="s">
        <v>20809</v>
      </c>
      <c r="D6947" t="str">
        <f>HYPERLINK("https://zfin.org/ZDB-GENE-140515-2")</f>
        <v>https://zfin.org/ZDB-GENE-140515-2</v>
      </c>
      <c r="E6947" t="s">
        <v>20810</v>
      </c>
    </row>
    <row r="6948" spans="1:5" x14ac:dyDescent="0.2">
      <c r="A6948" t="s">
        <v>20811</v>
      </c>
      <c r="B6948" t="s">
        <v>20812</v>
      </c>
      <c r="C6948" t="s">
        <v>20812</v>
      </c>
      <c r="D6948" t="str">
        <f>HYPERLINK("https://zfin.org/ZDB-GENE-050809-38")</f>
        <v>https://zfin.org/ZDB-GENE-050809-38</v>
      </c>
      <c r="E6948" t="s">
        <v>20813</v>
      </c>
    </row>
    <row r="6949" spans="1:5" x14ac:dyDescent="0.2">
      <c r="A6949" t="s">
        <v>20814</v>
      </c>
      <c r="B6949" t="s">
        <v>20815</v>
      </c>
      <c r="C6949" t="s">
        <v>20815</v>
      </c>
      <c r="D6949" t="str">
        <f>HYPERLINK("https://zfin.org/ZDB-GENE-040426-2644")</f>
        <v>https://zfin.org/ZDB-GENE-040426-2644</v>
      </c>
      <c r="E6949" t="s">
        <v>20816</v>
      </c>
    </row>
    <row r="6950" spans="1:5" x14ac:dyDescent="0.2">
      <c r="A6950" t="s">
        <v>20817</v>
      </c>
      <c r="B6950" t="s">
        <v>20818</v>
      </c>
      <c r="C6950" t="s">
        <v>20818</v>
      </c>
      <c r="D6950" t="str">
        <f>HYPERLINK("https://zfin.org/ZDB-GENE-030131-6671")</f>
        <v>https://zfin.org/ZDB-GENE-030131-6671</v>
      </c>
      <c r="E6950" t="s">
        <v>20819</v>
      </c>
    </row>
    <row r="6951" spans="1:5" x14ac:dyDescent="0.2">
      <c r="A6951" t="s">
        <v>20820</v>
      </c>
      <c r="B6951" t="s">
        <v>20821</v>
      </c>
      <c r="C6951" t="s">
        <v>20821</v>
      </c>
      <c r="D6951" t="str">
        <f>HYPERLINK("https://zfin.org/ZDB-GENE-051030-120")</f>
        <v>https://zfin.org/ZDB-GENE-051030-120</v>
      </c>
      <c r="E6951" t="s">
        <v>20822</v>
      </c>
    </row>
    <row r="6952" spans="1:5" x14ac:dyDescent="0.2">
      <c r="A6952" t="s">
        <v>20823</v>
      </c>
      <c r="B6952" t="s">
        <v>20824</v>
      </c>
      <c r="C6952" t="s">
        <v>20824</v>
      </c>
      <c r="D6952" t="str">
        <f>HYPERLINK("https://zfin.org/ZDB-GENE-030616-135")</f>
        <v>https://zfin.org/ZDB-GENE-030616-135</v>
      </c>
      <c r="E6952" t="s">
        <v>20825</v>
      </c>
    </row>
    <row r="6953" spans="1:5" x14ac:dyDescent="0.2">
      <c r="A6953" t="s">
        <v>20826</v>
      </c>
      <c r="B6953" t="s">
        <v>20827</v>
      </c>
      <c r="C6953" t="s">
        <v>20827</v>
      </c>
      <c r="D6953" t="str">
        <f>HYPERLINK("https://zfin.org/ZDB-GENE-030131-9775")</f>
        <v>https://zfin.org/ZDB-GENE-030131-9775</v>
      </c>
      <c r="E6953" t="s">
        <v>20828</v>
      </c>
    </row>
    <row r="6954" spans="1:5" x14ac:dyDescent="0.2">
      <c r="A6954" t="s">
        <v>20829</v>
      </c>
      <c r="B6954" t="s">
        <v>20830</v>
      </c>
      <c r="C6954" t="s">
        <v>20830</v>
      </c>
      <c r="D6954" t="str">
        <f>HYPERLINK("https://zfin.org/ZDB-GENE-040801-46")</f>
        <v>https://zfin.org/ZDB-GENE-040801-46</v>
      </c>
      <c r="E6954" t="s">
        <v>20831</v>
      </c>
    </row>
    <row r="6955" spans="1:5" x14ac:dyDescent="0.2">
      <c r="A6955" t="s">
        <v>20832</v>
      </c>
      <c r="B6955" t="s">
        <v>20833</v>
      </c>
      <c r="C6955" t="s">
        <v>20833</v>
      </c>
      <c r="D6955" t="str">
        <f>HYPERLINK("https://zfin.org/ZDB-GENE-091204-280")</f>
        <v>https://zfin.org/ZDB-GENE-091204-280</v>
      </c>
      <c r="E6955" t="s">
        <v>20834</v>
      </c>
    </row>
    <row r="6956" spans="1:5" x14ac:dyDescent="0.2">
      <c r="A6956" t="s">
        <v>20835</v>
      </c>
      <c r="B6956" t="s">
        <v>20836</v>
      </c>
      <c r="C6956" t="s">
        <v>20836</v>
      </c>
      <c r="D6956" t="str">
        <f>HYPERLINK("https://zfin.org/ZDB-GENE-041010-20")</f>
        <v>https://zfin.org/ZDB-GENE-041010-20</v>
      </c>
      <c r="E6956" t="s">
        <v>20837</v>
      </c>
    </row>
    <row r="6957" spans="1:5" x14ac:dyDescent="0.2">
      <c r="A6957" t="s">
        <v>20838</v>
      </c>
      <c r="B6957" t="s">
        <v>20839</v>
      </c>
      <c r="C6957" t="s">
        <v>20839</v>
      </c>
      <c r="D6957" t="str">
        <f>HYPERLINK("https://zfin.org/ZDB-GENE-030131-2547")</f>
        <v>https://zfin.org/ZDB-GENE-030131-2547</v>
      </c>
      <c r="E6957" t="s">
        <v>20840</v>
      </c>
    </row>
    <row r="6958" spans="1:5" x14ac:dyDescent="0.2">
      <c r="A6958" t="s">
        <v>20841</v>
      </c>
      <c r="B6958" t="s">
        <v>20842</v>
      </c>
      <c r="C6958" t="s">
        <v>20842</v>
      </c>
      <c r="D6958" t="str">
        <f>HYPERLINK("https://zfin.org/ZDB-GENE-050913-139")</f>
        <v>https://zfin.org/ZDB-GENE-050913-139</v>
      </c>
      <c r="E6958" t="s">
        <v>20843</v>
      </c>
    </row>
    <row r="6959" spans="1:5" x14ac:dyDescent="0.2">
      <c r="A6959" t="s">
        <v>20844</v>
      </c>
      <c r="B6959" t="s">
        <v>20845</v>
      </c>
      <c r="C6959" t="s">
        <v>20845</v>
      </c>
      <c r="D6959" t="str">
        <f>HYPERLINK("https://zfin.org/ZDB-GENE-090313-322")</f>
        <v>https://zfin.org/ZDB-GENE-090313-322</v>
      </c>
      <c r="E6959" t="s">
        <v>20846</v>
      </c>
    </row>
    <row r="6960" spans="1:5" x14ac:dyDescent="0.2">
      <c r="A6960" t="s">
        <v>20847</v>
      </c>
      <c r="B6960" t="s">
        <v>20848</v>
      </c>
      <c r="C6960" t="s">
        <v>20848</v>
      </c>
      <c r="D6960" t="str">
        <f>HYPERLINK("https://zfin.org/ZDB-GENE-081107-1")</f>
        <v>https://zfin.org/ZDB-GENE-081107-1</v>
      </c>
      <c r="E6960" t="s">
        <v>20849</v>
      </c>
    </row>
    <row r="6961" spans="1:5" x14ac:dyDescent="0.2">
      <c r="A6961" t="s">
        <v>20850</v>
      </c>
      <c r="B6961" t="s">
        <v>20851</v>
      </c>
      <c r="C6961" t="s">
        <v>20851</v>
      </c>
      <c r="D6961" t="str">
        <f>HYPERLINK("https://zfin.org/ZDB-GENE-120724-1")</f>
        <v>https://zfin.org/ZDB-GENE-120724-1</v>
      </c>
      <c r="E6961" t="s">
        <v>20852</v>
      </c>
    </row>
    <row r="6962" spans="1:5" x14ac:dyDescent="0.2">
      <c r="A6962" t="s">
        <v>20853</v>
      </c>
      <c r="B6962" t="s">
        <v>20735</v>
      </c>
      <c r="C6962" t="s">
        <v>20854</v>
      </c>
      <c r="D6962" t="str">
        <f>HYPERLINK("https://zfin.org/ZDB-GENE-060929-1090")</f>
        <v>https://zfin.org/ZDB-GENE-060929-1090</v>
      </c>
      <c r="E6962" t="s">
        <v>20855</v>
      </c>
    </row>
    <row r="6963" spans="1:5" x14ac:dyDescent="0.2">
      <c r="A6963" t="s">
        <v>20856</v>
      </c>
      <c r="B6963" t="s">
        <v>20857</v>
      </c>
      <c r="C6963" t="s">
        <v>20857</v>
      </c>
      <c r="D6963" t="str">
        <f>HYPERLINK("https://zfin.org/ZDB-GENE-080325-1")</f>
        <v>https://zfin.org/ZDB-GENE-080325-1</v>
      </c>
      <c r="E6963" t="s">
        <v>20858</v>
      </c>
    </row>
    <row r="6964" spans="1:5" x14ac:dyDescent="0.2">
      <c r="A6964" t="s">
        <v>20859</v>
      </c>
      <c r="B6964" t="s">
        <v>20860</v>
      </c>
      <c r="C6964" t="s">
        <v>20860</v>
      </c>
      <c r="D6964" t="str">
        <f>HYPERLINK("https://zfin.org/ZDB-GENE-131120-165")</f>
        <v>https://zfin.org/ZDB-GENE-131120-165</v>
      </c>
      <c r="E6964" t="s">
        <v>20861</v>
      </c>
    </row>
    <row r="6965" spans="1:5" x14ac:dyDescent="0.2">
      <c r="A6965" t="s">
        <v>20862</v>
      </c>
      <c r="B6965" t="s">
        <v>20863</v>
      </c>
      <c r="C6965" t="s">
        <v>20863</v>
      </c>
      <c r="D6965" t="str">
        <f>HYPERLINK("https://zfin.org/ZDB-GENE-040704-22")</f>
        <v>https://zfin.org/ZDB-GENE-040704-22</v>
      </c>
      <c r="E6965" t="s">
        <v>20864</v>
      </c>
    </row>
    <row r="6966" spans="1:5" x14ac:dyDescent="0.2">
      <c r="A6966" t="s">
        <v>20865</v>
      </c>
      <c r="B6966" t="s">
        <v>20866</v>
      </c>
      <c r="C6966" t="s">
        <v>20866</v>
      </c>
      <c r="D6966" t="str">
        <f>HYPERLINK("https://zfin.org/ZDB-GENE-081105-150")</f>
        <v>https://zfin.org/ZDB-GENE-081105-150</v>
      </c>
      <c r="E6966" t="s">
        <v>20867</v>
      </c>
    </row>
    <row r="6967" spans="1:5" x14ac:dyDescent="0.2">
      <c r="A6967" t="s">
        <v>20868</v>
      </c>
      <c r="B6967" t="s">
        <v>20869</v>
      </c>
      <c r="C6967" t="s">
        <v>20869</v>
      </c>
      <c r="D6967" t="str">
        <f>HYPERLINK("https://zfin.org/ZDB-GENE-050420-93")</f>
        <v>https://zfin.org/ZDB-GENE-050420-93</v>
      </c>
      <c r="E6967" t="s">
        <v>20870</v>
      </c>
    </row>
    <row r="6968" spans="1:5" x14ac:dyDescent="0.2">
      <c r="A6968" t="s">
        <v>20871</v>
      </c>
      <c r="B6968" t="s">
        <v>20872</v>
      </c>
      <c r="C6968" t="s">
        <v>20872</v>
      </c>
      <c r="D6968" t="str">
        <f>HYPERLINK("https://zfin.org/ZDB-GENE-070705-66")</f>
        <v>https://zfin.org/ZDB-GENE-070705-66</v>
      </c>
      <c r="E6968" t="s">
        <v>20873</v>
      </c>
    </row>
    <row r="6969" spans="1:5" x14ac:dyDescent="0.2">
      <c r="A6969" t="s">
        <v>20874</v>
      </c>
      <c r="B6969" t="s">
        <v>20875</v>
      </c>
      <c r="C6969" t="s">
        <v>20875</v>
      </c>
      <c r="D6969" t="str">
        <f>HYPERLINK("https://zfin.org/ZDB-GENE-050417-178")</f>
        <v>https://zfin.org/ZDB-GENE-050417-178</v>
      </c>
      <c r="E6969" t="s">
        <v>20876</v>
      </c>
    </row>
    <row r="6970" spans="1:5" x14ac:dyDescent="0.2">
      <c r="A6970" t="s">
        <v>20877</v>
      </c>
      <c r="B6970" t="s">
        <v>20878</v>
      </c>
      <c r="C6970" t="s">
        <v>20878</v>
      </c>
      <c r="D6970" t="str">
        <f>HYPERLINK("https://zfin.org/ZDB-GENE-030131-5997")</f>
        <v>https://zfin.org/ZDB-GENE-030131-5997</v>
      </c>
      <c r="E6970" t="s">
        <v>20879</v>
      </c>
    </row>
    <row r="6971" spans="1:5" x14ac:dyDescent="0.2">
      <c r="A6971" t="s">
        <v>20880</v>
      </c>
      <c r="B6971" t="s">
        <v>20881</v>
      </c>
      <c r="C6971" t="s">
        <v>20881</v>
      </c>
      <c r="D6971" t="str">
        <f>HYPERLINK("https://zfin.org/ZDB-GENE-030716-2")</f>
        <v>https://zfin.org/ZDB-GENE-030716-2</v>
      </c>
      <c r="E6971" t="s">
        <v>20882</v>
      </c>
    </row>
    <row r="6972" spans="1:5" x14ac:dyDescent="0.2">
      <c r="A6972" t="s">
        <v>20883</v>
      </c>
      <c r="B6972" t="s">
        <v>20884</v>
      </c>
      <c r="C6972" t="s">
        <v>20884</v>
      </c>
      <c r="D6972" t="str">
        <f>HYPERLINK("https://zfin.org/ZDB-GENE-040426-708")</f>
        <v>https://zfin.org/ZDB-GENE-040426-708</v>
      </c>
      <c r="E6972" t="s">
        <v>20885</v>
      </c>
    </row>
    <row r="6973" spans="1:5" x14ac:dyDescent="0.2">
      <c r="A6973" t="s">
        <v>20886</v>
      </c>
      <c r="B6973" t="s">
        <v>20887</v>
      </c>
      <c r="C6973" t="s">
        <v>20887</v>
      </c>
      <c r="D6973" t="str">
        <f>HYPERLINK("https://zfin.org/ZDB-GENE-040718-388")</f>
        <v>https://zfin.org/ZDB-GENE-040718-388</v>
      </c>
      <c r="E6973" t="s">
        <v>20888</v>
      </c>
    </row>
    <row r="6974" spans="1:5" x14ac:dyDescent="0.2">
      <c r="A6974" t="s">
        <v>20889</v>
      </c>
      <c r="B6974" t="s">
        <v>20890</v>
      </c>
      <c r="C6974" t="s">
        <v>20890</v>
      </c>
      <c r="D6974" t="str">
        <f>HYPERLINK("https://zfin.org/ZDB-GENE-040426-2078")</f>
        <v>https://zfin.org/ZDB-GENE-040426-2078</v>
      </c>
      <c r="E6974" t="s">
        <v>20891</v>
      </c>
    </row>
    <row r="6975" spans="1:5" x14ac:dyDescent="0.2">
      <c r="A6975" t="s">
        <v>20892</v>
      </c>
      <c r="B6975" t="s">
        <v>20893</v>
      </c>
      <c r="C6975" t="s">
        <v>20893</v>
      </c>
      <c r="D6975" t="str">
        <f>HYPERLINK("https://zfin.org/ZDB-GENE-030131-1365")</f>
        <v>https://zfin.org/ZDB-GENE-030131-1365</v>
      </c>
      <c r="E6975" t="s">
        <v>20894</v>
      </c>
    </row>
    <row r="6976" spans="1:5" x14ac:dyDescent="0.2">
      <c r="A6976" t="s">
        <v>20895</v>
      </c>
      <c r="B6976" t="s">
        <v>20896</v>
      </c>
      <c r="C6976" t="s">
        <v>20896</v>
      </c>
      <c r="D6976" t="str">
        <f>HYPERLINK("https://zfin.org/ZDB-GENE-070615-36")</f>
        <v>https://zfin.org/ZDB-GENE-070615-36</v>
      </c>
      <c r="E6976" t="s">
        <v>20897</v>
      </c>
    </row>
    <row r="6977" spans="1:5" x14ac:dyDescent="0.2">
      <c r="A6977" t="s">
        <v>20898</v>
      </c>
      <c r="B6977" t="s">
        <v>20899</v>
      </c>
      <c r="C6977" t="s">
        <v>20899</v>
      </c>
      <c r="D6977" t="str">
        <f>HYPERLINK("https://zfin.org/ZDB-GENE-040426-1220")</f>
        <v>https://zfin.org/ZDB-GENE-040426-1220</v>
      </c>
      <c r="E6977" t="s">
        <v>20900</v>
      </c>
    </row>
    <row r="6978" spans="1:5" x14ac:dyDescent="0.2">
      <c r="A6978" t="s">
        <v>20901</v>
      </c>
      <c r="B6978" t="s">
        <v>20902</v>
      </c>
      <c r="C6978" t="s">
        <v>20902</v>
      </c>
      <c r="D6978" t="str">
        <f>HYPERLINK("https://zfin.org/ZDB-GENE-030131-6609")</f>
        <v>https://zfin.org/ZDB-GENE-030131-6609</v>
      </c>
      <c r="E6978" t="s">
        <v>20903</v>
      </c>
    </row>
    <row r="6979" spans="1:5" x14ac:dyDescent="0.2">
      <c r="A6979" t="s">
        <v>20904</v>
      </c>
      <c r="B6979" t="s">
        <v>20905</v>
      </c>
      <c r="C6979" t="s">
        <v>20905</v>
      </c>
      <c r="D6979" t="str">
        <f>HYPERLINK("https://zfin.org/ZDB-GENE-050913-149")</f>
        <v>https://zfin.org/ZDB-GENE-050913-149</v>
      </c>
      <c r="E6979" t="s">
        <v>20906</v>
      </c>
    </row>
    <row r="6980" spans="1:5" x14ac:dyDescent="0.2">
      <c r="A6980" t="s">
        <v>20907</v>
      </c>
      <c r="B6980" t="s">
        <v>20908</v>
      </c>
      <c r="C6980" t="s">
        <v>20908</v>
      </c>
      <c r="D6980" t="str">
        <f>HYPERLINK("https://zfin.org/ZDB-GENE-131120-163")</f>
        <v>https://zfin.org/ZDB-GENE-131120-163</v>
      </c>
      <c r="E6980" t="s">
        <v>20909</v>
      </c>
    </row>
    <row r="6981" spans="1:5" x14ac:dyDescent="0.2">
      <c r="A6981" t="s">
        <v>20910</v>
      </c>
      <c r="B6981" t="s">
        <v>20911</v>
      </c>
      <c r="C6981" t="s">
        <v>20911</v>
      </c>
      <c r="D6981" t="str">
        <f>HYPERLINK("https://zfin.org/ZDB-GENE-041010-195")</f>
        <v>https://zfin.org/ZDB-GENE-041010-195</v>
      </c>
      <c r="E6981" t="s">
        <v>20912</v>
      </c>
    </row>
    <row r="6982" spans="1:5" x14ac:dyDescent="0.2">
      <c r="A6982" t="s">
        <v>20913</v>
      </c>
      <c r="B6982" t="s">
        <v>20914</v>
      </c>
      <c r="C6982" t="s">
        <v>20914</v>
      </c>
      <c r="D6982" t="str">
        <f>HYPERLINK("https://zfin.org/ZDB-GENE-090313-323")</f>
        <v>https://zfin.org/ZDB-GENE-090313-323</v>
      </c>
      <c r="E6982" t="s">
        <v>20915</v>
      </c>
    </row>
    <row r="6983" spans="1:5" x14ac:dyDescent="0.2">
      <c r="A6983" t="s">
        <v>20916</v>
      </c>
      <c r="B6983" t="s">
        <v>20917</v>
      </c>
      <c r="C6983" t="s">
        <v>20917</v>
      </c>
      <c r="D6983" t="str">
        <f>HYPERLINK("https://zfin.org/ZDB-GENE-050417-387")</f>
        <v>https://zfin.org/ZDB-GENE-050417-387</v>
      </c>
      <c r="E6983" t="s">
        <v>20918</v>
      </c>
    </row>
    <row r="6984" spans="1:5" x14ac:dyDescent="0.2">
      <c r="A6984" t="s">
        <v>20919</v>
      </c>
      <c r="B6984" t="s">
        <v>20920</v>
      </c>
      <c r="C6984" t="s">
        <v>20920</v>
      </c>
      <c r="D6984" t="str">
        <f>HYPERLINK("https://zfin.org/ZDB-GENE-030131-6318")</f>
        <v>https://zfin.org/ZDB-GENE-030131-6318</v>
      </c>
      <c r="E6984" t="s">
        <v>20921</v>
      </c>
    </row>
    <row r="6985" spans="1:5" x14ac:dyDescent="0.2">
      <c r="A6985" t="s">
        <v>20922</v>
      </c>
      <c r="B6985" t="s">
        <v>20923</v>
      </c>
      <c r="C6985" t="s">
        <v>20923</v>
      </c>
      <c r="D6985" t="str">
        <f>HYPERLINK("https://zfin.org/ZDB-GENE-081022-40")</f>
        <v>https://zfin.org/ZDB-GENE-081022-40</v>
      </c>
      <c r="E6985" t="s">
        <v>20924</v>
      </c>
    </row>
    <row r="6986" spans="1:5" x14ac:dyDescent="0.2">
      <c r="A6986" t="s">
        <v>20925</v>
      </c>
      <c r="B6986" t="s">
        <v>20926</v>
      </c>
      <c r="C6986" t="s">
        <v>20926</v>
      </c>
      <c r="D6986" t="str">
        <f>HYPERLINK("https://zfin.org/ZDB-GENE-060929-1162")</f>
        <v>https://zfin.org/ZDB-GENE-060929-1162</v>
      </c>
      <c r="E6986" t="s">
        <v>20927</v>
      </c>
    </row>
    <row r="6987" spans="1:5" x14ac:dyDescent="0.2">
      <c r="A6987" t="s">
        <v>20928</v>
      </c>
      <c r="B6987" t="s">
        <v>20929</v>
      </c>
      <c r="C6987" t="s">
        <v>20929</v>
      </c>
      <c r="D6987" t="str">
        <f>HYPERLINK("https://zfin.org/ZDB-GENE-011128-1")</f>
        <v>https://zfin.org/ZDB-GENE-011128-1</v>
      </c>
      <c r="E6987" t="s">
        <v>20930</v>
      </c>
    </row>
    <row r="6988" spans="1:5" x14ac:dyDescent="0.2">
      <c r="A6988" t="s">
        <v>20931</v>
      </c>
      <c r="B6988" t="s">
        <v>20932</v>
      </c>
      <c r="C6988" t="s">
        <v>20932</v>
      </c>
      <c r="D6988" t="str">
        <f>HYPERLINK("https://zfin.org/ZDB-GENE-041114-122")</f>
        <v>https://zfin.org/ZDB-GENE-041114-122</v>
      </c>
      <c r="E6988" t="s">
        <v>20933</v>
      </c>
    </row>
    <row r="6989" spans="1:5" x14ac:dyDescent="0.2">
      <c r="A6989" t="s">
        <v>20934</v>
      </c>
      <c r="B6989" t="s">
        <v>20935</v>
      </c>
      <c r="C6989" t="s">
        <v>20935</v>
      </c>
      <c r="D6989" t="str">
        <f>HYPERLINK("https://zfin.org/ZDB-GENE-030131-8557")</f>
        <v>https://zfin.org/ZDB-GENE-030131-8557</v>
      </c>
      <c r="E6989" t="s">
        <v>20936</v>
      </c>
    </row>
    <row r="6990" spans="1:5" x14ac:dyDescent="0.2">
      <c r="A6990" t="s">
        <v>20937</v>
      </c>
      <c r="B6990" t="s">
        <v>20938</v>
      </c>
      <c r="C6990" t="s">
        <v>20938</v>
      </c>
      <c r="D6990" t="str">
        <f>HYPERLINK("https://zfin.org/ZDB-GENE-050208-649")</f>
        <v>https://zfin.org/ZDB-GENE-050208-649</v>
      </c>
      <c r="E6990" t="s">
        <v>20939</v>
      </c>
    </row>
    <row r="6991" spans="1:5" x14ac:dyDescent="0.2">
      <c r="A6991" t="s">
        <v>20940</v>
      </c>
      <c r="B6991" t="s">
        <v>20941</v>
      </c>
      <c r="C6991" t="s">
        <v>20941</v>
      </c>
      <c r="D6991" t="str">
        <f>HYPERLINK("https://zfin.org/ZDB-GENE-060602-3")</f>
        <v>https://zfin.org/ZDB-GENE-060602-3</v>
      </c>
      <c r="E6991" t="s">
        <v>20942</v>
      </c>
    </row>
    <row r="6992" spans="1:5" x14ac:dyDescent="0.2">
      <c r="A6992" t="s">
        <v>20943</v>
      </c>
      <c r="B6992" t="s">
        <v>20944</v>
      </c>
      <c r="C6992" t="s">
        <v>20944</v>
      </c>
      <c r="D6992" t="str">
        <f>HYPERLINK("https://zfin.org/ZDB-GENE-071015-2")</f>
        <v>https://zfin.org/ZDB-GENE-071015-2</v>
      </c>
      <c r="E6992" t="s">
        <v>20945</v>
      </c>
    </row>
    <row r="6993" spans="1:5" x14ac:dyDescent="0.2">
      <c r="A6993" t="s">
        <v>20946</v>
      </c>
      <c r="B6993" t="s">
        <v>20947</v>
      </c>
      <c r="C6993" t="s">
        <v>20947</v>
      </c>
      <c r="D6993" t="str">
        <f>HYPERLINK("https://zfin.org/ZDB-GENE-070122-4")</f>
        <v>https://zfin.org/ZDB-GENE-070122-4</v>
      </c>
      <c r="E6993" t="s">
        <v>20948</v>
      </c>
    </row>
    <row r="6994" spans="1:5" x14ac:dyDescent="0.2">
      <c r="A6994" t="s">
        <v>20949</v>
      </c>
      <c r="B6994" t="s">
        <v>20950</v>
      </c>
      <c r="C6994" t="s">
        <v>20950</v>
      </c>
      <c r="D6994" t="str">
        <f>HYPERLINK("https://zfin.org/ZDB-GENE-070705-485")</f>
        <v>https://zfin.org/ZDB-GENE-070705-485</v>
      </c>
      <c r="E6994" t="s">
        <v>20951</v>
      </c>
    </row>
    <row r="6995" spans="1:5" x14ac:dyDescent="0.2">
      <c r="A6995" t="s">
        <v>20952</v>
      </c>
      <c r="B6995" t="s">
        <v>20953</v>
      </c>
      <c r="C6995" t="s">
        <v>20953</v>
      </c>
      <c r="D6995" t="str">
        <f>HYPERLINK("https://zfin.org/ZDB-GENE-040426-2587")</f>
        <v>https://zfin.org/ZDB-GENE-040426-2587</v>
      </c>
      <c r="E6995" t="s">
        <v>20954</v>
      </c>
    </row>
    <row r="6996" spans="1:5" x14ac:dyDescent="0.2">
      <c r="A6996" t="s">
        <v>20955</v>
      </c>
      <c r="B6996" t="s">
        <v>20956</v>
      </c>
      <c r="C6996" t="s">
        <v>20956</v>
      </c>
      <c r="D6996" t="str">
        <f>HYPERLINK("https://zfin.org/ZDB-GENE-070705-486")</f>
        <v>https://zfin.org/ZDB-GENE-070705-486</v>
      </c>
      <c r="E6996" t="s">
        <v>20957</v>
      </c>
    </row>
    <row r="6997" spans="1:5" x14ac:dyDescent="0.2">
      <c r="A6997" t="s">
        <v>20958</v>
      </c>
      <c r="B6997" t="s">
        <v>20959</v>
      </c>
      <c r="C6997" t="s">
        <v>20959</v>
      </c>
      <c r="D6997" t="str">
        <f>HYPERLINK("https://zfin.org/ZDB-GENE-040426-2274")</f>
        <v>https://zfin.org/ZDB-GENE-040426-2274</v>
      </c>
      <c r="E6997" t="s">
        <v>20960</v>
      </c>
    </row>
    <row r="6998" spans="1:5" x14ac:dyDescent="0.2">
      <c r="A6998" t="s">
        <v>20961</v>
      </c>
      <c r="B6998" t="s">
        <v>20962</v>
      </c>
      <c r="C6998" t="s">
        <v>20962</v>
      </c>
      <c r="D6998" t="str">
        <f>HYPERLINK("https://zfin.org/ZDB-GENE-131121-574")</f>
        <v>https://zfin.org/ZDB-GENE-131121-574</v>
      </c>
      <c r="E6998" t="s">
        <v>20963</v>
      </c>
    </row>
    <row r="6999" spans="1:5" x14ac:dyDescent="0.2">
      <c r="A6999" t="s">
        <v>20964</v>
      </c>
      <c r="B6999" t="s">
        <v>20965</v>
      </c>
      <c r="C6999" t="s">
        <v>20965</v>
      </c>
      <c r="D6999" t="str">
        <f>HYPERLINK("https://zfin.org/ZDB-GENE-070112-1952")</f>
        <v>https://zfin.org/ZDB-GENE-070112-1952</v>
      </c>
      <c r="E6999" t="s">
        <v>20966</v>
      </c>
    </row>
    <row r="7000" spans="1:5" x14ac:dyDescent="0.2">
      <c r="A7000" t="s">
        <v>20967</v>
      </c>
      <c r="B7000" t="s">
        <v>20968</v>
      </c>
      <c r="C7000" t="s">
        <v>20968</v>
      </c>
      <c r="D7000" t="str">
        <f>HYPERLINK("https://zfin.org/ZDB-GENE-030131-7868")</f>
        <v>https://zfin.org/ZDB-GENE-030131-7868</v>
      </c>
      <c r="E7000" t="s">
        <v>20969</v>
      </c>
    </row>
    <row r="7001" spans="1:5" x14ac:dyDescent="0.2">
      <c r="A7001" t="s">
        <v>20970</v>
      </c>
      <c r="B7001" t="s">
        <v>20971</v>
      </c>
      <c r="C7001" t="s">
        <v>20971</v>
      </c>
      <c r="D7001" t="str">
        <f>HYPERLINK("https://zfin.org/ZDB-GENE-060322-11")</f>
        <v>https://zfin.org/ZDB-GENE-060322-11</v>
      </c>
      <c r="E7001" t="s">
        <v>20972</v>
      </c>
    </row>
    <row r="7002" spans="1:5" x14ac:dyDescent="0.2">
      <c r="A7002" t="s">
        <v>20973</v>
      </c>
      <c r="B7002" t="s">
        <v>20974</v>
      </c>
      <c r="C7002" t="s">
        <v>20974</v>
      </c>
      <c r="D7002" t="str">
        <f>HYPERLINK("https://zfin.org/ZDB-GENE-031001-6")</f>
        <v>https://zfin.org/ZDB-GENE-031001-6</v>
      </c>
      <c r="E7002" t="s">
        <v>20975</v>
      </c>
    </row>
    <row r="7003" spans="1:5" x14ac:dyDescent="0.2">
      <c r="A7003" t="s">
        <v>20976</v>
      </c>
      <c r="B7003" t="s">
        <v>20977</v>
      </c>
      <c r="C7003" t="s">
        <v>20977</v>
      </c>
      <c r="D7003" t="str">
        <f>HYPERLINK("https://zfin.org/ZDB-GENE-050327-39")</f>
        <v>https://zfin.org/ZDB-GENE-050327-39</v>
      </c>
      <c r="E7003" t="s">
        <v>20978</v>
      </c>
    </row>
    <row r="7004" spans="1:5" x14ac:dyDescent="0.2">
      <c r="A7004" t="s">
        <v>20979</v>
      </c>
      <c r="B7004" t="s">
        <v>20980</v>
      </c>
      <c r="C7004" t="s">
        <v>20980</v>
      </c>
      <c r="D7004" t="str">
        <f>HYPERLINK("https://zfin.org/ZDB-GENE-090313-145")</f>
        <v>https://zfin.org/ZDB-GENE-090313-145</v>
      </c>
      <c r="E7004" t="s">
        <v>20981</v>
      </c>
    </row>
    <row r="7005" spans="1:5" x14ac:dyDescent="0.2">
      <c r="A7005" t="s">
        <v>20982</v>
      </c>
      <c r="B7005" t="s">
        <v>20983</v>
      </c>
      <c r="C7005" t="s">
        <v>20983</v>
      </c>
      <c r="D7005" t="str">
        <f>HYPERLINK("https://zfin.org/ZDB-GENE-040426-2311")</f>
        <v>https://zfin.org/ZDB-GENE-040426-2311</v>
      </c>
      <c r="E7005" t="s">
        <v>20984</v>
      </c>
    </row>
    <row r="7006" spans="1:5" x14ac:dyDescent="0.2">
      <c r="A7006" t="s">
        <v>20985</v>
      </c>
      <c r="B7006" t="s">
        <v>20986</v>
      </c>
      <c r="C7006" t="s">
        <v>20986</v>
      </c>
      <c r="D7006" t="str">
        <f>HYPERLINK("https://zfin.org/ZDB-GENE-051019-2")</f>
        <v>https://zfin.org/ZDB-GENE-051019-2</v>
      </c>
      <c r="E7006" t="s">
        <v>20987</v>
      </c>
    </row>
    <row r="7007" spans="1:5" x14ac:dyDescent="0.2">
      <c r="A7007" t="s">
        <v>20988</v>
      </c>
      <c r="B7007" t="s">
        <v>20989</v>
      </c>
      <c r="C7007" t="s">
        <v>20989</v>
      </c>
      <c r="D7007" t="str">
        <f>HYPERLINK("https://zfin.org/ZDB-GENE-040426-1142")</f>
        <v>https://zfin.org/ZDB-GENE-040426-1142</v>
      </c>
      <c r="E7007" t="s">
        <v>20990</v>
      </c>
    </row>
    <row r="7008" spans="1:5" x14ac:dyDescent="0.2">
      <c r="A7008" t="s">
        <v>20991</v>
      </c>
      <c r="B7008" t="s">
        <v>20992</v>
      </c>
      <c r="C7008" t="s">
        <v>20992</v>
      </c>
      <c r="D7008" t="str">
        <f>HYPERLINK("https://zfin.org/ZDB-GENE-070112-2182")</f>
        <v>https://zfin.org/ZDB-GENE-070112-2182</v>
      </c>
      <c r="E7008" t="s">
        <v>20993</v>
      </c>
    </row>
    <row r="7009" spans="1:5" x14ac:dyDescent="0.2">
      <c r="A7009" t="s">
        <v>20994</v>
      </c>
      <c r="B7009" t="s">
        <v>20995</v>
      </c>
      <c r="C7009" t="s">
        <v>20995</v>
      </c>
      <c r="D7009" t="str">
        <f>HYPERLINK("https://zfin.org/ZDB-GENE-070112-1402")</f>
        <v>https://zfin.org/ZDB-GENE-070112-1402</v>
      </c>
      <c r="E7009" t="s">
        <v>20996</v>
      </c>
    </row>
    <row r="7010" spans="1:5" x14ac:dyDescent="0.2">
      <c r="A7010" t="s">
        <v>20997</v>
      </c>
      <c r="B7010" t="s">
        <v>20998</v>
      </c>
      <c r="C7010" t="s">
        <v>20998</v>
      </c>
      <c r="D7010" t="str">
        <f>HYPERLINK("https://zfin.org/ZDB-GENE-021210-2")</f>
        <v>https://zfin.org/ZDB-GENE-021210-2</v>
      </c>
      <c r="E7010" t="s">
        <v>20999</v>
      </c>
    </row>
    <row r="7011" spans="1:5" x14ac:dyDescent="0.2">
      <c r="A7011" t="s">
        <v>21000</v>
      </c>
      <c r="B7011" t="s">
        <v>21001</v>
      </c>
      <c r="C7011" t="s">
        <v>21001</v>
      </c>
      <c r="D7011" t="str">
        <f>HYPERLINK("https://zfin.org/ZDB-GENE-061103-70")</f>
        <v>https://zfin.org/ZDB-GENE-061103-70</v>
      </c>
      <c r="E7011" t="s">
        <v>21002</v>
      </c>
    </row>
    <row r="7012" spans="1:5" x14ac:dyDescent="0.2">
      <c r="A7012" t="s">
        <v>21003</v>
      </c>
      <c r="B7012" t="s">
        <v>21004</v>
      </c>
      <c r="C7012" t="s">
        <v>21004</v>
      </c>
      <c r="D7012" t="str">
        <f>HYPERLINK("https://zfin.org/ZDB-GENE-121214-193")</f>
        <v>https://zfin.org/ZDB-GENE-121214-193</v>
      </c>
      <c r="E7012" t="s">
        <v>21005</v>
      </c>
    </row>
    <row r="7013" spans="1:5" x14ac:dyDescent="0.2">
      <c r="A7013" t="s">
        <v>21006</v>
      </c>
      <c r="B7013" t="s">
        <v>21007</v>
      </c>
      <c r="C7013" t="s">
        <v>21007</v>
      </c>
      <c r="D7013" t="str">
        <f>HYPERLINK("https://zfin.org/ZDB-GENE-041114-18")</f>
        <v>https://zfin.org/ZDB-GENE-041114-18</v>
      </c>
      <c r="E7013" t="s">
        <v>21008</v>
      </c>
    </row>
    <row r="7014" spans="1:5" x14ac:dyDescent="0.2">
      <c r="A7014" t="s">
        <v>21009</v>
      </c>
      <c r="B7014" t="s">
        <v>21010</v>
      </c>
      <c r="C7014" t="s">
        <v>21010</v>
      </c>
      <c r="D7014" t="str">
        <f>HYPERLINK("https://zfin.org/ZDB-GENE-071015-1")</f>
        <v>https://zfin.org/ZDB-GENE-071015-1</v>
      </c>
      <c r="E7014" t="s">
        <v>21011</v>
      </c>
    </row>
    <row r="7015" spans="1:5" x14ac:dyDescent="0.2">
      <c r="A7015" t="s">
        <v>21012</v>
      </c>
      <c r="B7015" t="s">
        <v>21013</v>
      </c>
      <c r="C7015" t="s">
        <v>21013</v>
      </c>
      <c r="D7015" t="str">
        <f>HYPERLINK("https://zfin.org/ZDB-GENE-070705-444")</f>
        <v>https://zfin.org/ZDB-GENE-070705-444</v>
      </c>
      <c r="E7015" t="s">
        <v>21014</v>
      </c>
    </row>
    <row r="7016" spans="1:5" x14ac:dyDescent="0.2">
      <c r="A7016" t="s">
        <v>21015</v>
      </c>
      <c r="B7016" t="s">
        <v>21016</v>
      </c>
      <c r="C7016" t="s">
        <v>21016</v>
      </c>
      <c r="D7016" t="str">
        <f>HYPERLINK("https://zfin.org/ZDB-GENE-030131-99")</f>
        <v>https://zfin.org/ZDB-GENE-030131-99</v>
      </c>
      <c r="E7016" t="s">
        <v>21017</v>
      </c>
    </row>
    <row r="7017" spans="1:5" x14ac:dyDescent="0.2">
      <c r="A7017" t="s">
        <v>21018</v>
      </c>
      <c r="B7017" t="s">
        <v>21019</v>
      </c>
      <c r="C7017" t="s">
        <v>21019</v>
      </c>
      <c r="D7017" t="str">
        <f>HYPERLINK("https://zfin.org/ZDB-GENE-080603-4")</f>
        <v>https://zfin.org/ZDB-GENE-080603-4</v>
      </c>
      <c r="E7017" t="s">
        <v>21020</v>
      </c>
    </row>
    <row r="7018" spans="1:5" x14ac:dyDescent="0.2">
      <c r="A7018" t="s">
        <v>21021</v>
      </c>
      <c r="B7018" t="s">
        <v>21022</v>
      </c>
      <c r="C7018" t="s">
        <v>21022</v>
      </c>
      <c r="D7018" t="str">
        <f>HYPERLINK("https://zfin.org/ZDB-GENE-110228-3")</f>
        <v>https://zfin.org/ZDB-GENE-110228-3</v>
      </c>
      <c r="E7018" t="s">
        <v>21023</v>
      </c>
    </row>
    <row r="7019" spans="1:5" x14ac:dyDescent="0.2">
      <c r="A7019" t="s">
        <v>21024</v>
      </c>
      <c r="B7019" t="s">
        <v>21025</v>
      </c>
      <c r="C7019" t="s">
        <v>21025</v>
      </c>
      <c r="D7019" t="str">
        <f>HYPERLINK("https://zfin.org/ZDB-GENE-060331-121")</f>
        <v>https://zfin.org/ZDB-GENE-060331-121</v>
      </c>
      <c r="E7019" t="s">
        <v>21026</v>
      </c>
    </row>
    <row r="7020" spans="1:5" x14ac:dyDescent="0.2">
      <c r="A7020" t="s">
        <v>21027</v>
      </c>
      <c r="B7020" t="s">
        <v>21028</v>
      </c>
      <c r="C7020" t="s">
        <v>21028</v>
      </c>
      <c r="D7020" t="str">
        <f>HYPERLINK("https://zfin.org/ZDB-GENE-030131-2884")</f>
        <v>https://zfin.org/ZDB-GENE-030131-2884</v>
      </c>
      <c r="E7020" t="s">
        <v>21029</v>
      </c>
    </row>
    <row r="7021" spans="1:5" x14ac:dyDescent="0.2">
      <c r="A7021" t="s">
        <v>21030</v>
      </c>
      <c r="B7021" t="s">
        <v>21031</v>
      </c>
      <c r="C7021" t="s">
        <v>21031</v>
      </c>
      <c r="D7021" t="str">
        <f>HYPERLINK("https://zfin.org/ZDB-GENE-090508-16")</f>
        <v>https://zfin.org/ZDB-GENE-090508-16</v>
      </c>
      <c r="E7021" t="s">
        <v>21032</v>
      </c>
    </row>
    <row r="7022" spans="1:5" x14ac:dyDescent="0.2">
      <c r="A7022" t="s">
        <v>21033</v>
      </c>
      <c r="B7022" t="s">
        <v>21034</v>
      </c>
      <c r="C7022" t="s">
        <v>21034</v>
      </c>
      <c r="D7022" t="str">
        <f>HYPERLINK("https://zfin.org/ZDB-GENE-110411-49")</f>
        <v>https://zfin.org/ZDB-GENE-110411-49</v>
      </c>
      <c r="E7022" t="s">
        <v>21035</v>
      </c>
    </row>
    <row r="7023" spans="1:5" x14ac:dyDescent="0.2">
      <c r="A7023" t="s">
        <v>21036</v>
      </c>
      <c r="B7023" t="s">
        <v>21037</v>
      </c>
      <c r="C7023" t="s">
        <v>21037</v>
      </c>
      <c r="D7023" t="str">
        <f>HYPERLINK("https://zfin.org/ZDB-GENE-030131-5584")</f>
        <v>https://zfin.org/ZDB-GENE-030131-5584</v>
      </c>
      <c r="E7023" t="s">
        <v>21038</v>
      </c>
    </row>
    <row r="7024" spans="1:5" x14ac:dyDescent="0.2">
      <c r="A7024" t="s">
        <v>21039</v>
      </c>
      <c r="B7024" t="s">
        <v>21040</v>
      </c>
      <c r="C7024" t="s">
        <v>21040</v>
      </c>
      <c r="D7024" t="str">
        <f>HYPERLINK("https://zfin.org/ZDB-GENE-030219-206")</f>
        <v>https://zfin.org/ZDB-GENE-030219-206</v>
      </c>
      <c r="E7024" t="s">
        <v>21041</v>
      </c>
    </row>
    <row r="7025" spans="1:5" x14ac:dyDescent="0.2">
      <c r="A7025" t="s">
        <v>21042</v>
      </c>
      <c r="B7025" t="s">
        <v>21043</v>
      </c>
      <c r="C7025" t="s">
        <v>21043</v>
      </c>
      <c r="D7025" t="str">
        <f>HYPERLINK("https://zfin.org/ZDB-GENE-040830-1")</f>
        <v>https://zfin.org/ZDB-GENE-040830-1</v>
      </c>
      <c r="E7025" t="s">
        <v>21044</v>
      </c>
    </row>
    <row r="7026" spans="1:5" x14ac:dyDescent="0.2">
      <c r="A7026" t="s">
        <v>21045</v>
      </c>
      <c r="B7026" t="s">
        <v>21046</v>
      </c>
      <c r="C7026" t="s">
        <v>21046</v>
      </c>
      <c r="D7026" t="str">
        <f>HYPERLINK("https://zfin.org/ZDB-GENE-050706-185")</f>
        <v>https://zfin.org/ZDB-GENE-050706-185</v>
      </c>
      <c r="E7026" t="s">
        <v>21047</v>
      </c>
    </row>
    <row r="7027" spans="1:5" x14ac:dyDescent="0.2">
      <c r="A7027" t="s">
        <v>21048</v>
      </c>
      <c r="B7027" t="s">
        <v>21049</v>
      </c>
      <c r="C7027" t="s">
        <v>21049</v>
      </c>
      <c r="D7027" t="str">
        <f>HYPERLINK("https://zfin.org/ZDB-GENE-050517-24")</f>
        <v>https://zfin.org/ZDB-GENE-050517-24</v>
      </c>
      <c r="E7027" t="s">
        <v>21050</v>
      </c>
    </row>
    <row r="7028" spans="1:5" x14ac:dyDescent="0.2">
      <c r="A7028" t="s">
        <v>21051</v>
      </c>
      <c r="B7028" t="s">
        <v>21052</v>
      </c>
      <c r="C7028" t="s">
        <v>21052</v>
      </c>
      <c r="D7028" t="str">
        <f>HYPERLINK("https://zfin.org/ZDB-GENE-091204-300")</f>
        <v>https://zfin.org/ZDB-GENE-091204-300</v>
      </c>
      <c r="E7028" t="s">
        <v>21053</v>
      </c>
    </row>
    <row r="7029" spans="1:5" x14ac:dyDescent="0.2">
      <c r="A7029" t="s">
        <v>21054</v>
      </c>
      <c r="B7029" t="s">
        <v>21055</v>
      </c>
      <c r="C7029" t="s">
        <v>21055</v>
      </c>
      <c r="D7029" t="str">
        <f>HYPERLINK("https://zfin.org/ZDB-GENE-121214-305")</f>
        <v>https://zfin.org/ZDB-GENE-121214-305</v>
      </c>
      <c r="E7029" t="s">
        <v>21056</v>
      </c>
    </row>
    <row r="7030" spans="1:5" x14ac:dyDescent="0.2">
      <c r="A7030" t="s">
        <v>21057</v>
      </c>
      <c r="B7030" t="s">
        <v>21058</v>
      </c>
      <c r="C7030" t="s">
        <v>21058</v>
      </c>
      <c r="D7030" t="str">
        <f>HYPERLINK("https://zfin.org/ZDB-GENE-050522-169")</f>
        <v>https://zfin.org/ZDB-GENE-050522-169</v>
      </c>
      <c r="E7030" t="s">
        <v>21059</v>
      </c>
    </row>
    <row r="7031" spans="1:5" x14ac:dyDescent="0.2">
      <c r="A7031" t="s">
        <v>21060</v>
      </c>
      <c r="B7031" t="s">
        <v>21061</v>
      </c>
      <c r="C7031" t="s">
        <v>21061</v>
      </c>
      <c r="D7031" t="str">
        <f>HYPERLINK("https://zfin.org/ZDB-GENE-041008-77")</f>
        <v>https://zfin.org/ZDB-GENE-041008-77</v>
      </c>
      <c r="E7031" t="s">
        <v>21062</v>
      </c>
    </row>
    <row r="7032" spans="1:5" x14ac:dyDescent="0.2">
      <c r="A7032" t="s">
        <v>21063</v>
      </c>
      <c r="B7032" t="s">
        <v>21064</v>
      </c>
      <c r="C7032" t="s">
        <v>21064</v>
      </c>
      <c r="D7032" t="str">
        <f>HYPERLINK("https://zfin.org/ZDB-GENE-030131-7847")</f>
        <v>https://zfin.org/ZDB-GENE-030131-7847</v>
      </c>
      <c r="E7032" t="s">
        <v>21065</v>
      </c>
    </row>
    <row r="7033" spans="1:5" x14ac:dyDescent="0.2">
      <c r="A7033" t="s">
        <v>21066</v>
      </c>
      <c r="B7033" t="s">
        <v>21067</v>
      </c>
      <c r="C7033" t="s">
        <v>21067</v>
      </c>
      <c r="D7033" t="str">
        <f>HYPERLINK("https://zfin.org/ZDB-GENE-030131-3445")</f>
        <v>https://zfin.org/ZDB-GENE-030131-3445</v>
      </c>
      <c r="E7033" t="s">
        <v>21068</v>
      </c>
    </row>
    <row r="7034" spans="1:5" x14ac:dyDescent="0.2">
      <c r="A7034" t="s">
        <v>21069</v>
      </c>
      <c r="B7034" t="s">
        <v>21070</v>
      </c>
      <c r="C7034" t="s">
        <v>21070</v>
      </c>
      <c r="D7034" t="str">
        <f>HYPERLINK("https://zfin.org/ZDB-GENE-051113-108")</f>
        <v>https://zfin.org/ZDB-GENE-051113-108</v>
      </c>
      <c r="E7034" t="s">
        <v>21071</v>
      </c>
    </row>
    <row r="7035" spans="1:5" x14ac:dyDescent="0.2">
      <c r="A7035" t="s">
        <v>21072</v>
      </c>
      <c r="B7035" t="s">
        <v>21073</v>
      </c>
      <c r="C7035" t="s">
        <v>21073</v>
      </c>
      <c r="D7035" t="str">
        <f>HYPERLINK("https://zfin.org/ZDB-GENE-030131-2165")</f>
        <v>https://zfin.org/ZDB-GENE-030131-2165</v>
      </c>
      <c r="E7035" t="s">
        <v>21074</v>
      </c>
    </row>
    <row r="7036" spans="1:5" x14ac:dyDescent="0.2">
      <c r="A7036" t="s">
        <v>21075</v>
      </c>
      <c r="B7036" t="s">
        <v>21076</v>
      </c>
      <c r="C7036" t="s">
        <v>21076</v>
      </c>
      <c r="D7036" t="str">
        <f>HYPERLINK("https://zfin.org/ZDB-GENE-030131-6596")</f>
        <v>https://zfin.org/ZDB-GENE-030131-6596</v>
      </c>
      <c r="E7036" t="s">
        <v>21077</v>
      </c>
    </row>
    <row r="7037" spans="1:5" x14ac:dyDescent="0.2">
      <c r="A7037" t="s">
        <v>21078</v>
      </c>
      <c r="B7037" t="s">
        <v>21079</v>
      </c>
      <c r="C7037" t="s">
        <v>21079</v>
      </c>
      <c r="D7037" t="str">
        <f>HYPERLINK("https://zfin.org/ZDB-GENE-040712-1")</f>
        <v>https://zfin.org/ZDB-GENE-040712-1</v>
      </c>
      <c r="E7037" t="s">
        <v>21080</v>
      </c>
    </row>
    <row r="7038" spans="1:5" x14ac:dyDescent="0.2">
      <c r="A7038" t="s">
        <v>21081</v>
      </c>
      <c r="B7038" t="s">
        <v>21082</v>
      </c>
      <c r="C7038" t="s">
        <v>21082</v>
      </c>
      <c r="D7038" t="str">
        <f>HYPERLINK("https://zfin.org/ZDB-GENE-030114-6")</f>
        <v>https://zfin.org/ZDB-GENE-030114-6</v>
      </c>
      <c r="E7038" t="s">
        <v>21083</v>
      </c>
    </row>
    <row r="7039" spans="1:5" x14ac:dyDescent="0.2">
      <c r="A7039" t="s">
        <v>21084</v>
      </c>
      <c r="B7039" t="s">
        <v>21085</v>
      </c>
      <c r="C7039" t="s">
        <v>21085</v>
      </c>
      <c r="D7039" t="str">
        <f>HYPERLINK("https://zfin.org/ZDB-GENE-030131-6701")</f>
        <v>https://zfin.org/ZDB-GENE-030131-6701</v>
      </c>
      <c r="E7039" t="s">
        <v>21086</v>
      </c>
    </row>
    <row r="7040" spans="1:5" x14ac:dyDescent="0.2">
      <c r="A7040" t="s">
        <v>21087</v>
      </c>
      <c r="B7040" t="s">
        <v>21088</v>
      </c>
      <c r="C7040" t="s">
        <v>21088</v>
      </c>
      <c r="D7040" t="str">
        <f>HYPERLINK("https://zfin.org/ZDB-GENE-070912-20")</f>
        <v>https://zfin.org/ZDB-GENE-070912-20</v>
      </c>
      <c r="E7040" t="s">
        <v>21089</v>
      </c>
    </row>
    <row r="7041" spans="1:5" x14ac:dyDescent="0.2">
      <c r="A7041" t="s">
        <v>21090</v>
      </c>
      <c r="B7041" t="s">
        <v>21091</v>
      </c>
      <c r="C7041" t="s">
        <v>21091</v>
      </c>
      <c r="D7041" t="str">
        <f>HYPERLINK("https://zfin.org/ZDB-GENE-041014-244")</f>
        <v>https://zfin.org/ZDB-GENE-041014-244</v>
      </c>
      <c r="E7041" t="s">
        <v>21092</v>
      </c>
    </row>
    <row r="7042" spans="1:5" x14ac:dyDescent="0.2">
      <c r="A7042" t="s">
        <v>21093</v>
      </c>
      <c r="B7042" t="s">
        <v>21094</v>
      </c>
      <c r="C7042" t="s">
        <v>21094</v>
      </c>
      <c r="D7042" t="str">
        <f>HYPERLINK("https://zfin.org/ZDB-GENE-020905-3")</f>
        <v>https://zfin.org/ZDB-GENE-020905-3</v>
      </c>
      <c r="E7042" t="s">
        <v>21095</v>
      </c>
    </row>
    <row r="7043" spans="1:5" x14ac:dyDescent="0.2">
      <c r="A7043" t="s">
        <v>21096</v>
      </c>
      <c r="B7043" t="s">
        <v>21097</v>
      </c>
      <c r="C7043" t="s">
        <v>21097</v>
      </c>
      <c r="D7043" t="str">
        <f>HYPERLINK("https://zfin.org/ZDB-GENE-060503-634")</f>
        <v>https://zfin.org/ZDB-GENE-060503-634</v>
      </c>
      <c r="E7043" t="s">
        <v>21098</v>
      </c>
    </row>
    <row r="7044" spans="1:5" x14ac:dyDescent="0.2">
      <c r="A7044" t="s">
        <v>21099</v>
      </c>
      <c r="B7044" t="s">
        <v>21100</v>
      </c>
      <c r="C7044" t="s">
        <v>21100</v>
      </c>
      <c r="D7044" t="str">
        <f>HYPERLINK("https://zfin.org/ZDB-GENE-041210-99")</f>
        <v>https://zfin.org/ZDB-GENE-041210-99</v>
      </c>
      <c r="E7044" t="s">
        <v>21101</v>
      </c>
    </row>
    <row r="7045" spans="1:5" x14ac:dyDescent="0.2">
      <c r="A7045" t="s">
        <v>21102</v>
      </c>
      <c r="B7045" t="s">
        <v>21103</v>
      </c>
      <c r="C7045" t="s">
        <v>21103</v>
      </c>
      <c r="D7045" t="str">
        <f>HYPERLINK("https://zfin.org/ZDB-GENE-030131-3191")</f>
        <v>https://zfin.org/ZDB-GENE-030131-3191</v>
      </c>
      <c r="E7045" t="s">
        <v>21104</v>
      </c>
    </row>
    <row r="7046" spans="1:5" x14ac:dyDescent="0.2">
      <c r="A7046" t="s">
        <v>21105</v>
      </c>
      <c r="B7046" t="s">
        <v>21106</v>
      </c>
      <c r="C7046" t="s">
        <v>21106</v>
      </c>
      <c r="D7046" t="str">
        <f>HYPERLINK("https://zfin.org/ZDB-GENE-091204-183")</f>
        <v>https://zfin.org/ZDB-GENE-091204-183</v>
      </c>
      <c r="E7046" t="s">
        <v>21107</v>
      </c>
    </row>
    <row r="7047" spans="1:5" x14ac:dyDescent="0.2">
      <c r="A7047" t="s">
        <v>21108</v>
      </c>
      <c r="B7047" t="s">
        <v>21109</v>
      </c>
      <c r="C7047" t="s">
        <v>21109</v>
      </c>
      <c r="D7047" t="str">
        <f>HYPERLINK("https://zfin.org/ZDB-GENE-061013-224")</f>
        <v>https://zfin.org/ZDB-GENE-061013-224</v>
      </c>
      <c r="E7047" t="s">
        <v>21110</v>
      </c>
    </row>
    <row r="7048" spans="1:5" x14ac:dyDescent="0.2">
      <c r="A7048" t="s">
        <v>21111</v>
      </c>
      <c r="B7048" t="s">
        <v>21112</v>
      </c>
      <c r="C7048" t="s">
        <v>21112</v>
      </c>
      <c r="D7048" t="str">
        <f>HYPERLINK("https://zfin.org/ZDB-GENE-040426-1214")</f>
        <v>https://zfin.org/ZDB-GENE-040426-1214</v>
      </c>
      <c r="E7048" t="s">
        <v>21113</v>
      </c>
    </row>
    <row r="7049" spans="1:5" x14ac:dyDescent="0.2">
      <c r="A7049" t="s">
        <v>21114</v>
      </c>
      <c r="B7049" t="s">
        <v>21115</v>
      </c>
      <c r="C7049" t="s">
        <v>21115</v>
      </c>
      <c r="D7049" t="str">
        <f>HYPERLINK("https://zfin.org/ZDB-GENE-050417-285")</f>
        <v>https://zfin.org/ZDB-GENE-050417-285</v>
      </c>
      <c r="E7049" t="s">
        <v>21116</v>
      </c>
    </row>
    <row r="7050" spans="1:5" x14ac:dyDescent="0.2">
      <c r="A7050" t="s">
        <v>21117</v>
      </c>
      <c r="B7050" t="s">
        <v>21118</v>
      </c>
      <c r="C7050" t="s">
        <v>21118</v>
      </c>
      <c r="D7050" t="str">
        <f>HYPERLINK("https://zfin.org/ZDB-GENE-020515-1")</f>
        <v>https://zfin.org/ZDB-GENE-020515-1</v>
      </c>
      <c r="E7050" t="s">
        <v>21119</v>
      </c>
    </row>
    <row r="7051" spans="1:5" x14ac:dyDescent="0.2">
      <c r="A7051" t="s">
        <v>21120</v>
      </c>
      <c r="B7051" t="s">
        <v>21121</v>
      </c>
      <c r="C7051" t="s">
        <v>21121</v>
      </c>
      <c r="D7051" t="str">
        <f>HYPERLINK("https://zfin.org/ZDB-GENE-041014-330")</f>
        <v>https://zfin.org/ZDB-GENE-041014-330</v>
      </c>
      <c r="E7051" t="s">
        <v>21122</v>
      </c>
    </row>
    <row r="7052" spans="1:5" x14ac:dyDescent="0.2">
      <c r="A7052" t="s">
        <v>21123</v>
      </c>
      <c r="B7052" t="s">
        <v>21124</v>
      </c>
      <c r="C7052" t="s">
        <v>21124</v>
      </c>
      <c r="D7052" t="str">
        <f>HYPERLINK("https://zfin.org/ZDB-GENE-100921-77")</f>
        <v>https://zfin.org/ZDB-GENE-100921-77</v>
      </c>
      <c r="E7052" t="s">
        <v>21125</v>
      </c>
    </row>
    <row r="7053" spans="1:5" x14ac:dyDescent="0.2">
      <c r="A7053" t="s">
        <v>21126</v>
      </c>
      <c r="B7053" t="s">
        <v>21127</v>
      </c>
      <c r="C7053" t="s">
        <v>21127</v>
      </c>
      <c r="D7053" t="str">
        <f>HYPERLINK("https://zfin.org/ZDB-GENE-050327-93")</f>
        <v>https://zfin.org/ZDB-GENE-050327-93</v>
      </c>
      <c r="E7053" t="s">
        <v>21128</v>
      </c>
    </row>
    <row r="7054" spans="1:5" x14ac:dyDescent="0.2">
      <c r="A7054" t="s">
        <v>21129</v>
      </c>
      <c r="B7054" t="s">
        <v>21130</v>
      </c>
      <c r="C7054" t="s">
        <v>21130</v>
      </c>
      <c r="D7054" t="str">
        <f>HYPERLINK("https://zfin.org/ZDB-GENE-040630-8")</f>
        <v>https://zfin.org/ZDB-GENE-040630-8</v>
      </c>
      <c r="E7054" t="s">
        <v>21131</v>
      </c>
    </row>
    <row r="7055" spans="1:5" x14ac:dyDescent="0.2">
      <c r="A7055" t="s">
        <v>21132</v>
      </c>
      <c r="B7055" t="s">
        <v>21133</v>
      </c>
      <c r="C7055" t="s">
        <v>21133</v>
      </c>
      <c r="D7055" t="str">
        <f>HYPERLINK("https://zfin.org/ZDB-GENE-080204-12")</f>
        <v>https://zfin.org/ZDB-GENE-080204-12</v>
      </c>
      <c r="E7055" t="s">
        <v>21134</v>
      </c>
    </row>
    <row r="7056" spans="1:5" x14ac:dyDescent="0.2">
      <c r="A7056" t="s">
        <v>21135</v>
      </c>
      <c r="B7056" t="s">
        <v>21136</v>
      </c>
      <c r="C7056" t="s">
        <v>21136</v>
      </c>
      <c r="D7056" t="str">
        <f>HYPERLINK("https://zfin.org/ZDB-GENE-040718-447")</f>
        <v>https://zfin.org/ZDB-GENE-040718-447</v>
      </c>
      <c r="E7056" t="s">
        <v>21137</v>
      </c>
    </row>
    <row r="7057" spans="1:5" x14ac:dyDescent="0.2">
      <c r="A7057" t="s">
        <v>21138</v>
      </c>
      <c r="B7057" t="s">
        <v>21139</v>
      </c>
      <c r="C7057" t="s">
        <v>21139</v>
      </c>
      <c r="D7057" t="str">
        <f>HYPERLINK("https://zfin.org/ZDB-GENE-040704-31")</f>
        <v>https://zfin.org/ZDB-GENE-040704-31</v>
      </c>
      <c r="E7057" t="s">
        <v>21140</v>
      </c>
    </row>
    <row r="7058" spans="1:5" x14ac:dyDescent="0.2">
      <c r="A7058" t="s">
        <v>21141</v>
      </c>
      <c r="B7058" t="s">
        <v>21142</v>
      </c>
      <c r="C7058" t="s">
        <v>21142</v>
      </c>
      <c r="D7058" t="str">
        <f>HYPERLINK("https://zfin.org/ZDB-GENE-030131-1736")</f>
        <v>https://zfin.org/ZDB-GENE-030131-1736</v>
      </c>
      <c r="E7058" t="s">
        <v>21143</v>
      </c>
    </row>
    <row r="7059" spans="1:5" x14ac:dyDescent="0.2">
      <c r="A7059" t="s">
        <v>21144</v>
      </c>
      <c r="B7059" t="s">
        <v>21145</v>
      </c>
      <c r="C7059" t="s">
        <v>21145</v>
      </c>
      <c r="D7059" t="str">
        <f>HYPERLINK("https://zfin.org/ZDB-GENE-091112-16")</f>
        <v>https://zfin.org/ZDB-GENE-091112-16</v>
      </c>
      <c r="E7059" t="s">
        <v>21146</v>
      </c>
    </row>
    <row r="7060" spans="1:5" x14ac:dyDescent="0.2">
      <c r="A7060" t="s">
        <v>21147</v>
      </c>
      <c r="B7060" t="s">
        <v>21148</v>
      </c>
      <c r="C7060" t="s">
        <v>21148</v>
      </c>
      <c r="D7060" t="str">
        <f>HYPERLINK("https://zfin.org/ZDB-GENE-131120-187")</f>
        <v>https://zfin.org/ZDB-GENE-131120-187</v>
      </c>
      <c r="E7060" t="s">
        <v>21149</v>
      </c>
    </row>
    <row r="7061" spans="1:5" x14ac:dyDescent="0.2">
      <c r="A7061" t="s">
        <v>21150</v>
      </c>
      <c r="B7061" t="s">
        <v>21151</v>
      </c>
      <c r="C7061" t="s">
        <v>21151</v>
      </c>
      <c r="D7061" t="str">
        <f>HYPERLINK("https://zfin.org/ZDB-GENE-091118-64")</f>
        <v>https://zfin.org/ZDB-GENE-091118-64</v>
      </c>
      <c r="E7061" t="s">
        <v>21152</v>
      </c>
    </row>
    <row r="7062" spans="1:5" x14ac:dyDescent="0.2">
      <c r="A7062" t="s">
        <v>21153</v>
      </c>
      <c r="B7062" t="s">
        <v>21154</v>
      </c>
      <c r="C7062" t="s">
        <v>21154</v>
      </c>
      <c r="D7062" t="str">
        <f>HYPERLINK("https://zfin.org/ZDB-GENE-091116-39")</f>
        <v>https://zfin.org/ZDB-GENE-091116-39</v>
      </c>
      <c r="E7062" t="s">
        <v>21155</v>
      </c>
    </row>
    <row r="7063" spans="1:5" x14ac:dyDescent="0.2">
      <c r="A7063" t="s">
        <v>21156</v>
      </c>
      <c r="B7063" t="s">
        <v>21157</v>
      </c>
      <c r="C7063" t="s">
        <v>21157</v>
      </c>
      <c r="D7063" t="str">
        <f>HYPERLINK("https://zfin.org/ZDB-GENE-030131-4862")</f>
        <v>https://zfin.org/ZDB-GENE-030131-4862</v>
      </c>
      <c r="E7063" t="s">
        <v>21158</v>
      </c>
    </row>
    <row r="7064" spans="1:5" x14ac:dyDescent="0.2">
      <c r="A7064" t="s">
        <v>21159</v>
      </c>
      <c r="B7064" t="s">
        <v>21160</v>
      </c>
      <c r="C7064" t="s">
        <v>21160</v>
      </c>
      <c r="D7064" t="str">
        <f>HYPERLINK("https://zfin.org/ZDB-GENE-040927-8")</f>
        <v>https://zfin.org/ZDB-GENE-040927-8</v>
      </c>
      <c r="E7064" t="s">
        <v>21161</v>
      </c>
    </row>
    <row r="7065" spans="1:5" x14ac:dyDescent="0.2">
      <c r="A7065" t="s">
        <v>21162</v>
      </c>
      <c r="B7065" t="s">
        <v>21163</v>
      </c>
      <c r="C7065" t="s">
        <v>21163</v>
      </c>
      <c r="D7065" t="str">
        <f>HYPERLINK("https://zfin.org/ZDB-GENE-110913-59")</f>
        <v>https://zfin.org/ZDB-GENE-110913-59</v>
      </c>
      <c r="E7065" t="s">
        <v>21164</v>
      </c>
    </row>
    <row r="7066" spans="1:5" x14ac:dyDescent="0.2">
      <c r="A7066" t="s">
        <v>21165</v>
      </c>
      <c r="B7066" t="s">
        <v>21166</v>
      </c>
      <c r="C7066" t="s">
        <v>21166</v>
      </c>
      <c r="D7066" t="str">
        <f>HYPERLINK("https://zfin.org/ZDB-GENE-030911-6")</f>
        <v>https://zfin.org/ZDB-GENE-030911-6</v>
      </c>
      <c r="E7066" t="s">
        <v>21167</v>
      </c>
    </row>
    <row r="7067" spans="1:5" x14ac:dyDescent="0.2">
      <c r="A7067" t="s">
        <v>21168</v>
      </c>
      <c r="B7067" t="s">
        <v>21169</v>
      </c>
      <c r="C7067" t="s">
        <v>21169</v>
      </c>
      <c r="D7067" t="str">
        <f>HYPERLINK("https://zfin.org/ZDB-GENE-050522-129")</f>
        <v>https://zfin.org/ZDB-GENE-050522-129</v>
      </c>
      <c r="E7067" t="s">
        <v>21170</v>
      </c>
    </row>
    <row r="7068" spans="1:5" x14ac:dyDescent="0.2">
      <c r="A7068" t="s">
        <v>21171</v>
      </c>
      <c r="B7068" t="s">
        <v>21172</v>
      </c>
      <c r="C7068" t="s">
        <v>21172</v>
      </c>
      <c r="D7068" t="str">
        <f>HYPERLINK("https://zfin.org/ZDB-GENE-081107-42")</f>
        <v>https://zfin.org/ZDB-GENE-081107-42</v>
      </c>
      <c r="E7068" t="s">
        <v>21173</v>
      </c>
    </row>
    <row r="7069" spans="1:5" x14ac:dyDescent="0.2">
      <c r="A7069" t="s">
        <v>21174</v>
      </c>
      <c r="B7069" t="s">
        <v>21175</v>
      </c>
      <c r="C7069" t="s">
        <v>21175</v>
      </c>
      <c r="D7069" t="str">
        <f>HYPERLINK("https://zfin.org/ZDB-GENE-040718-250")</f>
        <v>https://zfin.org/ZDB-GENE-040718-250</v>
      </c>
      <c r="E7069" t="s">
        <v>21176</v>
      </c>
    </row>
    <row r="7070" spans="1:5" x14ac:dyDescent="0.2">
      <c r="A7070" t="s">
        <v>21177</v>
      </c>
      <c r="B7070" t="s">
        <v>21178</v>
      </c>
      <c r="C7070" t="s">
        <v>21178</v>
      </c>
      <c r="D7070" t="str">
        <f>HYPERLINK("https://zfin.org/ZDB-GENE-040718-101")</f>
        <v>https://zfin.org/ZDB-GENE-040718-101</v>
      </c>
      <c r="E7070" t="s">
        <v>21179</v>
      </c>
    </row>
    <row r="7071" spans="1:5" x14ac:dyDescent="0.2">
      <c r="A7071" t="s">
        <v>21180</v>
      </c>
      <c r="B7071" t="s">
        <v>21181</v>
      </c>
      <c r="C7071" t="s">
        <v>21181</v>
      </c>
      <c r="D7071" t="str">
        <f>HYPERLINK("https://zfin.org/ZDB-GENE-030722-5")</f>
        <v>https://zfin.org/ZDB-GENE-030722-5</v>
      </c>
      <c r="E7071" t="s">
        <v>21182</v>
      </c>
    </row>
    <row r="7072" spans="1:5" x14ac:dyDescent="0.2">
      <c r="A7072" t="s">
        <v>21183</v>
      </c>
      <c r="B7072" t="s">
        <v>21184</v>
      </c>
      <c r="C7072" t="s">
        <v>21184</v>
      </c>
      <c r="D7072" t="str">
        <f>HYPERLINK("https://zfin.org/ZDB-GENE-050522-38")</f>
        <v>https://zfin.org/ZDB-GENE-050522-38</v>
      </c>
      <c r="E7072" t="s">
        <v>21185</v>
      </c>
    </row>
    <row r="7073" spans="1:5" x14ac:dyDescent="0.2">
      <c r="A7073" t="s">
        <v>21186</v>
      </c>
      <c r="B7073" t="s">
        <v>21187</v>
      </c>
      <c r="C7073" t="s">
        <v>21187</v>
      </c>
      <c r="D7073" t="str">
        <f>HYPERLINK("https://zfin.org/ZDB-GENE-131122-55")</f>
        <v>https://zfin.org/ZDB-GENE-131122-55</v>
      </c>
      <c r="E7073" t="s">
        <v>21188</v>
      </c>
    </row>
    <row r="7074" spans="1:5" x14ac:dyDescent="0.2">
      <c r="A7074" t="s">
        <v>21189</v>
      </c>
      <c r="B7074" t="s">
        <v>21190</v>
      </c>
      <c r="C7074" t="s">
        <v>21190</v>
      </c>
      <c r="D7074" t="str">
        <f>HYPERLINK("https://zfin.org/ZDB-GENE-040426-2690")</f>
        <v>https://zfin.org/ZDB-GENE-040426-2690</v>
      </c>
      <c r="E7074" t="s">
        <v>21191</v>
      </c>
    </row>
    <row r="7075" spans="1:5" x14ac:dyDescent="0.2">
      <c r="A7075" t="s">
        <v>21192</v>
      </c>
      <c r="B7075" t="s">
        <v>21193</v>
      </c>
      <c r="C7075" t="s">
        <v>21193</v>
      </c>
      <c r="D7075" t="str">
        <f>HYPERLINK("https://zfin.org/ZDB-GENE-131121-558")</f>
        <v>https://zfin.org/ZDB-GENE-131121-558</v>
      </c>
      <c r="E7075" t="s">
        <v>21194</v>
      </c>
    </row>
    <row r="7076" spans="1:5" x14ac:dyDescent="0.2">
      <c r="A7076" t="s">
        <v>21195</v>
      </c>
      <c r="B7076" t="s">
        <v>21196</v>
      </c>
      <c r="C7076" t="s">
        <v>21196</v>
      </c>
      <c r="D7076" t="str">
        <f>HYPERLINK("https://zfin.org/ZDB-GENE-141211-7")</f>
        <v>https://zfin.org/ZDB-GENE-141211-7</v>
      </c>
      <c r="E7076" t="s">
        <v>21197</v>
      </c>
    </row>
    <row r="7077" spans="1:5" x14ac:dyDescent="0.2">
      <c r="A7077" t="s">
        <v>21198</v>
      </c>
      <c r="B7077" t="s">
        <v>21199</v>
      </c>
      <c r="C7077" t="s">
        <v>21199</v>
      </c>
      <c r="D7077" t="str">
        <f>HYPERLINK("https://zfin.org/ZDB-GENE-060526-199")</f>
        <v>https://zfin.org/ZDB-GENE-060526-199</v>
      </c>
      <c r="E7077" t="s">
        <v>21200</v>
      </c>
    </row>
    <row r="7078" spans="1:5" x14ac:dyDescent="0.2">
      <c r="A7078" t="s">
        <v>21201</v>
      </c>
      <c r="B7078" t="s">
        <v>21202</v>
      </c>
      <c r="C7078" t="s">
        <v>21202</v>
      </c>
      <c r="D7078" t="str">
        <f>HYPERLINK("https://zfin.org/ZDB-GENE-040426-1256")</f>
        <v>https://zfin.org/ZDB-GENE-040426-1256</v>
      </c>
      <c r="E7078" t="s">
        <v>21203</v>
      </c>
    </row>
    <row r="7079" spans="1:5" x14ac:dyDescent="0.2">
      <c r="A7079" t="s">
        <v>21204</v>
      </c>
      <c r="B7079" t="s">
        <v>21205</v>
      </c>
      <c r="C7079" t="s">
        <v>21205</v>
      </c>
      <c r="D7079" t="str">
        <f>HYPERLINK("https://zfin.org/ZDB-GENE-040724-162")</f>
        <v>https://zfin.org/ZDB-GENE-040724-162</v>
      </c>
      <c r="E7079" t="s">
        <v>21206</v>
      </c>
    </row>
    <row r="7080" spans="1:5" x14ac:dyDescent="0.2">
      <c r="A7080" t="s">
        <v>21207</v>
      </c>
      <c r="B7080" t="s">
        <v>21208</v>
      </c>
      <c r="C7080" t="s">
        <v>21208</v>
      </c>
      <c r="D7080" t="str">
        <f>HYPERLINK("https://zfin.org/ZDB-GENE-990415-166")</f>
        <v>https://zfin.org/ZDB-GENE-990415-166</v>
      </c>
      <c r="E7080" t="s">
        <v>21209</v>
      </c>
    </row>
    <row r="7081" spans="1:5" x14ac:dyDescent="0.2">
      <c r="A7081" t="s">
        <v>21210</v>
      </c>
      <c r="B7081" t="s">
        <v>21211</v>
      </c>
      <c r="C7081" t="s">
        <v>21211</v>
      </c>
      <c r="D7081" t="str">
        <f>HYPERLINK("https://zfin.org/ZDB-GENE-040426-949")</f>
        <v>https://zfin.org/ZDB-GENE-040426-949</v>
      </c>
      <c r="E7081" t="s">
        <v>21212</v>
      </c>
    </row>
    <row r="7082" spans="1:5" x14ac:dyDescent="0.2">
      <c r="A7082" t="s">
        <v>21213</v>
      </c>
      <c r="B7082" t="s">
        <v>21214</v>
      </c>
      <c r="C7082" t="s">
        <v>21214</v>
      </c>
      <c r="D7082" t="str">
        <f>HYPERLINK("https://zfin.org/ZDB-GENE-041111-214")</f>
        <v>https://zfin.org/ZDB-GENE-041111-214</v>
      </c>
      <c r="E7082" t="s">
        <v>21215</v>
      </c>
    </row>
    <row r="7083" spans="1:5" x14ac:dyDescent="0.2">
      <c r="A7083" t="s">
        <v>21216</v>
      </c>
      <c r="B7083" t="s">
        <v>21217</v>
      </c>
      <c r="C7083" t="s">
        <v>21217</v>
      </c>
      <c r="D7083" t="str">
        <f>HYPERLINK("https://zfin.org/ZDB-GENE-091204-411")</f>
        <v>https://zfin.org/ZDB-GENE-091204-411</v>
      </c>
      <c r="E7083" t="s">
        <v>21218</v>
      </c>
    </row>
    <row r="7084" spans="1:5" x14ac:dyDescent="0.2">
      <c r="A7084" t="s">
        <v>21219</v>
      </c>
      <c r="B7084" t="s">
        <v>21220</v>
      </c>
      <c r="C7084" t="s">
        <v>21220</v>
      </c>
      <c r="D7084" t="str">
        <f>HYPERLINK("https://zfin.org/ZDB-GENE-030131-3065")</f>
        <v>https://zfin.org/ZDB-GENE-030131-3065</v>
      </c>
      <c r="E7084" t="s">
        <v>21221</v>
      </c>
    </row>
    <row r="7085" spans="1:5" x14ac:dyDescent="0.2">
      <c r="A7085" t="s">
        <v>21222</v>
      </c>
      <c r="B7085" t="s">
        <v>21223</v>
      </c>
      <c r="C7085" t="s">
        <v>21223</v>
      </c>
      <c r="D7085" t="str">
        <f>HYPERLINK("https://zfin.org/ZDB-GENE-080219-43")</f>
        <v>https://zfin.org/ZDB-GENE-080219-43</v>
      </c>
      <c r="E7085" t="s">
        <v>21224</v>
      </c>
    </row>
    <row r="7086" spans="1:5" x14ac:dyDescent="0.2">
      <c r="A7086" t="s">
        <v>21225</v>
      </c>
      <c r="B7086" t="s">
        <v>21226</v>
      </c>
      <c r="C7086" t="s">
        <v>21226</v>
      </c>
      <c r="D7086" t="str">
        <f>HYPERLINK("https://zfin.org/ZDB-GENE-070911-3")</f>
        <v>https://zfin.org/ZDB-GENE-070911-3</v>
      </c>
      <c r="E7086" t="s">
        <v>21227</v>
      </c>
    </row>
    <row r="7087" spans="1:5" x14ac:dyDescent="0.2">
      <c r="A7087" t="s">
        <v>21228</v>
      </c>
      <c r="B7087" t="s">
        <v>21229</v>
      </c>
      <c r="C7087" t="s">
        <v>21229</v>
      </c>
      <c r="D7087" t="str">
        <f>HYPERLINK("https://zfin.org/ZDB-GENE-070410-87")</f>
        <v>https://zfin.org/ZDB-GENE-070410-87</v>
      </c>
      <c r="E7087" t="s">
        <v>21230</v>
      </c>
    </row>
    <row r="7088" spans="1:5" x14ac:dyDescent="0.2">
      <c r="A7088" t="s">
        <v>21231</v>
      </c>
      <c r="B7088" t="s">
        <v>21232</v>
      </c>
      <c r="C7088" t="s">
        <v>21232</v>
      </c>
      <c r="D7088" t="str">
        <f>HYPERLINK("https://zfin.org/ZDB-GENE-071119-5")</f>
        <v>https://zfin.org/ZDB-GENE-071119-5</v>
      </c>
      <c r="E7088" t="s">
        <v>21233</v>
      </c>
    </row>
    <row r="7089" spans="1:5" x14ac:dyDescent="0.2">
      <c r="A7089" t="s">
        <v>21234</v>
      </c>
      <c r="B7089" t="s">
        <v>21235</v>
      </c>
      <c r="C7089" t="s">
        <v>21235</v>
      </c>
      <c r="D7089" t="str">
        <f>HYPERLINK("https://zfin.org/ZDB-GENE-131127-56")</f>
        <v>https://zfin.org/ZDB-GENE-131127-56</v>
      </c>
      <c r="E7089" t="s">
        <v>21236</v>
      </c>
    </row>
    <row r="7090" spans="1:5" x14ac:dyDescent="0.2">
      <c r="A7090" t="s">
        <v>21237</v>
      </c>
      <c r="B7090" t="s">
        <v>21238</v>
      </c>
      <c r="C7090" t="s">
        <v>21238</v>
      </c>
      <c r="D7090" t="str">
        <f>HYPERLINK("https://zfin.org/ZDB-GENE-030131-4242")</f>
        <v>https://zfin.org/ZDB-GENE-030131-4242</v>
      </c>
      <c r="E7090" t="s">
        <v>21239</v>
      </c>
    </row>
    <row r="7091" spans="1:5" x14ac:dyDescent="0.2">
      <c r="A7091" t="s">
        <v>21240</v>
      </c>
      <c r="B7091" t="s">
        <v>21241</v>
      </c>
      <c r="C7091" t="s">
        <v>21241</v>
      </c>
      <c r="D7091" t="str">
        <f>HYPERLINK("https://zfin.org/ZDB-GENE-040730-1")</f>
        <v>https://zfin.org/ZDB-GENE-040730-1</v>
      </c>
      <c r="E7091" t="s">
        <v>21242</v>
      </c>
    </row>
    <row r="7092" spans="1:5" x14ac:dyDescent="0.2">
      <c r="A7092" t="s">
        <v>21243</v>
      </c>
      <c r="B7092" t="s">
        <v>21244</v>
      </c>
      <c r="C7092" t="s">
        <v>21244</v>
      </c>
      <c r="D7092" t="str">
        <f>HYPERLINK("https://zfin.org/ZDB-GENE-060312-1")</f>
        <v>https://zfin.org/ZDB-GENE-060312-1</v>
      </c>
      <c r="E7092" t="s">
        <v>21245</v>
      </c>
    </row>
    <row r="7093" spans="1:5" x14ac:dyDescent="0.2">
      <c r="A7093" t="s">
        <v>21246</v>
      </c>
      <c r="B7093" t="s">
        <v>21247</v>
      </c>
      <c r="C7093" t="s">
        <v>21247</v>
      </c>
      <c r="D7093" t="str">
        <f>HYPERLINK("https://zfin.org/ZDB-GENE-040718-169")</f>
        <v>https://zfin.org/ZDB-GENE-040718-169</v>
      </c>
      <c r="E7093" t="s">
        <v>21248</v>
      </c>
    </row>
    <row r="7094" spans="1:5" x14ac:dyDescent="0.2">
      <c r="A7094" t="s">
        <v>21249</v>
      </c>
      <c r="B7094" t="s">
        <v>21250</v>
      </c>
      <c r="C7094" t="s">
        <v>21250</v>
      </c>
      <c r="D7094" t="str">
        <f>HYPERLINK("https://zfin.org/ZDB-GENE-080723-3")</f>
        <v>https://zfin.org/ZDB-GENE-080723-3</v>
      </c>
      <c r="E7094" t="s">
        <v>21251</v>
      </c>
    </row>
    <row r="7095" spans="1:5" x14ac:dyDescent="0.2">
      <c r="A7095" t="s">
        <v>21252</v>
      </c>
      <c r="B7095" t="s">
        <v>21253</v>
      </c>
      <c r="C7095" t="s">
        <v>21253</v>
      </c>
      <c r="D7095" t="str">
        <f>HYPERLINK("https://zfin.org/ZDB-GENE-080204-11")</f>
        <v>https://zfin.org/ZDB-GENE-080204-11</v>
      </c>
      <c r="E7095" t="s">
        <v>21254</v>
      </c>
    </row>
    <row r="7096" spans="1:5" x14ac:dyDescent="0.2">
      <c r="A7096" t="s">
        <v>21255</v>
      </c>
      <c r="B7096" t="s">
        <v>21256</v>
      </c>
      <c r="C7096" t="s">
        <v>21256</v>
      </c>
      <c r="D7096" t="str">
        <f>HYPERLINK("https://zfin.org/ZDB-GENE-030131-5408")</f>
        <v>https://zfin.org/ZDB-GENE-030131-5408</v>
      </c>
      <c r="E7096" t="s">
        <v>21257</v>
      </c>
    </row>
    <row r="7097" spans="1:5" x14ac:dyDescent="0.2">
      <c r="A7097" t="s">
        <v>21258</v>
      </c>
      <c r="B7097" t="s">
        <v>21259</v>
      </c>
      <c r="C7097" t="s">
        <v>21259</v>
      </c>
      <c r="D7097" t="str">
        <f>HYPERLINK("https://zfin.org/ZDB-GENE-131127-169")</f>
        <v>https://zfin.org/ZDB-GENE-131127-169</v>
      </c>
      <c r="E7097" t="s">
        <v>21260</v>
      </c>
    </row>
    <row r="7098" spans="1:5" x14ac:dyDescent="0.2">
      <c r="A7098" t="s">
        <v>21261</v>
      </c>
      <c r="B7098" t="s">
        <v>21262</v>
      </c>
      <c r="C7098" t="s">
        <v>21262</v>
      </c>
      <c r="D7098" t="str">
        <f>HYPERLINK("https://zfin.org/ZDB-GENE-050809-56")</f>
        <v>https://zfin.org/ZDB-GENE-050809-56</v>
      </c>
      <c r="E7098" t="s">
        <v>21263</v>
      </c>
    </row>
    <row r="7099" spans="1:5" x14ac:dyDescent="0.2">
      <c r="A7099" t="s">
        <v>21264</v>
      </c>
      <c r="B7099" t="s">
        <v>21265</v>
      </c>
      <c r="C7099" t="s">
        <v>21265</v>
      </c>
      <c r="D7099" t="str">
        <f>HYPERLINK("https://zfin.org/ZDB-GENE-131120-109")</f>
        <v>https://zfin.org/ZDB-GENE-131120-109</v>
      </c>
      <c r="E7099" t="s">
        <v>21266</v>
      </c>
    </row>
    <row r="7100" spans="1:5" x14ac:dyDescent="0.2">
      <c r="A7100" t="s">
        <v>21267</v>
      </c>
      <c r="B7100" t="s">
        <v>21268</v>
      </c>
      <c r="C7100" t="s">
        <v>21268</v>
      </c>
      <c r="D7100" t="str">
        <f>HYPERLINK("https://zfin.org/ZDB-GENE-041014-143")</f>
        <v>https://zfin.org/ZDB-GENE-041014-143</v>
      </c>
      <c r="E7100" t="s">
        <v>21269</v>
      </c>
    </row>
    <row r="7101" spans="1:5" x14ac:dyDescent="0.2">
      <c r="A7101" t="s">
        <v>21270</v>
      </c>
      <c r="B7101" t="s">
        <v>21271</v>
      </c>
      <c r="C7101" t="s">
        <v>21271</v>
      </c>
      <c r="D7101" t="str">
        <f>HYPERLINK("https://zfin.org/ZDB-GENE-131121-57")</f>
        <v>https://zfin.org/ZDB-GENE-131121-57</v>
      </c>
      <c r="E7101" t="s">
        <v>21272</v>
      </c>
    </row>
    <row r="7102" spans="1:5" x14ac:dyDescent="0.2">
      <c r="A7102" t="s">
        <v>21273</v>
      </c>
      <c r="B7102" t="s">
        <v>21274</v>
      </c>
      <c r="C7102" t="s">
        <v>21274</v>
      </c>
      <c r="D7102" t="str">
        <f>HYPERLINK("https://zfin.org/ZDB-GENE-131127-177")</f>
        <v>https://zfin.org/ZDB-GENE-131127-177</v>
      </c>
      <c r="E7102" t="s">
        <v>21275</v>
      </c>
    </row>
    <row r="7103" spans="1:5" x14ac:dyDescent="0.2">
      <c r="A7103" t="s">
        <v>21276</v>
      </c>
      <c r="B7103" t="s">
        <v>21277</v>
      </c>
      <c r="C7103" t="s">
        <v>21277</v>
      </c>
      <c r="D7103" t="str">
        <f>HYPERLINK("https://zfin.org/ZDB-GENE-091204-264")</f>
        <v>https://zfin.org/ZDB-GENE-091204-264</v>
      </c>
      <c r="E7103" t="s">
        <v>21278</v>
      </c>
    </row>
    <row r="7104" spans="1:5" x14ac:dyDescent="0.2">
      <c r="A7104" t="s">
        <v>21279</v>
      </c>
      <c r="B7104" t="s">
        <v>21280</v>
      </c>
      <c r="C7104" t="s">
        <v>21280</v>
      </c>
      <c r="D7104" t="str">
        <f>HYPERLINK("https://zfin.org/ZDB-GENE-030131-3902")</f>
        <v>https://zfin.org/ZDB-GENE-030131-3902</v>
      </c>
      <c r="E7104" t="s">
        <v>21281</v>
      </c>
    </row>
    <row r="7105" spans="1:5" x14ac:dyDescent="0.2">
      <c r="A7105" t="s">
        <v>21282</v>
      </c>
      <c r="B7105" t="s">
        <v>21283</v>
      </c>
      <c r="C7105" t="s">
        <v>21283</v>
      </c>
      <c r="D7105" t="str">
        <f>HYPERLINK("https://zfin.org/ZDB-GENE-040426-790")</f>
        <v>https://zfin.org/ZDB-GENE-040426-790</v>
      </c>
      <c r="E7105" t="s">
        <v>21284</v>
      </c>
    </row>
    <row r="7106" spans="1:5" x14ac:dyDescent="0.2">
      <c r="A7106" t="s">
        <v>21285</v>
      </c>
      <c r="B7106" t="s">
        <v>21286</v>
      </c>
      <c r="C7106" t="s">
        <v>21286</v>
      </c>
      <c r="D7106" t="str">
        <f>HYPERLINK("https://zfin.org/ZDB-GENE-131121-2")</f>
        <v>https://zfin.org/ZDB-GENE-131121-2</v>
      </c>
      <c r="E7106" t="s">
        <v>21287</v>
      </c>
    </row>
    <row r="7107" spans="1:5" x14ac:dyDescent="0.2">
      <c r="A7107" t="s">
        <v>21288</v>
      </c>
      <c r="B7107" t="s">
        <v>21289</v>
      </c>
      <c r="C7107" t="s">
        <v>21289</v>
      </c>
      <c r="D7107" t="str">
        <f>HYPERLINK("https://zfin.org/ZDB-GENE-090501-3")</f>
        <v>https://zfin.org/ZDB-GENE-090501-3</v>
      </c>
      <c r="E7107" t="s">
        <v>21290</v>
      </c>
    </row>
    <row r="7108" spans="1:5" x14ac:dyDescent="0.2">
      <c r="A7108" t="s">
        <v>21291</v>
      </c>
      <c r="B7108" t="s">
        <v>21292</v>
      </c>
      <c r="C7108" t="s">
        <v>21292</v>
      </c>
      <c r="D7108" t="str">
        <f>HYPERLINK("https://zfin.org/ZDB-GENE-120201-3")</f>
        <v>https://zfin.org/ZDB-GENE-120201-3</v>
      </c>
      <c r="E7108" t="s">
        <v>21293</v>
      </c>
    </row>
    <row r="7109" spans="1:5" x14ac:dyDescent="0.2">
      <c r="A7109" t="s">
        <v>21294</v>
      </c>
      <c r="B7109" t="s">
        <v>21295</v>
      </c>
      <c r="C7109" t="s">
        <v>21295</v>
      </c>
      <c r="D7109" t="str">
        <f>HYPERLINK("https://zfin.org/ZDB-GENE-090311-39")</f>
        <v>https://zfin.org/ZDB-GENE-090311-39</v>
      </c>
      <c r="E7109" t="s">
        <v>21296</v>
      </c>
    </row>
    <row r="7110" spans="1:5" x14ac:dyDescent="0.2">
      <c r="A7110" t="s">
        <v>21297</v>
      </c>
      <c r="B7110" t="s">
        <v>21298</v>
      </c>
      <c r="C7110" t="s">
        <v>21298</v>
      </c>
      <c r="D7110" t="str">
        <f>HYPERLINK("https://zfin.org/ZDB-GENE-040718-339")</f>
        <v>https://zfin.org/ZDB-GENE-040718-339</v>
      </c>
      <c r="E7110" t="s">
        <v>21299</v>
      </c>
    </row>
    <row r="7111" spans="1:5" x14ac:dyDescent="0.2">
      <c r="A7111" t="s">
        <v>21300</v>
      </c>
      <c r="B7111" t="s">
        <v>21301</v>
      </c>
      <c r="C7111" t="s">
        <v>21301</v>
      </c>
      <c r="D7111" t="str">
        <f>HYPERLINK("https://zfin.org/ZDB-GENE-050417-213")</f>
        <v>https://zfin.org/ZDB-GENE-050417-213</v>
      </c>
      <c r="E7111" t="s">
        <v>21302</v>
      </c>
    </row>
    <row r="7112" spans="1:5" x14ac:dyDescent="0.2">
      <c r="A7112" t="s">
        <v>21303</v>
      </c>
      <c r="B7112" t="s">
        <v>21304</v>
      </c>
      <c r="C7112" t="s">
        <v>21304</v>
      </c>
      <c r="D7112" t="str">
        <f>HYPERLINK("https://zfin.org/ZDB-GENE-050626-82")</f>
        <v>https://zfin.org/ZDB-GENE-050626-82</v>
      </c>
      <c r="E7112" t="s">
        <v>21305</v>
      </c>
    </row>
    <row r="7113" spans="1:5" x14ac:dyDescent="0.2">
      <c r="A7113" t="s">
        <v>21306</v>
      </c>
      <c r="B7113" t="s">
        <v>21307</v>
      </c>
      <c r="C7113" t="s">
        <v>21307</v>
      </c>
      <c r="D7113" t="str">
        <f>HYPERLINK("https://zfin.org/ZDB-GENE-061110-115")</f>
        <v>https://zfin.org/ZDB-GENE-061110-115</v>
      </c>
      <c r="E7113" t="s">
        <v>21308</v>
      </c>
    </row>
    <row r="7114" spans="1:5" x14ac:dyDescent="0.2">
      <c r="A7114" t="s">
        <v>21309</v>
      </c>
      <c r="B7114" t="s">
        <v>21310</v>
      </c>
      <c r="C7114" t="s">
        <v>21310</v>
      </c>
      <c r="D7114" t="str">
        <f>HYPERLINK("https://zfin.org/ZDB-GENE-070618-2")</f>
        <v>https://zfin.org/ZDB-GENE-070618-2</v>
      </c>
      <c r="E7114" t="s">
        <v>21311</v>
      </c>
    </row>
    <row r="7115" spans="1:5" x14ac:dyDescent="0.2">
      <c r="A7115" t="s">
        <v>21312</v>
      </c>
      <c r="B7115" t="s">
        <v>21313</v>
      </c>
      <c r="C7115" t="s">
        <v>21313</v>
      </c>
      <c r="D7115" t="str">
        <f>HYPERLINK("https://zfin.org/ZDB-GENE-040912-86")</f>
        <v>https://zfin.org/ZDB-GENE-040912-86</v>
      </c>
      <c r="E7115" t="s">
        <v>21314</v>
      </c>
    </row>
    <row r="7116" spans="1:5" x14ac:dyDescent="0.2">
      <c r="A7116" t="s">
        <v>21315</v>
      </c>
      <c r="B7116" t="s">
        <v>21316</v>
      </c>
      <c r="C7116" t="s">
        <v>21316</v>
      </c>
      <c r="D7116" t="str">
        <f>HYPERLINK("https://zfin.org/ZDB-GENE-131127-88")</f>
        <v>https://zfin.org/ZDB-GENE-131127-88</v>
      </c>
      <c r="E7116" t="s">
        <v>21317</v>
      </c>
    </row>
    <row r="7117" spans="1:5" x14ac:dyDescent="0.2">
      <c r="A7117" t="s">
        <v>21318</v>
      </c>
      <c r="B7117" t="s">
        <v>21319</v>
      </c>
      <c r="C7117" t="s">
        <v>21319</v>
      </c>
      <c r="D7117" t="str">
        <f>HYPERLINK("https://zfin.org/ZDB-GENE-050420-32")</f>
        <v>https://zfin.org/ZDB-GENE-050420-32</v>
      </c>
      <c r="E7117" t="s">
        <v>21320</v>
      </c>
    </row>
    <row r="7118" spans="1:5" x14ac:dyDescent="0.2">
      <c r="A7118" t="s">
        <v>21321</v>
      </c>
      <c r="B7118" t="s">
        <v>21322</v>
      </c>
      <c r="C7118" t="s">
        <v>21322</v>
      </c>
      <c r="D7118" t="str">
        <f>HYPERLINK("https://zfin.org/")</f>
        <v>https://zfin.org/</v>
      </c>
    </row>
    <row r="7119" spans="1:5" x14ac:dyDescent="0.2">
      <c r="A7119" t="s">
        <v>21323</v>
      </c>
      <c r="B7119" t="s">
        <v>2073</v>
      </c>
      <c r="C7119" t="s">
        <v>21324</v>
      </c>
      <c r="D7119" t="str">
        <f>HYPERLINK("https://zfin.org/ZDB-GENE-131127-42")</f>
        <v>https://zfin.org/ZDB-GENE-131127-42</v>
      </c>
      <c r="E7119" t="s">
        <v>21325</v>
      </c>
    </row>
    <row r="7120" spans="1:5" x14ac:dyDescent="0.2">
      <c r="A7120" t="s">
        <v>21326</v>
      </c>
      <c r="B7120" t="s">
        <v>21327</v>
      </c>
      <c r="C7120" t="s">
        <v>21327</v>
      </c>
      <c r="D7120" t="str">
        <f>HYPERLINK("https://zfin.org/ZDB-GENE-111020-16")</f>
        <v>https://zfin.org/ZDB-GENE-111020-16</v>
      </c>
      <c r="E7120" t="s">
        <v>21328</v>
      </c>
    </row>
    <row r="7121" spans="1:5" x14ac:dyDescent="0.2">
      <c r="A7121" t="s">
        <v>21329</v>
      </c>
      <c r="B7121" t="s">
        <v>21330</v>
      </c>
      <c r="C7121" t="s">
        <v>21330</v>
      </c>
      <c r="D7121" t="str">
        <f>HYPERLINK("https://zfin.org/ZDB-GENE-050522-37")</f>
        <v>https://zfin.org/ZDB-GENE-050522-37</v>
      </c>
      <c r="E7121" t="s">
        <v>21331</v>
      </c>
    </row>
    <row r="7122" spans="1:5" x14ac:dyDescent="0.2">
      <c r="A7122" t="s">
        <v>21332</v>
      </c>
      <c r="B7122" t="s">
        <v>625</v>
      </c>
      <c r="C7122" t="s">
        <v>21333</v>
      </c>
      <c r="D7122" t="str">
        <f>HYPERLINK("https://zfin.org/ZDB-GENE-131127-103")</f>
        <v>https://zfin.org/ZDB-GENE-131127-103</v>
      </c>
      <c r="E7122" t="s">
        <v>21334</v>
      </c>
    </row>
    <row r="7123" spans="1:5" x14ac:dyDescent="0.2">
      <c r="A7123" t="s">
        <v>21335</v>
      </c>
      <c r="B7123" t="s">
        <v>21336</v>
      </c>
      <c r="C7123" t="s">
        <v>21336</v>
      </c>
      <c r="D7123" t="str">
        <f>HYPERLINK("https://zfin.org/ZDB-GENE-030131-4145")</f>
        <v>https://zfin.org/ZDB-GENE-030131-4145</v>
      </c>
      <c r="E7123" t="s">
        <v>21337</v>
      </c>
    </row>
    <row r="7124" spans="1:5" x14ac:dyDescent="0.2">
      <c r="A7124" t="s">
        <v>21338</v>
      </c>
      <c r="B7124" t="s">
        <v>21339</v>
      </c>
      <c r="C7124" t="s">
        <v>21339</v>
      </c>
      <c r="D7124" t="str">
        <f>HYPERLINK("https://zfin.org/ZDB-GENE-070424-98")</f>
        <v>https://zfin.org/ZDB-GENE-070424-98</v>
      </c>
      <c r="E7124" t="s">
        <v>21340</v>
      </c>
    </row>
    <row r="7125" spans="1:5" x14ac:dyDescent="0.2">
      <c r="A7125" t="s">
        <v>21341</v>
      </c>
      <c r="B7125" t="s">
        <v>21342</v>
      </c>
      <c r="C7125" t="s">
        <v>21342</v>
      </c>
      <c r="D7125" t="str">
        <f>HYPERLINK("https://zfin.org/ZDB-GENE-070705-146")</f>
        <v>https://zfin.org/ZDB-GENE-070705-146</v>
      </c>
      <c r="E7125" t="s">
        <v>21343</v>
      </c>
    </row>
    <row r="7126" spans="1:5" x14ac:dyDescent="0.2">
      <c r="A7126" t="s">
        <v>21344</v>
      </c>
      <c r="B7126" t="s">
        <v>21345</v>
      </c>
      <c r="C7126" t="s">
        <v>21345</v>
      </c>
      <c r="D7126" t="str">
        <f>HYPERLINK("https://zfin.org/ZDB-GENE-030616-7")</f>
        <v>https://zfin.org/ZDB-GENE-030616-7</v>
      </c>
      <c r="E7126" t="s">
        <v>21346</v>
      </c>
    </row>
    <row r="7127" spans="1:5" x14ac:dyDescent="0.2">
      <c r="A7127" t="s">
        <v>21347</v>
      </c>
      <c r="B7127" t="s">
        <v>21348</v>
      </c>
      <c r="C7127" t="s">
        <v>21348</v>
      </c>
      <c r="D7127" t="str">
        <f>HYPERLINK("https://zfin.org/ZDB-GENE-061103-265")</f>
        <v>https://zfin.org/ZDB-GENE-061103-265</v>
      </c>
      <c r="E7127" t="s">
        <v>21349</v>
      </c>
    </row>
    <row r="7128" spans="1:5" x14ac:dyDescent="0.2">
      <c r="A7128" t="s">
        <v>21350</v>
      </c>
      <c r="B7128" t="s">
        <v>21351</v>
      </c>
      <c r="C7128" t="s">
        <v>21351</v>
      </c>
      <c r="D7128" t="str">
        <f>HYPERLINK("https://zfin.org/ZDB-GENE-050417-348")</f>
        <v>https://zfin.org/ZDB-GENE-050417-348</v>
      </c>
      <c r="E7128" t="s">
        <v>21352</v>
      </c>
    </row>
    <row r="7129" spans="1:5" x14ac:dyDescent="0.2">
      <c r="A7129" t="s">
        <v>21353</v>
      </c>
      <c r="B7129" t="s">
        <v>21354</v>
      </c>
      <c r="C7129" t="s">
        <v>21354</v>
      </c>
      <c r="D7129" t="str">
        <f>HYPERLINK("https://zfin.org/ZDB-GENE-050417-337")</f>
        <v>https://zfin.org/ZDB-GENE-050417-337</v>
      </c>
      <c r="E7129" t="s">
        <v>21355</v>
      </c>
    </row>
    <row r="7130" spans="1:5" x14ac:dyDescent="0.2">
      <c r="A7130" t="s">
        <v>21356</v>
      </c>
      <c r="B7130" t="s">
        <v>21357</v>
      </c>
      <c r="C7130" t="s">
        <v>21357</v>
      </c>
      <c r="D7130" t="str">
        <f>HYPERLINK("https://zfin.org/ZDB-GENE-131126-58")</f>
        <v>https://zfin.org/ZDB-GENE-131126-58</v>
      </c>
      <c r="E7130" t="s">
        <v>21358</v>
      </c>
    </row>
    <row r="7131" spans="1:5" x14ac:dyDescent="0.2">
      <c r="A7131" t="s">
        <v>21359</v>
      </c>
      <c r="B7131" t="s">
        <v>21360</v>
      </c>
      <c r="C7131" t="s">
        <v>21360</v>
      </c>
      <c r="D7131" t="str">
        <f>HYPERLINK("https://zfin.org/ZDB-GENE-131120-51")</f>
        <v>https://zfin.org/ZDB-GENE-131120-51</v>
      </c>
      <c r="E7131" t="s">
        <v>21361</v>
      </c>
    </row>
    <row r="7132" spans="1:5" x14ac:dyDescent="0.2">
      <c r="A7132" t="s">
        <v>21362</v>
      </c>
      <c r="B7132" t="s">
        <v>21363</v>
      </c>
      <c r="C7132" t="s">
        <v>21363</v>
      </c>
      <c r="D7132" t="str">
        <f>HYPERLINK("https://zfin.org/ZDB-GENE-131127-85")</f>
        <v>https://zfin.org/ZDB-GENE-131127-85</v>
      </c>
      <c r="E7132" t="s">
        <v>21364</v>
      </c>
    </row>
    <row r="7133" spans="1:5" x14ac:dyDescent="0.2">
      <c r="A7133" t="s">
        <v>21365</v>
      </c>
      <c r="B7133" t="s">
        <v>21366</v>
      </c>
      <c r="C7133" t="s">
        <v>21366</v>
      </c>
      <c r="D7133" t="str">
        <f>HYPERLINK("https://zfin.org/ZDB-GENE-050417-464")</f>
        <v>https://zfin.org/ZDB-GENE-050417-464</v>
      </c>
      <c r="E7133" t="s">
        <v>21367</v>
      </c>
    </row>
    <row r="7134" spans="1:5" x14ac:dyDescent="0.2">
      <c r="A7134" t="s">
        <v>21368</v>
      </c>
      <c r="B7134" t="s">
        <v>21369</v>
      </c>
      <c r="C7134" t="s">
        <v>21369</v>
      </c>
      <c r="D7134" t="str">
        <f>HYPERLINK("https://zfin.org/ZDB-GENE-131121-114")</f>
        <v>https://zfin.org/ZDB-GENE-131121-114</v>
      </c>
      <c r="E7134" t="s">
        <v>21370</v>
      </c>
    </row>
    <row r="7135" spans="1:5" x14ac:dyDescent="0.2">
      <c r="A7135" t="s">
        <v>21371</v>
      </c>
      <c r="B7135" t="s">
        <v>21372</v>
      </c>
      <c r="C7135" t="s">
        <v>21372</v>
      </c>
      <c r="D7135" t="str">
        <f>HYPERLINK("https://zfin.org/ZDB-GENE-031201-4")</f>
        <v>https://zfin.org/ZDB-GENE-031201-4</v>
      </c>
      <c r="E7135" t="s">
        <v>21373</v>
      </c>
    </row>
    <row r="7136" spans="1:5" x14ac:dyDescent="0.2">
      <c r="A7136" t="s">
        <v>21374</v>
      </c>
      <c r="B7136" t="s">
        <v>21375</v>
      </c>
      <c r="C7136" t="s">
        <v>21375</v>
      </c>
      <c r="D7136" t="str">
        <f>HYPERLINK("https://zfin.org/ZDB-GENE-131121-61")</f>
        <v>https://zfin.org/ZDB-GENE-131121-61</v>
      </c>
      <c r="E7136" t="s">
        <v>21376</v>
      </c>
    </row>
    <row r="7137" spans="1:5" x14ac:dyDescent="0.2">
      <c r="A7137" t="s">
        <v>21377</v>
      </c>
      <c r="B7137" t="s">
        <v>21378</v>
      </c>
      <c r="C7137" t="s">
        <v>21378</v>
      </c>
      <c r="D7137" t="str">
        <f>HYPERLINK("https://zfin.org/ZDB-GENE-070912-411")</f>
        <v>https://zfin.org/ZDB-GENE-070912-411</v>
      </c>
      <c r="E7137" t="s">
        <v>21379</v>
      </c>
    </row>
    <row r="7138" spans="1:5" x14ac:dyDescent="0.2">
      <c r="A7138" t="s">
        <v>21380</v>
      </c>
      <c r="B7138" t="s">
        <v>21381</v>
      </c>
      <c r="C7138" t="s">
        <v>21381</v>
      </c>
      <c r="D7138" t="str">
        <f>HYPERLINK("https://zfin.org/ZDB-GENE-131127-5")</f>
        <v>https://zfin.org/ZDB-GENE-131127-5</v>
      </c>
      <c r="E7138" t="s">
        <v>21382</v>
      </c>
    </row>
    <row r="7139" spans="1:5" x14ac:dyDescent="0.2">
      <c r="A7139" t="s">
        <v>21383</v>
      </c>
      <c r="B7139" t="s">
        <v>21384</v>
      </c>
      <c r="C7139" t="s">
        <v>21384</v>
      </c>
      <c r="D7139" t="str">
        <f>HYPERLINK("https://zfin.org/ZDB-GENE-131120-128")</f>
        <v>https://zfin.org/ZDB-GENE-131120-128</v>
      </c>
      <c r="E7139" t="s">
        <v>21385</v>
      </c>
    </row>
    <row r="7140" spans="1:5" x14ac:dyDescent="0.2">
      <c r="A7140" t="s">
        <v>21386</v>
      </c>
      <c r="B7140" t="s">
        <v>21387</v>
      </c>
      <c r="C7140" t="s">
        <v>21387</v>
      </c>
      <c r="D7140" t="str">
        <f>HYPERLINK("https://zfin.org/ZDB-GENE-060503-821")</f>
        <v>https://zfin.org/ZDB-GENE-060503-821</v>
      </c>
      <c r="E7140" t="s">
        <v>21388</v>
      </c>
    </row>
    <row r="7141" spans="1:5" x14ac:dyDescent="0.2">
      <c r="A7141" t="s">
        <v>21389</v>
      </c>
      <c r="B7141" t="s">
        <v>21390</v>
      </c>
      <c r="C7141" t="s">
        <v>21390</v>
      </c>
      <c r="D7141" t="str">
        <f>HYPERLINK("https://zfin.org/ZDB-GENE-040426-2818")</f>
        <v>https://zfin.org/ZDB-GENE-040426-2818</v>
      </c>
      <c r="E7141" t="s">
        <v>21391</v>
      </c>
    </row>
    <row r="7142" spans="1:5" x14ac:dyDescent="0.2">
      <c r="A7142" t="s">
        <v>21392</v>
      </c>
      <c r="B7142" t="s">
        <v>21393</v>
      </c>
      <c r="C7142" t="s">
        <v>21393</v>
      </c>
      <c r="D7142" t="str">
        <f>HYPERLINK("https://zfin.org/ZDB-GENE-050522-559")</f>
        <v>https://zfin.org/ZDB-GENE-050522-559</v>
      </c>
      <c r="E7142" t="s">
        <v>21394</v>
      </c>
    </row>
    <row r="7143" spans="1:5" x14ac:dyDescent="0.2">
      <c r="A7143" t="s">
        <v>21395</v>
      </c>
      <c r="B7143" t="s">
        <v>21396</v>
      </c>
      <c r="C7143" t="s">
        <v>21396</v>
      </c>
      <c r="D7143" t="str">
        <f>HYPERLINK("https://zfin.org/ZDB-GENE-041114-27")</f>
        <v>https://zfin.org/ZDB-GENE-041114-27</v>
      </c>
      <c r="E7143" t="s">
        <v>21397</v>
      </c>
    </row>
    <row r="7144" spans="1:5" x14ac:dyDescent="0.2">
      <c r="A7144" t="s">
        <v>21398</v>
      </c>
      <c r="B7144" t="s">
        <v>21399</v>
      </c>
      <c r="C7144" t="s">
        <v>21399</v>
      </c>
      <c r="D7144" t="str">
        <f>HYPERLINK("https://zfin.org/ZDB-GENE-991119-8")</f>
        <v>https://zfin.org/ZDB-GENE-991119-8</v>
      </c>
      <c r="E7144" t="s">
        <v>21400</v>
      </c>
    </row>
    <row r="7145" spans="1:5" x14ac:dyDescent="0.2">
      <c r="A7145" t="s">
        <v>21401</v>
      </c>
      <c r="B7145" t="s">
        <v>21402</v>
      </c>
      <c r="C7145" t="s">
        <v>21402</v>
      </c>
      <c r="D7145" t="str">
        <f>HYPERLINK("https://zfin.org/ZDB-GENE-070630-1")</f>
        <v>https://zfin.org/ZDB-GENE-070630-1</v>
      </c>
      <c r="E7145" t="s">
        <v>21403</v>
      </c>
    </row>
    <row r="7146" spans="1:5" x14ac:dyDescent="0.2">
      <c r="A7146" t="s">
        <v>21404</v>
      </c>
      <c r="B7146" t="s">
        <v>21405</v>
      </c>
      <c r="C7146" t="s">
        <v>21405</v>
      </c>
      <c r="D7146" t="str">
        <f>HYPERLINK("https://zfin.org/ZDB-GENE-081105-52")</f>
        <v>https://zfin.org/ZDB-GENE-081105-52</v>
      </c>
      <c r="E7146" t="s">
        <v>21406</v>
      </c>
    </row>
    <row r="7147" spans="1:5" x14ac:dyDescent="0.2">
      <c r="A7147" t="s">
        <v>21407</v>
      </c>
      <c r="B7147" t="s">
        <v>21408</v>
      </c>
      <c r="C7147" t="s">
        <v>21408</v>
      </c>
      <c r="D7147" t="str">
        <f>HYPERLINK("https://zfin.org/ZDB-GENE-060503-471")</f>
        <v>https://zfin.org/ZDB-GENE-060503-471</v>
      </c>
      <c r="E7147" t="s">
        <v>21409</v>
      </c>
    </row>
    <row r="7148" spans="1:5" x14ac:dyDescent="0.2">
      <c r="A7148" t="s">
        <v>21410</v>
      </c>
      <c r="B7148" t="s">
        <v>21411</v>
      </c>
      <c r="C7148" t="s">
        <v>21411</v>
      </c>
      <c r="D7148" t="str">
        <f>HYPERLINK("https://zfin.org/ZDB-GENE-041010-168")</f>
        <v>https://zfin.org/ZDB-GENE-041010-168</v>
      </c>
      <c r="E7148" t="s">
        <v>21412</v>
      </c>
    </row>
    <row r="7149" spans="1:5" x14ac:dyDescent="0.2">
      <c r="A7149" t="s">
        <v>21413</v>
      </c>
      <c r="B7149" t="s">
        <v>21414</v>
      </c>
      <c r="C7149" t="s">
        <v>21414</v>
      </c>
      <c r="D7149" t="str">
        <f>HYPERLINK("https://zfin.org/ZDB-GENE-081022-190")</f>
        <v>https://zfin.org/ZDB-GENE-081022-190</v>
      </c>
      <c r="E7149" t="s">
        <v>21415</v>
      </c>
    </row>
    <row r="7150" spans="1:5" x14ac:dyDescent="0.2">
      <c r="A7150" t="s">
        <v>21416</v>
      </c>
      <c r="B7150" t="s">
        <v>21322</v>
      </c>
      <c r="C7150" t="s">
        <v>21417</v>
      </c>
      <c r="D7150" t="str">
        <f>HYPERLINK("https://zfin.org/ZDB-GENE-061207-39")</f>
        <v>https://zfin.org/ZDB-GENE-061207-39</v>
      </c>
      <c r="E7150" t="s">
        <v>21418</v>
      </c>
    </row>
    <row r="7151" spans="1:5" x14ac:dyDescent="0.2">
      <c r="A7151" t="s">
        <v>21419</v>
      </c>
      <c r="B7151" t="s">
        <v>21420</v>
      </c>
      <c r="C7151" t="s">
        <v>21420</v>
      </c>
      <c r="D7151" t="str">
        <f>HYPERLINK("https://zfin.org/ZDB-GENE-040426-961")</f>
        <v>https://zfin.org/ZDB-GENE-040426-961</v>
      </c>
      <c r="E7151" t="s">
        <v>21421</v>
      </c>
    </row>
    <row r="7152" spans="1:5" x14ac:dyDescent="0.2">
      <c r="A7152" t="s">
        <v>21422</v>
      </c>
      <c r="B7152" t="s">
        <v>21423</v>
      </c>
      <c r="C7152" t="s">
        <v>21423</v>
      </c>
      <c r="D7152" t="str">
        <f>HYPERLINK("https://zfin.org/ZDB-GENE-040808-26")</f>
        <v>https://zfin.org/ZDB-GENE-040808-26</v>
      </c>
      <c r="E7152" t="s">
        <v>21424</v>
      </c>
    </row>
    <row r="7153" spans="1:5" x14ac:dyDescent="0.2">
      <c r="A7153" t="s">
        <v>21425</v>
      </c>
      <c r="B7153" t="s">
        <v>21426</v>
      </c>
      <c r="C7153" t="s">
        <v>21426</v>
      </c>
      <c r="D7153" t="str">
        <f>HYPERLINK("https://zfin.org/ZDB-GENE-131127-583")</f>
        <v>https://zfin.org/ZDB-GENE-131127-583</v>
      </c>
      <c r="E7153" t="s">
        <v>21427</v>
      </c>
    </row>
    <row r="7154" spans="1:5" x14ac:dyDescent="0.2">
      <c r="A7154" t="s">
        <v>21428</v>
      </c>
      <c r="B7154" t="s">
        <v>21429</v>
      </c>
      <c r="C7154" t="s">
        <v>21429</v>
      </c>
      <c r="D7154" t="str">
        <f>HYPERLINK("https://zfin.org/ZDB-GENE-050622-16")</f>
        <v>https://zfin.org/ZDB-GENE-050622-16</v>
      </c>
      <c r="E7154" t="s">
        <v>21430</v>
      </c>
    </row>
    <row r="7155" spans="1:5" x14ac:dyDescent="0.2">
      <c r="A7155" t="s">
        <v>21431</v>
      </c>
      <c r="B7155" t="s">
        <v>21432</v>
      </c>
      <c r="C7155" t="s">
        <v>21432</v>
      </c>
      <c r="D7155" t="str">
        <f>HYPERLINK("https://zfin.org/ZDB-GENE-001219-1")</f>
        <v>https://zfin.org/ZDB-GENE-001219-1</v>
      </c>
      <c r="E7155" t="s">
        <v>21433</v>
      </c>
    </row>
    <row r="7156" spans="1:5" x14ac:dyDescent="0.2">
      <c r="A7156" t="s">
        <v>21434</v>
      </c>
      <c r="B7156" t="s">
        <v>21435</v>
      </c>
      <c r="C7156" t="s">
        <v>21435</v>
      </c>
      <c r="D7156" t="str">
        <f>HYPERLINK("https://zfin.org/ZDB-GENE-060526-49")</f>
        <v>https://zfin.org/ZDB-GENE-060526-49</v>
      </c>
      <c r="E7156" t="s">
        <v>21436</v>
      </c>
    </row>
    <row r="7157" spans="1:5" x14ac:dyDescent="0.2">
      <c r="A7157" t="s">
        <v>21437</v>
      </c>
      <c r="B7157" t="s">
        <v>21438</v>
      </c>
      <c r="C7157" t="s">
        <v>21438</v>
      </c>
      <c r="D7157" t="str">
        <f>HYPERLINK("https://zfin.org/ZDB-GENE-041111-150")</f>
        <v>https://zfin.org/ZDB-GENE-041111-150</v>
      </c>
      <c r="E7157" t="s">
        <v>21439</v>
      </c>
    </row>
    <row r="7158" spans="1:5" x14ac:dyDescent="0.2">
      <c r="A7158" t="s">
        <v>21440</v>
      </c>
      <c r="B7158" t="s">
        <v>21441</v>
      </c>
      <c r="C7158" t="s">
        <v>21441</v>
      </c>
      <c r="D7158" t="str">
        <f>HYPERLINK("https://zfin.org/ZDB-GENE-060825-230")</f>
        <v>https://zfin.org/ZDB-GENE-060825-230</v>
      </c>
      <c r="E7158" t="s">
        <v>21442</v>
      </c>
    </row>
    <row r="7159" spans="1:5" x14ac:dyDescent="0.2">
      <c r="A7159" t="s">
        <v>21443</v>
      </c>
      <c r="B7159" t="s">
        <v>21444</v>
      </c>
      <c r="C7159" t="s">
        <v>21444</v>
      </c>
      <c r="D7159" t="str">
        <f>HYPERLINK("https://zfin.org/ZDB-GENE-040625-14")</f>
        <v>https://zfin.org/ZDB-GENE-040625-14</v>
      </c>
      <c r="E7159" t="s">
        <v>21445</v>
      </c>
    </row>
    <row r="7160" spans="1:5" x14ac:dyDescent="0.2">
      <c r="A7160" t="s">
        <v>21446</v>
      </c>
      <c r="B7160" t="s">
        <v>21447</v>
      </c>
      <c r="C7160" t="s">
        <v>21447</v>
      </c>
      <c r="D7160" t="str">
        <f>HYPERLINK("https://zfin.org/ZDB-GENE-131127-228")</f>
        <v>https://zfin.org/ZDB-GENE-131127-228</v>
      </c>
      <c r="E7160" t="s">
        <v>21448</v>
      </c>
    </row>
    <row r="7161" spans="1:5" x14ac:dyDescent="0.2">
      <c r="A7161" t="s">
        <v>21449</v>
      </c>
      <c r="B7161" t="s">
        <v>21450</v>
      </c>
      <c r="C7161" t="s">
        <v>21450</v>
      </c>
      <c r="D7161" t="str">
        <f>HYPERLINK("https://zfin.org/ZDB-GENE-131121-72")</f>
        <v>https://zfin.org/ZDB-GENE-131121-72</v>
      </c>
      <c r="E7161" t="s">
        <v>21451</v>
      </c>
    </row>
    <row r="7162" spans="1:5" x14ac:dyDescent="0.2">
      <c r="A7162" t="s">
        <v>21452</v>
      </c>
      <c r="B7162" t="s">
        <v>21453</v>
      </c>
      <c r="C7162" t="s">
        <v>21453</v>
      </c>
      <c r="D7162" t="str">
        <f>HYPERLINK("https://zfin.org/ZDB-GENE-040801-221")</f>
        <v>https://zfin.org/ZDB-GENE-040801-221</v>
      </c>
      <c r="E7162" t="s">
        <v>21454</v>
      </c>
    </row>
    <row r="7163" spans="1:5" x14ac:dyDescent="0.2">
      <c r="A7163" t="s">
        <v>21455</v>
      </c>
      <c r="B7163" t="s">
        <v>21456</v>
      </c>
      <c r="C7163" t="s">
        <v>21456</v>
      </c>
      <c r="D7163" t="str">
        <f>HYPERLINK("https://zfin.org/ZDB-GENE-081107-11")</f>
        <v>https://zfin.org/ZDB-GENE-081107-11</v>
      </c>
      <c r="E7163" t="s">
        <v>21457</v>
      </c>
    </row>
    <row r="7164" spans="1:5" x14ac:dyDescent="0.2">
      <c r="A7164" t="s">
        <v>21458</v>
      </c>
      <c r="B7164" t="s">
        <v>21459</v>
      </c>
      <c r="C7164" t="s">
        <v>21459</v>
      </c>
      <c r="D7164" t="str">
        <f>HYPERLINK("https://zfin.org/ZDB-GENE-050320-17")</f>
        <v>https://zfin.org/ZDB-GENE-050320-17</v>
      </c>
      <c r="E7164" t="s">
        <v>21460</v>
      </c>
    </row>
    <row r="7165" spans="1:5" x14ac:dyDescent="0.2">
      <c r="A7165" t="s">
        <v>21461</v>
      </c>
      <c r="B7165" t="s">
        <v>21462</v>
      </c>
      <c r="C7165" t="s">
        <v>21462</v>
      </c>
      <c r="D7165" t="str">
        <f>HYPERLINK("https://zfin.org/ZDB-GENE-081104-375")</f>
        <v>https://zfin.org/ZDB-GENE-081104-375</v>
      </c>
      <c r="E7165" t="s">
        <v>21463</v>
      </c>
    </row>
    <row r="7166" spans="1:5" x14ac:dyDescent="0.2">
      <c r="A7166" t="s">
        <v>21464</v>
      </c>
      <c r="B7166" t="s">
        <v>21465</v>
      </c>
      <c r="C7166" t="s">
        <v>21465</v>
      </c>
      <c r="D7166" t="str">
        <f>HYPERLINK("https://zfin.org/ZDB-GENE-070912-696")</f>
        <v>https://zfin.org/ZDB-GENE-070912-696</v>
      </c>
      <c r="E7166" t="s">
        <v>21466</v>
      </c>
    </row>
    <row r="7167" spans="1:5" x14ac:dyDescent="0.2">
      <c r="A7167" t="s">
        <v>21467</v>
      </c>
      <c r="B7167" t="s">
        <v>21468</v>
      </c>
      <c r="C7167" t="s">
        <v>21468</v>
      </c>
      <c r="D7167" t="str">
        <f>HYPERLINK("https://zfin.org/ZDB-GENE-030131-1319")</f>
        <v>https://zfin.org/ZDB-GENE-030131-1319</v>
      </c>
      <c r="E7167" t="s">
        <v>21469</v>
      </c>
    </row>
    <row r="7168" spans="1:5" x14ac:dyDescent="0.2">
      <c r="A7168" t="s">
        <v>21470</v>
      </c>
      <c r="B7168" t="s">
        <v>21471</v>
      </c>
      <c r="C7168" t="s">
        <v>21471</v>
      </c>
      <c r="D7168" t="str">
        <f>HYPERLINK("https://zfin.org/ZDB-GENE-060526-370")</f>
        <v>https://zfin.org/ZDB-GENE-060526-370</v>
      </c>
      <c r="E7168" t="s">
        <v>21472</v>
      </c>
    </row>
    <row r="7169" spans="1:5" x14ac:dyDescent="0.2">
      <c r="A7169" t="s">
        <v>21473</v>
      </c>
      <c r="B7169" t="s">
        <v>21474</v>
      </c>
      <c r="C7169" t="s">
        <v>21474</v>
      </c>
      <c r="D7169" t="str">
        <f>HYPERLINK("https://zfin.org/ZDB-GENE-091204-177")</f>
        <v>https://zfin.org/ZDB-GENE-091204-177</v>
      </c>
      <c r="E7169" t="s">
        <v>21475</v>
      </c>
    </row>
    <row r="7170" spans="1:5" x14ac:dyDescent="0.2">
      <c r="A7170" t="s">
        <v>21476</v>
      </c>
      <c r="B7170" t="s">
        <v>21477</v>
      </c>
      <c r="C7170" t="s">
        <v>21477</v>
      </c>
      <c r="D7170" t="str">
        <f>HYPERLINK("https://zfin.org/ZDB-GENE-060503-43")</f>
        <v>https://zfin.org/ZDB-GENE-060503-43</v>
      </c>
      <c r="E7170" t="s">
        <v>21478</v>
      </c>
    </row>
    <row r="7171" spans="1:5" x14ac:dyDescent="0.2">
      <c r="A7171" t="s">
        <v>21479</v>
      </c>
      <c r="B7171" t="s">
        <v>21480</v>
      </c>
      <c r="C7171" t="s">
        <v>21480</v>
      </c>
      <c r="D7171" t="str">
        <f>HYPERLINK("https://zfin.org/ZDB-GENE-030131-5484")</f>
        <v>https://zfin.org/ZDB-GENE-030131-5484</v>
      </c>
      <c r="E7171" t="s">
        <v>21481</v>
      </c>
    </row>
    <row r="7172" spans="1:5" x14ac:dyDescent="0.2">
      <c r="A7172" t="s">
        <v>21482</v>
      </c>
      <c r="B7172" t="s">
        <v>21483</v>
      </c>
      <c r="C7172" t="s">
        <v>21483</v>
      </c>
      <c r="D7172" t="str">
        <f>HYPERLINK("https://zfin.org/ZDB-GENE-030616-56")</f>
        <v>https://zfin.org/ZDB-GENE-030616-56</v>
      </c>
      <c r="E7172" t="s">
        <v>21484</v>
      </c>
    </row>
    <row r="7173" spans="1:5" x14ac:dyDescent="0.2">
      <c r="A7173" t="s">
        <v>21485</v>
      </c>
      <c r="B7173" t="s">
        <v>21486</v>
      </c>
      <c r="C7173" t="s">
        <v>21486</v>
      </c>
      <c r="D7173" t="str">
        <f>HYPERLINK("https://zfin.org/ZDB-GENE-060503-525")</f>
        <v>https://zfin.org/ZDB-GENE-060503-525</v>
      </c>
      <c r="E7173" t="s">
        <v>21487</v>
      </c>
    </row>
    <row r="7174" spans="1:5" x14ac:dyDescent="0.2">
      <c r="A7174" t="s">
        <v>21488</v>
      </c>
      <c r="B7174" t="s">
        <v>21489</v>
      </c>
      <c r="C7174" t="s">
        <v>21489</v>
      </c>
      <c r="D7174" t="str">
        <f>HYPERLINK("https://zfin.org/ZDB-GENE-061013-712")</f>
        <v>https://zfin.org/ZDB-GENE-061013-712</v>
      </c>
      <c r="E7174" t="s">
        <v>21490</v>
      </c>
    </row>
    <row r="7175" spans="1:5" x14ac:dyDescent="0.2">
      <c r="A7175" t="s">
        <v>21491</v>
      </c>
      <c r="B7175" t="s">
        <v>21492</v>
      </c>
      <c r="C7175" t="s">
        <v>21492</v>
      </c>
      <c r="D7175" t="str">
        <f>HYPERLINK("https://zfin.org/ZDB-GENE-990415-88")</f>
        <v>https://zfin.org/ZDB-GENE-990415-88</v>
      </c>
      <c r="E7175" t="s">
        <v>21493</v>
      </c>
    </row>
    <row r="7176" spans="1:5" x14ac:dyDescent="0.2">
      <c r="A7176" t="s">
        <v>21494</v>
      </c>
      <c r="B7176" t="s">
        <v>21495</v>
      </c>
      <c r="C7176" t="s">
        <v>21495</v>
      </c>
      <c r="D7176" t="str">
        <f>HYPERLINK("https://zfin.org/ZDB-GENE-030131-8462")</f>
        <v>https://zfin.org/ZDB-GENE-030131-8462</v>
      </c>
      <c r="E7176" t="s">
        <v>21496</v>
      </c>
    </row>
    <row r="7177" spans="1:5" x14ac:dyDescent="0.2">
      <c r="A7177" t="s">
        <v>21497</v>
      </c>
      <c r="B7177" t="s">
        <v>21498</v>
      </c>
      <c r="C7177" t="s">
        <v>21498</v>
      </c>
      <c r="D7177" t="str">
        <f>HYPERLINK("https://zfin.org/ZDB-GENE-070928-44")</f>
        <v>https://zfin.org/ZDB-GENE-070928-44</v>
      </c>
      <c r="E7177" t="s">
        <v>21499</v>
      </c>
    </row>
    <row r="7178" spans="1:5" x14ac:dyDescent="0.2">
      <c r="A7178" t="s">
        <v>21500</v>
      </c>
      <c r="B7178" t="s">
        <v>21501</v>
      </c>
      <c r="C7178" t="s">
        <v>21501</v>
      </c>
      <c r="D7178" t="str">
        <f>HYPERLINK("https://zfin.org/ZDB-GENE-040801-68")</f>
        <v>https://zfin.org/ZDB-GENE-040801-68</v>
      </c>
      <c r="E7178" t="s">
        <v>21502</v>
      </c>
    </row>
    <row r="7179" spans="1:5" x14ac:dyDescent="0.2">
      <c r="A7179" t="s">
        <v>21503</v>
      </c>
      <c r="B7179" t="s">
        <v>21504</v>
      </c>
      <c r="C7179" t="s">
        <v>21504</v>
      </c>
      <c r="D7179" t="str">
        <f>HYPERLINK("https://zfin.org/ZDB-GENE-030131-3188")</f>
        <v>https://zfin.org/ZDB-GENE-030131-3188</v>
      </c>
      <c r="E7179" t="s">
        <v>21505</v>
      </c>
    </row>
    <row r="7180" spans="1:5" x14ac:dyDescent="0.2">
      <c r="A7180" t="s">
        <v>21506</v>
      </c>
      <c r="B7180" t="s">
        <v>21507</v>
      </c>
      <c r="C7180" t="s">
        <v>21507</v>
      </c>
      <c r="D7180" t="str">
        <f>HYPERLINK("https://zfin.org/ZDB-GENE-070424-1")</f>
        <v>https://zfin.org/ZDB-GENE-070424-1</v>
      </c>
      <c r="E7180" t="s">
        <v>21508</v>
      </c>
    </row>
    <row r="7181" spans="1:5" x14ac:dyDescent="0.2">
      <c r="A7181" t="s">
        <v>21509</v>
      </c>
      <c r="B7181" t="s">
        <v>21510</v>
      </c>
      <c r="C7181" t="s">
        <v>21510</v>
      </c>
      <c r="D7181" t="str">
        <f>HYPERLINK("https://zfin.org/ZDB-GENE-090805-3")</f>
        <v>https://zfin.org/ZDB-GENE-090805-3</v>
      </c>
      <c r="E7181" t="s">
        <v>21511</v>
      </c>
    </row>
    <row r="7182" spans="1:5" x14ac:dyDescent="0.2">
      <c r="A7182" t="s">
        <v>21512</v>
      </c>
      <c r="B7182" t="s">
        <v>21513</v>
      </c>
      <c r="C7182" t="s">
        <v>21513</v>
      </c>
      <c r="D7182" t="str">
        <f>HYPERLINK("https://zfin.org/ZDB-GENE-040426-1329")</f>
        <v>https://zfin.org/ZDB-GENE-040426-1329</v>
      </c>
      <c r="E7182" t="s">
        <v>21514</v>
      </c>
    </row>
    <row r="7183" spans="1:5" x14ac:dyDescent="0.2">
      <c r="A7183" t="s">
        <v>21515</v>
      </c>
      <c r="B7183" t="s">
        <v>21516</v>
      </c>
      <c r="C7183" t="s">
        <v>21516</v>
      </c>
      <c r="D7183" t="str">
        <f>HYPERLINK("https://zfin.org/ZDB-GENE-070705-298")</f>
        <v>https://zfin.org/ZDB-GENE-070705-298</v>
      </c>
      <c r="E7183" t="s">
        <v>21517</v>
      </c>
    </row>
    <row r="7184" spans="1:5" x14ac:dyDescent="0.2">
      <c r="A7184" t="s">
        <v>21518</v>
      </c>
      <c r="B7184" t="s">
        <v>21519</v>
      </c>
      <c r="C7184" t="s">
        <v>21519</v>
      </c>
      <c r="D7184" t="str">
        <f>HYPERLINK("https://zfin.org/ZDB-GENE-070615-32")</f>
        <v>https://zfin.org/ZDB-GENE-070615-32</v>
      </c>
      <c r="E7184" t="s">
        <v>21520</v>
      </c>
    </row>
    <row r="7185" spans="1:5" x14ac:dyDescent="0.2">
      <c r="A7185" t="s">
        <v>21521</v>
      </c>
      <c r="B7185" t="s">
        <v>21522</v>
      </c>
      <c r="C7185" t="s">
        <v>21522</v>
      </c>
      <c r="D7185" t="str">
        <f>HYPERLINK("https://zfin.org/ZDB-GENE-990415-134")</f>
        <v>https://zfin.org/ZDB-GENE-990415-134</v>
      </c>
      <c r="E7185" t="s">
        <v>21523</v>
      </c>
    </row>
    <row r="7186" spans="1:5" x14ac:dyDescent="0.2">
      <c r="A7186" t="s">
        <v>21524</v>
      </c>
      <c r="B7186" t="s">
        <v>21525</v>
      </c>
      <c r="C7186" t="s">
        <v>21525</v>
      </c>
      <c r="D7186" t="str">
        <f>HYPERLINK("https://zfin.org/ZDB-GENE-030616-55")</f>
        <v>https://zfin.org/ZDB-GENE-030616-55</v>
      </c>
      <c r="E7186" t="s">
        <v>21526</v>
      </c>
    </row>
    <row r="7187" spans="1:5" x14ac:dyDescent="0.2">
      <c r="A7187" t="s">
        <v>21527</v>
      </c>
      <c r="B7187" t="s">
        <v>21528</v>
      </c>
      <c r="C7187" t="s">
        <v>21528</v>
      </c>
      <c r="D7187" t="str">
        <f>HYPERLINK("https://zfin.org/ZDB-GENE-141215-72")</f>
        <v>https://zfin.org/ZDB-GENE-141215-72</v>
      </c>
      <c r="E7187" t="s">
        <v>21529</v>
      </c>
    </row>
    <row r="7188" spans="1:5" x14ac:dyDescent="0.2">
      <c r="A7188" t="s">
        <v>21530</v>
      </c>
      <c r="B7188" t="s">
        <v>21531</v>
      </c>
      <c r="C7188" t="s">
        <v>21531</v>
      </c>
      <c r="D7188" t="str">
        <f>HYPERLINK("https://zfin.org/ZDB-GENE-050309-20")</f>
        <v>https://zfin.org/ZDB-GENE-050309-20</v>
      </c>
      <c r="E7188" t="s">
        <v>21532</v>
      </c>
    </row>
    <row r="7189" spans="1:5" x14ac:dyDescent="0.2">
      <c r="A7189" t="s">
        <v>21533</v>
      </c>
      <c r="B7189" t="s">
        <v>21534</v>
      </c>
      <c r="C7189" t="s">
        <v>21534</v>
      </c>
      <c r="D7189" t="str">
        <f>HYPERLINK("https://zfin.org/ZDB-GENE-050309-123")</f>
        <v>https://zfin.org/ZDB-GENE-050309-123</v>
      </c>
      <c r="E7189" t="s">
        <v>21535</v>
      </c>
    </row>
    <row r="7190" spans="1:5" x14ac:dyDescent="0.2">
      <c r="A7190" t="s">
        <v>21536</v>
      </c>
      <c r="B7190" t="s">
        <v>21537</v>
      </c>
      <c r="C7190" t="s">
        <v>21537</v>
      </c>
      <c r="D7190" t="str">
        <f>HYPERLINK("https://zfin.org/ZDB-GENE-081107-41")</f>
        <v>https://zfin.org/ZDB-GENE-081107-41</v>
      </c>
      <c r="E7190" t="s">
        <v>21538</v>
      </c>
    </row>
    <row r="7191" spans="1:5" x14ac:dyDescent="0.2">
      <c r="A7191" t="s">
        <v>21539</v>
      </c>
      <c r="B7191" t="s">
        <v>21540</v>
      </c>
      <c r="C7191" t="s">
        <v>21540</v>
      </c>
      <c r="D7191" t="str">
        <f>HYPERLINK("https://zfin.org/ZDB-GENE-061218-4")</f>
        <v>https://zfin.org/ZDB-GENE-061218-4</v>
      </c>
      <c r="E7191" t="s">
        <v>21541</v>
      </c>
    </row>
    <row r="7192" spans="1:5" x14ac:dyDescent="0.2">
      <c r="A7192" t="s">
        <v>21542</v>
      </c>
      <c r="B7192" t="s">
        <v>21543</v>
      </c>
      <c r="C7192" t="s">
        <v>21543</v>
      </c>
      <c r="D7192" t="str">
        <f>HYPERLINK("https://zfin.org/ZDB-GENE-081107-38")</f>
        <v>https://zfin.org/ZDB-GENE-081107-38</v>
      </c>
      <c r="E7192" t="s">
        <v>21544</v>
      </c>
    </row>
    <row r="7193" spans="1:5" x14ac:dyDescent="0.2">
      <c r="A7193" t="s">
        <v>21545</v>
      </c>
      <c r="B7193" t="s">
        <v>21546</v>
      </c>
      <c r="C7193" t="s">
        <v>21546</v>
      </c>
      <c r="D7193" t="str">
        <f>HYPERLINK("https://zfin.org/ZDB-GENE-070912-707")</f>
        <v>https://zfin.org/ZDB-GENE-070912-707</v>
      </c>
      <c r="E7193" t="s">
        <v>21547</v>
      </c>
    </row>
    <row r="7194" spans="1:5" x14ac:dyDescent="0.2">
      <c r="A7194" t="s">
        <v>21548</v>
      </c>
      <c r="B7194" t="s">
        <v>21549</v>
      </c>
      <c r="C7194" t="s">
        <v>21549</v>
      </c>
      <c r="D7194" t="str">
        <f>HYPERLINK("https://zfin.org/ZDB-GENE-060526-63")</f>
        <v>https://zfin.org/ZDB-GENE-060526-63</v>
      </c>
      <c r="E7194" t="s">
        <v>21550</v>
      </c>
    </row>
    <row r="7195" spans="1:5" x14ac:dyDescent="0.2">
      <c r="A7195" t="s">
        <v>21551</v>
      </c>
      <c r="B7195" t="s">
        <v>21552</v>
      </c>
      <c r="C7195" t="s">
        <v>21552</v>
      </c>
      <c r="D7195" t="str">
        <f>HYPERLINK("https://zfin.org/ZDB-GENE-081105-95")</f>
        <v>https://zfin.org/ZDB-GENE-081105-95</v>
      </c>
      <c r="E7195" t="s">
        <v>21553</v>
      </c>
    </row>
    <row r="7196" spans="1:5" x14ac:dyDescent="0.2">
      <c r="A7196" t="s">
        <v>21554</v>
      </c>
      <c r="B7196" t="s">
        <v>21555</v>
      </c>
      <c r="C7196" t="s">
        <v>21555</v>
      </c>
      <c r="D7196" t="str">
        <f>HYPERLINK("https://zfin.org/ZDB-GENE-120215-25")</f>
        <v>https://zfin.org/ZDB-GENE-120215-25</v>
      </c>
      <c r="E7196" t="s">
        <v>21556</v>
      </c>
    </row>
    <row r="7197" spans="1:5" x14ac:dyDescent="0.2">
      <c r="A7197" t="s">
        <v>21557</v>
      </c>
      <c r="B7197" t="s">
        <v>21558</v>
      </c>
      <c r="C7197" t="s">
        <v>21558</v>
      </c>
      <c r="D7197" t="str">
        <f>HYPERLINK("https://zfin.org/ZDB-GENE-081104-151")</f>
        <v>https://zfin.org/ZDB-GENE-081104-151</v>
      </c>
      <c r="E7197" t="s">
        <v>21559</v>
      </c>
    </row>
    <row r="7198" spans="1:5" x14ac:dyDescent="0.2">
      <c r="A7198" t="s">
        <v>21560</v>
      </c>
      <c r="B7198" t="s">
        <v>21561</v>
      </c>
      <c r="C7198" t="s">
        <v>21561</v>
      </c>
      <c r="D7198" t="str">
        <f>HYPERLINK("https://zfin.org/ZDB-GENE-040718-108")</f>
        <v>https://zfin.org/ZDB-GENE-040718-108</v>
      </c>
      <c r="E7198" t="s">
        <v>21562</v>
      </c>
    </row>
    <row r="7199" spans="1:5" x14ac:dyDescent="0.2">
      <c r="A7199" t="s">
        <v>21563</v>
      </c>
      <c r="B7199" t="s">
        <v>21564</v>
      </c>
      <c r="C7199" t="s">
        <v>21564</v>
      </c>
      <c r="D7199" t="str">
        <f>HYPERLINK("https://zfin.org/ZDB-GENE-060512-39")</f>
        <v>https://zfin.org/ZDB-GENE-060512-39</v>
      </c>
      <c r="E7199" t="s">
        <v>21565</v>
      </c>
    </row>
    <row r="7200" spans="1:5" x14ac:dyDescent="0.2">
      <c r="A7200" t="s">
        <v>21566</v>
      </c>
      <c r="B7200" t="s">
        <v>21567</v>
      </c>
      <c r="C7200" t="s">
        <v>21567</v>
      </c>
      <c r="D7200" t="str">
        <f>HYPERLINK("https://zfin.org/ZDB-GENE-061110-94")</f>
        <v>https://zfin.org/ZDB-GENE-061110-94</v>
      </c>
      <c r="E7200" t="s">
        <v>21568</v>
      </c>
    </row>
    <row r="7201" spans="1:5" x14ac:dyDescent="0.2">
      <c r="A7201" t="s">
        <v>21569</v>
      </c>
      <c r="B7201" t="s">
        <v>21570</v>
      </c>
      <c r="C7201" t="s">
        <v>21570</v>
      </c>
      <c r="D7201" t="str">
        <f>HYPERLINK("https://zfin.org/ZDB-GENE-050809-8")</f>
        <v>https://zfin.org/ZDB-GENE-050809-8</v>
      </c>
      <c r="E7201" t="s">
        <v>21571</v>
      </c>
    </row>
    <row r="7202" spans="1:5" x14ac:dyDescent="0.2">
      <c r="A7202" t="s">
        <v>21572</v>
      </c>
      <c r="B7202" t="s">
        <v>21573</v>
      </c>
      <c r="C7202" t="s">
        <v>21573</v>
      </c>
      <c r="D7202" t="str">
        <f>HYPERLINK("https://zfin.org/ZDB-GENE-110913-141")</f>
        <v>https://zfin.org/ZDB-GENE-110913-141</v>
      </c>
      <c r="E7202" t="s">
        <v>21574</v>
      </c>
    </row>
    <row r="7203" spans="1:5" x14ac:dyDescent="0.2">
      <c r="A7203" t="s">
        <v>21575</v>
      </c>
      <c r="B7203" t="s">
        <v>21576</v>
      </c>
      <c r="C7203" t="s">
        <v>21576</v>
      </c>
      <c r="D7203" t="str">
        <f>HYPERLINK("https://zfin.org/ZDB-GENE-030826-27")</f>
        <v>https://zfin.org/ZDB-GENE-030826-27</v>
      </c>
      <c r="E7203" t="s">
        <v>21577</v>
      </c>
    </row>
    <row r="7204" spans="1:5" x14ac:dyDescent="0.2">
      <c r="A7204" t="s">
        <v>21578</v>
      </c>
      <c r="B7204" t="s">
        <v>6661</v>
      </c>
      <c r="C7204" t="s">
        <v>21579</v>
      </c>
      <c r="D7204" t="str">
        <f>HYPERLINK("https://zfin.org/ZDB-GENE-041210-240")</f>
        <v>https://zfin.org/ZDB-GENE-041210-240</v>
      </c>
      <c r="E7204" t="s">
        <v>6662</v>
      </c>
    </row>
    <row r="7205" spans="1:5" x14ac:dyDescent="0.2">
      <c r="A7205" t="s">
        <v>21580</v>
      </c>
      <c r="B7205" t="s">
        <v>21581</v>
      </c>
      <c r="C7205" t="s">
        <v>21581</v>
      </c>
      <c r="D7205" t="str">
        <f>HYPERLINK("https://zfin.org/ZDB-GENE-030828-11")</f>
        <v>https://zfin.org/ZDB-GENE-030828-11</v>
      </c>
      <c r="E7205" t="s">
        <v>21582</v>
      </c>
    </row>
    <row r="7206" spans="1:5" x14ac:dyDescent="0.2">
      <c r="A7206" t="s">
        <v>21583</v>
      </c>
      <c r="B7206" t="s">
        <v>21584</v>
      </c>
      <c r="C7206" t="s">
        <v>21584</v>
      </c>
      <c r="D7206" t="str">
        <f>HYPERLINK("https://zfin.org/ZDB-GENE-040426-2051")</f>
        <v>https://zfin.org/ZDB-GENE-040426-2051</v>
      </c>
      <c r="E7206" t="s">
        <v>21585</v>
      </c>
    </row>
    <row r="7207" spans="1:5" x14ac:dyDescent="0.2">
      <c r="A7207" t="s">
        <v>21586</v>
      </c>
      <c r="B7207" t="s">
        <v>21587</v>
      </c>
      <c r="C7207" t="s">
        <v>21587</v>
      </c>
      <c r="D7207" t="str">
        <f>HYPERLINK("https://zfin.org/ZDB-GENE-040801-40")</f>
        <v>https://zfin.org/ZDB-GENE-040801-40</v>
      </c>
      <c r="E7207" t="s">
        <v>21588</v>
      </c>
    </row>
    <row r="7208" spans="1:5" x14ac:dyDescent="0.2">
      <c r="A7208" t="s">
        <v>21589</v>
      </c>
      <c r="B7208" t="s">
        <v>21590</v>
      </c>
      <c r="C7208" t="s">
        <v>21590</v>
      </c>
      <c r="D7208" t="str">
        <f>HYPERLINK("https://zfin.org/ZDB-GENE-050809-122")</f>
        <v>https://zfin.org/ZDB-GENE-050809-122</v>
      </c>
      <c r="E7208" t="s">
        <v>21591</v>
      </c>
    </row>
    <row r="7209" spans="1:5" x14ac:dyDescent="0.2">
      <c r="A7209" t="s">
        <v>21592</v>
      </c>
      <c r="B7209" t="s">
        <v>21593</v>
      </c>
      <c r="C7209" t="s">
        <v>21593</v>
      </c>
      <c r="D7209" t="str">
        <f>HYPERLINK("https://zfin.org/ZDB-GENE-040801-39")</f>
        <v>https://zfin.org/ZDB-GENE-040801-39</v>
      </c>
      <c r="E7209" t="s">
        <v>21594</v>
      </c>
    </row>
    <row r="7210" spans="1:5" x14ac:dyDescent="0.2">
      <c r="A7210" t="s">
        <v>21595</v>
      </c>
      <c r="B7210" t="s">
        <v>21596</v>
      </c>
      <c r="C7210" t="s">
        <v>21596</v>
      </c>
      <c r="D7210" t="str">
        <f>HYPERLINK("https://zfin.org/ZDB-GENE-010328-19")</f>
        <v>https://zfin.org/ZDB-GENE-010328-19</v>
      </c>
      <c r="E7210" t="s">
        <v>21597</v>
      </c>
    </row>
    <row r="7211" spans="1:5" x14ac:dyDescent="0.2">
      <c r="A7211" t="s">
        <v>21598</v>
      </c>
      <c r="B7211" t="s">
        <v>21599</v>
      </c>
      <c r="C7211" t="s">
        <v>21599</v>
      </c>
      <c r="D7211" t="str">
        <f>HYPERLINK("https://zfin.org/ZDB-GENE-040724-272")</f>
        <v>https://zfin.org/ZDB-GENE-040724-272</v>
      </c>
      <c r="E7211" t="s">
        <v>21600</v>
      </c>
    </row>
    <row r="7212" spans="1:5" x14ac:dyDescent="0.2">
      <c r="A7212" t="s">
        <v>21601</v>
      </c>
      <c r="B7212" t="s">
        <v>21602</v>
      </c>
      <c r="C7212" t="s">
        <v>21602</v>
      </c>
      <c r="D7212" t="str">
        <f>HYPERLINK("https://zfin.org/ZDB-GENE-110914-224")</f>
        <v>https://zfin.org/ZDB-GENE-110914-224</v>
      </c>
      <c r="E7212" t="s">
        <v>21603</v>
      </c>
    </row>
    <row r="7213" spans="1:5" x14ac:dyDescent="0.2">
      <c r="A7213" t="s">
        <v>21604</v>
      </c>
      <c r="B7213" t="s">
        <v>21605</v>
      </c>
      <c r="C7213" t="s">
        <v>21605</v>
      </c>
      <c r="D7213" t="str">
        <f>HYPERLINK("https://zfin.org/ZDB-GENE-081031-82")</f>
        <v>https://zfin.org/ZDB-GENE-081031-82</v>
      </c>
      <c r="E7213" t="s">
        <v>21606</v>
      </c>
    </row>
    <row r="7214" spans="1:5" x14ac:dyDescent="0.2">
      <c r="A7214" t="s">
        <v>21607</v>
      </c>
      <c r="B7214" t="s">
        <v>21608</v>
      </c>
      <c r="C7214" t="s">
        <v>21608</v>
      </c>
      <c r="D7214" t="str">
        <f>HYPERLINK("https://zfin.org/ZDB-GENE-060503-199")</f>
        <v>https://zfin.org/ZDB-GENE-060503-199</v>
      </c>
      <c r="E7214" t="s">
        <v>21609</v>
      </c>
    </row>
    <row r="7215" spans="1:5" x14ac:dyDescent="0.2">
      <c r="A7215" t="s">
        <v>21610</v>
      </c>
      <c r="B7215" t="s">
        <v>21611</v>
      </c>
      <c r="C7215" t="s">
        <v>21611</v>
      </c>
      <c r="D7215" t="str">
        <f>HYPERLINK("https://zfin.org/ZDB-GENE-040912-18")</f>
        <v>https://zfin.org/ZDB-GENE-040912-18</v>
      </c>
      <c r="E7215" t="s">
        <v>21612</v>
      </c>
    </row>
    <row r="7216" spans="1:5" x14ac:dyDescent="0.2">
      <c r="A7216" t="s">
        <v>21613</v>
      </c>
      <c r="B7216" t="s">
        <v>21614</v>
      </c>
      <c r="C7216" t="s">
        <v>21614</v>
      </c>
      <c r="D7216" t="str">
        <f>HYPERLINK("https://zfin.org/ZDB-GENE-010724-17")</f>
        <v>https://zfin.org/ZDB-GENE-010724-17</v>
      </c>
      <c r="E7216" t="s">
        <v>21615</v>
      </c>
    </row>
    <row r="7217" spans="1:5" x14ac:dyDescent="0.2">
      <c r="A7217" t="s">
        <v>21616</v>
      </c>
      <c r="B7217" t="s">
        <v>21617</v>
      </c>
      <c r="C7217" t="s">
        <v>21617</v>
      </c>
      <c r="D7217" t="str">
        <f>HYPERLINK("https://zfin.org/ZDB-GENE-030131-5386")</f>
        <v>https://zfin.org/ZDB-GENE-030131-5386</v>
      </c>
      <c r="E7217" t="s">
        <v>21618</v>
      </c>
    </row>
    <row r="7218" spans="1:5" x14ac:dyDescent="0.2">
      <c r="A7218" t="s">
        <v>21619</v>
      </c>
      <c r="B7218" t="s">
        <v>21620</v>
      </c>
      <c r="C7218" t="s">
        <v>21620</v>
      </c>
      <c r="D7218" t="str">
        <f>HYPERLINK("https://zfin.org/ZDB-GENE-070912-711")</f>
        <v>https://zfin.org/ZDB-GENE-070912-711</v>
      </c>
      <c r="E7218" t="s">
        <v>21621</v>
      </c>
    </row>
    <row r="7219" spans="1:5" x14ac:dyDescent="0.2">
      <c r="A7219" t="s">
        <v>21622</v>
      </c>
      <c r="B7219" t="s">
        <v>21623</v>
      </c>
      <c r="C7219" t="s">
        <v>21623</v>
      </c>
      <c r="D7219" t="str">
        <f>HYPERLINK("https://zfin.org/ZDB-GENE-040718-151")</f>
        <v>https://zfin.org/ZDB-GENE-040718-151</v>
      </c>
      <c r="E7219" t="s">
        <v>21624</v>
      </c>
    </row>
    <row r="7220" spans="1:5" x14ac:dyDescent="0.2">
      <c r="A7220" t="s">
        <v>21625</v>
      </c>
      <c r="B7220" t="s">
        <v>21626</v>
      </c>
      <c r="C7220" t="s">
        <v>21626</v>
      </c>
      <c r="D7220" t="str">
        <f>HYPERLINK("https://zfin.org/ZDB-GENE-110411-274")</f>
        <v>https://zfin.org/ZDB-GENE-110411-274</v>
      </c>
      <c r="E7220" t="s">
        <v>21627</v>
      </c>
    </row>
    <row r="7221" spans="1:5" x14ac:dyDescent="0.2">
      <c r="A7221" t="s">
        <v>21628</v>
      </c>
      <c r="B7221" t="s">
        <v>21629</v>
      </c>
      <c r="C7221" t="s">
        <v>21629</v>
      </c>
      <c r="D7221" t="str">
        <f>HYPERLINK("https://zfin.org/ZDB-GENE-030131-5219")</f>
        <v>https://zfin.org/ZDB-GENE-030131-5219</v>
      </c>
      <c r="E7221" t="s">
        <v>21630</v>
      </c>
    </row>
    <row r="7222" spans="1:5" x14ac:dyDescent="0.2">
      <c r="A7222" t="s">
        <v>21631</v>
      </c>
      <c r="B7222" t="s">
        <v>21632</v>
      </c>
      <c r="C7222" t="s">
        <v>21632</v>
      </c>
      <c r="D7222" t="str">
        <f>HYPERLINK("https://zfin.org/ZDB-GENE-040426-2593")</f>
        <v>https://zfin.org/ZDB-GENE-040426-2593</v>
      </c>
      <c r="E7222" t="s">
        <v>21633</v>
      </c>
    </row>
    <row r="7223" spans="1:5" x14ac:dyDescent="0.2">
      <c r="A7223" t="s">
        <v>21634</v>
      </c>
      <c r="B7223" t="s">
        <v>21635</v>
      </c>
      <c r="C7223" t="s">
        <v>21635</v>
      </c>
      <c r="D7223" t="str">
        <f>HYPERLINK("https://zfin.org/ZDB-GENE-041210-100")</f>
        <v>https://zfin.org/ZDB-GENE-041210-100</v>
      </c>
      <c r="E7223" t="s">
        <v>21636</v>
      </c>
    </row>
    <row r="7224" spans="1:5" x14ac:dyDescent="0.2">
      <c r="A7224" t="s">
        <v>21637</v>
      </c>
      <c r="B7224" t="s">
        <v>21638</v>
      </c>
      <c r="C7224" t="s">
        <v>21638</v>
      </c>
      <c r="D7224" t="str">
        <f>HYPERLINK("https://zfin.org/ZDB-GENE-061103-148")</f>
        <v>https://zfin.org/ZDB-GENE-061103-148</v>
      </c>
      <c r="E7224" t="s">
        <v>21639</v>
      </c>
    </row>
    <row r="7225" spans="1:5" x14ac:dyDescent="0.2">
      <c r="A7225" t="s">
        <v>21640</v>
      </c>
      <c r="B7225" t="s">
        <v>21641</v>
      </c>
      <c r="C7225" t="s">
        <v>21641</v>
      </c>
      <c r="D7225" t="str">
        <f>HYPERLINK("https://zfin.org/ZDB-GENE-120320-3")</f>
        <v>https://zfin.org/ZDB-GENE-120320-3</v>
      </c>
      <c r="E7225" t="s">
        <v>21642</v>
      </c>
    </row>
    <row r="7226" spans="1:5" x14ac:dyDescent="0.2">
      <c r="A7226" t="s">
        <v>21643</v>
      </c>
      <c r="B7226" t="s">
        <v>21644</v>
      </c>
      <c r="C7226" t="s">
        <v>21644</v>
      </c>
      <c r="D7226" t="str">
        <f>HYPERLINK("https://zfin.org/ZDB-GENE-061207-37")</f>
        <v>https://zfin.org/ZDB-GENE-061207-37</v>
      </c>
      <c r="E7226" t="s">
        <v>21645</v>
      </c>
    </row>
    <row r="7227" spans="1:5" x14ac:dyDescent="0.2">
      <c r="A7227" t="s">
        <v>21646</v>
      </c>
      <c r="B7227" t="s">
        <v>21647</v>
      </c>
      <c r="C7227" t="s">
        <v>21647</v>
      </c>
      <c r="D7227" t="str">
        <f>HYPERLINK("https://zfin.org/ZDB-GENE-100921-1")</f>
        <v>https://zfin.org/ZDB-GENE-100921-1</v>
      </c>
      <c r="E7227" t="s">
        <v>21648</v>
      </c>
    </row>
    <row r="7228" spans="1:5" x14ac:dyDescent="0.2">
      <c r="A7228" t="s">
        <v>21649</v>
      </c>
      <c r="B7228" t="s">
        <v>21650</v>
      </c>
      <c r="C7228" t="s">
        <v>21650</v>
      </c>
      <c r="D7228" t="str">
        <f>HYPERLINK("https://zfin.org/ZDB-GENE-040801-92")</f>
        <v>https://zfin.org/ZDB-GENE-040801-92</v>
      </c>
      <c r="E7228" t="s">
        <v>21651</v>
      </c>
    </row>
    <row r="7229" spans="1:5" x14ac:dyDescent="0.2">
      <c r="A7229" t="s">
        <v>21652</v>
      </c>
      <c r="B7229" t="s">
        <v>21653</v>
      </c>
      <c r="C7229" t="s">
        <v>21653</v>
      </c>
      <c r="D7229" t="str">
        <f>HYPERLINK("https://zfin.org/ZDB-GENE-070410-76")</f>
        <v>https://zfin.org/ZDB-GENE-070410-76</v>
      </c>
      <c r="E7229" t="s">
        <v>21654</v>
      </c>
    </row>
    <row r="7230" spans="1:5" x14ac:dyDescent="0.2">
      <c r="A7230" t="s">
        <v>21655</v>
      </c>
      <c r="B7230" t="s">
        <v>21656</v>
      </c>
      <c r="C7230" t="s">
        <v>21656</v>
      </c>
      <c r="D7230" t="str">
        <f>HYPERLINK("https://zfin.org/ZDB-GENE-050913-88")</f>
        <v>https://zfin.org/ZDB-GENE-050913-88</v>
      </c>
      <c r="E7230" t="s">
        <v>21657</v>
      </c>
    </row>
    <row r="7231" spans="1:5" x14ac:dyDescent="0.2">
      <c r="A7231" t="s">
        <v>21658</v>
      </c>
      <c r="B7231" t="s">
        <v>21659</v>
      </c>
      <c r="C7231" t="s">
        <v>21659</v>
      </c>
      <c r="D7231" t="str">
        <f>HYPERLINK("https://zfin.org/ZDB-GENE-080424-6")</f>
        <v>https://zfin.org/ZDB-GENE-080424-6</v>
      </c>
      <c r="E7231" t="s">
        <v>21660</v>
      </c>
    </row>
    <row r="7232" spans="1:5" x14ac:dyDescent="0.2">
      <c r="A7232" t="s">
        <v>21661</v>
      </c>
      <c r="B7232" t="s">
        <v>21662</v>
      </c>
      <c r="C7232" t="s">
        <v>21662</v>
      </c>
      <c r="D7232" t="str">
        <f>HYPERLINK("https://zfin.org/ZDB-GENE-030131-4194")</f>
        <v>https://zfin.org/ZDB-GENE-030131-4194</v>
      </c>
      <c r="E7232" t="s">
        <v>21663</v>
      </c>
    </row>
    <row r="7233" spans="1:5" x14ac:dyDescent="0.2">
      <c r="A7233" t="s">
        <v>21664</v>
      </c>
      <c r="B7233" t="s">
        <v>21665</v>
      </c>
      <c r="C7233" t="s">
        <v>21665</v>
      </c>
      <c r="D7233" t="str">
        <f>HYPERLINK("https://zfin.org/ZDB-GENE-080402-2")</f>
        <v>https://zfin.org/ZDB-GENE-080402-2</v>
      </c>
      <c r="E7233" t="s">
        <v>21666</v>
      </c>
    </row>
    <row r="7234" spans="1:5" x14ac:dyDescent="0.2">
      <c r="A7234" t="s">
        <v>21667</v>
      </c>
      <c r="B7234" t="s">
        <v>21668</v>
      </c>
      <c r="C7234" t="s">
        <v>21668</v>
      </c>
      <c r="D7234" t="str">
        <f>HYPERLINK("https://zfin.org/ZDB-GENE-050522-30")</f>
        <v>https://zfin.org/ZDB-GENE-050522-30</v>
      </c>
      <c r="E7234" t="s">
        <v>21669</v>
      </c>
    </row>
    <row r="7235" spans="1:5" x14ac:dyDescent="0.2">
      <c r="A7235" t="s">
        <v>21670</v>
      </c>
      <c r="B7235" t="s">
        <v>21671</v>
      </c>
      <c r="C7235" t="s">
        <v>21671</v>
      </c>
      <c r="D7235" t="str">
        <f>HYPERLINK("https://zfin.org/ZDB-GENE-050327-73")</f>
        <v>https://zfin.org/ZDB-GENE-050327-73</v>
      </c>
      <c r="E7235" t="s">
        <v>21672</v>
      </c>
    </row>
    <row r="7236" spans="1:5" x14ac:dyDescent="0.2">
      <c r="A7236" t="s">
        <v>21673</v>
      </c>
      <c r="B7236" t="s">
        <v>21674</v>
      </c>
      <c r="C7236" t="s">
        <v>21674</v>
      </c>
      <c r="D7236" t="str">
        <f>HYPERLINK("https://zfin.org/ZDB-GENE-101124-2")</f>
        <v>https://zfin.org/ZDB-GENE-101124-2</v>
      </c>
      <c r="E7236" t="s">
        <v>21675</v>
      </c>
    </row>
    <row r="7237" spans="1:5" x14ac:dyDescent="0.2">
      <c r="A7237" t="s">
        <v>21676</v>
      </c>
      <c r="B7237" t="s">
        <v>21677</v>
      </c>
      <c r="C7237" t="s">
        <v>21677</v>
      </c>
      <c r="D7237" t="str">
        <f>HYPERLINK("https://zfin.org/ZDB-GENE-091204-471")</f>
        <v>https://zfin.org/ZDB-GENE-091204-471</v>
      </c>
      <c r="E7237" t="s">
        <v>21678</v>
      </c>
    </row>
    <row r="7238" spans="1:5" x14ac:dyDescent="0.2">
      <c r="A7238" t="s">
        <v>21679</v>
      </c>
      <c r="B7238" t="s">
        <v>21680</v>
      </c>
      <c r="C7238" t="s">
        <v>21680</v>
      </c>
      <c r="D7238" t="str">
        <f>HYPERLINK("https://zfin.org/ZDB-GENE-030131-657")</f>
        <v>https://zfin.org/ZDB-GENE-030131-657</v>
      </c>
      <c r="E7238" t="s">
        <v>21681</v>
      </c>
    </row>
    <row r="7239" spans="1:5" x14ac:dyDescent="0.2">
      <c r="A7239" t="s">
        <v>21682</v>
      </c>
      <c r="B7239" t="s">
        <v>21683</v>
      </c>
      <c r="C7239" t="s">
        <v>21683</v>
      </c>
      <c r="D7239" t="str">
        <f>HYPERLINK("https://zfin.org/ZDB-GENE-080516-5")</f>
        <v>https://zfin.org/ZDB-GENE-080516-5</v>
      </c>
      <c r="E7239" t="s">
        <v>21684</v>
      </c>
    </row>
    <row r="7240" spans="1:5" x14ac:dyDescent="0.2">
      <c r="A7240" t="s">
        <v>21685</v>
      </c>
      <c r="B7240" t="s">
        <v>21686</v>
      </c>
      <c r="C7240" t="s">
        <v>21686</v>
      </c>
      <c r="D7240" t="str">
        <f>HYPERLINK("https://zfin.org/ZDB-GENE-041008-84")</f>
        <v>https://zfin.org/ZDB-GENE-041008-84</v>
      </c>
      <c r="E7240" t="s">
        <v>21687</v>
      </c>
    </row>
    <row r="7241" spans="1:5" x14ac:dyDescent="0.2">
      <c r="A7241" t="s">
        <v>21688</v>
      </c>
      <c r="B7241" t="s">
        <v>21689</v>
      </c>
      <c r="C7241" t="s">
        <v>21689</v>
      </c>
      <c r="D7241" t="str">
        <f>HYPERLINK("https://zfin.org/ZDB-GENE-030616-83")</f>
        <v>https://zfin.org/ZDB-GENE-030616-83</v>
      </c>
      <c r="E7241" t="s">
        <v>21690</v>
      </c>
    </row>
    <row r="7242" spans="1:5" x14ac:dyDescent="0.2">
      <c r="A7242" t="s">
        <v>21691</v>
      </c>
      <c r="B7242" t="s">
        <v>21692</v>
      </c>
      <c r="C7242" t="s">
        <v>21692</v>
      </c>
      <c r="D7242" t="str">
        <f>HYPERLINK("https://zfin.org/ZDB-GENE-100316-4")</f>
        <v>https://zfin.org/ZDB-GENE-100316-4</v>
      </c>
      <c r="E7242" t="s">
        <v>21693</v>
      </c>
    </row>
    <row r="7243" spans="1:5" x14ac:dyDescent="0.2">
      <c r="A7243" t="s">
        <v>21694</v>
      </c>
      <c r="B7243" t="s">
        <v>21695</v>
      </c>
      <c r="C7243" t="s">
        <v>21695</v>
      </c>
      <c r="D7243" t="str">
        <f>HYPERLINK("https://zfin.org/ZDB-GENE-070912-708")</f>
        <v>https://zfin.org/ZDB-GENE-070912-708</v>
      </c>
      <c r="E7243" t="s">
        <v>21696</v>
      </c>
    </row>
    <row r="7244" spans="1:5" x14ac:dyDescent="0.2">
      <c r="A7244" t="s">
        <v>21697</v>
      </c>
      <c r="B7244" t="s">
        <v>21698</v>
      </c>
      <c r="C7244" t="s">
        <v>21698</v>
      </c>
      <c r="D7244" t="str">
        <f>HYPERLINK("https://zfin.org/ZDB-GENE-040718-289")</f>
        <v>https://zfin.org/ZDB-GENE-040718-289</v>
      </c>
      <c r="E7244" t="s">
        <v>21699</v>
      </c>
    </row>
    <row r="7245" spans="1:5" x14ac:dyDescent="0.2">
      <c r="A7245" t="s">
        <v>21700</v>
      </c>
      <c r="B7245" t="s">
        <v>21701</v>
      </c>
      <c r="C7245" t="s">
        <v>21701</v>
      </c>
      <c r="D7245" t="str">
        <f>HYPERLINK("https://zfin.org/ZDB-GENE-030131-5025")</f>
        <v>https://zfin.org/ZDB-GENE-030131-5025</v>
      </c>
      <c r="E7245" t="s">
        <v>21702</v>
      </c>
    </row>
    <row r="7246" spans="1:5" x14ac:dyDescent="0.2">
      <c r="A7246" t="s">
        <v>21703</v>
      </c>
      <c r="B7246" t="s">
        <v>21704</v>
      </c>
      <c r="C7246" t="s">
        <v>21704</v>
      </c>
      <c r="D7246" t="str">
        <f>HYPERLINK("https://zfin.org/ZDB-GENE-040718-354")</f>
        <v>https://zfin.org/ZDB-GENE-040718-354</v>
      </c>
      <c r="E7246" t="s">
        <v>21705</v>
      </c>
    </row>
    <row r="7247" spans="1:5" x14ac:dyDescent="0.2">
      <c r="A7247" t="s">
        <v>21706</v>
      </c>
      <c r="B7247" t="s">
        <v>21707</v>
      </c>
      <c r="C7247" t="s">
        <v>21707</v>
      </c>
      <c r="D7247" t="str">
        <f>HYPERLINK("https://zfin.org/ZDB-GENE-040426-1406")</f>
        <v>https://zfin.org/ZDB-GENE-040426-1406</v>
      </c>
      <c r="E7247" t="s">
        <v>21708</v>
      </c>
    </row>
    <row r="7248" spans="1:5" x14ac:dyDescent="0.2">
      <c r="A7248" t="s">
        <v>21709</v>
      </c>
      <c r="B7248" t="s">
        <v>21710</v>
      </c>
      <c r="C7248" t="s">
        <v>21710</v>
      </c>
      <c r="D7248" t="str">
        <f>HYPERLINK("https://zfin.org/ZDB-GENE-010716-2")</f>
        <v>https://zfin.org/ZDB-GENE-010716-2</v>
      </c>
      <c r="E7248" t="s">
        <v>21711</v>
      </c>
    </row>
    <row r="7249" spans="1:5" x14ac:dyDescent="0.2">
      <c r="A7249" t="s">
        <v>21712</v>
      </c>
      <c r="B7249" t="s">
        <v>21713</v>
      </c>
      <c r="C7249" t="s">
        <v>21713</v>
      </c>
      <c r="D7249" t="str">
        <f>HYPERLINK("https://zfin.org/ZDB-GENE-060929-264")</f>
        <v>https://zfin.org/ZDB-GENE-060929-264</v>
      </c>
      <c r="E7249" t="s">
        <v>21714</v>
      </c>
    </row>
    <row r="7250" spans="1:5" x14ac:dyDescent="0.2">
      <c r="A7250" t="s">
        <v>21715</v>
      </c>
      <c r="B7250" t="s">
        <v>21716</v>
      </c>
      <c r="C7250" t="s">
        <v>21716</v>
      </c>
      <c r="D7250" t="str">
        <f>HYPERLINK("https://zfin.org/ZDB-GENE-030131-2492")</f>
        <v>https://zfin.org/ZDB-GENE-030131-2492</v>
      </c>
      <c r="E7250" t="s">
        <v>21717</v>
      </c>
    </row>
    <row r="7251" spans="1:5" x14ac:dyDescent="0.2">
      <c r="A7251" t="s">
        <v>21718</v>
      </c>
      <c r="B7251" t="s">
        <v>21719</v>
      </c>
      <c r="C7251" t="s">
        <v>21719</v>
      </c>
      <c r="D7251" t="str">
        <f>HYPERLINK("https://zfin.org/ZDB-GENE-050522-330")</f>
        <v>https://zfin.org/ZDB-GENE-050522-330</v>
      </c>
      <c r="E7251" t="s">
        <v>21720</v>
      </c>
    </row>
    <row r="7252" spans="1:5" x14ac:dyDescent="0.2">
      <c r="A7252" t="s">
        <v>21721</v>
      </c>
      <c r="B7252" t="s">
        <v>21722</v>
      </c>
      <c r="C7252" t="s">
        <v>21722</v>
      </c>
      <c r="D7252" t="str">
        <f>HYPERLINK("https://zfin.org/ZDB-GENE-030131-9569")</f>
        <v>https://zfin.org/ZDB-GENE-030131-9569</v>
      </c>
      <c r="E7252" t="s">
        <v>21723</v>
      </c>
    </row>
    <row r="7253" spans="1:5" x14ac:dyDescent="0.2">
      <c r="A7253" t="s">
        <v>21724</v>
      </c>
      <c r="B7253" t="s">
        <v>21725</v>
      </c>
      <c r="C7253" t="s">
        <v>21725</v>
      </c>
      <c r="D7253" t="str">
        <f>HYPERLINK("https://zfin.org/ZDB-GENE-040426-2209")</f>
        <v>https://zfin.org/ZDB-GENE-040426-2209</v>
      </c>
      <c r="E7253" t="s">
        <v>21726</v>
      </c>
    </row>
    <row r="7254" spans="1:5" x14ac:dyDescent="0.2">
      <c r="A7254" t="s">
        <v>21727</v>
      </c>
      <c r="B7254" t="s">
        <v>21728</v>
      </c>
      <c r="C7254" t="s">
        <v>21728</v>
      </c>
      <c r="D7254" t="str">
        <f>HYPERLINK("https://zfin.org/ZDB-GENE-040718-34")</f>
        <v>https://zfin.org/ZDB-GENE-040718-34</v>
      </c>
      <c r="E7254" t="s">
        <v>21729</v>
      </c>
    </row>
    <row r="7255" spans="1:5" x14ac:dyDescent="0.2">
      <c r="A7255" t="s">
        <v>21730</v>
      </c>
      <c r="B7255" t="s">
        <v>21731</v>
      </c>
      <c r="C7255" t="s">
        <v>21731</v>
      </c>
      <c r="D7255" t="str">
        <f>HYPERLINK("https://zfin.org/ZDB-GENE-040426-2079")</f>
        <v>https://zfin.org/ZDB-GENE-040426-2079</v>
      </c>
      <c r="E7255" t="s">
        <v>21732</v>
      </c>
    </row>
    <row r="7256" spans="1:5" x14ac:dyDescent="0.2">
      <c r="A7256" t="s">
        <v>21733</v>
      </c>
      <c r="B7256" t="s">
        <v>21734</v>
      </c>
      <c r="C7256" t="s">
        <v>21734</v>
      </c>
      <c r="D7256" t="str">
        <f>HYPERLINK("https://zfin.org/ZDB-GENE-040625-93")</f>
        <v>https://zfin.org/ZDB-GENE-040625-93</v>
      </c>
      <c r="E7256" t="s">
        <v>21735</v>
      </c>
    </row>
    <row r="7257" spans="1:5" x14ac:dyDescent="0.2">
      <c r="A7257" t="s">
        <v>21736</v>
      </c>
      <c r="B7257" t="s">
        <v>21737</v>
      </c>
      <c r="C7257" t="s">
        <v>21737</v>
      </c>
      <c r="D7257" t="str">
        <f>HYPERLINK("https://zfin.org/ZDB-GENE-091204-23")</f>
        <v>https://zfin.org/ZDB-GENE-091204-23</v>
      </c>
      <c r="E7257" t="s">
        <v>21738</v>
      </c>
    </row>
    <row r="7258" spans="1:5" x14ac:dyDescent="0.2">
      <c r="A7258" t="s">
        <v>21739</v>
      </c>
      <c r="B7258" t="s">
        <v>21740</v>
      </c>
      <c r="C7258" t="s">
        <v>21740</v>
      </c>
      <c r="D7258" t="str">
        <f>HYPERLINK("https://zfin.org/ZDB-GENE-080721-13")</f>
        <v>https://zfin.org/ZDB-GENE-080721-13</v>
      </c>
      <c r="E7258" t="s">
        <v>21741</v>
      </c>
    </row>
    <row r="7259" spans="1:5" x14ac:dyDescent="0.2">
      <c r="A7259" t="s">
        <v>21742</v>
      </c>
      <c r="B7259" t="s">
        <v>21743</v>
      </c>
      <c r="C7259" t="s">
        <v>21743</v>
      </c>
      <c r="D7259" t="str">
        <f>HYPERLINK("https://zfin.org/ZDB-GENE-070615-25")</f>
        <v>https://zfin.org/ZDB-GENE-070615-25</v>
      </c>
      <c r="E7259" t="s">
        <v>21744</v>
      </c>
    </row>
    <row r="7260" spans="1:5" x14ac:dyDescent="0.2">
      <c r="A7260" t="s">
        <v>21745</v>
      </c>
      <c r="B7260" t="s">
        <v>21746</v>
      </c>
      <c r="C7260" t="s">
        <v>21746</v>
      </c>
      <c r="D7260" t="str">
        <f>HYPERLINK("https://zfin.org/ZDB-GENE-060216-4")</f>
        <v>https://zfin.org/ZDB-GENE-060216-4</v>
      </c>
      <c r="E7260" t="s">
        <v>21747</v>
      </c>
    </row>
    <row r="7261" spans="1:5" x14ac:dyDescent="0.2">
      <c r="A7261" t="s">
        <v>21748</v>
      </c>
      <c r="B7261" t="s">
        <v>21749</v>
      </c>
      <c r="C7261" t="s">
        <v>21749</v>
      </c>
      <c r="D7261" t="str">
        <f>HYPERLINK("https://zfin.org/ZDB-GENE-050208-328")</f>
        <v>https://zfin.org/ZDB-GENE-050208-328</v>
      </c>
      <c r="E7261" t="s">
        <v>21750</v>
      </c>
    </row>
    <row r="7262" spans="1:5" x14ac:dyDescent="0.2">
      <c r="A7262" t="s">
        <v>21751</v>
      </c>
      <c r="B7262" t="s">
        <v>21752</v>
      </c>
      <c r="C7262" t="s">
        <v>21752</v>
      </c>
      <c r="D7262" t="str">
        <f>HYPERLINK("https://zfin.org/ZDB-GENE-060929-1026")</f>
        <v>https://zfin.org/ZDB-GENE-060929-1026</v>
      </c>
      <c r="E7262" t="s">
        <v>21753</v>
      </c>
    </row>
    <row r="7263" spans="1:5" x14ac:dyDescent="0.2">
      <c r="A7263" t="s">
        <v>21754</v>
      </c>
      <c r="B7263" t="s">
        <v>21755</v>
      </c>
      <c r="C7263" t="s">
        <v>21755</v>
      </c>
      <c r="D7263" t="str">
        <f>HYPERLINK("https://zfin.org/ZDB-GENE-081022-169")</f>
        <v>https://zfin.org/ZDB-GENE-081022-169</v>
      </c>
      <c r="E7263" t="s">
        <v>21756</v>
      </c>
    </row>
    <row r="7264" spans="1:5" x14ac:dyDescent="0.2">
      <c r="A7264" t="s">
        <v>21757</v>
      </c>
      <c r="B7264" t="s">
        <v>21758</v>
      </c>
      <c r="C7264" t="s">
        <v>21758</v>
      </c>
      <c r="D7264" t="str">
        <f>HYPERLINK("https://zfin.org/ZDB-GENE-040625-168")</f>
        <v>https://zfin.org/ZDB-GENE-040625-168</v>
      </c>
      <c r="E7264" t="s">
        <v>21759</v>
      </c>
    </row>
    <row r="7265" spans="1:5" x14ac:dyDescent="0.2">
      <c r="A7265" t="s">
        <v>21760</v>
      </c>
      <c r="B7265" t="s">
        <v>21761</v>
      </c>
      <c r="C7265" t="s">
        <v>21761</v>
      </c>
      <c r="D7265" t="str">
        <f>HYPERLINK("https://zfin.org/ZDB-GENE-060503-674")</f>
        <v>https://zfin.org/ZDB-GENE-060503-674</v>
      </c>
      <c r="E7265" t="s">
        <v>21762</v>
      </c>
    </row>
    <row r="7266" spans="1:5" x14ac:dyDescent="0.2">
      <c r="A7266" t="s">
        <v>21763</v>
      </c>
      <c r="B7266" t="s">
        <v>21764</v>
      </c>
      <c r="C7266" t="s">
        <v>21764</v>
      </c>
      <c r="D7266" t="str">
        <f>HYPERLINK("https://zfin.org/ZDB-GENE-061220-2")</f>
        <v>https://zfin.org/ZDB-GENE-061220-2</v>
      </c>
      <c r="E7266" t="s">
        <v>21765</v>
      </c>
    </row>
    <row r="7267" spans="1:5" x14ac:dyDescent="0.2">
      <c r="A7267" t="s">
        <v>21766</v>
      </c>
      <c r="B7267" t="s">
        <v>21767</v>
      </c>
      <c r="C7267" t="s">
        <v>21767</v>
      </c>
      <c r="D7267" t="str">
        <f>HYPERLINK("https://zfin.org/ZDB-GENE-040724-113")</f>
        <v>https://zfin.org/ZDB-GENE-040724-113</v>
      </c>
      <c r="E7267" t="s">
        <v>21768</v>
      </c>
    </row>
    <row r="7268" spans="1:5" x14ac:dyDescent="0.2">
      <c r="A7268" t="s">
        <v>21769</v>
      </c>
      <c r="B7268" t="s">
        <v>21770</v>
      </c>
      <c r="C7268" t="s">
        <v>21770</v>
      </c>
      <c r="D7268" t="str">
        <f>HYPERLINK("https://zfin.org/ZDB-GENE-041119-1")</f>
        <v>https://zfin.org/ZDB-GENE-041119-1</v>
      </c>
      <c r="E7268" t="s">
        <v>21771</v>
      </c>
    </row>
    <row r="7269" spans="1:5" x14ac:dyDescent="0.2">
      <c r="A7269" t="s">
        <v>21772</v>
      </c>
      <c r="B7269" t="s">
        <v>21773</v>
      </c>
      <c r="C7269" t="s">
        <v>21773</v>
      </c>
      <c r="D7269" t="str">
        <f>HYPERLINK("https://zfin.org/ZDB-GENE-131120-52")</f>
        <v>https://zfin.org/ZDB-GENE-131120-52</v>
      </c>
      <c r="E7269" t="s">
        <v>21774</v>
      </c>
    </row>
    <row r="7270" spans="1:5" x14ac:dyDescent="0.2">
      <c r="A7270" t="s">
        <v>21775</v>
      </c>
      <c r="B7270" t="s">
        <v>21776</v>
      </c>
      <c r="C7270" t="s">
        <v>21776</v>
      </c>
      <c r="D7270" t="str">
        <f>HYPERLINK("https://zfin.org/ZDB-GENE-110822-1")</f>
        <v>https://zfin.org/ZDB-GENE-110822-1</v>
      </c>
      <c r="E7270" t="s">
        <v>21777</v>
      </c>
    </row>
    <row r="7271" spans="1:5" x14ac:dyDescent="0.2">
      <c r="A7271" t="s">
        <v>21778</v>
      </c>
      <c r="B7271" t="s">
        <v>21779</v>
      </c>
      <c r="C7271" t="s">
        <v>21779</v>
      </c>
      <c r="D7271" t="str">
        <f>HYPERLINK("https://zfin.org/ZDB-GENE-050208-567")</f>
        <v>https://zfin.org/ZDB-GENE-050208-567</v>
      </c>
      <c r="E7271" t="s">
        <v>21780</v>
      </c>
    </row>
    <row r="7272" spans="1:5" x14ac:dyDescent="0.2">
      <c r="A7272" t="s">
        <v>21781</v>
      </c>
      <c r="B7272" t="s">
        <v>21782</v>
      </c>
      <c r="C7272" t="s">
        <v>21782</v>
      </c>
      <c r="D7272" t="str">
        <f>HYPERLINK("https://zfin.org/ZDB-GENE-041014-328")</f>
        <v>https://zfin.org/ZDB-GENE-041014-328</v>
      </c>
      <c r="E7272" t="s">
        <v>21783</v>
      </c>
    </row>
    <row r="7273" spans="1:5" x14ac:dyDescent="0.2">
      <c r="A7273" t="s">
        <v>21784</v>
      </c>
      <c r="B7273" t="s">
        <v>21785</v>
      </c>
      <c r="C7273" t="s">
        <v>21786</v>
      </c>
      <c r="D7273" t="str">
        <f>HYPERLINK("https://zfin.org/ZDB-GENE-100519-4")</f>
        <v>https://zfin.org/ZDB-GENE-100519-4</v>
      </c>
      <c r="E7273" t="s">
        <v>21787</v>
      </c>
    </row>
    <row r="7274" spans="1:5" x14ac:dyDescent="0.2">
      <c r="A7274" t="s">
        <v>21788</v>
      </c>
      <c r="B7274" t="s">
        <v>21789</v>
      </c>
      <c r="C7274" t="s">
        <v>21789</v>
      </c>
      <c r="D7274" t="str">
        <f>HYPERLINK("https://zfin.org/ZDB-GENE-050208-329")</f>
        <v>https://zfin.org/ZDB-GENE-050208-329</v>
      </c>
      <c r="E7274" t="s">
        <v>21790</v>
      </c>
    </row>
    <row r="7275" spans="1:5" x14ac:dyDescent="0.2">
      <c r="A7275" t="s">
        <v>21791</v>
      </c>
      <c r="B7275" t="s">
        <v>21792</v>
      </c>
      <c r="C7275" t="s">
        <v>21792</v>
      </c>
      <c r="D7275" t="str">
        <f>HYPERLINK("https://zfin.org/ZDB-GENE-040625-38")</f>
        <v>https://zfin.org/ZDB-GENE-040625-38</v>
      </c>
      <c r="E7275" t="s">
        <v>21793</v>
      </c>
    </row>
    <row r="7276" spans="1:5" x14ac:dyDescent="0.2">
      <c r="A7276" t="s">
        <v>21794</v>
      </c>
      <c r="B7276" t="s">
        <v>21795</v>
      </c>
      <c r="C7276" t="s">
        <v>21795</v>
      </c>
      <c r="D7276" t="str">
        <f>HYPERLINK("https://zfin.org/ZDB-GENE-110913-137")</f>
        <v>https://zfin.org/ZDB-GENE-110913-137</v>
      </c>
      <c r="E7276" t="s">
        <v>21796</v>
      </c>
    </row>
    <row r="7277" spans="1:5" x14ac:dyDescent="0.2">
      <c r="A7277" t="s">
        <v>21797</v>
      </c>
      <c r="B7277" t="s">
        <v>21798</v>
      </c>
      <c r="C7277" t="s">
        <v>21798</v>
      </c>
      <c r="D7277" t="str">
        <f>HYPERLINK("https://zfin.org/ZDB-GENE-080204-2")</f>
        <v>https://zfin.org/ZDB-GENE-080204-2</v>
      </c>
      <c r="E7277" t="s">
        <v>21799</v>
      </c>
    </row>
    <row r="7278" spans="1:5" x14ac:dyDescent="0.2">
      <c r="A7278" t="s">
        <v>21800</v>
      </c>
      <c r="B7278" t="s">
        <v>21801</v>
      </c>
      <c r="C7278" t="s">
        <v>21801</v>
      </c>
      <c r="D7278" t="str">
        <f>HYPERLINK("https://zfin.org/ZDB-GENE-040625-61")</f>
        <v>https://zfin.org/ZDB-GENE-040625-61</v>
      </c>
      <c r="E7278" t="s">
        <v>21802</v>
      </c>
    </row>
    <row r="7279" spans="1:5" x14ac:dyDescent="0.2">
      <c r="A7279" t="s">
        <v>21803</v>
      </c>
      <c r="B7279" t="s">
        <v>21804</v>
      </c>
      <c r="C7279" t="s">
        <v>21804</v>
      </c>
      <c r="D7279" t="str">
        <f>HYPERLINK("https://zfin.org/ZDB-GENE-030131-5812")</f>
        <v>https://zfin.org/ZDB-GENE-030131-5812</v>
      </c>
      <c r="E7279" t="s">
        <v>21805</v>
      </c>
    </row>
    <row r="7280" spans="1:5" x14ac:dyDescent="0.2">
      <c r="A7280" t="s">
        <v>21806</v>
      </c>
      <c r="B7280" t="s">
        <v>21807</v>
      </c>
      <c r="C7280" t="s">
        <v>21807</v>
      </c>
      <c r="D7280" t="str">
        <f>HYPERLINK("https://zfin.org/ZDB-GENE-041010-212")</f>
        <v>https://zfin.org/ZDB-GENE-041010-212</v>
      </c>
      <c r="E7280" t="s">
        <v>21808</v>
      </c>
    </row>
    <row r="7281" spans="1:5" x14ac:dyDescent="0.2">
      <c r="A7281" t="s">
        <v>21809</v>
      </c>
      <c r="B7281" t="s">
        <v>21810</v>
      </c>
      <c r="C7281" t="s">
        <v>21810</v>
      </c>
      <c r="D7281" t="str">
        <f>HYPERLINK("https://zfin.org/ZDB-GENE-131121-522")</f>
        <v>https://zfin.org/ZDB-GENE-131121-522</v>
      </c>
      <c r="E7281" t="s">
        <v>21811</v>
      </c>
    </row>
    <row r="7282" spans="1:5" x14ac:dyDescent="0.2">
      <c r="A7282" t="s">
        <v>21812</v>
      </c>
      <c r="B7282" t="s">
        <v>21813</v>
      </c>
      <c r="C7282" t="s">
        <v>21813</v>
      </c>
      <c r="D7282" t="str">
        <f>HYPERLINK("https://zfin.org/ZDB-GENE-131121-329")</f>
        <v>https://zfin.org/ZDB-GENE-131121-329</v>
      </c>
      <c r="E7282" t="s">
        <v>21814</v>
      </c>
    </row>
    <row r="7283" spans="1:5" x14ac:dyDescent="0.2">
      <c r="A7283" t="s">
        <v>21815</v>
      </c>
      <c r="B7283" t="s">
        <v>21816</v>
      </c>
      <c r="C7283" t="s">
        <v>21816</v>
      </c>
      <c r="D7283" t="str">
        <f>HYPERLINK("https://zfin.org/ZDB-GENE-031118-179")</f>
        <v>https://zfin.org/ZDB-GENE-031118-179</v>
      </c>
      <c r="E7283" t="s">
        <v>21817</v>
      </c>
    </row>
    <row r="7284" spans="1:5" x14ac:dyDescent="0.2">
      <c r="A7284" t="s">
        <v>21818</v>
      </c>
      <c r="B7284" t="s">
        <v>21819</v>
      </c>
      <c r="C7284" t="s">
        <v>21819</v>
      </c>
      <c r="D7284" t="str">
        <f>HYPERLINK("https://zfin.org/ZDB-GENE-120104-6")</f>
        <v>https://zfin.org/ZDB-GENE-120104-6</v>
      </c>
      <c r="E7284" t="s">
        <v>21820</v>
      </c>
    </row>
    <row r="7285" spans="1:5" x14ac:dyDescent="0.2">
      <c r="A7285" t="s">
        <v>21821</v>
      </c>
      <c r="B7285" t="s">
        <v>21822</v>
      </c>
      <c r="C7285" t="s">
        <v>21822</v>
      </c>
      <c r="D7285" t="str">
        <f>HYPERLINK("https://zfin.org/ZDB-GENE-050419-235")</f>
        <v>https://zfin.org/ZDB-GENE-050419-235</v>
      </c>
      <c r="E7285" t="s">
        <v>21823</v>
      </c>
    </row>
    <row r="7286" spans="1:5" x14ac:dyDescent="0.2">
      <c r="A7286" t="s">
        <v>21824</v>
      </c>
      <c r="B7286" t="s">
        <v>21825</v>
      </c>
      <c r="C7286" t="s">
        <v>21825</v>
      </c>
      <c r="D7286" t="str">
        <f>HYPERLINK("https://zfin.org/ZDB-GENE-021022-2")</f>
        <v>https://zfin.org/ZDB-GENE-021022-2</v>
      </c>
      <c r="E7286" t="s">
        <v>21826</v>
      </c>
    </row>
    <row r="7287" spans="1:5" x14ac:dyDescent="0.2">
      <c r="A7287" t="s">
        <v>21827</v>
      </c>
      <c r="B7287" t="s">
        <v>21828</v>
      </c>
      <c r="C7287" t="s">
        <v>21828</v>
      </c>
      <c r="D7287" t="str">
        <f>HYPERLINK("https://zfin.org/ZDB-GENE-070912-458")</f>
        <v>https://zfin.org/ZDB-GENE-070912-458</v>
      </c>
      <c r="E7287" t="s">
        <v>21829</v>
      </c>
    </row>
    <row r="7288" spans="1:5" x14ac:dyDescent="0.2">
      <c r="A7288" t="s">
        <v>21830</v>
      </c>
      <c r="B7288" t="s">
        <v>21831</v>
      </c>
      <c r="C7288" t="s">
        <v>21831</v>
      </c>
      <c r="D7288" t="str">
        <f>HYPERLINK("https://zfin.org/ZDB-GENE-030131-8589")</f>
        <v>https://zfin.org/ZDB-GENE-030131-8589</v>
      </c>
      <c r="E7288" t="s">
        <v>21832</v>
      </c>
    </row>
    <row r="7289" spans="1:5" x14ac:dyDescent="0.2">
      <c r="A7289" t="s">
        <v>21833</v>
      </c>
      <c r="B7289" t="s">
        <v>21834</v>
      </c>
      <c r="C7289" t="s">
        <v>21834</v>
      </c>
      <c r="D7289" t="str">
        <f>HYPERLINK("https://zfin.org/ZDB-GENE-041118-18")</f>
        <v>https://zfin.org/ZDB-GENE-041118-18</v>
      </c>
      <c r="E7289" t="s">
        <v>21835</v>
      </c>
    </row>
    <row r="7290" spans="1:5" x14ac:dyDescent="0.2">
      <c r="A7290" t="s">
        <v>21836</v>
      </c>
      <c r="B7290" t="s">
        <v>21837</v>
      </c>
      <c r="C7290" t="s">
        <v>21837</v>
      </c>
      <c r="D7290" t="str">
        <f>HYPERLINK("https://zfin.org/ZDB-GENE-040718-325")</f>
        <v>https://zfin.org/ZDB-GENE-040718-325</v>
      </c>
      <c r="E7290" t="s">
        <v>21838</v>
      </c>
    </row>
    <row r="7291" spans="1:5" x14ac:dyDescent="0.2">
      <c r="A7291" t="s">
        <v>21839</v>
      </c>
      <c r="B7291" t="s">
        <v>21840</v>
      </c>
      <c r="C7291" t="s">
        <v>21840</v>
      </c>
      <c r="D7291" t="str">
        <f>HYPERLINK("https://zfin.org/ZDB-GENE-060503-602")</f>
        <v>https://zfin.org/ZDB-GENE-060503-602</v>
      </c>
      <c r="E7291" t="s">
        <v>21841</v>
      </c>
    </row>
    <row r="7292" spans="1:5" x14ac:dyDescent="0.2">
      <c r="A7292" t="s">
        <v>21842</v>
      </c>
      <c r="B7292" t="s">
        <v>21843</v>
      </c>
      <c r="C7292" t="s">
        <v>21843</v>
      </c>
      <c r="D7292" t="str">
        <f>HYPERLINK("https://zfin.org/ZDB-GENE-090508-7")</f>
        <v>https://zfin.org/ZDB-GENE-090508-7</v>
      </c>
      <c r="E7292" t="s">
        <v>21844</v>
      </c>
    </row>
    <row r="7293" spans="1:5" x14ac:dyDescent="0.2">
      <c r="A7293" t="s">
        <v>21845</v>
      </c>
      <c r="B7293" t="s">
        <v>21846</v>
      </c>
      <c r="C7293" t="s">
        <v>21846</v>
      </c>
      <c r="D7293" t="str">
        <f>HYPERLINK("https://zfin.org/ZDB-GENE-040718-462")</f>
        <v>https://zfin.org/ZDB-GENE-040718-462</v>
      </c>
      <c r="E7293" t="s">
        <v>21847</v>
      </c>
    </row>
    <row r="7294" spans="1:5" x14ac:dyDescent="0.2">
      <c r="A7294" t="s">
        <v>21848</v>
      </c>
      <c r="B7294" t="s">
        <v>21849</v>
      </c>
      <c r="C7294" t="s">
        <v>21849</v>
      </c>
      <c r="D7294" t="str">
        <f>HYPERLINK("https://zfin.org/ZDB-GENE-030131-5524")</f>
        <v>https://zfin.org/ZDB-GENE-030131-5524</v>
      </c>
      <c r="E7294" t="s">
        <v>21850</v>
      </c>
    </row>
    <row r="7295" spans="1:5" x14ac:dyDescent="0.2">
      <c r="A7295" t="s">
        <v>21851</v>
      </c>
      <c r="B7295" t="s">
        <v>21852</v>
      </c>
      <c r="C7295" t="s">
        <v>21852</v>
      </c>
      <c r="D7295" t="str">
        <f>HYPERLINK("https://zfin.org/ZDB-GENE-040801-128")</f>
        <v>https://zfin.org/ZDB-GENE-040801-128</v>
      </c>
      <c r="E7295" t="s">
        <v>21853</v>
      </c>
    </row>
    <row r="7296" spans="1:5" x14ac:dyDescent="0.2">
      <c r="A7296" t="s">
        <v>21854</v>
      </c>
      <c r="B7296" t="s">
        <v>21855</v>
      </c>
      <c r="C7296" t="s">
        <v>21855</v>
      </c>
      <c r="D7296" t="str">
        <f>HYPERLINK("https://zfin.org/ZDB-GENE-050506-72")</f>
        <v>https://zfin.org/ZDB-GENE-050506-72</v>
      </c>
      <c r="E7296" t="s">
        <v>21856</v>
      </c>
    </row>
    <row r="7297" spans="1:5" x14ac:dyDescent="0.2">
      <c r="A7297" t="s">
        <v>21857</v>
      </c>
      <c r="B7297" t="s">
        <v>21858</v>
      </c>
      <c r="C7297" t="s">
        <v>21858</v>
      </c>
      <c r="D7297" t="str">
        <f>HYPERLINK("https://zfin.org/ZDB-GENE-060503-193")</f>
        <v>https://zfin.org/ZDB-GENE-060503-193</v>
      </c>
      <c r="E7297" t="s">
        <v>21859</v>
      </c>
    </row>
    <row r="7298" spans="1:5" x14ac:dyDescent="0.2">
      <c r="A7298" t="s">
        <v>21860</v>
      </c>
      <c r="B7298" t="s">
        <v>21861</v>
      </c>
      <c r="C7298" t="s">
        <v>21861</v>
      </c>
      <c r="D7298" t="str">
        <f>HYPERLINK("https://zfin.org/ZDB-GENE-021219-3")</f>
        <v>https://zfin.org/ZDB-GENE-021219-3</v>
      </c>
      <c r="E7298" t="s">
        <v>21862</v>
      </c>
    </row>
    <row r="7299" spans="1:5" x14ac:dyDescent="0.2">
      <c r="A7299" t="s">
        <v>21863</v>
      </c>
      <c r="B7299" t="s">
        <v>21864</v>
      </c>
      <c r="C7299" t="s">
        <v>21864</v>
      </c>
      <c r="D7299" t="str">
        <f>HYPERLINK("https://zfin.org/ZDB-GENE-050320-87")</f>
        <v>https://zfin.org/ZDB-GENE-050320-87</v>
      </c>
      <c r="E7299" t="s">
        <v>21865</v>
      </c>
    </row>
    <row r="7300" spans="1:5" x14ac:dyDescent="0.2">
      <c r="A7300" t="s">
        <v>21866</v>
      </c>
      <c r="B7300" t="s">
        <v>21867</v>
      </c>
      <c r="C7300" t="s">
        <v>21867</v>
      </c>
      <c r="D7300" t="str">
        <f>HYPERLINK("https://zfin.org/ZDB-GENE-050320-45")</f>
        <v>https://zfin.org/ZDB-GENE-050320-45</v>
      </c>
      <c r="E7300" t="s">
        <v>21868</v>
      </c>
    </row>
    <row r="7301" spans="1:5" x14ac:dyDescent="0.2">
      <c r="A7301" t="s">
        <v>21869</v>
      </c>
      <c r="B7301" t="s">
        <v>21870</v>
      </c>
      <c r="C7301" t="s">
        <v>21870</v>
      </c>
      <c r="D7301" t="str">
        <f>HYPERLINK("https://zfin.org/ZDB-GENE-040426-1374")</f>
        <v>https://zfin.org/ZDB-GENE-040426-1374</v>
      </c>
      <c r="E7301" t="s">
        <v>21871</v>
      </c>
    </row>
    <row r="7302" spans="1:5" x14ac:dyDescent="0.2">
      <c r="A7302" t="s">
        <v>21872</v>
      </c>
      <c r="B7302" t="s">
        <v>21873</v>
      </c>
      <c r="C7302" t="s">
        <v>21873</v>
      </c>
      <c r="D7302" t="str">
        <f>HYPERLINK("https://zfin.org/ZDB-GENE-141216-398")</f>
        <v>https://zfin.org/ZDB-GENE-141216-398</v>
      </c>
      <c r="E7302" t="s">
        <v>21874</v>
      </c>
    </row>
    <row r="7303" spans="1:5" x14ac:dyDescent="0.2">
      <c r="A7303" t="s">
        <v>21875</v>
      </c>
      <c r="B7303" t="s">
        <v>21876</v>
      </c>
      <c r="C7303" t="s">
        <v>21876</v>
      </c>
      <c r="D7303" t="str">
        <f>HYPERLINK("https://zfin.org/ZDB-GENE-050913-137")</f>
        <v>https://zfin.org/ZDB-GENE-050913-137</v>
      </c>
      <c r="E7303" t="s">
        <v>21877</v>
      </c>
    </row>
    <row r="7304" spans="1:5" x14ac:dyDescent="0.2">
      <c r="A7304" t="s">
        <v>21878</v>
      </c>
      <c r="B7304" t="s">
        <v>21879</v>
      </c>
      <c r="C7304" t="s">
        <v>21879</v>
      </c>
      <c r="D7304" t="str">
        <f>HYPERLINK("https://zfin.org/ZDB-GENE-050411-113")</f>
        <v>https://zfin.org/ZDB-GENE-050411-113</v>
      </c>
      <c r="E7304" t="s">
        <v>21880</v>
      </c>
    </row>
    <row r="7305" spans="1:5" x14ac:dyDescent="0.2">
      <c r="A7305" t="s">
        <v>21881</v>
      </c>
      <c r="B7305" t="s">
        <v>21882</v>
      </c>
      <c r="C7305" t="s">
        <v>21882</v>
      </c>
      <c r="D7305" t="str">
        <f>HYPERLINK("https://zfin.org/ZDB-GENE-070705-443")</f>
        <v>https://zfin.org/ZDB-GENE-070705-443</v>
      </c>
      <c r="E7305" t="s">
        <v>21883</v>
      </c>
    </row>
    <row r="7306" spans="1:5" x14ac:dyDescent="0.2">
      <c r="A7306" t="s">
        <v>21884</v>
      </c>
      <c r="B7306" t="s">
        <v>21885</v>
      </c>
      <c r="C7306" t="s">
        <v>21885</v>
      </c>
      <c r="D7306" t="str">
        <f>HYPERLINK("https://zfin.org/ZDB-GENE-040426-754")</f>
        <v>https://zfin.org/ZDB-GENE-040426-754</v>
      </c>
      <c r="E7306" t="s">
        <v>21886</v>
      </c>
    </row>
    <row r="7307" spans="1:5" x14ac:dyDescent="0.2">
      <c r="A7307" t="s">
        <v>21887</v>
      </c>
      <c r="B7307" t="s">
        <v>21888</v>
      </c>
      <c r="C7307" t="s">
        <v>21888</v>
      </c>
      <c r="D7307" t="str">
        <f>HYPERLINK("https://zfin.org/ZDB-GENE-100318-2")</f>
        <v>https://zfin.org/ZDB-GENE-100318-2</v>
      </c>
      <c r="E7307" t="s">
        <v>21889</v>
      </c>
    </row>
    <row r="7308" spans="1:5" x14ac:dyDescent="0.2">
      <c r="A7308" t="s">
        <v>21890</v>
      </c>
      <c r="B7308" t="s">
        <v>21891</v>
      </c>
      <c r="C7308" t="s">
        <v>21891</v>
      </c>
      <c r="D7308" t="str">
        <f>HYPERLINK("https://zfin.org/ZDB-GENE-081104-165")</f>
        <v>https://zfin.org/ZDB-GENE-081104-165</v>
      </c>
      <c r="E7308" t="s">
        <v>21892</v>
      </c>
    </row>
    <row r="7309" spans="1:5" x14ac:dyDescent="0.2">
      <c r="A7309" t="s">
        <v>21893</v>
      </c>
      <c r="B7309" t="s">
        <v>21894</v>
      </c>
      <c r="C7309" t="s">
        <v>21894</v>
      </c>
      <c r="D7309" t="str">
        <f>HYPERLINK("https://zfin.org/ZDB-GENE-030131-2657")</f>
        <v>https://zfin.org/ZDB-GENE-030131-2657</v>
      </c>
      <c r="E7309" t="s">
        <v>21895</v>
      </c>
    </row>
    <row r="7310" spans="1:5" x14ac:dyDescent="0.2">
      <c r="A7310" t="s">
        <v>21896</v>
      </c>
      <c r="B7310" t="s">
        <v>21897</v>
      </c>
      <c r="C7310" t="s">
        <v>21897</v>
      </c>
      <c r="D7310" t="str">
        <f>HYPERLINK("https://zfin.org/ZDB-GENE-030131-8068")</f>
        <v>https://zfin.org/ZDB-GENE-030131-8068</v>
      </c>
      <c r="E7310" t="s">
        <v>21898</v>
      </c>
    </row>
    <row r="7311" spans="1:5" x14ac:dyDescent="0.2">
      <c r="A7311" t="s">
        <v>21899</v>
      </c>
      <c r="B7311" t="s">
        <v>21900</v>
      </c>
      <c r="C7311" t="s">
        <v>21900</v>
      </c>
      <c r="D7311" t="str">
        <f>HYPERLINK("https://zfin.org/ZDB-GENE-100422-12")</f>
        <v>https://zfin.org/ZDB-GENE-100422-12</v>
      </c>
      <c r="E7311" t="s">
        <v>21901</v>
      </c>
    </row>
    <row r="7312" spans="1:5" x14ac:dyDescent="0.2">
      <c r="A7312" t="s">
        <v>21902</v>
      </c>
      <c r="B7312" t="s">
        <v>21903</v>
      </c>
      <c r="C7312" t="s">
        <v>21903</v>
      </c>
      <c r="D7312" t="str">
        <f>HYPERLINK("https://zfin.org/ZDB-GENE-030219-100")</f>
        <v>https://zfin.org/ZDB-GENE-030219-100</v>
      </c>
      <c r="E7312" t="s">
        <v>21904</v>
      </c>
    </row>
    <row r="7313" spans="1:5" x14ac:dyDescent="0.2">
      <c r="A7313" t="s">
        <v>21905</v>
      </c>
      <c r="B7313" t="s">
        <v>21906</v>
      </c>
      <c r="C7313" t="s">
        <v>21906</v>
      </c>
      <c r="D7313" t="str">
        <f>HYPERLINK("https://zfin.org/ZDB-GENE-030925-29")</f>
        <v>https://zfin.org/ZDB-GENE-030925-29</v>
      </c>
      <c r="E7313" t="s">
        <v>21907</v>
      </c>
    </row>
    <row r="7314" spans="1:5" x14ac:dyDescent="0.2">
      <c r="A7314" t="s">
        <v>21908</v>
      </c>
      <c r="B7314" t="s">
        <v>21909</v>
      </c>
      <c r="C7314" t="s">
        <v>21909</v>
      </c>
      <c r="D7314" t="str">
        <f>HYPERLINK("https://zfin.org/ZDB-GENE-060503-507")</f>
        <v>https://zfin.org/ZDB-GENE-060503-507</v>
      </c>
      <c r="E7314" t="s">
        <v>21910</v>
      </c>
    </row>
    <row r="7315" spans="1:5" x14ac:dyDescent="0.2">
      <c r="A7315" t="s">
        <v>21911</v>
      </c>
      <c r="B7315" t="s">
        <v>21912</v>
      </c>
      <c r="C7315" t="s">
        <v>21912</v>
      </c>
      <c r="D7315" t="str">
        <f>HYPERLINK("https://zfin.org/ZDB-GENE-070410-6")</f>
        <v>https://zfin.org/ZDB-GENE-070410-6</v>
      </c>
      <c r="E7315" t="s">
        <v>21913</v>
      </c>
    </row>
    <row r="7316" spans="1:5" x14ac:dyDescent="0.2">
      <c r="A7316" t="s">
        <v>21914</v>
      </c>
      <c r="B7316" t="s">
        <v>21915</v>
      </c>
      <c r="C7316" t="s">
        <v>21915</v>
      </c>
      <c r="D7316" t="str">
        <f>HYPERLINK("https://zfin.org/ZDB-GENE-041001-155")</f>
        <v>https://zfin.org/ZDB-GENE-041001-155</v>
      </c>
      <c r="E7316" t="s">
        <v>21916</v>
      </c>
    </row>
    <row r="7317" spans="1:5" x14ac:dyDescent="0.2">
      <c r="A7317" t="s">
        <v>21917</v>
      </c>
      <c r="B7317" t="s">
        <v>21918</v>
      </c>
      <c r="C7317" t="s">
        <v>21918</v>
      </c>
      <c r="D7317" t="str">
        <f>HYPERLINK("https://zfin.org/ZDB-GENE-030131-4936")</f>
        <v>https://zfin.org/ZDB-GENE-030131-4936</v>
      </c>
      <c r="E7317" t="s">
        <v>21919</v>
      </c>
    </row>
    <row r="7318" spans="1:5" x14ac:dyDescent="0.2">
      <c r="A7318" t="s">
        <v>21920</v>
      </c>
      <c r="B7318" t="s">
        <v>21921</v>
      </c>
      <c r="C7318" t="s">
        <v>21921</v>
      </c>
      <c r="D7318" t="str">
        <f>HYPERLINK("https://zfin.org/ZDB-GENE-050522-124")</f>
        <v>https://zfin.org/ZDB-GENE-050522-124</v>
      </c>
      <c r="E7318" t="s">
        <v>21922</v>
      </c>
    </row>
    <row r="7319" spans="1:5" x14ac:dyDescent="0.2">
      <c r="A7319" t="s">
        <v>21923</v>
      </c>
      <c r="B7319" t="s">
        <v>21924</v>
      </c>
      <c r="C7319" t="s">
        <v>21924</v>
      </c>
      <c r="D7319" t="str">
        <f>HYPERLINK("https://zfin.org/ZDB-GENE-050220-14")</f>
        <v>https://zfin.org/ZDB-GENE-050220-14</v>
      </c>
      <c r="E7319" t="s">
        <v>21925</v>
      </c>
    </row>
    <row r="7320" spans="1:5" x14ac:dyDescent="0.2">
      <c r="A7320" t="s">
        <v>21926</v>
      </c>
      <c r="B7320" t="s">
        <v>21927</v>
      </c>
      <c r="C7320" t="s">
        <v>21927</v>
      </c>
      <c r="D7320" t="str">
        <f>HYPERLINK("https://zfin.org/ZDB-GENE-080218-23")</f>
        <v>https://zfin.org/ZDB-GENE-080218-23</v>
      </c>
      <c r="E7320" t="s">
        <v>21928</v>
      </c>
    </row>
    <row r="7321" spans="1:5" x14ac:dyDescent="0.2">
      <c r="A7321" t="s">
        <v>21929</v>
      </c>
      <c r="B7321" t="s">
        <v>21930</v>
      </c>
      <c r="C7321" t="s">
        <v>21930</v>
      </c>
      <c r="D7321" t="str">
        <f>HYPERLINK("https://zfin.org/ZDB-GENE-060503-903")</f>
        <v>https://zfin.org/ZDB-GENE-060503-903</v>
      </c>
      <c r="E7321" t="s">
        <v>21931</v>
      </c>
    </row>
    <row r="7322" spans="1:5" x14ac:dyDescent="0.2">
      <c r="A7322" t="s">
        <v>21932</v>
      </c>
      <c r="B7322" t="s">
        <v>21933</v>
      </c>
      <c r="C7322" t="s">
        <v>21933</v>
      </c>
      <c r="D7322" t="str">
        <f>HYPERLINK("https://zfin.org/ZDB-GENE-131121-63")</f>
        <v>https://zfin.org/ZDB-GENE-131121-63</v>
      </c>
      <c r="E7322" t="s">
        <v>21934</v>
      </c>
    </row>
    <row r="7323" spans="1:5" x14ac:dyDescent="0.2">
      <c r="A7323" t="s">
        <v>21935</v>
      </c>
      <c r="B7323" t="s">
        <v>21936</v>
      </c>
      <c r="C7323" t="s">
        <v>21936</v>
      </c>
      <c r="D7323" t="str">
        <f>HYPERLINK("https://zfin.org/ZDB-GENE-010131-3")</f>
        <v>https://zfin.org/ZDB-GENE-010131-3</v>
      </c>
      <c r="E7323" t="s">
        <v>21937</v>
      </c>
    </row>
    <row r="7324" spans="1:5" x14ac:dyDescent="0.2">
      <c r="A7324" t="s">
        <v>21938</v>
      </c>
      <c r="B7324" t="s">
        <v>21939</v>
      </c>
      <c r="C7324" t="s">
        <v>21939</v>
      </c>
      <c r="D7324" t="str">
        <f>HYPERLINK("https://zfin.org/ZDB-GENE-040704-9")</f>
        <v>https://zfin.org/ZDB-GENE-040704-9</v>
      </c>
      <c r="E7324" t="s">
        <v>21940</v>
      </c>
    </row>
    <row r="7325" spans="1:5" x14ac:dyDescent="0.2">
      <c r="A7325" t="s">
        <v>21941</v>
      </c>
      <c r="B7325" t="s">
        <v>21942</v>
      </c>
      <c r="C7325" t="s">
        <v>21942</v>
      </c>
      <c r="D7325" t="str">
        <f>HYPERLINK("https://zfin.org/ZDB-GENE-030131-2768")</f>
        <v>https://zfin.org/ZDB-GENE-030131-2768</v>
      </c>
      <c r="E7325" t="s">
        <v>21943</v>
      </c>
    </row>
    <row r="7326" spans="1:5" x14ac:dyDescent="0.2">
      <c r="A7326" t="s">
        <v>21944</v>
      </c>
      <c r="B7326" t="s">
        <v>21945</v>
      </c>
      <c r="C7326" t="s">
        <v>21945</v>
      </c>
      <c r="D7326" t="str">
        <f>HYPERLINK("https://zfin.org/ZDB-GENE-030131-5237")</f>
        <v>https://zfin.org/ZDB-GENE-030131-5237</v>
      </c>
      <c r="E7326" t="s">
        <v>21946</v>
      </c>
    </row>
    <row r="7327" spans="1:5" x14ac:dyDescent="0.2">
      <c r="A7327" t="s">
        <v>21947</v>
      </c>
      <c r="B7327" t="s">
        <v>21948</v>
      </c>
      <c r="C7327" t="s">
        <v>21948</v>
      </c>
      <c r="D7327" t="str">
        <f>HYPERLINK("https://zfin.org/ZDB-GENE-990415-250")</f>
        <v>https://zfin.org/ZDB-GENE-990415-250</v>
      </c>
      <c r="E7327" t="s">
        <v>21949</v>
      </c>
    </row>
    <row r="7328" spans="1:5" x14ac:dyDescent="0.2">
      <c r="A7328" t="s">
        <v>21950</v>
      </c>
      <c r="B7328" t="s">
        <v>21951</v>
      </c>
      <c r="C7328" t="s">
        <v>21951</v>
      </c>
      <c r="D7328" t="str">
        <f>HYPERLINK("https://zfin.org/ZDB-GENE-040426-897")</f>
        <v>https://zfin.org/ZDB-GENE-040426-897</v>
      </c>
      <c r="E7328" t="s">
        <v>21952</v>
      </c>
    </row>
    <row r="7329" spans="1:5" x14ac:dyDescent="0.2">
      <c r="A7329" t="s">
        <v>21953</v>
      </c>
      <c r="B7329" t="s">
        <v>21954</v>
      </c>
      <c r="C7329" t="s">
        <v>21954</v>
      </c>
      <c r="D7329" t="str">
        <f>HYPERLINK("https://zfin.org/ZDB-GENE-060929-112")</f>
        <v>https://zfin.org/ZDB-GENE-060929-112</v>
      </c>
      <c r="E7329" t="s">
        <v>21955</v>
      </c>
    </row>
    <row r="7330" spans="1:5" x14ac:dyDescent="0.2">
      <c r="A7330" t="s">
        <v>21956</v>
      </c>
      <c r="B7330" t="s">
        <v>21957</v>
      </c>
      <c r="C7330" t="s">
        <v>21957</v>
      </c>
      <c r="D7330" t="str">
        <f>HYPERLINK("https://zfin.org/ZDB-GENE-041210-251")</f>
        <v>https://zfin.org/ZDB-GENE-041210-251</v>
      </c>
      <c r="E7330" t="s">
        <v>21958</v>
      </c>
    </row>
    <row r="7331" spans="1:5" x14ac:dyDescent="0.2">
      <c r="A7331" t="s">
        <v>21959</v>
      </c>
      <c r="B7331" t="s">
        <v>21960</v>
      </c>
      <c r="C7331" t="s">
        <v>21960</v>
      </c>
      <c r="D7331" t="str">
        <f>HYPERLINK("https://zfin.org/ZDB-GENE-050419-232")</f>
        <v>https://zfin.org/ZDB-GENE-050419-232</v>
      </c>
      <c r="E7331" t="s">
        <v>21961</v>
      </c>
    </row>
    <row r="7332" spans="1:5" x14ac:dyDescent="0.2">
      <c r="A7332" t="s">
        <v>21962</v>
      </c>
      <c r="B7332" t="s">
        <v>21963</v>
      </c>
      <c r="C7332" t="s">
        <v>21963</v>
      </c>
      <c r="D7332" t="str">
        <f>HYPERLINK("https://zfin.org/ZDB-GENE-040426-2710")</f>
        <v>https://zfin.org/ZDB-GENE-040426-2710</v>
      </c>
      <c r="E7332" t="s">
        <v>21964</v>
      </c>
    </row>
    <row r="7333" spans="1:5" x14ac:dyDescent="0.2">
      <c r="A7333" t="s">
        <v>21965</v>
      </c>
      <c r="B7333" t="s">
        <v>21966</v>
      </c>
      <c r="C7333" t="s">
        <v>21966</v>
      </c>
      <c r="D7333" t="str">
        <f>HYPERLINK("https://zfin.org/ZDB-GENE-070912-407")</f>
        <v>https://zfin.org/ZDB-GENE-070912-407</v>
      </c>
      <c r="E7333" t="s">
        <v>21967</v>
      </c>
    </row>
    <row r="7334" spans="1:5" x14ac:dyDescent="0.2">
      <c r="A7334" t="s">
        <v>21968</v>
      </c>
      <c r="B7334" t="s">
        <v>21969</v>
      </c>
      <c r="C7334" t="s">
        <v>21969</v>
      </c>
      <c r="D7334" t="str">
        <f>HYPERLINK("https://zfin.org/ZDB-GENE-090313-228")</f>
        <v>https://zfin.org/ZDB-GENE-090313-228</v>
      </c>
      <c r="E7334" t="s">
        <v>21970</v>
      </c>
    </row>
    <row r="7335" spans="1:5" x14ac:dyDescent="0.2">
      <c r="A7335" t="s">
        <v>21971</v>
      </c>
      <c r="B7335" t="s">
        <v>21972</v>
      </c>
      <c r="C7335" t="s">
        <v>21972</v>
      </c>
      <c r="D7335" t="str">
        <f>HYPERLINK("https://zfin.org/ZDB-GENE-030904-7")</f>
        <v>https://zfin.org/ZDB-GENE-030904-7</v>
      </c>
      <c r="E7335" t="s">
        <v>21973</v>
      </c>
    </row>
    <row r="7336" spans="1:5" x14ac:dyDescent="0.2">
      <c r="A7336" t="s">
        <v>21974</v>
      </c>
      <c r="B7336" t="s">
        <v>21975</v>
      </c>
      <c r="C7336" t="s">
        <v>21975</v>
      </c>
      <c r="D7336" t="str">
        <f>HYPERLINK("https://zfin.org/ZDB-GENE-040718-443")</f>
        <v>https://zfin.org/ZDB-GENE-040718-443</v>
      </c>
      <c r="E7336" t="s">
        <v>21976</v>
      </c>
    </row>
    <row r="7337" spans="1:5" x14ac:dyDescent="0.2">
      <c r="A7337" t="s">
        <v>21977</v>
      </c>
      <c r="B7337" t="s">
        <v>21978</v>
      </c>
      <c r="C7337" t="s">
        <v>21978</v>
      </c>
      <c r="D7337" t="str">
        <f>HYPERLINK("https://zfin.org/ZDB-GENE-050522-157")</f>
        <v>https://zfin.org/ZDB-GENE-050522-157</v>
      </c>
      <c r="E7337" t="s">
        <v>21979</v>
      </c>
    </row>
    <row r="7338" spans="1:5" x14ac:dyDescent="0.2">
      <c r="A7338" t="s">
        <v>21980</v>
      </c>
      <c r="B7338" t="s">
        <v>21981</v>
      </c>
      <c r="C7338" t="s">
        <v>21981</v>
      </c>
      <c r="D7338" t="str">
        <f>HYPERLINK("https://zfin.org/ZDB-GENE-040426-1550")</f>
        <v>https://zfin.org/ZDB-GENE-040426-1550</v>
      </c>
      <c r="E7338" t="s">
        <v>21982</v>
      </c>
    </row>
    <row r="7339" spans="1:5" x14ac:dyDescent="0.2">
      <c r="A7339" t="s">
        <v>21983</v>
      </c>
      <c r="B7339" t="s">
        <v>21984</v>
      </c>
      <c r="C7339" t="s">
        <v>21984</v>
      </c>
      <c r="D7339" t="str">
        <f>HYPERLINK("https://zfin.org/ZDB-GENE-040801-126")</f>
        <v>https://zfin.org/ZDB-GENE-040801-126</v>
      </c>
      <c r="E7339" t="s">
        <v>21985</v>
      </c>
    </row>
    <row r="7340" spans="1:5" x14ac:dyDescent="0.2">
      <c r="A7340" t="s">
        <v>21986</v>
      </c>
      <c r="B7340" t="s">
        <v>21987</v>
      </c>
      <c r="C7340" t="s">
        <v>21987</v>
      </c>
      <c r="D7340" t="str">
        <f>HYPERLINK("https://zfin.org/ZDB-GENE-070705-136")</f>
        <v>https://zfin.org/ZDB-GENE-070705-136</v>
      </c>
      <c r="E7340" t="s">
        <v>21988</v>
      </c>
    </row>
    <row r="7341" spans="1:5" x14ac:dyDescent="0.2">
      <c r="A7341" t="s">
        <v>21989</v>
      </c>
      <c r="B7341" t="s">
        <v>21990</v>
      </c>
      <c r="C7341" t="s">
        <v>21990</v>
      </c>
      <c r="D7341" t="str">
        <f>HYPERLINK("https://zfin.org/ZDB-GENE-050506-132")</f>
        <v>https://zfin.org/ZDB-GENE-050506-132</v>
      </c>
      <c r="E7341" t="s">
        <v>21991</v>
      </c>
    </row>
    <row r="7342" spans="1:5" x14ac:dyDescent="0.2">
      <c r="A7342" t="s">
        <v>21992</v>
      </c>
      <c r="B7342" t="s">
        <v>21993</v>
      </c>
      <c r="C7342" t="s">
        <v>21993</v>
      </c>
      <c r="D7342" t="str">
        <f>HYPERLINK("https://zfin.org/ZDB-GENE-041105-1")</f>
        <v>https://zfin.org/ZDB-GENE-041105-1</v>
      </c>
      <c r="E7342" t="s">
        <v>21994</v>
      </c>
    </row>
    <row r="7343" spans="1:5" x14ac:dyDescent="0.2">
      <c r="A7343" t="s">
        <v>21995</v>
      </c>
      <c r="B7343" t="s">
        <v>21996</v>
      </c>
      <c r="C7343" t="s">
        <v>21996</v>
      </c>
      <c r="D7343" t="str">
        <f>HYPERLINK("https://zfin.org/ZDB-GENE-030131-5276")</f>
        <v>https://zfin.org/ZDB-GENE-030131-5276</v>
      </c>
      <c r="E7343" t="s">
        <v>21997</v>
      </c>
    </row>
    <row r="7344" spans="1:5" x14ac:dyDescent="0.2">
      <c r="A7344" t="s">
        <v>21998</v>
      </c>
      <c r="B7344" t="s">
        <v>21999</v>
      </c>
      <c r="C7344" t="s">
        <v>21999</v>
      </c>
      <c r="D7344" t="str">
        <f>HYPERLINK("https://zfin.org/ZDB-GENE-040426-2289")</f>
        <v>https://zfin.org/ZDB-GENE-040426-2289</v>
      </c>
      <c r="E7344" t="s">
        <v>22000</v>
      </c>
    </row>
    <row r="7345" spans="1:5" x14ac:dyDescent="0.2">
      <c r="A7345" t="s">
        <v>22001</v>
      </c>
      <c r="B7345" t="s">
        <v>22002</v>
      </c>
      <c r="C7345" t="s">
        <v>22002</v>
      </c>
      <c r="D7345" t="str">
        <f>HYPERLINK("https://zfin.org/ZDB-GENE-050609-8")</f>
        <v>https://zfin.org/ZDB-GENE-050609-8</v>
      </c>
      <c r="E7345" t="s">
        <v>22003</v>
      </c>
    </row>
    <row r="7346" spans="1:5" x14ac:dyDescent="0.2">
      <c r="A7346" t="s">
        <v>22004</v>
      </c>
      <c r="B7346" t="s">
        <v>22005</v>
      </c>
      <c r="C7346" t="s">
        <v>22005</v>
      </c>
      <c r="D7346" t="str">
        <f>HYPERLINK("https://zfin.org/ZDB-GENE-040426-1789")</f>
        <v>https://zfin.org/ZDB-GENE-040426-1789</v>
      </c>
      <c r="E7346" t="s">
        <v>22006</v>
      </c>
    </row>
    <row r="7347" spans="1:5" x14ac:dyDescent="0.2">
      <c r="A7347" t="s">
        <v>22007</v>
      </c>
      <c r="B7347" t="s">
        <v>22008</v>
      </c>
      <c r="C7347" t="s">
        <v>22008</v>
      </c>
      <c r="D7347" t="str">
        <f>HYPERLINK("https://zfin.org/ZDB-GENE-081104-351")</f>
        <v>https://zfin.org/ZDB-GENE-081104-351</v>
      </c>
      <c r="E7347" t="s">
        <v>22009</v>
      </c>
    </row>
    <row r="7348" spans="1:5" x14ac:dyDescent="0.2">
      <c r="A7348" t="s">
        <v>22010</v>
      </c>
      <c r="B7348" t="s">
        <v>22011</v>
      </c>
      <c r="C7348" t="s">
        <v>22011</v>
      </c>
      <c r="D7348" t="str">
        <f>HYPERLINK("https://zfin.org/ZDB-GENE-061111-1")</f>
        <v>https://zfin.org/ZDB-GENE-061111-1</v>
      </c>
      <c r="E7348" t="s">
        <v>22012</v>
      </c>
    </row>
    <row r="7349" spans="1:5" x14ac:dyDescent="0.2">
      <c r="A7349" t="s">
        <v>22013</v>
      </c>
      <c r="B7349" t="s">
        <v>22014</v>
      </c>
      <c r="C7349" t="s">
        <v>22014</v>
      </c>
      <c r="D7349" t="str">
        <f>HYPERLINK("https://zfin.org/ZDB-GENE-030131-5971")</f>
        <v>https://zfin.org/ZDB-GENE-030131-5971</v>
      </c>
      <c r="E7349" t="s">
        <v>22015</v>
      </c>
    </row>
    <row r="7350" spans="1:5" x14ac:dyDescent="0.2">
      <c r="A7350" t="s">
        <v>22016</v>
      </c>
      <c r="B7350" t="s">
        <v>22017</v>
      </c>
      <c r="C7350" t="s">
        <v>22017</v>
      </c>
      <c r="D7350" t="str">
        <f>HYPERLINK("https://zfin.org/ZDB-GENE-041212-51")</f>
        <v>https://zfin.org/ZDB-GENE-041212-51</v>
      </c>
      <c r="E7350" t="s">
        <v>22018</v>
      </c>
    </row>
    <row r="7351" spans="1:5" x14ac:dyDescent="0.2">
      <c r="A7351" t="s">
        <v>22019</v>
      </c>
      <c r="B7351" t="s">
        <v>22020</v>
      </c>
      <c r="C7351" t="s">
        <v>22020</v>
      </c>
      <c r="D7351" t="str">
        <f>HYPERLINK("https://zfin.org/ZDB-GENE-041210-172")</f>
        <v>https://zfin.org/ZDB-GENE-041210-172</v>
      </c>
      <c r="E7351" t="s">
        <v>22021</v>
      </c>
    </row>
    <row r="7352" spans="1:5" x14ac:dyDescent="0.2">
      <c r="A7352" t="s">
        <v>22022</v>
      </c>
      <c r="B7352" t="s">
        <v>22023</v>
      </c>
      <c r="C7352" t="s">
        <v>22023</v>
      </c>
      <c r="D7352" t="str">
        <f>HYPERLINK("https://zfin.org/ZDB-GENE-121214-109")</f>
        <v>https://zfin.org/ZDB-GENE-121214-109</v>
      </c>
      <c r="E7352" t="s">
        <v>22024</v>
      </c>
    </row>
    <row r="7353" spans="1:5" x14ac:dyDescent="0.2">
      <c r="A7353" t="s">
        <v>22025</v>
      </c>
      <c r="B7353" t="s">
        <v>22026</v>
      </c>
      <c r="C7353" t="s">
        <v>22026</v>
      </c>
      <c r="D7353" t="str">
        <f>HYPERLINK("https://zfin.org/ZDB-GENE-041118-19")</f>
        <v>https://zfin.org/ZDB-GENE-041118-19</v>
      </c>
      <c r="E7353" t="s">
        <v>22027</v>
      </c>
    </row>
    <row r="7354" spans="1:5" x14ac:dyDescent="0.2">
      <c r="A7354" t="s">
        <v>22028</v>
      </c>
      <c r="B7354" t="s">
        <v>22029</v>
      </c>
      <c r="C7354" t="s">
        <v>22029</v>
      </c>
      <c r="D7354" t="str">
        <f>HYPERLINK("https://zfin.org/ZDB-GENE-040426-1173")</f>
        <v>https://zfin.org/ZDB-GENE-040426-1173</v>
      </c>
      <c r="E7354" t="s">
        <v>22030</v>
      </c>
    </row>
    <row r="7355" spans="1:5" x14ac:dyDescent="0.2">
      <c r="A7355" t="s">
        <v>22031</v>
      </c>
      <c r="B7355" t="s">
        <v>22032</v>
      </c>
      <c r="C7355" t="s">
        <v>22032</v>
      </c>
      <c r="D7355" t="str">
        <f>HYPERLINK("https://zfin.org/ZDB-GENE-041111-227")</f>
        <v>https://zfin.org/ZDB-GENE-041111-227</v>
      </c>
      <c r="E7355" t="s">
        <v>22033</v>
      </c>
    </row>
    <row r="7356" spans="1:5" x14ac:dyDescent="0.2">
      <c r="A7356" t="s">
        <v>22034</v>
      </c>
      <c r="B7356" t="s">
        <v>22035</v>
      </c>
      <c r="C7356" t="s">
        <v>22035</v>
      </c>
      <c r="D7356" t="str">
        <f>HYPERLINK("https://zfin.org/ZDB-GENE-060526-244")</f>
        <v>https://zfin.org/ZDB-GENE-060526-244</v>
      </c>
      <c r="E7356" t="s">
        <v>22036</v>
      </c>
    </row>
    <row r="7357" spans="1:5" x14ac:dyDescent="0.2">
      <c r="A7357" t="s">
        <v>22037</v>
      </c>
      <c r="B7357" t="s">
        <v>22038</v>
      </c>
      <c r="C7357" t="s">
        <v>22038</v>
      </c>
      <c r="D7357" t="str">
        <f>HYPERLINK("https://zfin.org/ZDB-GENE-141222-57")</f>
        <v>https://zfin.org/ZDB-GENE-141222-57</v>
      </c>
      <c r="E7357" t="s">
        <v>22039</v>
      </c>
    </row>
    <row r="7358" spans="1:5" x14ac:dyDescent="0.2">
      <c r="A7358" t="s">
        <v>22040</v>
      </c>
      <c r="B7358" t="s">
        <v>22041</v>
      </c>
      <c r="C7358" t="s">
        <v>22041</v>
      </c>
      <c r="D7358" t="str">
        <f>HYPERLINK("https://zfin.org/ZDB-GENE-040426-1950")</f>
        <v>https://zfin.org/ZDB-GENE-040426-1950</v>
      </c>
      <c r="E7358" t="s">
        <v>22042</v>
      </c>
    </row>
    <row r="7359" spans="1:5" x14ac:dyDescent="0.2">
      <c r="A7359" t="s">
        <v>22043</v>
      </c>
      <c r="B7359" t="s">
        <v>22044</v>
      </c>
      <c r="C7359" t="s">
        <v>22044</v>
      </c>
      <c r="D7359" t="str">
        <f>HYPERLINK("https://zfin.org/ZDB-GENE-040426-1920")</f>
        <v>https://zfin.org/ZDB-GENE-040426-1920</v>
      </c>
      <c r="E7359" t="s">
        <v>22045</v>
      </c>
    </row>
    <row r="7360" spans="1:5" x14ac:dyDescent="0.2">
      <c r="A7360" t="s">
        <v>22046</v>
      </c>
      <c r="B7360" t="s">
        <v>22047</v>
      </c>
      <c r="C7360" t="s">
        <v>22047</v>
      </c>
      <c r="D7360" t="str">
        <f>HYPERLINK("https://zfin.org/ZDB-GENE-040801-112")</f>
        <v>https://zfin.org/ZDB-GENE-040801-112</v>
      </c>
      <c r="E7360" t="s">
        <v>22048</v>
      </c>
    </row>
    <row r="7361" spans="1:5" x14ac:dyDescent="0.2">
      <c r="A7361" t="s">
        <v>22049</v>
      </c>
      <c r="B7361" t="s">
        <v>22050</v>
      </c>
      <c r="C7361" t="s">
        <v>22050</v>
      </c>
      <c r="D7361" t="str">
        <f>HYPERLINK("https://zfin.org/ZDB-GENE-030613-1")</f>
        <v>https://zfin.org/ZDB-GENE-030613-1</v>
      </c>
      <c r="E7361" t="s">
        <v>22051</v>
      </c>
    </row>
    <row r="7362" spans="1:5" x14ac:dyDescent="0.2">
      <c r="A7362" t="s">
        <v>22052</v>
      </c>
      <c r="B7362" t="s">
        <v>22053</v>
      </c>
      <c r="C7362" t="s">
        <v>22053</v>
      </c>
      <c r="D7362" t="str">
        <f>HYPERLINK("https://zfin.org/ZDB-GENE-040718-186")</f>
        <v>https://zfin.org/ZDB-GENE-040718-186</v>
      </c>
      <c r="E7362" t="s">
        <v>22054</v>
      </c>
    </row>
    <row r="7363" spans="1:5" x14ac:dyDescent="0.2">
      <c r="A7363" t="s">
        <v>22055</v>
      </c>
      <c r="B7363" t="s">
        <v>22056</v>
      </c>
      <c r="C7363" t="s">
        <v>22056</v>
      </c>
      <c r="D7363" t="str">
        <f>HYPERLINK("https://zfin.org/ZDB-GENE-110411-89")</f>
        <v>https://zfin.org/ZDB-GENE-110411-89</v>
      </c>
      <c r="E7363" t="s">
        <v>22057</v>
      </c>
    </row>
    <row r="7364" spans="1:5" x14ac:dyDescent="0.2">
      <c r="A7364" t="s">
        <v>22058</v>
      </c>
      <c r="B7364" t="s">
        <v>22059</v>
      </c>
      <c r="C7364" t="s">
        <v>22059</v>
      </c>
      <c r="D7364" t="str">
        <f>HYPERLINK("https://zfin.org/ZDB-GENE-060929-440")</f>
        <v>https://zfin.org/ZDB-GENE-060929-440</v>
      </c>
      <c r="E7364" t="s">
        <v>22060</v>
      </c>
    </row>
    <row r="7365" spans="1:5" x14ac:dyDescent="0.2">
      <c r="A7365" t="s">
        <v>22061</v>
      </c>
      <c r="B7365" t="s">
        <v>22062</v>
      </c>
      <c r="C7365" t="s">
        <v>22062</v>
      </c>
      <c r="D7365" t="str">
        <f>HYPERLINK("https://zfin.org/ZDB-GENE-030131-9572")</f>
        <v>https://zfin.org/ZDB-GENE-030131-9572</v>
      </c>
      <c r="E7365" t="s">
        <v>22063</v>
      </c>
    </row>
    <row r="7366" spans="1:5" x14ac:dyDescent="0.2">
      <c r="A7366" t="s">
        <v>22064</v>
      </c>
      <c r="B7366" t="s">
        <v>22065</v>
      </c>
      <c r="C7366" t="s">
        <v>22065</v>
      </c>
      <c r="D7366" t="str">
        <f>HYPERLINK("https://zfin.org/ZDB-GENE-041111-194")</f>
        <v>https://zfin.org/ZDB-GENE-041111-194</v>
      </c>
      <c r="E7366" t="s">
        <v>22066</v>
      </c>
    </row>
    <row r="7367" spans="1:5" x14ac:dyDescent="0.2">
      <c r="A7367" t="s">
        <v>22067</v>
      </c>
      <c r="B7367" t="s">
        <v>22068</v>
      </c>
      <c r="C7367" t="s">
        <v>22068</v>
      </c>
      <c r="D7367" t="str">
        <f>HYPERLINK("https://zfin.org/ZDB-GENE-050410-15")</f>
        <v>https://zfin.org/ZDB-GENE-050410-15</v>
      </c>
      <c r="E7367" t="s">
        <v>22069</v>
      </c>
    </row>
    <row r="7368" spans="1:5" x14ac:dyDescent="0.2">
      <c r="A7368" t="s">
        <v>22070</v>
      </c>
      <c r="B7368" t="s">
        <v>22071</v>
      </c>
      <c r="C7368" t="s">
        <v>22071</v>
      </c>
      <c r="D7368" t="str">
        <f>HYPERLINK("https://zfin.org/ZDB-GENE-030131-5990")</f>
        <v>https://zfin.org/ZDB-GENE-030131-5990</v>
      </c>
      <c r="E7368" t="s">
        <v>22072</v>
      </c>
    </row>
    <row r="7369" spans="1:5" x14ac:dyDescent="0.2">
      <c r="A7369" t="s">
        <v>22073</v>
      </c>
      <c r="B7369" t="s">
        <v>22074</v>
      </c>
      <c r="C7369" t="s">
        <v>22074</v>
      </c>
      <c r="D7369" t="str">
        <f>HYPERLINK("https://zfin.org/ZDB-GENE-030131-5711")</f>
        <v>https://zfin.org/ZDB-GENE-030131-5711</v>
      </c>
      <c r="E7369" t="s">
        <v>22075</v>
      </c>
    </row>
    <row r="7370" spans="1:5" x14ac:dyDescent="0.2">
      <c r="A7370" t="s">
        <v>22076</v>
      </c>
      <c r="B7370" t="s">
        <v>22077</v>
      </c>
      <c r="C7370" t="s">
        <v>22077</v>
      </c>
      <c r="D7370" t="str">
        <f>HYPERLINK("https://zfin.org/ZDB-GENE-040426-2444")</f>
        <v>https://zfin.org/ZDB-GENE-040426-2444</v>
      </c>
      <c r="E7370" t="s">
        <v>22078</v>
      </c>
    </row>
    <row r="7371" spans="1:5" x14ac:dyDescent="0.2">
      <c r="A7371" t="s">
        <v>22079</v>
      </c>
      <c r="B7371" t="s">
        <v>22080</v>
      </c>
      <c r="C7371" t="s">
        <v>22080</v>
      </c>
      <c r="D7371" t="str">
        <f>HYPERLINK("https://zfin.org/ZDB-GENE-141216-84")</f>
        <v>https://zfin.org/ZDB-GENE-141216-84</v>
      </c>
      <c r="E7371" t="s">
        <v>22081</v>
      </c>
    </row>
    <row r="7372" spans="1:5" x14ac:dyDescent="0.2">
      <c r="A7372" t="s">
        <v>22082</v>
      </c>
      <c r="B7372" t="s">
        <v>22083</v>
      </c>
      <c r="C7372" t="s">
        <v>22083</v>
      </c>
      <c r="D7372" t="str">
        <f>HYPERLINK("https://zfin.org/ZDB-GENE-090313-86")</f>
        <v>https://zfin.org/ZDB-GENE-090313-86</v>
      </c>
      <c r="E7372" t="s">
        <v>22084</v>
      </c>
    </row>
    <row r="7373" spans="1:5" x14ac:dyDescent="0.2">
      <c r="A7373" t="s">
        <v>22085</v>
      </c>
      <c r="B7373" t="s">
        <v>22086</v>
      </c>
      <c r="C7373" t="s">
        <v>22086</v>
      </c>
      <c r="D7373" t="str">
        <f>HYPERLINK("https://zfin.org/ZDB-GENE-040704-13")</f>
        <v>https://zfin.org/ZDB-GENE-040704-13</v>
      </c>
      <c r="E7373" t="s">
        <v>22087</v>
      </c>
    </row>
    <row r="7374" spans="1:5" x14ac:dyDescent="0.2">
      <c r="A7374" t="s">
        <v>22088</v>
      </c>
      <c r="B7374" t="s">
        <v>22089</v>
      </c>
      <c r="C7374" t="s">
        <v>22089</v>
      </c>
      <c r="D7374" t="str">
        <f>HYPERLINK("https://zfin.org/ZDB-GENE-040426-2868")</f>
        <v>https://zfin.org/ZDB-GENE-040426-2868</v>
      </c>
      <c r="E7374" t="s">
        <v>22090</v>
      </c>
    </row>
    <row r="7375" spans="1:5" x14ac:dyDescent="0.2">
      <c r="A7375" t="s">
        <v>22091</v>
      </c>
      <c r="B7375" t="s">
        <v>22092</v>
      </c>
      <c r="C7375" t="s">
        <v>22092</v>
      </c>
      <c r="D7375" t="str">
        <f>HYPERLINK("https://zfin.org/ZDB-GENE-120711-2")</f>
        <v>https://zfin.org/ZDB-GENE-120711-2</v>
      </c>
      <c r="E7375" t="s">
        <v>22093</v>
      </c>
    </row>
    <row r="7376" spans="1:5" x14ac:dyDescent="0.2">
      <c r="A7376" t="s">
        <v>22094</v>
      </c>
      <c r="B7376" t="s">
        <v>22095</v>
      </c>
      <c r="C7376" t="s">
        <v>22095</v>
      </c>
      <c r="D7376" t="str">
        <f>HYPERLINK("https://zfin.org/ZDB-GENE-090218-30")</f>
        <v>https://zfin.org/ZDB-GENE-090218-30</v>
      </c>
      <c r="E7376" t="s">
        <v>22096</v>
      </c>
    </row>
    <row r="7377" spans="1:5" x14ac:dyDescent="0.2">
      <c r="A7377" t="s">
        <v>22097</v>
      </c>
      <c r="B7377" t="s">
        <v>22098</v>
      </c>
      <c r="C7377" t="s">
        <v>22098</v>
      </c>
      <c r="D7377" t="str">
        <f>HYPERLINK("https://zfin.org/ZDB-GENE-091113-15")</f>
        <v>https://zfin.org/ZDB-GENE-091113-15</v>
      </c>
      <c r="E7377" t="s">
        <v>22099</v>
      </c>
    </row>
    <row r="7378" spans="1:5" x14ac:dyDescent="0.2">
      <c r="A7378" t="s">
        <v>22100</v>
      </c>
      <c r="B7378" t="s">
        <v>22101</v>
      </c>
      <c r="C7378" t="s">
        <v>22101</v>
      </c>
      <c r="D7378" t="str">
        <f>HYPERLINK("https://zfin.org/ZDB-GENE-110411-193")</f>
        <v>https://zfin.org/ZDB-GENE-110411-193</v>
      </c>
      <c r="E7378" t="s">
        <v>22102</v>
      </c>
    </row>
    <row r="7379" spans="1:5" x14ac:dyDescent="0.2">
      <c r="A7379" t="s">
        <v>22103</v>
      </c>
      <c r="B7379" t="s">
        <v>22104</v>
      </c>
      <c r="C7379" t="s">
        <v>22104</v>
      </c>
      <c r="D7379" t="str">
        <f>HYPERLINK("https://zfin.org/ZDB-GENE-090901-1")</f>
        <v>https://zfin.org/ZDB-GENE-090901-1</v>
      </c>
      <c r="E7379" t="s">
        <v>22105</v>
      </c>
    </row>
    <row r="7380" spans="1:5" x14ac:dyDescent="0.2">
      <c r="A7380" t="s">
        <v>22106</v>
      </c>
      <c r="B7380" t="s">
        <v>22107</v>
      </c>
      <c r="C7380" t="s">
        <v>22107</v>
      </c>
      <c r="D7380" t="str">
        <f>HYPERLINK("https://zfin.org/ZDB-GENE-000322-2")</f>
        <v>https://zfin.org/ZDB-GENE-000322-2</v>
      </c>
      <c r="E7380" t="s">
        <v>22108</v>
      </c>
    </row>
    <row r="7381" spans="1:5" x14ac:dyDescent="0.2">
      <c r="A7381" t="s">
        <v>22109</v>
      </c>
      <c r="B7381" t="s">
        <v>22110</v>
      </c>
      <c r="C7381" t="s">
        <v>22110</v>
      </c>
      <c r="D7381" t="str">
        <f>HYPERLINK("https://zfin.org/ZDB-GENE-040426-1971")</f>
        <v>https://zfin.org/ZDB-GENE-040426-1971</v>
      </c>
      <c r="E7381" t="s">
        <v>22111</v>
      </c>
    </row>
    <row r="7382" spans="1:5" x14ac:dyDescent="0.2">
      <c r="A7382" t="s">
        <v>22112</v>
      </c>
      <c r="B7382" t="s">
        <v>22113</v>
      </c>
      <c r="C7382" t="s">
        <v>22113</v>
      </c>
      <c r="D7382" t="str">
        <f>HYPERLINK("https://zfin.org/ZDB-GENE-060526-215")</f>
        <v>https://zfin.org/ZDB-GENE-060526-215</v>
      </c>
      <c r="E7382" t="s">
        <v>22114</v>
      </c>
    </row>
    <row r="7383" spans="1:5" x14ac:dyDescent="0.2">
      <c r="A7383" t="s">
        <v>22115</v>
      </c>
      <c r="B7383" t="s">
        <v>22116</v>
      </c>
      <c r="C7383" t="s">
        <v>22116</v>
      </c>
      <c r="D7383" t="str">
        <f>HYPERLINK("https://zfin.org/ZDB-GENE-040426-948")</f>
        <v>https://zfin.org/ZDB-GENE-040426-948</v>
      </c>
      <c r="E7383" t="s">
        <v>22117</v>
      </c>
    </row>
    <row r="7384" spans="1:5" x14ac:dyDescent="0.2">
      <c r="A7384" t="s">
        <v>22118</v>
      </c>
      <c r="B7384" t="s">
        <v>22119</v>
      </c>
      <c r="C7384" t="s">
        <v>22119</v>
      </c>
      <c r="D7384" t="str">
        <f>HYPERLINK("https://zfin.org/ZDB-GENE-010802-1")</f>
        <v>https://zfin.org/ZDB-GENE-010802-1</v>
      </c>
      <c r="E7384" t="s">
        <v>22120</v>
      </c>
    </row>
    <row r="7385" spans="1:5" x14ac:dyDescent="0.2">
      <c r="A7385" t="s">
        <v>22121</v>
      </c>
      <c r="B7385" t="s">
        <v>22122</v>
      </c>
      <c r="C7385" t="s">
        <v>22122</v>
      </c>
      <c r="D7385" t="str">
        <f>HYPERLINK("https://zfin.org/ZDB-GENE-030102-2")</f>
        <v>https://zfin.org/ZDB-GENE-030102-2</v>
      </c>
      <c r="E7385" t="s">
        <v>22123</v>
      </c>
    </row>
    <row r="7386" spans="1:5" x14ac:dyDescent="0.2">
      <c r="A7386" t="s">
        <v>22124</v>
      </c>
      <c r="B7386" t="s">
        <v>22125</v>
      </c>
      <c r="C7386" t="s">
        <v>22125</v>
      </c>
      <c r="D7386" t="str">
        <f>HYPERLINK("https://zfin.org/ZDB-GENE-030131-1337")</f>
        <v>https://zfin.org/ZDB-GENE-030131-1337</v>
      </c>
      <c r="E7386" t="s">
        <v>22126</v>
      </c>
    </row>
    <row r="7387" spans="1:5" x14ac:dyDescent="0.2">
      <c r="A7387" t="s">
        <v>22127</v>
      </c>
      <c r="B7387" t="s">
        <v>22128</v>
      </c>
      <c r="C7387" t="s">
        <v>22128</v>
      </c>
      <c r="D7387" t="str">
        <f>HYPERLINK("https://zfin.org/ZDB-GENE-070606-1")</f>
        <v>https://zfin.org/ZDB-GENE-070606-1</v>
      </c>
      <c r="E7387" t="s">
        <v>22129</v>
      </c>
    </row>
    <row r="7388" spans="1:5" x14ac:dyDescent="0.2">
      <c r="A7388" t="s">
        <v>22130</v>
      </c>
      <c r="B7388" t="s">
        <v>22131</v>
      </c>
      <c r="C7388" t="s">
        <v>22131</v>
      </c>
      <c r="D7388" t="str">
        <f>HYPERLINK("https://zfin.org/ZDB-GENE-040723-8")</f>
        <v>https://zfin.org/ZDB-GENE-040723-8</v>
      </c>
      <c r="E7388" t="s">
        <v>22132</v>
      </c>
    </row>
    <row r="7389" spans="1:5" x14ac:dyDescent="0.2">
      <c r="A7389" t="s">
        <v>22133</v>
      </c>
      <c r="B7389" t="s">
        <v>22134</v>
      </c>
      <c r="C7389" t="s">
        <v>22134</v>
      </c>
      <c r="D7389" t="str">
        <f>HYPERLINK("https://zfin.org/ZDB-GENE-050522-530")</f>
        <v>https://zfin.org/ZDB-GENE-050522-530</v>
      </c>
      <c r="E7389" t="s">
        <v>22135</v>
      </c>
    </row>
    <row r="7390" spans="1:5" x14ac:dyDescent="0.2">
      <c r="A7390" t="s">
        <v>22136</v>
      </c>
      <c r="B7390" t="s">
        <v>22137</v>
      </c>
      <c r="C7390" t="s">
        <v>22137</v>
      </c>
      <c r="D7390" t="str">
        <f>HYPERLINK("https://zfin.org/ZDB-GENE-050320-128")</f>
        <v>https://zfin.org/ZDB-GENE-050320-128</v>
      </c>
      <c r="E7390" t="s">
        <v>22138</v>
      </c>
    </row>
    <row r="7391" spans="1:5" x14ac:dyDescent="0.2">
      <c r="A7391" t="s">
        <v>22139</v>
      </c>
      <c r="B7391" t="s">
        <v>22140</v>
      </c>
      <c r="C7391" t="s">
        <v>22140</v>
      </c>
      <c r="D7391" t="str">
        <f>HYPERLINK("https://zfin.org/ZDB-GENE-030131-7742")</f>
        <v>https://zfin.org/ZDB-GENE-030131-7742</v>
      </c>
      <c r="E7391" t="s">
        <v>22141</v>
      </c>
    </row>
    <row r="7392" spans="1:5" x14ac:dyDescent="0.2">
      <c r="A7392" t="s">
        <v>22142</v>
      </c>
      <c r="B7392" t="s">
        <v>22143</v>
      </c>
      <c r="C7392" t="s">
        <v>22143</v>
      </c>
      <c r="D7392" t="str">
        <f>HYPERLINK("https://zfin.org/ZDB-GENE-110411-279")</f>
        <v>https://zfin.org/ZDB-GENE-110411-279</v>
      </c>
      <c r="E7392" t="s">
        <v>22144</v>
      </c>
    </row>
    <row r="7393" spans="1:5" x14ac:dyDescent="0.2">
      <c r="A7393" t="s">
        <v>22145</v>
      </c>
      <c r="B7393" t="s">
        <v>22146</v>
      </c>
      <c r="C7393" t="s">
        <v>22146</v>
      </c>
      <c r="D7393" t="str">
        <f>HYPERLINK("https://zfin.org/ZDB-GENE-131119-34")</f>
        <v>https://zfin.org/ZDB-GENE-131119-34</v>
      </c>
      <c r="E7393" t="s">
        <v>22147</v>
      </c>
    </row>
    <row r="7394" spans="1:5" x14ac:dyDescent="0.2">
      <c r="A7394" t="s">
        <v>22148</v>
      </c>
      <c r="B7394" t="s">
        <v>22149</v>
      </c>
      <c r="C7394" t="s">
        <v>22149</v>
      </c>
      <c r="D7394" t="str">
        <f>HYPERLINK("https://zfin.org/ZDB-GENE-030901-1")</f>
        <v>https://zfin.org/ZDB-GENE-030901-1</v>
      </c>
      <c r="E7394" t="s">
        <v>22150</v>
      </c>
    </row>
    <row r="7395" spans="1:5" x14ac:dyDescent="0.2">
      <c r="A7395" t="s">
        <v>22151</v>
      </c>
      <c r="B7395" t="s">
        <v>22152</v>
      </c>
      <c r="C7395" t="s">
        <v>22152</v>
      </c>
      <c r="D7395" t="str">
        <f>HYPERLINK("https://zfin.org/ZDB-GENE-050417-377")</f>
        <v>https://zfin.org/ZDB-GENE-050417-377</v>
      </c>
      <c r="E7395" t="s">
        <v>22153</v>
      </c>
    </row>
    <row r="7396" spans="1:5" x14ac:dyDescent="0.2">
      <c r="A7396" t="s">
        <v>22154</v>
      </c>
      <c r="B7396" t="s">
        <v>22155</v>
      </c>
      <c r="C7396" t="s">
        <v>22155</v>
      </c>
      <c r="D7396" t="str">
        <f>HYPERLINK("https://zfin.org/ZDB-GENE-030131-4255")</f>
        <v>https://zfin.org/ZDB-GENE-030131-4255</v>
      </c>
      <c r="E7396" t="s">
        <v>22156</v>
      </c>
    </row>
    <row r="7397" spans="1:5" x14ac:dyDescent="0.2">
      <c r="A7397" t="s">
        <v>22157</v>
      </c>
      <c r="B7397" t="s">
        <v>22158</v>
      </c>
      <c r="C7397" t="s">
        <v>22158</v>
      </c>
      <c r="D7397" t="str">
        <f>HYPERLINK("https://zfin.org/ZDB-GENE-060503-339")</f>
        <v>https://zfin.org/ZDB-GENE-060503-339</v>
      </c>
      <c r="E7397" t="s">
        <v>22159</v>
      </c>
    </row>
    <row r="7398" spans="1:5" x14ac:dyDescent="0.2">
      <c r="A7398" t="s">
        <v>22160</v>
      </c>
      <c r="B7398" t="s">
        <v>22161</v>
      </c>
      <c r="C7398" t="s">
        <v>22161</v>
      </c>
      <c r="D7398" t="str">
        <f>HYPERLINK("https://zfin.org/ZDB-GENE-121214-265")</f>
        <v>https://zfin.org/ZDB-GENE-121214-265</v>
      </c>
      <c r="E7398" t="s">
        <v>22162</v>
      </c>
    </row>
    <row r="7399" spans="1:5" x14ac:dyDescent="0.2">
      <c r="A7399" t="s">
        <v>22163</v>
      </c>
      <c r="B7399" t="s">
        <v>22164</v>
      </c>
      <c r="C7399" t="s">
        <v>22164</v>
      </c>
      <c r="D7399" t="str">
        <f>HYPERLINK("https://zfin.org/ZDB-GENE-030131-5055")</f>
        <v>https://zfin.org/ZDB-GENE-030131-5055</v>
      </c>
      <c r="E7399" t="s">
        <v>22165</v>
      </c>
    </row>
    <row r="7400" spans="1:5" x14ac:dyDescent="0.2">
      <c r="A7400" t="s">
        <v>22166</v>
      </c>
      <c r="B7400" t="s">
        <v>22167</v>
      </c>
      <c r="C7400" t="s">
        <v>22167</v>
      </c>
      <c r="D7400" t="str">
        <f>HYPERLINK("https://zfin.org/ZDB-GENE-040426-1041")</f>
        <v>https://zfin.org/ZDB-GENE-040426-1041</v>
      </c>
      <c r="E7400" t="s">
        <v>22168</v>
      </c>
    </row>
    <row r="7401" spans="1:5" x14ac:dyDescent="0.2">
      <c r="A7401" t="s">
        <v>22169</v>
      </c>
      <c r="B7401" t="s">
        <v>22170</v>
      </c>
      <c r="C7401" t="s">
        <v>22170</v>
      </c>
      <c r="D7401" t="str">
        <f>HYPERLINK("https://zfin.org/ZDB-GENE-050417-190")</f>
        <v>https://zfin.org/ZDB-GENE-050417-190</v>
      </c>
      <c r="E7401" t="s">
        <v>22171</v>
      </c>
    </row>
    <row r="7402" spans="1:5" x14ac:dyDescent="0.2">
      <c r="A7402" t="s">
        <v>22172</v>
      </c>
      <c r="B7402" t="s">
        <v>22173</v>
      </c>
      <c r="C7402" t="s">
        <v>22173</v>
      </c>
      <c r="D7402" t="str">
        <f>HYPERLINK("https://zfin.org/ZDB-GENE-121214-363")</f>
        <v>https://zfin.org/ZDB-GENE-121214-363</v>
      </c>
      <c r="E7402" t="s">
        <v>22174</v>
      </c>
    </row>
    <row r="7403" spans="1:5" x14ac:dyDescent="0.2">
      <c r="A7403" t="s">
        <v>22175</v>
      </c>
      <c r="B7403" t="s">
        <v>22176</v>
      </c>
      <c r="C7403" t="s">
        <v>22176</v>
      </c>
      <c r="D7403" t="str">
        <f>HYPERLINK("https://zfin.org/ZDB-GENE-041008-74")</f>
        <v>https://zfin.org/ZDB-GENE-041008-74</v>
      </c>
      <c r="E7403" t="s">
        <v>22177</v>
      </c>
    </row>
    <row r="7404" spans="1:5" x14ac:dyDescent="0.2">
      <c r="A7404" t="s">
        <v>22178</v>
      </c>
      <c r="B7404" t="s">
        <v>22179</v>
      </c>
      <c r="C7404" t="s">
        <v>22179</v>
      </c>
      <c r="D7404" t="str">
        <f>HYPERLINK("https://zfin.org/ZDB-GENE-030826-12")</f>
        <v>https://zfin.org/ZDB-GENE-030826-12</v>
      </c>
      <c r="E7404" t="s">
        <v>22180</v>
      </c>
    </row>
    <row r="7405" spans="1:5" x14ac:dyDescent="0.2">
      <c r="A7405" t="s">
        <v>22181</v>
      </c>
      <c r="B7405" t="s">
        <v>22182</v>
      </c>
      <c r="C7405" t="s">
        <v>22183</v>
      </c>
      <c r="D7405" t="str">
        <f>HYPERLINK("https://zfin.org/ZDB-GENE-060310-2")</f>
        <v>https://zfin.org/ZDB-GENE-060310-2</v>
      </c>
      <c r="E7405" t="s">
        <v>22184</v>
      </c>
    </row>
    <row r="7406" spans="1:5" x14ac:dyDescent="0.2">
      <c r="A7406" t="s">
        <v>22185</v>
      </c>
      <c r="B7406" t="s">
        <v>22186</v>
      </c>
      <c r="C7406" t="s">
        <v>22186</v>
      </c>
      <c r="D7406" t="str">
        <f>HYPERLINK("https://zfin.org/ZDB-GENE-040426-2945")</f>
        <v>https://zfin.org/ZDB-GENE-040426-2945</v>
      </c>
      <c r="E7406" t="s">
        <v>22187</v>
      </c>
    </row>
    <row r="7407" spans="1:5" x14ac:dyDescent="0.2">
      <c r="A7407" t="s">
        <v>22188</v>
      </c>
      <c r="B7407" t="s">
        <v>22189</v>
      </c>
      <c r="C7407" t="s">
        <v>22189</v>
      </c>
      <c r="D7407" t="str">
        <f>HYPERLINK("https://zfin.org/ZDB-GENE-030131-8210")</f>
        <v>https://zfin.org/ZDB-GENE-030131-8210</v>
      </c>
      <c r="E7407" t="s">
        <v>22190</v>
      </c>
    </row>
    <row r="7408" spans="1:5" x14ac:dyDescent="0.2">
      <c r="A7408" t="s">
        <v>22191</v>
      </c>
      <c r="B7408" t="s">
        <v>22192</v>
      </c>
      <c r="C7408" t="s">
        <v>22192</v>
      </c>
      <c r="D7408" t="str">
        <f>HYPERLINK("https://zfin.org/ZDB-GENE-020402-5")</f>
        <v>https://zfin.org/ZDB-GENE-020402-5</v>
      </c>
      <c r="E7408" t="s">
        <v>22193</v>
      </c>
    </row>
    <row r="7409" spans="1:5" x14ac:dyDescent="0.2">
      <c r="A7409" t="s">
        <v>22194</v>
      </c>
      <c r="B7409" t="s">
        <v>22195</v>
      </c>
      <c r="C7409" t="s">
        <v>22195</v>
      </c>
      <c r="D7409" t="str">
        <f>HYPERLINK("https://zfin.org/ZDB-GENE-030616-151")</f>
        <v>https://zfin.org/ZDB-GENE-030616-151</v>
      </c>
      <c r="E7409" t="s">
        <v>22196</v>
      </c>
    </row>
    <row r="7410" spans="1:5" x14ac:dyDescent="0.2">
      <c r="A7410" t="s">
        <v>22197</v>
      </c>
      <c r="B7410" t="s">
        <v>22198</v>
      </c>
      <c r="C7410" t="s">
        <v>22198</v>
      </c>
      <c r="D7410" t="str">
        <f>HYPERLINK("https://zfin.org/ZDB-GENE-090909-2")</f>
        <v>https://zfin.org/ZDB-GENE-090909-2</v>
      </c>
      <c r="E7410" t="s">
        <v>22199</v>
      </c>
    </row>
    <row r="7411" spans="1:5" x14ac:dyDescent="0.2">
      <c r="A7411" t="s">
        <v>22200</v>
      </c>
      <c r="B7411" t="s">
        <v>22201</v>
      </c>
      <c r="C7411" t="s">
        <v>22201</v>
      </c>
      <c r="D7411" t="str">
        <f>HYPERLINK("https://zfin.org/ZDB-GENE-040426-719")</f>
        <v>https://zfin.org/ZDB-GENE-040426-719</v>
      </c>
      <c r="E7411" t="s">
        <v>22202</v>
      </c>
    </row>
    <row r="7412" spans="1:5" x14ac:dyDescent="0.2">
      <c r="A7412" t="s">
        <v>22203</v>
      </c>
      <c r="B7412" t="s">
        <v>22204</v>
      </c>
      <c r="C7412" t="s">
        <v>22204</v>
      </c>
      <c r="D7412" t="str">
        <f>HYPERLINK("https://zfin.org/ZDB-GENE-040426-2222")</f>
        <v>https://zfin.org/ZDB-GENE-040426-2222</v>
      </c>
      <c r="E7412" t="s">
        <v>22205</v>
      </c>
    </row>
    <row r="7413" spans="1:5" x14ac:dyDescent="0.2">
      <c r="A7413" t="s">
        <v>22206</v>
      </c>
      <c r="B7413" t="s">
        <v>22207</v>
      </c>
      <c r="C7413" t="s">
        <v>22207</v>
      </c>
      <c r="D7413" t="str">
        <f>HYPERLINK("https://zfin.org/ZDB-GENE-060421-5255")</f>
        <v>https://zfin.org/ZDB-GENE-060421-5255</v>
      </c>
      <c r="E7413" t="s">
        <v>22208</v>
      </c>
    </row>
    <row r="7414" spans="1:5" x14ac:dyDescent="0.2">
      <c r="A7414" t="s">
        <v>22209</v>
      </c>
      <c r="B7414" t="s">
        <v>22210</v>
      </c>
      <c r="C7414" t="s">
        <v>22210</v>
      </c>
      <c r="D7414" t="str">
        <f>HYPERLINK("https://zfin.org/ZDB-GENE-090313-87")</f>
        <v>https://zfin.org/ZDB-GENE-090313-87</v>
      </c>
      <c r="E7414" t="s">
        <v>22211</v>
      </c>
    </row>
    <row r="7415" spans="1:5" x14ac:dyDescent="0.2">
      <c r="A7415" t="s">
        <v>22212</v>
      </c>
      <c r="B7415" t="s">
        <v>22213</v>
      </c>
      <c r="C7415" t="s">
        <v>22213</v>
      </c>
      <c r="D7415" t="str">
        <f>HYPERLINK("https://zfin.org/ZDB-GENE-060510-4")</f>
        <v>https://zfin.org/ZDB-GENE-060510-4</v>
      </c>
      <c r="E7415" t="s">
        <v>22214</v>
      </c>
    </row>
    <row r="7416" spans="1:5" x14ac:dyDescent="0.2">
      <c r="A7416" t="s">
        <v>22215</v>
      </c>
      <c r="B7416" t="s">
        <v>22216</v>
      </c>
      <c r="C7416" t="s">
        <v>22216</v>
      </c>
      <c r="D7416" t="str">
        <f>HYPERLINK("https://zfin.org/ZDB-GENE-030131-5287")</f>
        <v>https://zfin.org/ZDB-GENE-030131-5287</v>
      </c>
      <c r="E7416" t="s">
        <v>22217</v>
      </c>
    </row>
    <row r="7417" spans="1:5" x14ac:dyDescent="0.2">
      <c r="A7417" t="s">
        <v>22218</v>
      </c>
      <c r="B7417" t="s">
        <v>22219</v>
      </c>
      <c r="C7417" t="s">
        <v>22219</v>
      </c>
      <c r="D7417" t="str">
        <f>HYPERLINK("https://zfin.org/ZDB-GENE-131121-11")</f>
        <v>https://zfin.org/ZDB-GENE-131121-11</v>
      </c>
      <c r="E7417" t="s">
        <v>22220</v>
      </c>
    </row>
    <row r="7418" spans="1:5" x14ac:dyDescent="0.2">
      <c r="A7418" t="s">
        <v>22221</v>
      </c>
      <c r="B7418" t="s">
        <v>22222</v>
      </c>
      <c r="C7418" t="s">
        <v>22222</v>
      </c>
      <c r="D7418" t="str">
        <f>HYPERLINK("https://zfin.org/ZDB-GENE-141212-315")</f>
        <v>https://zfin.org/ZDB-GENE-141212-315</v>
      </c>
      <c r="E7418" t="s">
        <v>22223</v>
      </c>
    </row>
    <row r="7419" spans="1:5" x14ac:dyDescent="0.2">
      <c r="A7419" t="s">
        <v>22224</v>
      </c>
      <c r="B7419" t="s">
        <v>22225</v>
      </c>
      <c r="C7419" t="s">
        <v>22225</v>
      </c>
      <c r="D7419" t="str">
        <f>HYPERLINK("https://zfin.org/ZDB-GENE-040426-1266")</f>
        <v>https://zfin.org/ZDB-GENE-040426-1266</v>
      </c>
      <c r="E7419" t="s">
        <v>22226</v>
      </c>
    </row>
    <row r="7420" spans="1:5" x14ac:dyDescent="0.2">
      <c r="A7420" t="s">
        <v>22227</v>
      </c>
      <c r="B7420" t="s">
        <v>22228</v>
      </c>
      <c r="C7420" t="s">
        <v>22228</v>
      </c>
      <c r="D7420" t="str">
        <f>HYPERLINK("https://zfin.org/ZDB-GENE-030131-6058")</f>
        <v>https://zfin.org/ZDB-GENE-030131-6058</v>
      </c>
      <c r="E7420" t="s">
        <v>22229</v>
      </c>
    </row>
    <row r="7421" spans="1:5" x14ac:dyDescent="0.2">
      <c r="A7421" t="s">
        <v>22230</v>
      </c>
      <c r="B7421" t="s">
        <v>22231</v>
      </c>
      <c r="C7421" t="s">
        <v>22231</v>
      </c>
      <c r="D7421" t="str">
        <f>HYPERLINK("https://zfin.org/ZDB-GENE-040724-10")</f>
        <v>https://zfin.org/ZDB-GENE-040724-10</v>
      </c>
      <c r="E7421" t="s">
        <v>22232</v>
      </c>
    </row>
    <row r="7422" spans="1:5" x14ac:dyDescent="0.2">
      <c r="A7422" t="s">
        <v>22233</v>
      </c>
      <c r="B7422" t="s">
        <v>22234</v>
      </c>
      <c r="C7422" t="s">
        <v>22234</v>
      </c>
      <c r="D7422" t="str">
        <f>HYPERLINK("https://zfin.org/ZDB-GENE-040625-69")</f>
        <v>https://zfin.org/ZDB-GENE-040625-69</v>
      </c>
      <c r="E7422" t="s">
        <v>22235</v>
      </c>
    </row>
    <row r="7423" spans="1:5" x14ac:dyDescent="0.2">
      <c r="A7423" t="s">
        <v>22236</v>
      </c>
      <c r="B7423" t="s">
        <v>22237</v>
      </c>
      <c r="C7423" t="s">
        <v>22237</v>
      </c>
      <c r="D7423" t="str">
        <f>HYPERLINK("https://zfin.org/ZDB-GENE-070928-15")</f>
        <v>https://zfin.org/ZDB-GENE-070928-15</v>
      </c>
      <c r="E7423" t="s">
        <v>22238</v>
      </c>
    </row>
    <row r="7424" spans="1:5" x14ac:dyDescent="0.2">
      <c r="A7424" t="s">
        <v>22239</v>
      </c>
      <c r="B7424" t="s">
        <v>22240</v>
      </c>
      <c r="C7424" t="s">
        <v>22240</v>
      </c>
      <c r="D7424" t="str">
        <f>HYPERLINK("https://zfin.org/ZDB-GENE-040426-1543")</f>
        <v>https://zfin.org/ZDB-GENE-040426-1543</v>
      </c>
      <c r="E7424" t="s">
        <v>22241</v>
      </c>
    </row>
    <row r="7425" spans="1:5" x14ac:dyDescent="0.2">
      <c r="A7425" t="s">
        <v>22242</v>
      </c>
      <c r="B7425" t="s">
        <v>22243</v>
      </c>
      <c r="C7425" t="s">
        <v>22243</v>
      </c>
      <c r="D7425" t="str">
        <f>HYPERLINK("https://zfin.org/ZDB-GENE-070209-220")</f>
        <v>https://zfin.org/ZDB-GENE-070209-220</v>
      </c>
      <c r="E7425" t="s">
        <v>22244</v>
      </c>
    </row>
    <row r="7426" spans="1:5" x14ac:dyDescent="0.2">
      <c r="A7426" t="s">
        <v>22245</v>
      </c>
      <c r="B7426" t="s">
        <v>22246</v>
      </c>
      <c r="C7426" t="s">
        <v>22246</v>
      </c>
      <c r="D7426" t="str">
        <f>HYPERLINK("https://zfin.org/ZDB-GENE-050208-371")</f>
        <v>https://zfin.org/ZDB-GENE-050208-371</v>
      </c>
      <c r="E7426" t="s">
        <v>22247</v>
      </c>
    </row>
    <row r="7427" spans="1:5" x14ac:dyDescent="0.2">
      <c r="A7427" t="s">
        <v>22248</v>
      </c>
      <c r="B7427" t="s">
        <v>22249</v>
      </c>
      <c r="C7427" t="s">
        <v>22249</v>
      </c>
      <c r="D7427" t="str">
        <f>HYPERLINK("https://zfin.org/ZDB-GENE-030131-8179")</f>
        <v>https://zfin.org/ZDB-GENE-030131-8179</v>
      </c>
      <c r="E7427" t="s">
        <v>22250</v>
      </c>
    </row>
    <row r="7428" spans="1:5" x14ac:dyDescent="0.2">
      <c r="A7428" t="s">
        <v>22251</v>
      </c>
      <c r="B7428" t="s">
        <v>22252</v>
      </c>
      <c r="C7428" t="s">
        <v>22252</v>
      </c>
      <c r="D7428" t="str">
        <f>HYPERLINK("https://zfin.org/ZDB-GENE-040426-1473")</f>
        <v>https://zfin.org/ZDB-GENE-040426-1473</v>
      </c>
      <c r="E7428" t="s">
        <v>22253</v>
      </c>
    </row>
    <row r="7429" spans="1:5" x14ac:dyDescent="0.2">
      <c r="A7429" t="s">
        <v>22254</v>
      </c>
      <c r="B7429" t="s">
        <v>22255</v>
      </c>
      <c r="C7429" t="s">
        <v>22255</v>
      </c>
      <c r="D7429" t="str">
        <f>HYPERLINK("https://zfin.org/ZDB-GENE-050419-19")</f>
        <v>https://zfin.org/ZDB-GENE-050419-19</v>
      </c>
      <c r="E7429" t="s">
        <v>22256</v>
      </c>
    </row>
    <row r="7430" spans="1:5" x14ac:dyDescent="0.2">
      <c r="A7430" t="s">
        <v>22257</v>
      </c>
      <c r="B7430" t="s">
        <v>22258</v>
      </c>
      <c r="C7430" t="s">
        <v>22258</v>
      </c>
      <c r="D7430" t="str">
        <f>HYPERLINK("https://zfin.org/ZDB-GENE-110310-6")</f>
        <v>https://zfin.org/ZDB-GENE-110310-6</v>
      </c>
      <c r="E7430" t="s">
        <v>22259</v>
      </c>
    </row>
    <row r="7431" spans="1:5" x14ac:dyDescent="0.2">
      <c r="A7431" t="s">
        <v>22260</v>
      </c>
      <c r="B7431" t="s">
        <v>22261</v>
      </c>
      <c r="C7431" t="s">
        <v>22261</v>
      </c>
      <c r="D7431" t="str">
        <f>HYPERLINK("https://zfin.org/ZDB-GENE-050609-9")</f>
        <v>https://zfin.org/ZDB-GENE-050609-9</v>
      </c>
      <c r="E7431" t="s">
        <v>22262</v>
      </c>
    </row>
    <row r="7432" spans="1:5" x14ac:dyDescent="0.2">
      <c r="A7432" t="s">
        <v>22263</v>
      </c>
      <c r="B7432" t="s">
        <v>22264</v>
      </c>
      <c r="C7432" t="s">
        <v>22264</v>
      </c>
      <c r="D7432" t="str">
        <f>HYPERLINK("https://zfin.org/ZDB-GENE-050608-3")</f>
        <v>https://zfin.org/ZDB-GENE-050608-3</v>
      </c>
      <c r="E7432" t="s">
        <v>22265</v>
      </c>
    </row>
    <row r="7433" spans="1:5" x14ac:dyDescent="0.2">
      <c r="A7433" t="s">
        <v>22266</v>
      </c>
      <c r="B7433" t="s">
        <v>22267</v>
      </c>
      <c r="C7433" t="s">
        <v>22267</v>
      </c>
      <c r="D7433" t="str">
        <f>HYPERLINK("https://zfin.org/ZDB-GENE-030131-4489")</f>
        <v>https://zfin.org/ZDB-GENE-030131-4489</v>
      </c>
      <c r="E7433" t="s">
        <v>22268</v>
      </c>
    </row>
    <row r="7434" spans="1:5" x14ac:dyDescent="0.2">
      <c r="A7434" t="s">
        <v>22269</v>
      </c>
      <c r="B7434" t="s">
        <v>22270</v>
      </c>
      <c r="C7434" t="s">
        <v>22270</v>
      </c>
      <c r="D7434" t="str">
        <f>HYPERLINK("https://zfin.org/ZDB-GENE-081104-189")</f>
        <v>https://zfin.org/ZDB-GENE-081104-189</v>
      </c>
      <c r="E7434" t="s">
        <v>22271</v>
      </c>
    </row>
    <row r="7435" spans="1:5" x14ac:dyDescent="0.2">
      <c r="A7435" t="s">
        <v>22272</v>
      </c>
      <c r="B7435" t="s">
        <v>22273</v>
      </c>
      <c r="C7435" t="s">
        <v>22273</v>
      </c>
      <c r="D7435" t="str">
        <f>HYPERLINK("https://zfin.org/ZDB-GENE-040718-161")</f>
        <v>https://zfin.org/ZDB-GENE-040718-161</v>
      </c>
      <c r="E7435" t="s">
        <v>22274</v>
      </c>
    </row>
    <row r="7436" spans="1:5" x14ac:dyDescent="0.2">
      <c r="A7436" t="s">
        <v>22275</v>
      </c>
      <c r="B7436" t="s">
        <v>22276</v>
      </c>
      <c r="C7436" t="s">
        <v>22276</v>
      </c>
      <c r="D7436" t="str">
        <f>HYPERLINK("https://zfin.org/ZDB-GENE-061027-93")</f>
        <v>https://zfin.org/ZDB-GENE-061027-93</v>
      </c>
      <c r="E7436" t="s">
        <v>22277</v>
      </c>
    </row>
    <row r="7437" spans="1:5" x14ac:dyDescent="0.2">
      <c r="A7437" t="s">
        <v>22278</v>
      </c>
      <c r="B7437" t="s">
        <v>22279</v>
      </c>
      <c r="C7437" t="s">
        <v>22279</v>
      </c>
      <c r="D7437" t="str">
        <f>HYPERLINK("https://zfin.org/ZDB-GENE-980526-104")</f>
        <v>https://zfin.org/ZDB-GENE-980526-104</v>
      </c>
      <c r="E7437" t="s">
        <v>22280</v>
      </c>
    </row>
    <row r="7438" spans="1:5" x14ac:dyDescent="0.2">
      <c r="A7438" t="s">
        <v>22281</v>
      </c>
      <c r="B7438" t="s">
        <v>22282</v>
      </c>
      <c r="C7438" t="s">
        <v>22282</v>
      </c>
      <c r="D7438" t="str">
        <f>HYPERLINK("https://zfin.org/ZDB-GENE-030131-6506")</f>
        <v>https://zfin.org/ZDB-GENE-030131-6506</v>
      </c>
      <c r="E7438" t="s">
        <v>22283</v>
      </c>
    </row>
    <row r="7439" spans="1:5" x14ac:dyDescent="0.2">
      <c r="A7439" t="s">
        <v>22284</v>
      </c>
      <c r="B7439" t="s">
        <v>22285</v>
      </c>
      <c r="C7439" t="s">
        <v>22285</v>
      </c>
      <c r="D7439" t="str">
        <f>HYPERLINK("https://zfin.org/ZDB-GENE-110914-182")</f>
        <v>https://zfin.org/ZDB-GENE-110914-182</v>
      </c>
      <c r="E7439" t="s">
        <v>22286</v>
      </c>
    </row>
    <row r="7440" spans="1:5" x14ac:dyDescent="0.2">
      <c r="A7440" t="s">
        <v>22287</v>
      </c>
      <c r="B7440" t="s">
        <v>22288</v>
      </c>
      <c r="C7440" t="s">
        <v>22288</v>
      </c>
      <c r="D7440" t="str">
        <f>HYPERLINK("https://zfin.org/ZDB-GENE-030828-3")</f>
        <v>https://zfin.org/ZDB-GENE-030828-3</v>
      </c>
      <c r="E7440" t="s">
        <v>22289</v>
      </c>
    </row>
    <row r="7441" spans="1:5" x14ac:dyDescent="0.2">
      <c r="A7441" t="s">
        <v>22290</v>
      </c>
      <c r="B7441" t="s">
        <v>22291</v>
      </c>
      <c r="C7441" t="s">
        <v>22291</v>
      </c>
      <c r="D7441" t="str">
        <f>HYPERLINK("https://zfin.org/ZDB-GENE-040426-2651")</f>
        <v>https://zfin.org/ZDB-GENE-040426-2651</v>
      </c>
      <c r="E7441" t="s">
        <v>22292</v>
      </c>
    </row>
    <row r="7442" spans="1:5" x14ac:dyDescent="0.2">
      <c r="A7442" t="s">
        <v>22293</v>
      </c>
      <c r="B7442" t="s">
        <v>22294</v>
      </c>
      <c r="C7442" t="s">
        <v>22294</v>
      </c>
      <c r="D7442" t="str">
        <f>HYPERLINK("https://zfin.org/ZDB-GENE-990715-14")</f>
        <v>https://zfin.org/ZDB-GENE-990715-14</v>
      </c>
      <c r="E7442" t="s">
        <v>22295</v>
      </c>
    </row>
    <row r="7443" spans="1:5" x14ac:dyDescent="0.2">
      <c r="A7443" t="s">
        <v>22296</v>
      </c>
      <c r="B7443" t="s">
        <v>22297</v>
      </c>
      <c r="C7443" t="s">
        <v>22297</v>
      </c>
      <c r="D7443" t="str">
        <f>HYPERLINK("https://zfin.org/ZDB-GENE-040426-833")</f>
        <v>https://zfin.org/ZDB-GENE-040426-833</v>
      </c>
      <c r="E7443" t="s">
        <v>22298</v>
      </c>
    </row>
    <row r="7444" spans="1:5" x14ac:dyDescent="0.2">
      <c r="A7444" t="s">
        <v>22299</v>
      </c>
      <c r="B7444" t="s">
        <v>22300</v>
      </c>
      <c r="C7444" t="s">
        <v>22300</v>
      </c>
      <c r="D7444" t="str">
        <f>HYPERLINK("https://zfin.org/ZDB-GENE-040426-1325")</f>
        <v>https://zfin.org/ZDB-GENE-040426-1325</v>
      </c>
      <c r="E7444" t="s">
        <v>22301</v>
      </c>
    </row>
    <row r="7445" spans="1:5" x14ac:dyDescent="0.2">
      <c r="A7445" t="s">
        <v>22302</v>
      </c>
      <c r="B7445" t="s">
        <v>22303</v>
      </c>
      <c r="C7445" t="s">
        <v>22303</v>
      </c>
      <c r="D7445" t="str">
        <f>HYPERLINK("https://zfin.org/ZDB-GENE-050327-12")</f>
        <v>https://zfin.org/ZDB-GENE-050327-12</v>
      </c>
      <c r="E7445" t="s">
        <v>22304</v>
      </c>
    </row>
    <row r="7446" spans="1:5" x14ac:dyDescent="0.2">
      <c r="A7446" t="s">
        <v>22305</v>
      </c>
      <c r="B7446" t="s">
        <v>22306</v>
      </c>
      <c r="C7446" t="s">
        <v>22306</v>
      </c>
      <c r="D7446" t="str">
        <f>HYPERLINK("https://zfin.org/ZDB-GENE-080204-90")</f>
        <v>https://zfin.org/ZDB-GENE-080204-90</v>
      </c>
      <c r="E7446" t="s">
        <v>22307</v>
      </c>
    </row>
    <row r="7447" spans="1:5" x14ac:dyDescent="0.2">
      <c r="A7447" t="s">
        <v>22308</v>
      </c>
      <c r="B7447" t="s">
        <v>22309</v>
      </c>
      <c r="C7447" t="s">
        <v>22309</v>
      </c>
      <c r="D7447" t="str">
        <f>HYPERLINK("https://zfin.org/ZDB-GENE-141216-164")</f>
        <v>https://zfin.org/ZDB-GENE-141216-164</v>
      </c>
      <c r="E7447" t="s">
        <v>22310</v>
      </c>
    </row>
    <row r="7448" spans="1:5" x14ac:dyDescent="0.2">
      <c r="A7448" t="s">
        <v>22311</v>
      </c>
      <c r="B7448" t="s">
        <v>22312</v>
      </c>
      <c r="C7448" t="s">
        <v>22312</v>
      </c>
      <c r="D7448" t="str">
        <f>HYPERLINK("https://zfin.org/ZDB-GENE-060526-284")</f>
        <v>https://zfin.org/ZDB-GENE-060526-284</v>
      </c>
      <c r="E7448" t="s">
        <v>22313</v>
      </c>
    </row>
    <row r="7449" spans="1:5" x14ac:dyDescent="0.2">
      <c r="A7449" t="s">
        <v>22314</v>
      </c>
      <c r="B7449" t="s">
        <v>22315</v>
      </c>
      <c r="C7449" t="s">
        <v>22315</v>
      </c>
      <c r="D7449" t="str">
        <f>HYPERLINK("https://zfin.org/ZDB-GENE-131127-170")</f>
        <v>https://zfin.org/ZDB-GENE-131127-170</v>
      </c>
      <c r="E7449" t="s">
        <v>22316</v>
      </c>
    </row>
    <row r="7450" spans="1:5" x14ac:dyDescent="0.2">
      <c r="A7450" t="s">
        <v>22317</v>
      </c>
      <c r="B7450" t="s">
        <v>22318</v>
      </c>
      <c r="C7450" t="s">
        <v>22318</v>
      </c>
      <c r="D7450" t="str">
        <f>HYPERLINK("https://zfin.org/ZDB-GENE-041212-31")</f>
        <v>https://zfin.org/ZDB-GENE-041212-31</v>
      </c>
      <c r="E7450" t="s">
        <v>22319</v>
      </c>
    </row>
    <row r="7451" spans="1:5" x14ac:dyDescent="0.2">
      <c r="A7451" t="s">
        <v>22320</v>
      </c>
      <c r="B7451" t="s">
        <v>22321</v>
      </c>
      <c r="C7451" t="s">
        <v>22321</v>
      </c>
      <c r="D7451" t="str">
        <f>HYPERLINK("https://zfin.org/ZDB-GENE-070410-51")</f>
        <v>https://zfin.org/ZDB-GENE-070410-51</v>
      </c>
      <c r="E7451" t="s">
        <v>22322</v>
      </c>
    </row>
    <row r="7452" spans="1:5" x14ac:dyDescent="0.2">
      <c r="A7452" t="s">
        <v>22323</v>
      </c>
      <c r="B7452" t="s">
        <v>22324</v>
      </c>
      <c r="C7452" t="s">
        <v>22324</v>
      </c>
      <c r="D7452" t="str">
        <f>HYPERLINK("https://zfin.org/ZDB-GENE-040718-463")</f>
        <v>https://zfin.org/ZDB-GENE-040718-463</v>
      </c>
      <c r="E7452" t="s">
        <v>22325</v>
      </c>
    </row>
    <row r="7453" spans="1:5" x14ac:dyDescent="0.2">
      <c r="A7453" t="s">
        <v>22326</v>
      </c>
      <c r="B7453" t="s">
        <v>22327</v>
      </c>
      <c r="C7453" t="s">
        <v>22327</v>
      </c>
      <c r="D7453" t="str">
        <f>HYPERLINK("https://zfin.org/ZDB-GENE-040426-2918")</f>
        <v>https://zfin.org/ZDB-GENE-040426-2918</v>
      </c>
      <c r="E7453" t="s">
        <v>22328</v>
      </c>
    </row>
    <row r="7454" spans="1:5" x14ac:dyDescent="0.2">
      <c r="A7454" t="s">
        <v>22329</v>
      </c>
      <c r="B7454" t="s">
        <v>22330</v>
      </c>
      <c r="C7454" t="s">
        <v>22330</v>
      </c>
      <c r="D7454" t="str">
        <f>HYPERLINK("https://zfin.org/ZDB-GENE-041010-208")</f>
        <v>https://zfin.org/ZDB-GENE-041010-208</v>
      </c>
      <c r="E7454" t="s">
        <v>22331</v>
      </c>
    </row>
    <row r="7455" spans="1:5" x14ac:dyDescent="0.2">
      <c r="A7455" t="s">
        <v>22332</v>
      </c>
      <c r="B7455" t="s">
        <v>22333</v>
      </c>
      <c r="C7455" t="s">
        <v>22333</v>
      </c>
      <c r="D7455" t="str">
        <f>HYPERLINK("https://zfin.org/ZDB-GENE-060929-1122")</f>
        <v>https://zfin.org/ZDB-GENE-060929-1122</v>
      </c>
      <c r="E7455" t="s">
        <v>22334</v>
      </c>
    </row>
    <row r="7456" spans="1:5" x14ac:dyDescent="0.2">
      <c r="A7456" t="s">
        <v>22335</v>
      </c>
      <c r="B7456" t="s">
        <v>22336</v>
      </c>
      <c r="C7456" t="s">
        <v>22336</v>
      </c>
      <c r="D7456" t="str">
        <f>HYPERLINK("https://zfin.org/ZDB-GENE-040426-1167")</f>
        <v>https://zfin.org/ZDB-GENE-040426-1167</v>
      </c>
      <c r="E7456" t="s">
        <v>22337</v>
      </c>
    </row>
    <row r="7457" spans="1:5" x14ac:dyDescent="0.2">
      <c r="A7457" t="s">
        <v>22338</v>
      </c>
      <c r="B7457" t="s">
        <v>22339</v>
      </c>
      <c r="C7457" t="s">
        <v>22339</v>
      </c>
      <c r="D7457" t="str">
        <f>HYPERLINK("https://zfin.org/ZDB-GENE-061108-1")</f>
        <v>https://zfin.org/ZDB-GENE-061108-1</v>
      </c>
      <c r="E7457" t="s">
        <v>22340</v>
      </c>
    </row>
    <row r="7458" spans="1:5" x14ac:dyDescent="0.2">
      <c r="A7458" t="s">
        <v>22341</v>
      </c>
      <c r="B7458" t="s">
        <v>22342</v>
      </c>
      <c r="C7458" t="s">
        <v>22342</v>
      </c>
      <c r="D7458" t="str">
        <f>HYPERLINK("https://zfin.org/ZDB-GENE-040704-20")</f>
        <v>https://zfin.org/ZDB-GENE-040704-20</v>
      </c>
      <c r="E7458" t="s">
        <v>22343</v>
      </c>
    </row>
    <row r="7459" spans="1:5" x14ac:dyDescent="0.2">
      <c r="A7459" t="s">
        <v>22344</v>
      </c>
      <c r="B7459" t="s">
        <v>22345</v>
      </c>
      <c r="C7459" t="s">
        <v>22345</v>
      </c>
      <c r="D7459" t="str">
        <f>HYPERLINK("https://zfin.org/ZDB-GENE-021115-1")</f>
        <v>https://zfin.org/ZDB-GENE-021115-1</v>
      </c>
      <c r="E7459" t="s">
        <v>22346</v>
      </c>
    </row>
    <row r="7460" spans="1:5" x14ac:dyDescent="0.2">
      <c r="A7460" t="s">
        <v>22347</v>
      </c>
      <c r="B7460" t="s">
        <v>22348</v>
      </c>
      <c r="C7460" t="s">
        <v>22348</v>
      </c>
      <c r="D7460" t="str">
        <f>HYPERLINK("https://zfin.org/ZDB-GENE-040426-2533")</f>
        <v>https://zfin.org/ZDB-GENE-040426-2533</v>
      </c>
      <c r="E7460" t="s">
        <v>22349</v>
      </c>
    </row>
    <row r="7461" spans="1:5" x14ac:dyDescent="0.2">
      <c r="A7461" t="s">
        <v>22350</v>
      </c>
      <c r="B7461" t="s">
        <v>22351</v>
      </c>
      <c r="C7461" t="s">
        <v>22351</v>
      </c>
      <c r="D7461" t="str">
        <f>HYPERLINK("https://zfin.org/ZDB-GENE-040426-1889")</f>
        <v>https://zfin.org/ZDB-GENE-040426-1889</v>
      </c>
      <c r="E7461" t="s">
        <v>22352</v>
      </c>
    </row>
    <row r="7462" spans="1:5" x14ac:dyDescent="0.2">
      <c r="A7462" t="s">
        <v>22353</v>
      </c>
      <c r="B7462" t="s">
        <v>22354</v>
      </c>
      <c r="C7462" t="s">
        <v>22354</v>
      </c>
      <c r="D7462" t="str">
        <f>HYPERLINK("https://zfin.org/ZDB-GENE-090312-172")</f>
        <v>https://zfin.org/ZDB-GENE-090312-172</v>
      </c>
      <c r="E7462" t="s">
        <v>22355</v>
      </c>
    </row>
    <row r="7463" spans="1:5" x14ac:dyDescent="0.2">
      <c r="A7463" t="s">
        <v>22356</v>
      </c>
      <c r="B7463" t="s">
        <v>22357</v>
      </c>
      <c r="C7463" t="s">
        <v>22357</v>
      </c>
      <c r="D7463" t="str">
        <f>HYPERLINK("https://zfin.org/ZDB-GENE-040426-1144")</f>
        <v>https://zfin.org/ZDB-GENE-040426-1144</v>
      </c>
      <c r="E7463" t="s">
        <v>22358</v>
      </c>
    </row>
    <row r="7464" spans="1:5" x14ac:dyDescent="0.2">
      <c r="A7464" t="s">
        <v>22359</v>
      </c>
      <c r="B7464" t="s">
        <v>22360</v>
      </c>
      <c r="C7464" t="s">
        <v>22360</v>
      </c>
      <c r="D7464" t="str">
        <f>HYPERLINK("https://zfin.org/ZDB-GENE-031112-9")</f>
        <v>https://zfin.org/ZDB-GENE-031112-9</v>
      </c>
      <c r="E7464" t="s">
        <v>22361</v>
      </c>
    </row>
    <row r="7465" spans="1:5" x14ac:dyDescent="0.2">
      <c r="A7465" t="s">
        <v>22362</v>
      </c>
      <c r="B7465" t="s">
        <v>22363</v>
      </c>
      <c r="C7465" t="s">
        <v>22363</v>
      </c>
      <c r="D7465" t="str">
        <f>HYPERLINK("https://zfin.org/ZDB-GENE-030131-9832")</f>
        <v>https://zfin.org/ZDB-GENE-030131-9832</v>
      </c>
      <c r="E7465" t="s">
        <v>22364</v>
      </c>
    </row>
    <row r="7466" spans="1:5" x14ac:dyDescent="0.2">
      <c r="A7466" t="s">
        <v>22365</v>
      </c>
      <c r="B7466" t="s">
        <v>22366</v>
      </c>
      <c r="C7466" t="s">
        <v>22366</v>
      </c>
      <c r="D7466" t="str">
        <f>HYPERLINK("https://zfin.org/ZDB-GENE-040426-2652")</f>
        <v>https://zfin.org/ZDB-GENE-040426-2652</v>
      </c>
      <c r="E7466" t="s">
        <v>22367</v>
      </c>
    </row>
    <row r="7467" spans="1:5" x14ac:dyDescent="0.2">
      <c r="A7467" t="s">
        <v>22368</v>
      </c>
      <c r="B7467" t="s">
        <v>22369</v>
      </c>
      <c r="C7467" t="s">
        <v>22369</v>
      </c>
      <c r="D7467" t="str">
        <f>HYPERLINK("https://zfin.org/ZDB-GENE-041010-21")</f>
        <v>https://zfin.org/ZDB-GENE-041010-21</v>
      </c>
      <c r="E7467" t="s">
        <v>22370</v>
      </c>
    </row>
    <row r="7468" spans="1:5" x14ac:dyDescent="0.2">
      <c r="A7468" t="s">
        <v>22371</v>
      </c>
      <c r="B7468" t="s">
        <v>22372</v>
      </c>
      <c r="C7468" t="s">
        <v>22372</v>
      </c>
      <c r="D7468" t="str">
        <f>HYPERLINK("https://zfin.org/ZDB-GENE-040426-1075")</f>
        <v>https://zfin.org/ZDB-GENE-040426-1075</v>
      </c>
      <c r="E7468" t="s">
        <v>22373</v>
      </c>
    </row>
    <row r="7469" spans="1:5" x14ac:dyDescent="0.2">
      <c r="A7469" t="s">
        <v>22374</v>
      </c>
      <c r="B7469" t="s">
        <v>22375</v>
      </c>
      <c r="C7469" t="s">
        <v>22375</v>
      </c>
      <c r="D7469" t="str">
        <f>HYPERLINK("https://zfin.org/ZDB-GENE-040219-3")</f>
        <v>https://zfin.org/ZDB-GENE-040219-3</v>
      </c>
      <c r="E7469" t="s">
        <v>22376</v>
      </c>
    </row>
    <row r="7470" spans="1:5" x14ac:dyDescent="0.2">
      <c r="A7470" t="s">
        <v>22377</v>
      </c>
      <c r="B7470" t="s">
        <v>21076</v>
      </c>
      <c r="C7470" t="s">
        <v>22378</v>
      </c>
      <c r="D7470" t="str">
        <f>HYPERLINK("https://zfin.org/ZDB-GENE-050208-412")</f>
        <v>https://zfin.org/ZDB-GENE-050208-412</v>
      </c>
      <c r="E7470" t="s">
        <v>22379</v>
      </c>
    </row>
    <row r="7471" spans="1:5" x14ac:dyDescent="0.2">
      <c r="A7471" t="s">
        <v>22380</v>
      </c>
      <c r="B7471" t="s">
        <v>22381</v>
      </c>
      <c r="C7471" t="s">
        <v>22381</v>
      </c>
      <c r="D7471" t="str">
        <f>HYPERLINK("https://zfin.org/ZDB-GENE-040426-2147")</f>
        <v>https://zfin.org/ZDB-GENE-040426-2147</v>
      </c>
      <c r="E7471" t="s">
        <v>22382</v>
      </c>
    </row>
    <row r="7472" spans="1:5" x14ac:dyDescent="0.2">
      <c r="A7472" t="s">
        <v>22383</v>
      </c>
      <c r="B7472" t="s">
        <v>22384</v>
      </c>
      <c r="C7472" t="s">
        <v>22384</v>
      </c>
      <c r="D7472" t="str">
        <f>HYPERLINK("https://zfin.org/ZDB-GENE-041111-225")</f>
        <v>https://zfin.org/ZDB-GENE-041111-225</v>
      </c>
      <c r="E7472" t="s">
        <v>22385</v>
      </c>
    </row>
    <row r="7473" spans="1:5" x14ac:dyDescent="0.2">
      <c r="A7473" t="s">
        <v>22386</v>
      </c>
      <c r="B7473" t="s">
        <v>22387</v>
      </c>
      <c r="C7473" t="s">
        <v>22387</v>
      </c>
      <c r="D7473" t="str">
        <f>HYPERLINK("https://zfin.org/ZDB-GENE-060503-769")</f>
        <v>https://zfin.org/ZDB-GENE-060503-769</v>
      </c>
      <c r="E7473" t="s">
        <v>22388</v>
      </c>
    </row>
    <row r="7474" spans="1:5" x14ac:dyDescent="0.2">
      <c r="A7474" t="s">
        <v>22389</v>
      </c>
      <c r="B7474" t="s">
        <v>22390</v>
      </c>
      <c r="C7474" t="s">
        <v>22390</v>
      </c>
      <c r="D7474" t="str">
        <f>HYPERLINK("https://zfin.org/ZDB-GENE-050417-142")</f>
        <v>https://zfin.org/ZDB-GENE-050417-142</v>
      </c>
      <c r="E7474" t="s">
        <v>22391</v>
      </c>
    </row>
    <row r="7475" spans="1:5" x14ac:dyDescent="0.2">
      <c r="A7475" t="s">
        <v>22392</v>
      </c>
      <c r="B7475" t="s">
        <v>22393</v>
      </c>
      <c r="C7475" t="s">
        <v>22393</v>
      </c>
      <c r="D7475" t="str">
        <f>HYPERLINK("https://zfin.org/ZDB-GENE-020419-12")</f>
        <v>https://zfin.org/ZDB-GENE-020419-12</v>
      </c>
      <c r="E7475" t="s">
        <v>22394</v>
      </c>
    </row>
    <row r="7476" spans="1:5" x14ac:dyDescent="0.2">
      <c r="A7476" t="s">
        <v>22395</v>
      </c>
      <c r="B7476" t="s">
        <v>22396</v>
      </c>
      <c r="C7476" t="s">
        <v>22396</v>
      </c>
      <c r="D7476" t="str">
        <f>HYPERLINK("https://zfin.org/ZDB-GENE-050913-103")</f>
        <v>https://zfin.org/ZDB-GENE-050913-103</v>
      </c>
      <c r="E7476" t="s">
        <v>22397</v>
      </c>
    </row>
    <row r="7477" spans="1:5" x14ac:dyDescent="0.2">
      <c r="A7477" t="s">
        <v>22398</v>
      </c>
      <c r="B7477" t="s">
        <v>22399</v>
      </c>
      <c r="C7477" t="s">
        <v>22399</v>
      </c>
      <c r="D7477" t="str">
        <f>HYPERLINK("https://zfin.org/ZDB-GENE-040718-124")</f>
        <v>https://zfin.org/ZDB-GENE-040718-124</v>
      </c>
      <c r="E7477" t="s">
        <v>22400</v>
      </c>
    </row>
    <row r="7478" spans="1:5" x14ac:dyDescent="0.2">
      <c r="A7478" t="s">
        <v>22401</v>
      </c>
      <c r="B7478" t="s">
        <v>22402</v>
      </c>
      <c r="C7478" t="s">
        <v>22402</v>
      </c>
      <c r="D7478" t="str">
        <f>HYPERLINK("https://zfin.org/ZDB-GENE-041024-9")</f>
        <v>https://zfin.org/ZDB-GENE-041024-9</v>
      </c>
      <c r="E7478" t="s">
        <v>22403</v>
      </c>
    </row>
    <row r="7479" spans="1:5" x14ac:dyDescent="0.2">
      <c r="A7479" t="s">
        <v>22404</v>
      </c>
      <c r="B7479" t="s">
        <v>22405</v>
      </c>
      <c r="C7479" t="s">
        <v>22405</v>
      </c>
      <c r="D7479" t="str">
        <f>HYPERLINK("https://zfin.org/ZDB-GENE-030131-9906")</f>
        <v>https://zfin.org/ZDB-GENE-030131-9906</v>
      </c>
      <c r="E7479" t="s">
        <v>22406</v>
      </c>
    </row>
    <row r="7480" spans="1:5" x14ac:dyDescent="0.2">
      <c r="A7480" t="s">
        <v>22407</v>
      </c>
      <c r="B7480" t="s">
        <v>22408</v>
      </c>
      <c r="C7480" t="s">
        <v>22408</v>
      </c>
      <c r="D7480" t="str">
        <f>HYPERLINK("https://zfin.org/ZDB-GENE-030131-6872")</f>
        <v>https://zfin.org/ZDB-GENE-030131-6872</v>
      </c>
      <c r="E7480" t="s">
        <v>22409</v>
      </c>
    </row>
    <row r="7481" spans="1:5" x14ac:dyDescent="0.2">
      <c r="A7481" t="s">
        <v>22410</v>
      </c>
      <c r="B7481" t="s">
        <v>22411</v>
      </c>
      <c r="C7481" t="s">
        <v>22411</v>
      </c>
      <c r="D7481" t="str">
        <f>HYPERLINK("https://zfin.org/ZDB-GENE-040808-57")</f>
        <v>https://zfin.org/ZDB-GENE-040808-57</v>
      </c>
      <c r="E7481" t="s">
        <v>22412</v>
      </c>
    </row>
    <row r="7482" spans="1:5" x14ac:dyDescent="0.2">
      <c r="A7482" t="s">
        <v>22413</v>
      </c>
      <c r="B7482" t="s">
        <v>22414</v>
      </c>
      <c r="C7482" t="s">
        <v>22414</v>
      </c>
      <c r="D7482" t="str">
        <f>HYPERLINK("https://zfin.org/ZDB-GENE-080204-29")</f>
        <v>https://zfin.org/ZDB-GENE-080204-29</v>
      </c>
      <c r="E7482" t="s">
        <v>22415</v>
      </c>
    </row>
    <row r="7483" spans="1:5" x14ac:dyDescent="0.2">
      <c r="A7483" t="s">
        <v>22416</v>
      </c>
      <c r="B7483" t="s">
        <v>22417</v>
      </c>
      <c r="C7483" t="s">
        <v>22417</v>
      </c>
      <c r="D7483" t="str">
        <f>HYPERLINK("https://zfin.org/ZDB-GENE-040718-415")</f>
        <v>https://zfin.org/ZDB-GENE-040718-415</v>
      </c>
      <c r="E7483" t="s">
        <v>22418</v>
      </c>
    </row>
    <row r="7484" spans="1:5" x14ac:dyDescent="0.2">
      <c r="A7484" t="s">
        <v>22419</v>
      </c>
      <c r="B7484" t="s">
        <v>22420</v>
      </c>
      <c r="C7484" t="s">
        <v>22420</v>
      </c>
      <c r="D7484" t="str">
        <f>HYPERLINK("https://zfin.org/ZDB-GENE-061103-289")</f>
        <v>https://zfin.org/ZDB-GENE-061103-289</v>
      </c>
      <c r="E7484" t="s">
        <v>22421</v>
      </c>
    </row>
    <row r="7485" spans="1:5" x14ac:dyDescent="0.2">
      <c r="A7485" t="s">
        <v>22422</v>
      </c>
      <c r="B7485" t="s">
        <v>22423</v>
      </c>
      <c r="C7485" t="s">
        <v>22423</v>
      </c>
      <c r="D7485" t="str">
        <f>HYPERLINK("https://zfin.org/ZDB-GENE-140328-2")</f>
        <v>https://zfin.org/ZDB-GENE-140328-2</v>
      </c>
      <c r="E7485" t="s">
        <v>22424</v>
      </c>
    </row>
    <row r="7486" spans="1:5" x14ac:dyDescent="0.2">
      <c r="A7486" t="s">
        <v>22425</v>
      </c>
      <c r="B7486" t="s">
        <v>22426</v>
      </c>
      <c r="C7486" t="s">
        <v>22426</v>
      </c>
      <c r="D7486" t="str">
        <f>HYPERLINK("https://zfin.org/ZDB-GENE-030131-9612")</f>
        <v>https://zfin.org/ZDB-GENE-030131-9612</v>
      </c>
      <c r="E7486" t="s">
        <v>22427</v>
      </c>
    </row>
    <row r="7487" spans="1:5" x14ac:dyDescent="0.2">
      <c r="A7487" t="s">
        <v>22428</v>
      </c>
      <c r="B7487" t="s">
        <v>22429</v>
      </c>
      <c r="C7487" t="s">
        <v>22429</v>
      </c>
      <c r="D7487" t="str">
        <f>HYPERLINK("https://zfin.org/ZDB-GENE-070912-190")</f>
        <v>https://zfin.org/ZDB-GENE-070912-190</v>
      </c>
      <c r="E7487" t="s">
        <v>22430</v>
      </c>
    </row>
    <row r="7488" spans="1:5" x14ac:dyDescent="0.2">
      <c r="A7488" t="s">
        <v>22431</v>
      </c>
      <c r="B7488" t="s">
        <v>22432</v>
      </c>
      <c r="C7488" t="s">
        <v>22432</v>
      </c>
      <c r="D7488" t="str">
        <f>HYPERLINK("https://zfin.org/ZDB-GENE-050208-20")</f>
        <v>https://zfin.org/ZDB-GENE-050208-20</v>
      </c>
      <c r="E7488" t="s">
        <v>22433</v>
      </c>
    </row>
    <row r="7489" spans="1:5" x14ac:dyDescent="0.2">
      <c r="A7489" t="s">
        <v>22434</v>
      </c>
      <c r="B7489" t="s">
        <v>22435</v>
      </c>
      <c r="C7489" t="s">
        <v>22435</v>
      </c>
      <c r="D7489" t="str">
        <f>HYPERLINK("https://zfin.org/ZDB-GENE-030131-4336")</f>
        <v>https://zfin.org/ZDB-GENE-030131-4336</v>
      </c>
      <c r="E7489" t="s">
        <v>22436</v>
      </c>
    </row>
    <row r="7490" spans="1:5" x14ac:dyDescent="0.2">
      <c r="A7490" t="s">
        <v>22437</v>
      </c>
      <c r="B7490" t="s">
        <v>22438</v>
      </c>
      <c r="C7490" t="s">
        <v>22438</v>
      </c>
      <c r="D7490" t="str">
        <f>HYPERLINK("https://zfin.org/ZDB-GENE-091204-142")</f>
        <v>https://zfin.org/ZDB-GENE-091204-142</v>
      </c>
      <c r="E7490" t="s">
        <v>22439</v>
      </c>
    </row>
    <row r="7491" spans="1:5" x14ac:dyDescent="0.2">
      <c r="A7491" t="s">
        <v>22440</v>
      </c>
      <c r="B7491" t="s">
        <v>22441</v>
      </c>
      <c r="C7491" t="s">
        <v>22441</v>
      </c>
      <c r="D7491" t="str">
        <f>HYPERLINK("https://zfin.org/ZDB-GENE-030131-2643")</f>
        <v>https://zfin.org/ZDB-GENE-030131-2643</v>
      </c>
      <c r="E7491" t="s">
        <v>22442</v>
      </c>
    </row>
    <row r="7492" spans="1:5" x14ac:dyDescent="0.2">
      <c r="A7492" t="s">
        <v>22443</v>
      </c>
      <c r="B7492" t="s">
        <v>22444</v>
      </c>
      <c r="C7492" t="s">
        <v>22444</v>
      </c>
      <c r="D7492" t="str">
        <f>HYPERLINK("https://zfin.org/ZDB-GENE-040718-62")</f>
        <v>https://zfin.org/ZDB-GENE-040718-62</v>
      </c>
      <c r="E7492" t="s">
        <v>22445</v>
      </c>
    </row>
    <row r="7493" spans="1:5" x14ac:dyDescent="0.2">
      <c r="A7493" t="s">
        <v>22446</v>
      </c>
      <c r="B7493" t="s">
        <v>22447</v>
      </c>
      <c r="C7493" t="s">
        <v>22447</v>
      </c>
      <c r="D7493" t="str">
        <f>HYPERLINK("https://zfin.org/ZDB-GENE-070705-484")</f>
        <v>https://zfin.org/ZDB-GENE-070705-484</v>
      </c>
      <c r="E7493" t="s">
        <v>22448</v>
      </c>
    </row>
    <row r="7494" spans="1:5" x14ac:dyDescent="0.2">
      <c r="A7494" t="s">
        <v>22449</v>
      </c>
      <c r="B7494" t="s">
        <v>22450</v>
      </c>
      <c r="C7494" t="s">
        <v>22450</v>
      </c>
      <c r="D7494" t="str">
        <f>HYPERLINK("https://zfin.org/ZDB-GENE-060312-18")</f>
        <v>https://zfin.org/ZDB-GENE-060312-18</v>
      </c>
      <c r="E7494" t="s">
        <v>22451</v>
      </c>
    </row>
    <row r="7495" spans="1:5" x14ac:dyDescent="0.2">
      <c r="A7495" t="s">
        <v>22452</v>
      </c>
      <c r="B7495" t="s">
        <v>22453</v>
      </c>
      <c r="C7495" t="s">
        <v>22453</v>
      </c>
      <c r="D7495" t="str">
        <f>HYPERLINK("https://zfin.org/ZDB-GENE-030131-9718")</f>
        <v>https://zfin.org/ZDB-GENE-030131-9718</v>
      </c>
      <c r="E7495" t="s">
        <v>22454</v>
      </c>
    </row>
    <row r="7496" spans="1:5" x14ac:dyDescent="0.2">
      <c r="A7496" t="s">
        <v>22455</v>
      </c>
      <c r="B7496" t="s">
        <v>22456</v>
      </c>
      <c r="C7496" t="s">
        <v>22456</v>
      </c>
      <c r="D7496" t="str">
        <f>HYPERLINK("https://zfin.org/ZDB-GENE-050522-337")</f>
        <v>https://zfin.org/ZDB-GENE-050522-337</v>
      </c>
      <c r="E7496" t="s">
        <v>22457</v>
      </c>
    </row>
    <row r="7497" spans="1:5" x14ac:dyDescent="0.2">
      <c r="A7497" t="s">
        <v>22458</v>
      </c>
      <c r="B7497" t="s">
        <v>22459</v>
      </c>
      <c r="C7497" t="s">
        <v>22459</v>
      </c>
      <c r="D7497" t="str">
        <f>HYPERLINK("https://zfin.org/ZDB-GENE-990706-3")</f>
        <v>https://zfin.org/ZDB-GENE-990706-3</v>
      </c>
      <c r="E7497" t="s">
        <v>22460</v>
      </c>
    </row>
    <row r="7498" spans="1:5" x14ac:dyDescent="0.2">
      <c r="A7498" t="s">
        <v>22461</v>
      </c>
      <c r="B7498" t="s">
        <v>22462</v>
      </c>
      <c r="C7498" t="s">
        <v>22463</v>
      </c>
      <c r="D7498" t="str">
        <f>HYPERLINK("https://zfin.org/ZDB-GENE-070705-475")</f>
        <v>https://zfin.org/ZDB-GENE-070705-475</v>
      </c>
      <c r="E7498" t="s">
        <v>22464</v>
      </c>
    </row>
    <row r="7499" spans="1:5" x14ac:dyDescent="0.2">
      <c r="A7499" t="s">
        <v>22465</v>
      </c>
      <c r="B7499" t="s">
        <v>22466</v>
      </c>
      <c r="C7499" t="s">
        <v>22466</v>
      </c>
      <c r="D7499" t="str">
        <f>HYPERLINK("https://zfin.org/ZDB-GENE-131127-629")</f>
        <v>https://zfin.org/ZDB-GENE-131127-629</v>
      </c>
      <c r="E7499" t="s">
        <v>22467</v>
      </c>
    </row>
    <row r="7500" spans="1:5" x14ac:dyDescent="0.2">
      <c r="A7500" t="s">
        <v>22468</v>
      </c>
      <c r="B7500" t="s">
        <v>22469</v>
      </c>
      <c r="C7500" t="s">
        <v>22469</v>
      </c>
      <c r="D7500" t="str">
        <f>HYPERLINK("https://zfin.org/ZDB-GENE-040426-2480")</f>
        <v>https://zfin.org/ZDB-GENE-040426-2480</v>
      </c>
      <c r="E7500" t="s">
        <v>22470</v>
      </c>
    </row>
    <row r="7501" spans="1:5" x14ac:dyDescent="0.2">
      <c r="A7501" t="s">
        <v>22471</v>
      </c>
      <c r="B7501" t="s">
        <v>22472</v>
      </c>
      <c r="C7501" t="s">
        <v>22472</v>
      </c>
      <c r="D7501" t="str">
        <f>HYPERLINK("https://zfin.org/ZDB-GENE-030131-3136")</f>
        <v>https://zfin.org/ZDB-GENE-030131-3136</v>
      </c>
      <c r="E7501" t="s">
        <v>22473</v>
      </c>
    </row>
    <row r="7502" spans="1:5" x14ac:dyDescent="0.2">
      <c r="A7502" t="s">
        <v>22474</v>
      </c>
      <c r="B7502" t="s">
        <v>22475</v>
      </c>
      <c r="C7502" t="s">
        <v>22475</v>
      </c>
      <c r="D7502" t="str">
        <f>HYPERLINK("https://zfin.org/ZDB-GENE-091204-248")</f>
        <v>https://zfin.org/ZDB-GENE-091204-248</v>
      </c>
      <c r="E7502" t="s">
        <v>22476</v>
      </c>
    </row>
    <row r="7503" spans="1:5" x14ac:dyDescent="0.2">
      <c r="A7503" t="s">
        <v>22477</v>
      </c>
      <c r="B7503" t="s">
        <v>22478</v>
      </c>
      <c r="C7503" t="s">
        <v>22478</v>
      </c>
      <c r="D7503" t="str">
        <f>HYPERLINK("https://zfin.org/ZDB-GENE-010328-13")</f>
        <v>https://zfin.org/ZDB-GENE-010328-13</v>
      </c>
      <c r="E7503" t="s">
        <v>22479</v>
      </c>
    </row>
    <row r="7504" spans="1:5" x14ac:dyDescent="0.2">
      <c r="A7504" t="s">
        <v>22480</v>
      </c>
      <c r="B7504" t="s">
        <v>22481</v>
      </c>
      <c r="C7504" t="s">
        <v>22481</v>
      </c>
      <c r="D7504" t="str">
        <f>HYPERLINK("https://zfin.org/ZDB-GENE-060526-117")</f>
        <v>https://zfin.org/ZDB-GENE-060526-117</v>
      </c>
      <c r="E7504" t="s">
        <v>22482</v>
      </c>
    </row>
    <row r="7505" spans="1:5" x14ac:dyDescent="0.2">
      <c r="A7505" t="s">
        <v>22483</v>
      </c>
      <c r="B7505" t="s">
        <v>22484</v>
      </c>
      <c r="C7505" t="s">
        <v>22484</v>
      </c>
      <c r="D7505" t="str">
        <f>HYPERLINK("https://zfin.org/ZDB-GENE-090313-188")</f>
        <v>https://zfin.org/ZDB-GENE-090313-188</v>
      </c>
      <c r="E7505" t="s">
        <v>22485</v>
      </c>
    </row>
    <row r="7506" spans="1:5" x14ac:dyDescent="0.2">
      <c r="A7506" t="s">
        <v>22486</v>
      </c>
      <c r="B7506" t="s">
        <v>22487</v>
      </c>
      <c r="C7506" t="s">
        <v>22487</v>
      </c>
      <c r="D7506" t="str">
        <f>HYPERLINK("https://zfin.org/ZDB-GENE-040927-25")</f>
        <v>https://zfin.org/ZDB-GENE-040927-25</v>
      </c>
      <c r="E7506" t="s">
        <v>22488</v>
      </c>
    </row>
    <row r="7507" spans="1:5" x14ac:dyDescent="0.2">
      <c r="A7507" t="s">
        <v>22489</v>
      </c>
      <c r="B7507" t="s">
        <v>22490</v>
      </c>
      <c r="C7507" t="s">
        <v>22490</v>
      </c>
      <c r="D7507" t="str">
        <f>HYPERLINK("https://zfin.org/ZDB-GENE-021206-1")</f>
        <v>https://zfin.org/ZDB-GENE-021206-1</v>
      </c>
      <c r="E7507" t="s">
        <v>22491</v>
      </c>
    </row>
    <row r="7508" spans="1:5" x14ac:dyDescent="0.2">
      <c r="A7508" t="s">
        <v>22492</v>
      </c>
      <c r="B7508" t="s">
        <v>22493</v>
      </c>
      <c r="C7508" t="s">
        <v>22493</v>
      </c>
      <c r="D7508" t="str">
        <f>HYPERLINK("https://zfin.org/ZDB-GENE-060531-40")</f>
        <v>https://zfin.org/ZDB-GENE-060531-40</v>
      </c>
      <c r="E7508" t="s">
        <v>22494</v>
      </c>
    </row>
    <row r="7509" spans="1:5" x14ac:dyDescent="0.2">
      <c r="A7509" t="s">
        <v>22495</v>
      </c>
      <c r="B7509" t="s">
        <v>22496</v>
      </c>
      <c r="C7509" t="s">
        <v>22496</v>
      </c>
      <c r="D7509" t="str">
        <f>HYPERLINK("https://zfin.org/ZDB-GENE-101209-2")</f>
        <v>https://zfin.org/ZDB-GENE-101209-2</v>
      </c>
      <c r="E7509" t="s">
        <v>22497</v>
      </c>
    </row>
    <row r="7510" spans="1:5" x14ac:dyDescent="0.2">
      <c r="A7510" t="s">
        <v>22498</v>
      </c>
      <c r="B7510" t="s">
        <v>22499</v>
      </c>
      <c r="C7510" t="s">
        <v>22499</v>
      </c>
      <c r="D7510" t="str">
        <f>HYPERLINK("https://zfin.org/ZDB-GENE-060929-1138")</f>
        <v>https://zfin.org/ZDB-GENE-060929-1138</v>
      </c>
      <c r="E7510" t="s">
        <v>22500</v>
      </c>
    </row>
    <row r="7511" spans="1:5" x14ac:dyDescent="0.2">
      <c r="A7511" t="s">
        <v>22501</v>
      </c>
      <c r="B7511" t="s">
        <v>22502</v>
      </c>
      <c r="C7511" t="s">
        <v>22502</v>
      </c>
      <c r="D7511" t="str">
        <f>HYPERLINK("https://zfin.org/ZDB-GENE-040808-73")</f>
        <v>https://zfin.org/ZDB-GENE-040808-73</v>
      </c>
      <c r="E7511" t="s">
        <v>22503</v>
      </c>
    </row>
    <row r="7512" spans="1:5" x14ac:dyDescent="0.2">
      <c r="A7512" t="s">
        <v>22504</v>
      </c>
      <c r="B7512" t="s">
        <v>22505</v>
      </c>
      <c r="C7512" t="s">
        <v>22505</v>
      </c>
      <c r="D7512" t="str">
        <f>HYPERLINK("https://zfin.org/ZDB-GENE-030131-1550")</f>
        <v>https://zfin.org/ZDB-GENE-030131-1550</v>
      </c>
      <c r="E7512" t="s">
        <v>22506</v>
      </c>
    </row>
    <row r="7513" spans="1:5" x14ac:dyDescent="0.2">
      <c r="A7513" t="s">
        <v>22507</v>
      </c>
      <c r="B7513" t="s">
        <v>22508</v>
      </c>
      <c r="C7513" t="s">
        <v>22508</v>
      </c>
      <c r="D7513" t="str">
        <f>HYPERLINK("https://zfin.org/ZDB-GENE-041111-192")</f>
        <v>https://zfin.org/ZDB-GENE-041111-192</v>
      </c>
      <c r="E7513" t="s">
        <v>22509</v>
      </c>
    </row>
    <row r="7514" spans="1:5" x14ac:dyDescent="0.2">
      <c r="A7514" t="s">
        <v>22510</v>
      </c>
      <c r="B7514" t="s">
        <v>22511</v>
      </c>
      <c r="C7514" t="s">
        <v>22511</v>
      </c>
      <c r="D7514" t="str">
        <f>HYPERLINK("https://zfin.org/ZDB-GENE-081105-129")</f>
        <v>https://zfin.org/ZDB-GENE-081105-129</v>
      </c>
      <c r="E7514" t="s">
        <v>22512</v>
      </c>
    </row>
    <row r="7515" spans="1:5" x14ac:dyDescent="0.2">
      <c r="A7515" t="s">
        <v>22513</v>
      </c>
      <c r="B7515" t="s">
        <v>22514</v>
      </c>
      <c r="C7515" t="s">
        <v>22514</v>
      </c>
      <c r="D7515" t="str">
        <f>HYPERLINK("https://zfin.org/ZDB-GENE-120709-89")</f>
        <v>https://zfin.org/ZDB-GENE-120709-89</v>
      </c>
      <c r="E7515" t="s">
        <v>22515</v>
      </c>
    </row>
    <row r="7516" spans="1:5" x14ac:dyDescent="0.2">
      <c r="A7516" t="s">
        <v>22516</v>
      </c>
      <c r="B7516" t="s">
        <v>22517</v>
      </c>
      <c r="C7516" t="s">
        <v>22517</v>
      </c>
      <c r="D7516" t="str">
        <f>HYPERLINK("https://zfin.org/ZDB-GENE-060510-2")</f>
        <v>https://zfin.org/ZDB-GENE-060510-2</v>
      </c>
      <c r="E7516" t="s">
        <v>22518</v>
      </c>
    </row>
    <row r="7517" spans="1:5" x14ac:dyDescent="0.2">
      <c r="A7517" t="s">
        <v>22519</v>
      </c>
      <c r="B7517" t="s">
        <v>22520</v>
      </c>
      <c r="C7517" t="s">
        <v>22520</v>
      </c>
      <c r="D7517" t="str">
        <f>HYPERLINK("https://zfin.org/")</f>
        <v>https://zfin.org/</v>
      </c>
    </row>
    <row r="7518" spans="1:5" x14ac:dyDescent="0.2">
      <c r="A7518" t="s">
        <v>22521</v>
      </c>
      <c r="B7518" t="s">
        <v>22522</v>
      </c>
      <c r="C7518" t="s">
        <v>22522</v>
      </c>
      <c r="D7518" t="str">
        <f>HYPERLINK("https://zfin.org/ZDB-GENE-000828-1")</f>
        <v>https://zfin.org/ZDB-GENE-000828-1</v>
      </c>
      <c r="E7518" t="s">
        <v>22523</v>
      </c>
    </row>
    <row r="7519" spans="1:5" x14ac:dyDescent="0.2">
      <c r="A7519" t="s">
        <v>22524</v>
      </c>
      <c r="B7519" t="s">
        <v>22525</v>
      </c>
      <c r="C7519" t="s">
        <v>22525</v>
      </c>
      <c r="D7519" t="str">
        <f>HYPERLINK("https://zfin.org/ZDB-GENE-081105-180")</f>
        <v>https://zfin.org/ZDB-GENE-081105-180</v>
      </c>
      <c r="E7519" t="s">
        <v>22526</v>
      </c>
    </row>
    <row r="7520" spans="1:5" x14ac:dyDescent="0.2">
      <c r="A7520" t="s">
        <v>22527</v>
      </c>
      <c r="B7520" t="s">
        <v>22528</v>
      </c>
      <c r="C7520" t="s">
        <v>22528</v>
      </c>
      <c r="D7520" t="str">
        <f>HYPERLINK("https://zfin.org/ZDB-GENE-070705-555")</f>
        <v>https://zfin.org/ZDB-GENE-070705-555</v>
      </c>
      <c r="E7520" t="s">
        <v>22529</v>
      </c>
    </row>
    <row r="7521" spans="1:5" x14ac:dyDescent="0.2">
      <c r="A7521" t="s">
        <v>22530</v>
      </c>
      <c r="B7521" t="s">
        <v>22531</v>
      </c>
      <c r="C7521" t="s">
        <v>22531</v>
      </c>
      <c r="D7521" t="str">
        <f>HYPERLINK("https://zfin.org/ZDB-GENE-060503-915")</f>
        <v>https://zfin.org/ZDB-GENE-060503-915</v>
      </c>
      <c r="E7521" t="s">
        <v>22532</v>
      </c>
    </row>
    <row r="7522" spans="1:5" x14ac:dyDescent="0.2">
      <c r="A7522" t="s">
        <v>22533</v>
      </c>
      <c r="B7522" t="s">
        <v>22534</v>
      </c>
      <c r="C7522" t="s">
        <v>22534</v>
      </c>
      <c r="D7522" t="str">
        <f>HYPERLINK("https://zfin.org/ZDB-GENE-080220-11")</f>
        <v>https://zfin.org/ZDB-GENE-080220-11</v>
      </c>
      <c r="E7522" t="s">
        <v>22535</v>
      </c>
    </row>
    <row r="7523" spans="1:5" x14ac:dyDescent="0.2">
      <c r="A7523" t="s">
        <v>22536</v>
      </c>
      <c r="B7523" t="s">
        <v>22537</v>
      </c>
      <c r="C7523" t="s">
        <v>22537</v>
      </c>
      <c r="D7523" t="str">
        <f>HYPERLINK("https://zfin.org/ZDB-GENE-040625-12")</f>
        <v>https://zfin.org/ZDB-GENE-040625-12</v>
      </c>
      <c r="E7523" t="s">
        <v>22538</v>
      </c>
    </row>
    <row r="7524" spans="1:5" x14ac:dyDescent="0.2">
      <c r="A7524" t="s">
        <v>22539</v>
      </c>
      <c r="B7524" t="s">
        <v>22540</v>
      </c>
      <c r="C7524" t="s">
        <v>22540</v>
      </c>
      <c r="D7524" t="str">
        <f>HYPERLINK("https://zfin.org/ZDB-GENE-030131-8692")</f>
        <v>https://zfin.org/ZDB-GENE-030131-8692</v>
      </c>
      <c r="E7524" t="s">
        <v>22541</v>
      </c>
    </row>
    <row r="7525" spans="1:5" x14ac:dyDescent="0.2">
      <c r="A7525" t="s">
        <v>22542</v>
      </c>
      <c r="B7525" t="s">
        <v>22543</v>
      </c>
      <c r="C7525" t="s">
        <v>22543</v>
      </c>
      <c r="D7525" t="str">
        <f>HYPERLINK("https://zfin.org/ZDB-GENE-040718-318")</f>
        <v>https://zfin.org/ZDB-GENE-040718-318</v>
      </c>
      <c r="E7525" t="s">
        <v>22544</v>
      </c>
    </row>
    <row r="7526" spans="1:5" x14ac:dyDescent="0.2">
      <c r="A7526" t="s">
        <v>22545</v>
      </c>
      <c r="B7526" t="s">
        <v>22546</v>
      </c>
      <c r="C7526" t="s">
        <v>22546</v>
      </c>
      <c r="D7526" t="str">
        <f>HYPERLINK("https://zfin.org/ZDB-GENE-030327-4")</f>
        <v>https://zfin.org/ZDB-GENE-030327-4</v>
      </c>
      <c r="E7526" t="s">
        <v>22547</v>
      </c>
    </row>
    <row r="7527" spans="1:5" x14ac:dyDescent="0.2">
      <c r="A7527" t="s">
        <v>22548</v>
      </c>
      <c r="B7527" t="s">
        <v>22549</v>
      </c>
      <c r="C7527" t="s">
        <v>22549</v>
      </c>
      <c r="D7527" t="str">
        <f>HYPERLINK("https://zfin.org/ZDB-GENE-091204-250")</f>
        <v>https://zfin.org/ZDB-GENE-091204-250</v>
      </c>
      <c r="E7527" t="s">
        <v>22550</v>
      </c>
    </row>
    <row r="7528" spans="1:5" x14ac:dyDescent="0.2">
      <c r="A7528" t="s">
        <v>22551</v>
      </c>
      <c r="B7528" t="s">
        <v>22552</v>
      </c>
      <c r="C7528" t="s">
        <v>22552</v>
      </c>
      <c r="D7528" t="str">
        <f>HYPERLINK("https://zfin.org/ZDB-GENE-050417-120")</f>
        <v>https://zfin.org/ZDB-GENE-050417-120</v>
      </c>
      <c r="E7528" t="s">
        <v>22553</v>
      </c>
    </row>
    <row r="7529" spans="1:5" x14ac:dyDescent="0.2">
      <c r="A7529" t="s">
        <v>22554</v>
      </c>
      <c r="B7529" t="s">
        <v>22555</v>
      </c>
      <c r="C7529" t="s">
        <v>22555</v>
      </c>
      <c r="D7529" t="str">
        <f>HYPERLINK("https://zfin.org/ZDB-GENE-080204-28")</f>
        <v>https://zfin.org/ZDB-GENE-080204-28</v>
      </c>
      <c r="E7529" t="s">
        <v>22556</v>
      </c>
    </row>
    <row r="7530" spans="1:5" x14ac:dyDescent="0.2">
      <c r="A7530" t="s">
        <v>22557</v>
      </c>
      <c r="B7530" t="s">
        <v>22558</v>
      </c>
      <c r="C7530" t="s">
        <v>22558</v>
      </c>
      <c r="D7530" t="str">
        <f>HYPERLINK("https://zfin.org/ZDB-GENE-100922-32")</f>
        <v>https://zfin.org/ZDB-GENE-100922-32</v>
      </c>
      <c r="E7530" t="s">
        <v>22559</v>
      </c>
    </row>
    <row r="7531" spans="1:5" x14ac:dyDescent="0.2">
      <c r="A7531" t="s">
        <v>22560</v>
      </c>
      <c r="B7531" t="s">
        <v>22561</v>
      </c>
      <c r="C7531" t="s">
        <v>22561</v>
      </c>
      <c r="D7531" t="str">
        <f>HYPERLINK("https://zfin.org/ZDB-GENE-030131-1506")</f>
        <v>https://zfin.org/ZDB-GENE-030131-1506</v>
      </c>
      <c r="E7531" t="s">
        <v>22562</v>
      </c>
    </row>
    <row r="7532" spans="1:5" x14ac:dyDescent="0.2">
      <c r="A7532" t="s">
        <v>22563</v>
      </c>
      <c r="B7532" t="s">
        <v>22564</v>
      </c>
      <c r="C7532" t="s">
        <v>22564</v>
      </c>
      <c r="D7532" t="str">
        <f>HYPERLINK("https://zfin.org/ZDB-GENE-050116-3")</f>
        <v>https://zfin.org/ZDB-GENE-050116-3</v>
      </c>
      <c r="E7532" t="s">
        <v>22565</v>
      </c>
    </row>
    <row r="7533" spans="1:5" x14ac:dyDescent="0.2">
      <c r="A7533" t="s">
        <v>22566</v>
      </c>
      <c r="B7533" t="s">
        <v>22567</v>
      </c>
      <c r="C7533" t="s">
        <v>22567</v>
      </c>
      <c r="D7533" t="str">
        <f>HYPERLINK("https://zfin.org/ZDB-GENE-030131-3789")</f>
        <v>https://zfin.org/ZDB-GENE-030131-3789</v>
      </c>
      <c r="E7533" t="s">
        <v>22568</v>
      </c>
    </row>
    <row r="7534" spans="1:5" x14ac:dyDescent="0.2">
      <c r="A7534" t="s">
        <v>22569</v>
      </c>
      <c r="B7534" t="s">
        <v>22570</v>
      </c>
      <c r="C7534" t="s">
        <v>22570</v>
      </c>
      <c r="D7534" t="str">
        <f>HYPERLINK("https://zfin.org/ZDB-GENE-110913-133")</f>
        <v>https://zfin.org/ZDB-GENE-110913-133</v>
      </c>
      <c r="E7534" t="s">
        <v>22571</v>
      </c>
    </row>
    <row r="7535" spans="1:5" x14ac:dyDescent="0.2">
      <c r="A7535" t="s">
        <v>22572</v>
      </c>
      <c r="B7535" t="s">
        <v>22573</v>
      </c>
      <c r="C7535" t="s">
        <v>22573</v>
      </c>
      <c r="D7535" t="str">
        <f>HYPERLINK("https://zfin.org/ZDB-GENE-050419-169")</f>
        <v>https://zfin.org/ZDB-GENE-050419-169</v>
      </c>
      <c r="E7535" t="s">
        <v>22574</v>
      </c>
    </row>
    <row r="7536" spans="1:5" x14ac:dyDescent="0.2">
      <c r="A7536" t="s">
        <v>22575</v>
      </c>
      <c r="B7536" t="s">
        <v>22576</v>
      </c>
      <c r="C7536" t="s">
        <v>22576</v>
      </c>
      <c r="D7536" t="str">
        <f>HYPERLINK("https://zfin.org/ZDB-GENE-131121-533")</f>
        <v>https://zfin.org/ZDB-GENE-131121-533</v>
      </c>
      <c r="E7536" t="s">
        <v>22577</v>
      </c>
    </row>
    <row r="7537" spans="1:5" x14ac:dyDescent="0.2">
      <c r="A7537" t="s">
        <v>22578</v>
      </c>
      <c r="B7537" t="s">
        <v>22579</v>
      </c>
      <c r="C7537" t="s">
        <v>22579</v>
      </c>
      <c r="D7537" t="str">
        <f>HYPERLINK("https://zfin.org/ZDB-GENE-050626-55")</f>
        <v>https://zfin.org/ZDB-GENE-050626-55</v>
      </c>
      <c r="E7537" t="s">
        <v>22580</v>
      </c>
    </row>
    <row r="7538" spans="1:5" x14ac:dyDescent="0.2">
      <c r="A7538" t="s">
        <v>22581</v>
      </c>
      <c r="B7538" t="s">
        <v>22582</v>
      </c>
      <c r="C7538" t="s">
        <v>22582</v>
      </c>
      <c r="D7538" t="str">
        <f>HYPERLINK("https://zfin.org/ZDB-GENE-131121-128")</f>
        <v>https://zfin.org/ZDB-GENE-131121-128</v>
      </c>
      <c r="E7538" t="s">
        <v>22583</v>
      </c>
    </row>
    <row r="7539" spans="1:5" x14ac:dyDescent="0.2">
      <c r="A7539" t="s">
        <v>22584</v>
      </c>
      <c r="B7539" t="s">
        <v>22585</v>
      </c>
      <c r="C7539" t="s">
        <v>22585</v>
      </c>
      <c r="D7539" t="str">
        <f>HYPERLINK("https://zfin.org/ZDB-GENE-110411-177")</f>
        <v>https://zfin.org/ZDB-GENE-110411-177</v>
      </c>
      <c r="E7539" t="s">
        <v>22586</v>
      </c>
    </row>
    <row r="7540" spans="1:5" x14ac:dyDescent="0.2">
      <c r="A7540" t="s">
        <v>22587</v>
      </c>
      <c r="B7540" t="s">
        <v>22588</v>
      </c>
      <c r="C7540" t="s">
        <v>22588</v>
      </c>
      <c r="D7540" t="str">
        <f>HYPERLINK("https://zfin.org/ZDB-GENE-121214-244")</f>
        <v>https://zfin.org/ZDB-GENE-121214-244</v>
      </c>
      <c r="E7540" t="s">
        <v>22589</v>
      </c>
    </row>
    <row r="7541" spans="1:5" x14ac:dyDescent="0.2">
      <c r="A7541" t="s">
        <v>22590</v>
      </c>
      <c r="B7541" t="s">
        <v>22591</v>
      </c>
      <c r="C7541" t="s">
        <v>22591</v>
      </c>
      <c r="D7541" t="str">
        <f>HYPERLINK("https://zfin.org/ZDB-GENE-080908-2")</f>
        <v>https://zfin.org/ZDB-GENE-080908-2</v>
      </c>
      <c r="E7541" t="s">
        <v>22592</v>
      </c>
    </row>
    <row r="7542" spans="1:5" x14ac:dyDescent="0.2">
      <c r="A7542" t="s">
        <v>22593</v>
      </c>
      <c r="B7542" t="s">
        <v>22594</v>
      </c>
      <c r="C7542" t="s">
        <v>22594</v>
      </c>
      <c r="D7542" t="str">
        <f>HYPERLINK("https://zfin.org/ZDB-GENE-070912-675")</f>
        <v>https://zfin.org/ZDB-GENE-070912-675</v>
      </c>
      <c r="E7542" t="s">
        <v>22595</v>
      </c>
    </row>
    <row r="7543" spans="1:5" x14ac:dyDescent="0.2">
      <c r="A7543" t="s">
        <v>22596</v>
      </c>
      <c r="B7543" t="s">
        <v>22597</v>
      </c>
      <c r="C7543" t="s">
        <v>22597</v>
      </c>
      <c r="D7543" t="str">
        <f>HYPERLINK("https://zfin.org/ZDB-GENE-081104-140")</f>
        <v>https://zfin.org/ZDB-GENE-081104-140</v>
      </c>
      <c r="E7543" t="s">
        <v>22598</v>
      </c>
    </row>
    <row r="7544" spans="1:5" x14ac:dyDescent="0.2">
      <c r="A7544" t="s">
        <v>22599</v>
      </c>
      <c r="B7544" t="s">
        <v>22600</v>
      </c>
      <c r="C7544" t="s">
        <v>22600</v>
      </c>
      <c r="D7544" t="str">
        <f>HYPERLINK("https://zfin.org/ZDB-GENE-131120-142")</f>
        <v>https://zfin.org/ZDB-GENE-131120-142</v>
      </c>
      <c r="E7544" t="s">
        <v>22601</v>
      </c>
    </row>
    <row r="7545" spans="1:5" x14ac:dyDescent="0.2">
      <c r="A7545" t="s">
        <v>22602</v>
      </c>
      <c r="B7545" t="s">
        <v>22603</v>
      </c>
      <c r="C7545" t="s">
        <v>22603</v>
      </c>
      <c r="D7545" t="str">
        <f>HYPERLINK("https://zfin.org/ZDB-GENE-050420-97")</f>
        <v>https://zfin.org/ZDB-GENE-050420-97</v>
      </c>
      <c r="E7545" t="s">
        <v>22604</v>
      </c>
    </row>
    <row r="7546" spans="1:5" x14ac:dyDescent="0.2">
      <c r="A7546" t="s">
        <v>22605</v>
      </c>
      <c r="B7546" t="s">
        <v>22606</v>
      </c>
      <c r="C7546" t="s">
        <v>22606</v>
      </c>
      <c r="D7546" t="str">
        <f>HYPERLINK("https://zfin.org/ZDB-GENE-080108-1")</f>
        <v>https://zfin.org/ZDB-GENE-080108-1</v>
      </c>
      <c r="E7546" t="s">
        <v>22607</v>
      </c>
    </row>
    <row r="7547" spans="1:5" x14ac:dyDescent="0.2">
      <c r="A7547" t="s">
        <v>22608</v>
      </c>
      <c r="B7547" t="s">
        <v>22609</v>
      </c>
      <c r="C7547" t="s">
        <v>22609</v>
      </c>
      <c r="D7547" t="str">
        <f>HYPERLINK("https://zfin.org/ZDB-GENE-070705-405")</f>
        <v>https://zfin.org/ZDB-GENE-070705-405</v>
      </c>
      <c r="E7547" t="s">
        <v>22610</v>
      </c>
    </row>
    <row r="7548" spans="1:5" x14ac:dyDescent="0.2">
      <c r="A7548" t="s">
        <v>22611</v>
      </c>
      <c r="B7548" t="s">
        <v>22612</v>
      </c>
      <c r="C7548" t="s">
        <v>22612</v>
      </c>
      <c r="D7548" t="str">
        <f>HYPERLINK("https://zfin.org/ZDB-GENE-041210-173")</f>
        <v>https://zfin.org/ZDB-GENE-041210-173</v>
      </c>
      <c r="E7548" t="s">
        <v>22613</v>
      </c>
    </row>
    <row r="7549" spans="1:5" x14ac:dyDescent="0.2">
      <c r="A7549" t="s">
        <v>22614</v>
      </c>
      <c r="B7549" t="s">
        <v>22615</v>
      </c>
      <c r="C7549" t="s">
        <v>22615</v>
      </c>
      <c r="D7549" t="str">
        <f>HYPERLINK("https://zfin.org/ZDB-GENE-091204-470")</f>
        <v>https://zfin.org/ZDB-GENE-091204-470</v>
      </c>
      <c r="E7549" t="s">
        <v>22616</v>
      </c>
    </row>
    <row r="7550" spans="1:5" x14ac:dyDescent="0.2">
      <c r="A7550" t="s">
        <v>22617</v>
      </c>
      <c r="B7550" t="s">
        <v>22618</v>
      </c>
      <c r="C7550" t="s">
        <v>22618</v>
      </c>
      <c r="D7550" t="str">
        <f>HYPERLINK("https://zfin.org/ZDB-GENE-050706-146")</f>
        <v>https://zfin.org/ZDB-GENE-050706-146</v>
      </c>
      <c r="E7550" t="s">
        <v>22619</v>
      </c>
    </row>
    <row r="7551" spans="1:5" x14ac:dyDescent="0.2">
      <c r="A7551" t="s">
        <v>22620</v>
      </c>
      <c r="B7551" t="s">
        <v>22621</v>
      </c>
      <c r="C7551" t="s">
        <v>22621</v>
      </c>
      <c r="D7551" t="str">
        <f>HYPERLINK("https://zfin.org/ZDB-GENE-071212-3")</f>
        <v>https://zfin.org/ZDB-GENE-071212-3</v>
      </c>
      <c r="E7551" t="s">
        <v>22622</v>
      </c>
    </row>
    <row r="7552" spans="1:5" x14ac:dyDescent="0.2">
      <c r="A7552" t="s">
        <v>22623</v>
      </c>
      <c r="B7552" t="s">
        <v>22624</v>
      </c>
      <c r="C7552" t="s">
        <v>22624</v>
      </c>
      <c r="D7552" t="str">
        <f>HYPERLINK("https://zfin.org/ZDB-GENE-050327-30")</f>
        <v>https://zfin.org/ZDB-GENE-050327-30</v>
      </c>
      <c r="E7552" t="s">
        <v>22625</v>
      </c>
    </row>
    <row r="7553" spans="1:5" x14ac:dyDescent="0.2">
      <c r="A7553" t="s">
        <v>22626</v>
      </c>
      <c r="B7553" t="s">
        <v>22627</v>
      </c>
      <c r="C7553" t="s">
        <v>22627</v>
      </c>
      <c r="D7553" t="str">
        <f>HYPERLINK("https://zfin.org/ZDB-GENE-110913-57")</f>
        <v>https://zfin.org/ZDB-GENE-110913-57</v>
      </c>
      <c r="E7553" t="s">
        <v>22628</v>
      </c>
    </row>
    <row r="7554" spans="1:5" x14ac:dyDescent="0.2">
      <c r="A7554" t="s">
        <v>22629</v>
      </c>
      <c r="B7554" t="s">
        <v>22630</v>
      </c>
      <c r="C7554" t="s">
        <v>22630</v>
      </c>
      <c r="D7554" t="str">
        <f>HYPERLINK("https://zfin.org/ZDB-GENE-110913-177")</f>
        <v>https://zfin.org/ZDB-GENE-110913-177</v>
      </c>
      <c r="E7554" t="s">
        <v>22631</v>
      </c>
    </row>
    <row r="7555" spans="1:5" x14ac:dyDescent="0.2">
      <c r="A7555" t="s">
        <v>22632</v>
      </c>
      <c r="B7555" t="s">
        <v>22633</v>
      </c>
      <c r="C7555" t="s">
        <v>22633</v>
      </c>
      <c r="D7555" t="str">
        <f>HYPERLINK("https://zfin.org/ZDB-GENE-030131-5517")</f>
        <v>https://zfin.org/ZDB-GENE-030131-5517</v>
      </c>
      <c r="E7555" t="s">
        <v>22634</v>
      </c>
    </row>
    <row r="7556" spans="1:5" x14ac:dyDescent="0.2">
      <c r="A7556" t="s">
        <v>22635</v>
      </c>
      <c r="B7556" t="s">
        <v>22636</v>
      </c>
      <c r="C7556" t="s">
        <v>22636</v>
      </c>
      <c r="D7556" t="str">
        <f>HYPERLINK("https://zfin.org/ZDB-GENE-050522-513")</f>
        <v>https://zfin.org/ZDB-GENE-050522-513</v>
      </c>
      <c r="E7556" t="s">
        <v>22637</v>
      </c>
    </row>
    <row r="7557" spans="1:5" x14ac:dyDescent="0.2">
      <c r="A7557" t="s">
        <v>22638</v>
      </c>
      <c r="B7557" t="s">
        <v>7551</v>
      </c>
      <c r="C7557" t="s">
        <v>22639</v>
      </c>
      <c r="D7557" t="str">
        <f>HYPERLINK("https://zfin.org/ZDB-GENE-060503-829")</f>
        <v>https://zfin.org/ZDB-GENE-060503-829</v>
      </c>
      <c r="E7557" t="s">
        <v>7552</v>
      </c>
    </row>
    <row r="7558" spans="1:5" x14ac:dyDescent="0.2">
      <c r="A7558" t="s">
        <v>22640</v>
      </c>
      <c r="B7558" t="s">
        <v>22641</v>
      </c>
      <c r="C7558" t="s">
        <v>22641</v>
      </c>
      <c r="D7558" t="str">
        <f>HYPERLINK("https://zfin.org/ZDB-GENE-081104-502")</f>
        <v>https://zfin.org/ZDB-GENE-081104-502</v>
      </c>
      <c r="E7558" t="s">
        <v>22642</v>
      </c>
    </row>
    <row r="7559" spans="1:5" x14ac:dyDescent="0.2">
      <c r="A7559" t="s">
        <v>22643</v>
      </c>
      <c r="B7559" t="s">
        <v>22644</v>
      </c>
      <c r="C7559" t="s">
        <v>22644</v>
      </c>
      <c r="D7559" t="str">
        <f>HYPERLINK("https://zfin.org/ZDB-GENE-050522-556")</f>
        <v>https://zfin.org/ZDB-GENE-050522-556</v>
      </c>
      <c r="E7559" t="s">
        <v>22645</v>
      </c>
    </row>
    <row r="7560" spans="1:5" x14ac:dyDescent="0.2">
      <c r="A7560" t="s">
        <v>22646</v>
      </c>
      <c r="B7560" t="s">
        <v>22647</v>
      </c>
      <c r="C7560" t="s">
        <v>22647</v>
      </c>
      <c r="D7560" t="str">
        <f>HYPERLINK("https://zfin.org/ZDB-GENE-030131-5450")</f>
        <v>https://zfin.org/ZDB-GENE-030131-5450</v>
      </c>
      <c r="E7560" t="s">
        <v>22648</v>
      </c>
    </row>
    <row r="7561" spans="1:5" x14ac:dyDescent="0.2">
      <c r="A7561" t="s">
        <v>22649</v>
      </c>
      <c r="B7561" t="s">
        <v>22650</v>
      </c>
      <c r="C7561" t="s">
        <v>22650</v>
      </c>
      <c r="D7561" t="str">
        <f>HYPERLINK("https://zfin.org/ZDB-GENE-031114-5")</f>
        <v>https://zfin.org/ZDB-GENE-031114-5</v>
      </c>
      <c r="E7561" t="s">
        <v>22651</v>
      </c>
    </row>
    <row r="7562" spans="1:5" x14ac:dyDescent="0.2">
      <c r="A7562" t="s">
        <v>22652</v>
      </c>
      <c r="B7562" t="s">
        <v>22653</v>
      </c>
      <c r="C7562" t="s">
        <v>22653</v>
      </c>
      <c r="D7562" t="str">
        <f>HYPERLINK("https://zfin.org/ZDB-GENE-111207-1")</f>
        <v>https://zfin.org/ZDB-GENE-111207-1</v>
      </c>
      <c r="E7562" t="s">
        <v>22654</v>
      </c>
    </row>
    <row r="7563" spans="1:5" x14ac:dyDescent="0.2">
      <c r="A7563" t="s">
        <v>22655</v>
      </c>
      <c r="B7563" t="s">
        <v>22656</v>
      </c>
      <c r="C7563" t="s">
        <v>22656</v>
      </c>
      <c r="D7563" t="str">
        <f>HYPERLINK("https://zfin.org/ZDB-GENE-081104-166")</f>
        <v>https://zfin.org/ZDB-GENE-081104-166</v>
      </c>
      <c r="E7563" t="s">
        <v>22657</v>
      </c>
    </row>
    <row r="7564" spans="1:5" x14ac:dyDescent="0.2">
      <c r="A7564" t="s">
        <v>22658</v>
      </c>
      <c r="B7564" t="s">
        <v>22659</v>
      </c>
      <c r="C7564" t="s">
        <v>22659</v>
      </c>
      <c r="D7564" t="str">
        <f>HYPERLINK("https://zfin.org/ZDB-GENE-030131-8078")</f>
        <v>https://zfin.org/ZDB-GENE-030131-8078</v>
      </c>
      <c r="E7564" t="s">
        <v>22660</v>
      </c>
    </row>
    <row r="7565" spans="1:5" x14ac:dyDescent="0.2">
      <c r="A7565" t="s">
        <v>22661</v>
      </c>
      <c r="B7565" t="s">
        <v>22662</v>
      </c>
      <c r="C7565" t="s">
        <v>22662</v>
      </c>
      <c r="D7565" t="str">
        <f>HYPERLINK("https://zfin.org/ZDB-GENE-040426-1122")</f>
        <v>https://zfin.org/ZDB-GENE-040426-1122</v>
      </c>
      <c r="E7565" t="s">
        <v>22663</v>
      </c>
    </row>
    <row r="7566" spans="1:5" x14ac:dyDescent="0.2">
      <c r="A7566" t="s">
        <v>22664</v>
      </c>
      <c r="B7566" t="s">
        <v>22665</v>
      </c>
      <c r="C7566" t="s">
        <v>22665</v>
      </c>
      <c r="D7566" t="str">
        <f>HYPERLINK("https://zfin.org/ZDB-GENE-070912-541")</f>
        <v>https://zfin.org/ZDB-GENE-070912-541</v>
      </c>
      <c r="E7566" t="s">
        <v>22666</v>
      </c>
    </row>
    <row r="7567" spans="1:5" x14ac:dyDescent="0.2">
      <c r="A7567" t="s">
        <v>22667</v>
      </c>
      <c r="B7567" t="s">
        <v>22668</v>
      </c>
      <c r="C7567" t="s">
        <v>22668</v>
      </c>
      <c r="D7567" t="str">
        <f>HYPERLINK("https://zfin.org/ZDB-GENE-081105-152")</f>
        <v>https://zfin.org/ZDB-GENE-081105-152</v>
      </c>
      <c r="E7567" t="s">
        <v>22669</v>
      </c>
    </row>
    <row r="7568" spans="1:5" x14ac:dyDescent="0.2">
      <c r="A7568" t="s">
        <v>22670</v>
      </c>
      <c r="B7568" t="s">
        <v>22671</v>
      </c>
      <c r="C7568" t="s">
        <v>22671</v>
      </c>
      <c r="D7568" t="str">
        <f>HYPERLINK("https://zfin.org/ZDB-GENE-110913-50")</f>
        <v>https://zfin.org/ZDB-GENE-110913-50</v>
      </c>
      <c r="E7568" t="s">
        <v>22672</v>
      </c>
    </row>
    <row r="7569" spans="1:5" x14ac:dyDescent="0.2">
      <c r="A7569" t="s">
        <v>22673</v>
      </c>
      <c r="B7569" t="s">
        <v>22674</v>
      </c>
      <c r="C7569" t="s">
        <v>22674</v>
      </c>
      <c r="D7569" t="str">
        <f>HYPERLINK("https://zfin.org/ZDB-GENE-050506-64")</f>
        <v>https://zfin.org/ZDB-GENE-050506-64</v>
      </c>
      <c r="E7569" t="s">
        <v>22675</v>
      </c>
    </row>
    <row r="7570" spans="1:5" x14ac:dyDescent="0.2">
      <c r="A7570" t="s">
        <v>22676</v>
      </c>
      <c r="B7570" t="s">
        <v>22677</v>
      </c>
      <c r="C7570" t="s">
        <v>22677</v>
      </c>
      <c r="D7570" t="str">
        <f>HYPERLINK("https://zfin.org/ZDB-GENE-030826-33")</f>
        <v>https://zfin.org/ZDB-GENE-030826-33</v>
      </c>
      <c r="E7570" t="s">
        <v>22678</v>
      </c>
    </row>
    <row r="7571" spans="1:5" x14ac:dyDescent="0.2">
      <c r="A7571" t="s">
        <v>22679</v>
      </c>
      <c r="B7571" t="s">
        <v>22680</v>
      </c>
      <c r="C7571" t="s">
        <v>22680</v>
      </c>
      <c r="D7571" t="str">
        <f>HYPERLINK("https://zfin.org/ZDB-GENE-041114-199")</f>
        <v>https://zfin.org/ZDB-GENE-041114-199</v>
      </c>
      <c r="E7571" t="s">
        <v>22681</v>
      </c>
    </row>
    <row r="7572" spans="1:5" x14ac:dyDescent="0.2">
      <c r="A7572" t="s">
        <v>22682</v>
      </c>
      <c r="B7572" t="s">
        <v>22683</v>
      </c>
      <c r="C7572" t="s">
        <v>22683</v>
      </c>
      <c r="D7572" t="str">
        <f>HYPERLINK("https://zfin.org/ZDB-GENE-081031-40")</f>
        <v>https://zfin.org/ZDB-GENE-081031-40</v>
      </c>
      <c r="E7572" t="s">
        <v>22684</v>
      </c>
    </row>
    <row r="7573" spans="1:5" x14ac:dyDescent="0.2">
      <c r="A7573" t="s">
        <v>22685</v>
      </c>
      <c r="B7573" t="s">
        <v>22686</v>
      </c>
      <c r="C7573" t="s">
        <v>22686</v>
      </c>
      <c r="D7573" t="str">
        <f>HYPERLINK("https://zfin.org/ZDB-GENE-100728-1")</f>
        <v>https://zfin.org/ZDB-GENE-100728-1</v>
      </c>
      <c r="E7573" t="s">
        <v>22687</v>
      </c>
    </row>
    <row r="7574" spans="1:5" x14ac:dyDescent="0.2">
      <c r="A7574" t="s">
        <v>22688</v>
      </c>
      <c r="B7574" t="s">
        <v>22689</v>
      </c>
      <c r="C7574" t="s">
        <v>22689</v>
      </c>
      <c r="D7574" t="str">
        <f>HYPERLINK("https://zfin.org/ZDB-GENE-030131-2838")</f>
        <v>https://zfin.org/ZDB-GENE-030131-2838</v>
      </c>
      <c r="E7574" t="s">
        <v>22690</v>
      </c>
    </row>
    <row r="7575" spans="1:5" x14ac:dyDescent="0.2">
      <c r="A7575" t="s">
        <v>22691</v>
      </c>
      <c r="B7575" t="s">
        <v>22692</v>
      </c>
      <c r="C7575" t="s">
        <v>22692</v>
      </c>
      <c r="D7575" t="str">
        <f>HYPERLINK("https://zfin.org/ZDB-GENE-070424-138")</f>
        <v>https://zfin.org/ZDB-GENE-070424-138</v>
      </c>
      <c r="E7575" t="s">
        <v>22693</v>
      </c>
    </row>
    <row r="7576" spans="1:5" x14ac:dyDescent="0.2">
      <c r="A7576" t="s">
        <v>22694</v>
      </c>
      <c r="B7576" t="s">
        <v>22695</v>
      </c>
      <c r="C7576" t="s">
        <v>22695</v>
      </c>
      <c r="D7576" t="str">
        <f>HYPERLINK("https://zfin.org/ZDB-GENE-990415-264")</f>
        <v>https://zfin.org/ZDB-GENE-990415-264</v>
      </c>
      <c r="E7576" t="s">
        <v>22696</v>
      </c>
    </row>
    <row r="7577" spans="1:5" x14ac:dyDescent="0.2">
      <c r="A7577" t="s">
        <v>22697</v>
      </c>
      <c r="B7577" t="s">
        <v>22698</v>
      </c>
      <c r="C7577" t="s">
        <v>22698</v>
      </c>
      <c r="D7577" t="str">
        <f>HYPERLINK("https://zfin.org/ZDB-GENE-061013-308")</f>
        <v>https://zfin.org/ZDB-GENE-061013-308</v>
      </c>
      <c r="E7577" t="s">
        <v>22699</v>
      </c>
    </row>
    <row r="7578" spans="1:5" x14ac:dyDescent="0.2">
      <c r="A7578" t="s">
        <v>22700</v>
      </c>
      <c r="B7578" t="s">
        <v>22701</v>
      </c>
      <c r="C7578" t="s">
        <v>22701</v>
      </c>
      <c r="D7578" t="str">
        <f>HYPERLINK("https://zfin.org/ZDB-GENE-020426-1")</f>
        <v>https://zfin.org/ZDB-GENE-020426-1</v>
      </c>
      <c r="E7578" t="s">
        <v>22702</v>
      </c>
    </row>
    <row r="7579" spans="1:5" x14ac:dyDescent="0.2">
      <c r="A7579" t="s">
        <v>22703</v>
      </c>
      <c r="B7579" t="s">
        <v>22704</v>
      </c>
      <c r="C7579" t="s">
        <v>22704</v>
      </c>
      <c r="D7579" t="str">
        <f>HYPERLINK("https://zfin.org/ZDB-GENE-110914-181")</f>
        <v>https://zfin.org/ZDB-GENE-110914-181</v>
      </c>
      <c r="E7579" t="s">
        <v>22705</v>
      </c>
    </row>
    <row r="7580" spans="1:5" x14ac:dyDescent="0.2">
      <c r="A7580" t="s">
        <v>22706</v>
      </c>
      <c r="B7580" t="s">
        <v>22707</v>
      </c>
      <c r="C7580" t="s">
        <v>22707</v>
      </c>
      <c r="D7580" t="str">
        <f>HYPERLINK("https://zfin.org/ZDB-GENE-030131-8436")</f>
        <v>https://zfin.org/ZDB-GENE-030131-8436</v>
      </c>
      <c r="E7580" t="s">
        <v>22708</v>
      </c>
    </row>
    <row r="7581" spans="1:5" x14ac:dyDescent="0.2">
      <c r="A7581" t="s">
        <v>22709</v>
      </c>
      <c r="B7581" t="s">
        <v>22710</v>
      </c>
      <c r="C7581" t="s">
        <v>22710</v>
      </c>
      <c r="D7581" t="str">
        <f>HYPERLINK("https://zfin.org/ZDB-GENE-031118-54")</f>
        <v>https://zfin.org/ZDB-GENE-031118-54</v>
      </c>
      <c r="E7581" t="s">
        <v>22711</v>
      </c>
    </row>
    <row r="7582" spans="1:5" x14ac:dyDescent="0.2">
      <c r="A7582" t="s">
        <v>22712</v>
      </c>
      <c r="B7582" t="s">
        <v>22713</v>
      </c>
      <c r="C7582" t="s">
        <v>22713</v>
      </c>
      <c r="D7582" t="str">
        <f>HYPERLINK("https://zfin.org/ZDB-GENE-030131-6219")</f>
        <v>https://zfin.org/ZDB-GENE-030131-6219</v>
      </c>
      <c r="E7582" t="s">
        <v>22714</v>
      </c>
    </row>
    <row r="7583" spans="1:5" x14ac:dyDescent="0.2">
      <c r="A7583" t="s">
        <v>22715</v>
      </c>
      <c r="B7583" t="s">
        <v>22716</v>
      </c>
      <c r="C7583" t="s">
        <v>22716</v>
      </c>
      <c r="D7583" t="str">
        <f>HYPERLINK("https://zfin.org/ZDB-GENE-041010-14")</f>
        <v>https://zfin.org/ZDB-GENE-041010-14</v>
      </c>
      <c r="E7583" t="s">
        <v>22717</v>
      </c>
    </row>
    <row r="7584" spans="1:5" x14ac:dyDescent="0.2">
      <c r="A7584" t="s">
        <v>22718</v>
      </c>
      <c r="B7584" t="s">
        <v>22719</v>
      </c>
      <c r="C7584" t="s">
        <v>22719</v>
      </c>
      <c r="D7584" t="str">
        <f>HYPERLINK("https://zfin.org/ZDB-GENE-050522-399")</f>
        <v>https://zfin.org/ZDB-GENE-050522-399</v>
      </c>
      <c r="E7584" t="s">
        <v>22720</v>
      </c>
    </row>
    <row r="7585" spans="1:5" x14ac:dyDescent="0.2">
      <c r="A7585" t="s">
        <v>22721</v>
      </c>
      <c r="B7585" t="s">
        <v>22722</v>
      </c>
      <c r="C7585" t="s">
        <v>22722</v>
      </c>
      <c r="D7585" t="str">
        <f>HYPERLINK("https://zfin.org/ZDB-GENE-000607-75")</f>
        <v>https://zfin.org/ZDB-GENE-000607-75</v>
      </c>
      <c r="E7585" t="s">
        <v>22723</v>
      </c>
    </row>
    <row r="7586" spans="1:5" x14ac:dyDescent="0.2">
      <c r="A7586" t="s">
        <v>22724</v>
      </c>
      <c r="B7586" t="s">
        <v>22725</v>
      </c>
      <c r="C7586" t="s">
        <v>22725</v>
      </c>
      <c r="D7586" t="str">
        <f>HYPERLINK("https://zfin.org/ZDB-GENE-050419-77")</f>
        <v>https://zfin.org/ZDB-GENE-050419-77</v>
      </c>
      <c r="E7586" t="s">
        <v>22726</v>
      </c>
    </row>
    <row r="7587" spans="1:5" x14ac:dyDescent="0.2">
      <c r="A7587" t="s">
        <v>22727</v>
      </c>
      <c r="B7587" t="s">
        <v>22728</v>
      </c>
      <c r="C7587" t="s">
        <v>22728</v>
      </c>
      <c r="D7587" t="str">
        <f>HYPERLINK("https://zfin.org/ZDB-GENE-040426-963")</f>
        <v>https://zfin.org/ZDB-GENE-040426-963</v>
      </c>
      <c r="E7587" t="s">
        <v>22729</v>
      </c>
    </row>
    <row r="7588" spans="1:5" x14ac:dyDescent="0.2">
      <c r="A7588" t="s">
        <v>22730</v>
      </c>
      <c r="B7588" t="s">
        <v>22731</v>
      </c>
      <c r="C7588" t="s">
        <v>22731</v>
      </c>
      <c r="D7588" t="str">
        <f>HYPERLINK("https://zfin.org/ZDB-GENE-041010-118")</f>
        <v>https://zfin.org/ZDB-GENE-041010-118</v>
      </c>
      <c r="E7588" t="s">
        <v>22732</v>
      </c>
    </row>
    <row r="7589" spans="1:5" x14ac:dyDescent="0.2">
      <c r="A7589" t="s">
        <v>22733</v>
      </c>
      <c r="B7589" t="s">
        <v>22734</v>
      </c>
      <c r="C7589" t="s">
        <v>22734</v>
      </c>
      <c r="D7589" t="str">
        <f>HYPERLINK("https://zfin.org/ZDB-GENE-050320-129")</f>
        <v>https://zfin.org/ZDB-GENE-050320-129</v>
      </c>
      <c r="E7589" t="s">
        <v>22735</v>
      </c>
    </row>
    <row r="7590" spans="1:5" x14ac:dyDescent="0.2">
      <c r="A7590" t="s">
        <v>22736</v>
      </c>
      <c r="B7590" t="s">
        <v>22737</v>
      </c>
      <c r="C7590" t="s">
        <v>22737</v>
      </c>
      <c r="D7590" t="str">
        <f>HYPERLINK("https://zfin.org/ZDB-GENE-031118-55")</f>
        <v>https://zfin.org/ZDB-GENE-031118-55</v>
      </c>
      <c r="E7590" t="s">
        <v>22738</v>
      </c>
    </row>
    <row r="7591" spans="1:5" x14ac:dyDescent="0.2">
      <c r="A7591" t="s">
        <v>22739</v>
      </c>
      <c r="B7591" t="s">
        <v>22740</v>
      </c>
      <c r="C7591" t="s">
        <v>22740</v>
      </c>
      <c r="D7591" t="str">
        <f>HYPERLINK("https://zfin.org/ZDB-GENE-121214-308")</f>
        <v>https://zfin.org/ZDB-GENE-121214-308</v>
      </c>
      <c r="E7591" t="s">
        <v>22741</v>
      </c>
    </row>
    <row r="7592" spans="1:5" x14ac:dyDescent="0.2">
      <c r="A7592" t="s">
        <v>22742</v>
      </c>
      <c r="B7592" t="s">
        <v>22743</v>
      </c>
      <c r="C7592" t="s">
        <v>22743</v>
      </c>
      <c r="D7592" t="str">
        <f>HYPERLINK("https://zfin.org/ZDB-GENE-040426-2448")</f>
        <v>https://zfin.org/ZDB-GENE-040426-2448</v>
      </c>
      <c r="E7592" t="s">
        <v>22744</v>
      </c>
    </row>
    <row r="7593" spans="1:5" x14ac:dyDescent="0.2">
      <c r="A7593" t="s">
        <v>22745</v>
      </c>
      <c r="B7593" t="s">
        <v>22746</v>
      </c>
      <c r="C7593" t="s">
        <v>22746</v>
      </c>
      <c r="D7593" t="str">
        <f>HYPERLINK("https://zfin.org/ZDB-GENE-050208-492")</f>
        <v>https://zfin.org/ZDB-GENE-050208-492</v>
      </c>
      <c r="E7593" t="s">
        <v>22747</v>
      </c>
    </row>
    <row r="7594" spans="1:5" x14ac:dyDescent="0.2">
      <c r="A7594" t="s">
        <v>22748</v>
      </c>
      <c r="B7594" t="s">
        <v>22749</v>
      </c>
      <c r="C7594" t="s">
        <v>22749</v>
      </c>
      <c r="D7594" t="str">
        <f>HYPERLINK("https://zfin.org/ZDB-GENE-040625-158")</f>
        <v>https://zfin.org/ZDB-GENE-040625-158</v>
      </c>
      <c r="E7594" t="s">
        <v>22750</v>
      </c>
    </row>
    <row r="7595" spans="1:5" x14ac:dyDescent="0.2">
      <c r="A7595" t="s">
        <v>22751</v>
      </c>
      <c r="B7595" t="s">
        <v>22752</v>
      </c>
      <c r="C7595" t="s">
        <v>22752</v>
      </c>
      <c r="D7595" t="str">
        <f>HYPERLINK("https://zfin.org/ZDB-GENE-131125-90")</f>
        <v>https://zfin.org/ZDB-GENE-131125-90</v>
      </c>
      <c r="E7595" t="s">
        <v>22753</v>
      </c>
    </row>
    <row r="7596" spans="1:5" x14ac:dyDescent="0.2">
      <c r="A7596" t="s">
        <v>22754</v>
      </c>
      <c r="B7596" t="s">
        <v>22755</v>
      </c>
      <c r="C7596" t="s">
        <v>22755</v>
      </c>
      <c r="D7596" t="str">
        <f>HYPERLINK("https://zfin.org/ZDB-GENE-090311-51")</f>
        <v>https://zfin.org/ZDB-GENE-090311-51</v>
      </c>
      <c r="E7596" t="s">
        <v>22756</v>
      </c>
    </row>
    <row r="7597" spans="1:5" x14ac:dyDescent="0.2">
      <c r="A7597" t="s">
        <v>22757</v>
      </c>
      <c r="B7597" t="s">
        <v>22758</v>
      </c>
      <c r="C7597" t="s">
        <v>22758</v>
      </c>
      <c r="D7597" t="str">
        <f>HYPERLINK("https://zfin.org/ZDB-GENE-040426-1308")</f>
        <v>https://zfin.org/ZDB-GENE-040426-1308</v>
      </c>
      <c r="E7597" t="s">
        <v>22759</v>
      </c>
    </row>
    <row r="7598" spans="1:5" x14ac:dyDescent="0.2">
      <c r="A7598" t="s">
        <v>22760</v>
      </c>
      <c r="B7598" t="s">
        <v>22761</v>
      </c>
      <c r="C7598" t="s">
        <v>22761</v>
      </c>
      <c r="D7598" t="str">
        <f>HYPERLINK("https://zfin.org/ZDB-GENE-040801-20")</f>
        <v>https://zfin.org/ZDB-GENE-040801-20</v>
      </c>
      <c r="E7598" t="s">
        <v>22762</v>
      </c>
    </row>
    <row r="7599" spans="1:5" x14ac:dyDescent="0.2">
      <c r="A7599" t="s">
        <v>22763</v>
      </c>
      <c r="B7599" t="s">
        <v>22764</v>
      </c>
      <c r="C7599" t="s">
        <v>22764</v>
      </c>
      <c r="D7599" t="str">
        <f>HYPERLINK("https://zfin.org/ZDB-GENE-060421-6989")</f>
        <v>https://zfin.org/ZDB-GENE-060421-6989</v>
      </c>
      <c r="E7599" t="s">
        <v>22765</v>
      </c>
    </row>
    <row r="7600" spans="1:5" x14ac:dyDescent="0.2">
      <c r="A7600" t="s">
        <v>22766</v>
      </c>
      <c r="B7600" t="s">
        <v>22767</v>
      </c>
      <c r="C7600" t="s">
        <v>22767</v>
      </c>
      <c r="D7600" t="str">
        <f>HYPERLINK("https://zfin.org/ZDB-GENE-010724-2")</f>
        <v>https://zfin.org/ZDB-GENE-010724-2</v>
      </c>
      <c r="E7600" t="s">
        <v>22768</v>
      </c>
    </row>
    <row r="7601" spans="1:5" x14ac:dyDescent="0.2">
      <c r="A7601" t="s">
        <v>22769</v>
      </c>
      <c r="B7601" t="s">
        <v>22770</v>
      </c>
      <c r="C7601" t="s">
        <v>22770</v>
      </c>
      <c r="D7601" t="str">
        <f>HYPERLINK("https://zfin.org/ZDB-GENE-071004-22")</f>
        <v>https://zfin.org/ZDB-GENE-071004-22</v>
      </c>
      <c r="E7601" t="s">
        <v>22771</v>
      </c>
    </row>
    <row r="7602" spans="1:5" x14ac:dyDescent="0.2">
      <c r="A7602" t="s">
        <v>22772</v>
      </c>
      <c r="B7602" t="s">
        <v>22773</v>
      </c>
      <c r="C7602" t="s">
        <v>22773</v>
      </c>
      <c r="D7602" t="str">
        <f>HYPERLINK("https://zfin.org/ZDB-GENE-060616-24")</f>
        <v>https://zfin.org/ZDB-GENE-060616-24</v>
      </c>
      <c r="E7602" t="s">
        <v>22774</v>
      </c>
    </row>
    <row r="7603" spans="1:5" x14ac:dyDescent="0.2">
      <c r="A7603" t="s">
        <v>22775</v>
      </c>
      <c r="B7603" t="s">
        <v>22776</v>
      </c>
      <c r="C7603" t="s">
        <v>22776</v>
      </c>
      <c r="D7603" t="str">
        <f>HYPERLINK("https://zfin.org/ZDB-GENE-040426-2180")</f>
        <v>https://zfin.org/ZDB-GENE-040426-2180</v>
      </c>
      <c r="E7603" t="s">
        <v>22777</v>
      </c>
    </row>
    <row r="7604" spans="1:5" x14ac:dyDescent="0.2">
      <c r="A7604" t="s">
        <v>22778</v>
      </c>
      <c r="B7604" t="s">
        <v>22779</v>
      </c>
      <c r="C7604" t="s">
        <v>22779</v>
      </c>
      <c r="D7604" t="str">
        <f>HYPERLINK("https://zfin.org/ZDB-GENE-030131-8733")</f>
        <v>https://zfin.org/ZDB-GENE-030131-8733</v>
      </c>
      <c r="E7604" t="s">
        <v>22780</v>
      </c>
    </row>
    <row r="7605" spans="1:5" x14ac:dyDescent="0.2">
      <c r="A7605" t="s">
        <v>22781</v>
      </c>
      <c r="B7605" t="s">
        <v>22782</v>
      </c>
      <c r="C7605" t="s">
        <v>22782</v>
      </c>
      <c r="D7605" t="str">
        <f>HYPERLINK("https://zfin.org/ZDB-GENE-030131-2069")</f>
        <v>https://zfin.org/ZDB-GENE-030131-2069</v>
      </c>
      <c r="E7605" t="s">
        <v>22783</v>
      </c>
    </row>
    <row r="7606" spans="1:5" x14ac:dyDescent="0.2">
      <c r="A7606" t="s">
        <v>22784</v>
      </c>
      <c r="B7606" t="s">
        <v>22785</v>
      </c>
      <c r="C7606" t="s">
        <v>22785</v>
      </c>
      <c r="D7606" t="str">
        <f>HYPERLINK("https://zfin.org/ZDB-GENE-030131-6500")</f>
        <v>https://zfin.org/ZDB-GENE-030131-6500</v>
      </c>
      <c r="E7606" t="s">
        <v>22786</v>
      </c>
    </row>
    <row r="7607" spans="1:5" x14ac:dyDescent="0.2">
      <c r="A7607" t="s">
        <v>22787</v>
      </c>
      <c r="B7607" t="s">
        <v>22788</v>
      </c>
      <c r="C7607" t="s">
        <v>22788</v>
      </c>
      <c r="D7607" t="str">
        <f>HYPERLINK("https://zfin.org/ZDB-GENE-040624-5")</f>
        <v>https://zfin.org/ZDB-GENE-040624-5</v>
      </c>
      <c r="E7607" t="s">
        <v>22789</v>
      </c>
    </row>
    <row r="7608" spans="1:5" x14ac:dyDescent="0.2">
      <c r="A7608" t="s">
        <v>22790</v>
      </c>
      <c r="B7608" t="s">
        <v>22791</v>
      </c>
      <c r="C7608" t="s">
        <v>22791</v>
      </c>
      <c r="D7608" t="str">
        <f>HYPERLINK("https://zfin.org/ZDB-GENE-070209-262")</f>
        <v>https://zfin.org/ZDB-GENE-070209-262</v>
      </c>
      <c r="E7608" t="s">
        <v>22792</v>
      </c>
    </row>
    <row r="7609" spans="1:5" x14ac:dyDescent="0.2">
      <c r="A7609" t="s">
        <v>22793</v>
      </c>
      <c r="B7609" t="s">
        <v>22794</v>
      </c>
      <c r="C7609" t="s">
        <v>22794</v>
      </c>
      <c r="D7609" t="str">
        <f>HYPERLINK("https://zfin.org/ZDB-GENE-030131-6288")</f>
        <v>https://zfin.org/ZDB-GENE-030131-6288</v>
      </c>
      <c r="E7609" t="s">
        <v>22795</v>
      </c>
    </row>
    <row r="7610" spans="1:5" x14ac:dyDescent="0.2">
      <c r="A7610" t="s">
        <v>22796</v>
      </c>
      <c r="B7610" t="s">
        <v>22797</v>
      </c>
      <c r="C7610" t="s">
        <v>22797</v>
      </c>
      <c r="D7610" t="str">
        <f>HYPERLINK("https://zfin.org/ZDB-GENE-060503-728")</f>
        <v>https://zfin.org/ZDB-GENE-060503-728</v>
      </c>
      <c r="E7610" t="s">
        <v>22798</v>
      </c>
    </row>
    <row r="7611" spans="1:5" x14ac:dyDescent="0.2">
      <c r="A7611" t="s">
        <v>22799</v>
      </c>
      <c r="B7611" t="s">
        <v>22800</v>
      </c>
      <c r="C7611" t="s">
        <v>22800</v>
      </c>
      <c r="D7611" t="str">
        <f>HYPERLINK("https://zfin.org/ZDB-GENE-050731-2")</f>
        <v>https://zfin.org/ZDB-GENE-050731-2</v>
      </c>
      <c r="E7611" t="s">
        <v>22801</v>
      </c>
    </row>
    <row r="7612" spans="1:5" x14ac:dyDescent="0.2">
      <c r="A7612" t="s">
        <v>22802</v>
      </c>
      <c r="B7612" t="s">
        <v>22803</v>
      </c>
      <c r="C7612" t="s">
        <v>22803</v>
      </c>
      <c r="D7612" t="str">
        <f>HYPERLINK("https://zfin.org/ZDB-GENE-060503-682")</f>
        <v>https://zfin.org/ZDB-GENE-060503-682</v>
      </c>
      <c r="E7612" t="s">
        <v>22804</v>
      </c>
    </row>
    <row r="7613" spans="1:5" x14ac:dyDescent="0.2">
      <c r="A7613" t="s">
        <v>22805</v>
      </c>
      <c r="B7613" t="s">
        <v>22806</v>
      </c>
      <c r="C7613" t="s">
        <v>22806</v>
      </c>
      <c r="D7613" t="str">
        <f>HYPERLINK("https://zfin.org/ZDB-GENE-050320-19")</f>
        <v>https://zfin.org/ZDB-GENE-050320-19</v>
      </c>
      <c r="E7613" t="s">
        <v>22807</v>
      </c>
    </row>
    <row r="7614" spans="1:5" x14ac:dyDescent="0.2">
      <c r="A7614" t="s">
        <v>22808</v>
      </c>
      <c r="B7614" t="s">
        <v>22749</v>
      </c>
      <c r="C7614" t="s">
        <v>22809</v>
      </c>
      <c r="D7614" t="str">
        <f>HYPERLINK("https://zfin.org/")</f>
        <v>https://zfin.org/</v>
      </c>
    </row>
    <row r="7615" spans="1:5" x14ac:dyDescent="0.2">
      <c r="A7615" t="s">
        <v>22810</v>
      </c>
      <c r="B7615" t="s">
        <v>22811</v>
      </c>
      <c r="C7615" t="s">
        <v>22811</v>
      </c>
      <c r="D7615" t="str">
        <f>HYPERLINK("https://zfin.org/ZDB-GENE-041114-134")</f>
        <v>https://zfin.org/ZDB-GENE-041114-134</v>
      </c>
      <c r="E7615" t="s">
        <v>22812</v>
      </c>
    </row>
    <row r="7616" spans="1:5" x14ac:dyDescent="0.2">
      <c r="A7616" t="s">
        <v>22813</v>
      </c>
      <c r="B7616" t="s">
        <v>22814</v>
      </c>
      <c r="C7616" t="s">
        <v>22814</v>
      </c>
      <c r="D7616" t="str">
        <f>HYPERLINK("https://zfin.org/ZDB-GENE-041111-207")</f>
        <v>https://zfin.org/ZDB-GENE-041111-207</v>
      </c>
      <c r="E7616" t="s">
        <v>22815</v>
      </c>
    </row>
    <row r="7617" spans="1:5" x14ac:dyDescent="0.2">
      <c r="A7617" t="s">
        <v>22816</v>
      </c>
      <c r="B7617" t="s">
        <v>22817</v>
      </c>
      <c r="C7617" t="s">
        <v>22817</v>
      </c>
      <c r="D7617" t="str">
        <f>HYPERLINK("https://zfin.org/ZDB-GENE-040718-422")</f>
        <v>https://zfin.org/ZDB-GENE-040718-422</v>
      </c>
      <c r="E7617" t="s">
        <v>22818</v>
      </c>
    </row>
    <row r="7618" spans="1:5" x14ac:dyDescent="0.2">
      <c r="A7618" t="s">
        <v>22819</v>
      </c>
      <c r="B7618" t="s">
        <v>22820</v>
      </c>
      <c r="C7618" t="s">
        <v>22820</v>
      </c>
      <c r="D7618" t="str">
        <f>HYPERLINK("https://zfin.org/ZDB-GENE-070912-322")</f>
        <v>https://zfin.org/ZDB-GENE-070912-322</v>
      </c>
      <c r="E7618" t="s">
        <v>22821</v>
      </c>
    </row>
    <row r="7619" spans="1:5" x14ac:dyDescent="0.2">
      <c r="A7619" t="s">
        <v>22822</v>
      </c>
      <c r="B7619" t="s">
        <v>22823</v>
      </c>
      <c r="C7619" t="s">
        <v>22823</v>
      </c>
      <c r="D7619" t="str">
        <f>HYPERLINK("https://zfin.org/ZDB-GENE-030131-18")</f>
        <v>https://zfin.org/ZDB-GENE-030131-18</v>
      </c>
      <c r="E7619" t="s">
        <v>22824</v>
      </c>
    </row>
    <row r="7620" spans="1:5" x14ac:dyDescent="0.2">
      <c r="A7620" t="s">
        <v>22825</v>
      </c>
      <c r="B7620" t="s">
        <v>22826</v>
      </c>
      <c r="C7620" t="s">
        <v>22826</v>
      </c>
      <c r="D7620" t="str">
        <f>HYPERLINK("https://zfin.org/ZDB-GENE-090312-184")</f>
        <v>https://zfin.org/ZDB-GENE-090312-184</v>
      </c>
      <c r="E7620" t="s">
        <v>22827</v>
      </c>
    </row>
    <row r="7621" spans="1:5" x14ac:dyDescent="0.2">
      <c r="A7621" t="s">
        <v>22828</v>
      </c>
      <c r="B7621" t="s">
        <v>22829</v>
      </c>
      <c r="C7621" t="s">
        <v>22829</v>
      </c>
      <c r="D7621" t="str">
        <f>HYPERLINK("https://zfin.org/ZDB-GENE-110411-11")</f>
        <v>https://zfin.org/ZDB-GENE-110411-11</v>
      </c>
      <c r="E7621" t="s">
        <v>22830</v>
      </c>
    </row>
    <row r="7622" spans="1:5" x14ac:dyDescent="0.2">
      <c r="A7622" t="s">
        <v>22831</v>
      </c>
      <c r="B7622" t="s">
        <v>22832</v>
      </c>
      <c r="C7622" t="s">
        <v>22832</v>
      </c>
      <c r="D7622" t="str">
        <f>HYPERLINK("https://zfin.org/ZDB-GENE-070912-172")</f>
        <v>https://zfin.org/ZDB-GENE-070912-172</v>
      </c>
      <c r="E7622" t="s">
        <v>22833</v>
      </c>
    </row>
    <row r="7623" spans="1:5" x14ac:dyDescent="0.2">
      <c r="A7623" t="s">
        <v>22834</v>
      </c>
      <c r="B7623" t="s">
        <v>22835</v>
      </c>
      <c r="C7623" t="s">
        <v>22835</v>
      </c>
      <c r="D7623" t="str">
        <f>HYPERLINK("https://zfin.org/ZDB-GENE-081104-302")</f>
        <v>https://zfin.org/ZDB-GENE-081104-302</v>
      </c>
      <c r="E7623" t="s">
        <v>22836</v>
      </c>
    </row>
    <row r="7624" spans="1:5" x14ac:dyDescent="0.2">
      <c r="A7624" t="s">
        <v>22837</v>
      </c>
      <c r="B7624" t="s">
        <v>22838</v>
      </c>
      <c r="C7624" t="s">
        <v>22838</v>
      </c>
      <c r="D7624" t="str">
        <f>HYPERLINK("https://zfin.org/ZDB-GENE-040808-32")</f>
        <v>https://zfin.org/ZDB-GENE-040808-32</v>
      </c>
      <c r="E7624" t="s">
        <v>22839</v>
      </c>
    </row>
    <row r="7625" spans="1:5" x14ac:dyDescent="0.2">
      <c r="A7625" t="s">
        <v>22840</v>
      </c>
      <c r="B7625" t="s">
        <v>22841</v>
      </c>
      <c r="C7625" t="s">
        <v>22841</v>
      </c>
      <c r="D7625" t="str">
        <f>HYPERLINK("https://zfin.org/ZDB-GENE-090312-92")</f>
        <v>https://zfin.org/ZDB-GENE-090312-92</v>
      </c>
      <c r="E7625" t="s">
        <v>22842</v>
      </c>
    </row>
    <row r="7626" spans="1:5" x14ac:dyDescent="0.2">
      <c r="A7626" t="s">
        <v>22843</v>
      </c>
      <c r="B7626" t="s">
        <v>22844</v>
      </c>
      <c r="C7626" t="s">
        <v>22844</v>
      </c>
      <c r="D7626" t="str">
        <f>HYPERLINK("https://zfin.org/ZDB-GENE-030828-5")</f>
        <v>https://zfin.org/ZDB-GENE-030828-5</v>
      </c>
      <c r="E7626" t="s">
        <v>22845</v>
      </c>
    </row>
    <row r="7627" spans="1:5" x14ac:dyDescent="0.2">
      <c r="A7627" t="s">
        <v>22846</v>
      </c>
      <c r="B7627" t="s">
        <v>22847</v>
      </c>
      <c r="C7627" t="s">
        <v>22847</v>
      </c>
      <c r="D7627" t="str">
        <f>HYPERLINK("https://zfin.org/ZDB-GENE-110411-221")</f>
        <v>https://zfin.org/ZDB-GENE-110411-221</v>
      </c>
      <c r="E7627" t="s">
        <v>22848</v>
      </c>
    </row>
    <row r="7628" spans="1:5" x14ac:dyDescent="0.2">
      <c r="A7628" t="s">
        <v>22849</v>
      </c>
      <c r="B7628" t="s">
        <v>22850</v>
      </c>
      <c r="C7628" t="s">
        <v>22850</v>
      </c>
      <c r="D7628" t="str">
        <f>HYPERLINK("https://zfin.org/ZDB-GENE-090313-292")</f>
        <v>https://zfin.org/ZDB-GENE-090313-292</v>
      </c>
      <c r="E7628" t="s">
        <v>22851</v>
      </c>
    </row>
    <row r="7629" spans="1:5" x14ac:dyDescent="0.2">
      <c r="A7629" t="s">
        <v>22852</v>
      </c>
      <c r="B7629" t="s">
        <v>22853</v>
      </c>
      <c r="C7629" t="s">
        <v>22853</v>
      </c>
      <c r="D7629" t="str">
        <f>HYPERLINK("https://zfin.org/ZDB-GENE-141212-272")</f>
        <v>https://zfin.org/ZDB-GENE-141212-272</v>
      </c>
      <c r="E7629" t="s">
        <v>22854</v>
      </c>
    </row>
    <row r="7630" spans="1:5" x14ac:dyDescent="0.2">
      <c r="A7630" t="s">
        <v>22855</v>
      </c>
      <c r="B7630" t="s">
        <v>22856</v>
      </c>
      <c r="C7630" t="s">
        <v>22856</v>
      </c>
      <c r="D7630" t="str">
        <f>HYPERLINK("https://zfin.org/ZDB-GENE-040914-10")</f>
        <v>https://zfin.org/ZDB-GENE-040914-10</v>
      </c>
      <c r="E7630" t="s">
        <v>22857</v>
      </c>
    </row>
    <row r="7631" spans="1:5" x14ac:dyDescent="0.2">
      <c r="A7631" t="s">
        <v>22858</v>
      </c>
      <c r="B7631" t="s">
        <v>22859</v>
      </c>
      <c r="C7631" t="s">
        <v>22859</v>
      </c>
      <c r="D7631" t="str">
        <f>HYPERLINK("https://zfin.org/ZDB-GENE-990415-85")</f>
        <v>https://zfin.org/ZDB-GENE-990415-85</v>
      </c>
      <c r="E7631" t="s">
        <v>22860</v>
      </c>
    </row>
    <row r="7632" spans="1:5" x14ac:dyDescent="0.2">
      <c r="A7632" t="s">
        <v>22861</v>
      </c>
      <c r="B7632" t="s">
        <v>22862</v>
      </c>
      <c r="C7632" t="s">
        <v>22862</v>
      </c>
      <c r="D7632" t="str">
        <f>HYPERLINK("https://zfin.org/ZDB-GENE-141212-259")</f>
        <v>https://zfin.org/ZDB-GENE-141212-259</v>
      </c>
      <c r="E7632" t="s">
        <v>22863</v>
      </c>
    </row>
    <row r="7633" spans="1:5" x14ac:dyDescent="0.2">
      <c r="A7633" t="s">
        <v>22864</v>
      </c>
      <c r="B7633" t="s">
        <v>22865</v>
      </c>
      <c r="C7633" t="s">
        <v>22865</v>
      </c>
      <c r="D7633" t="str">
        <f>HYPERLINK("https://zfin.org/ZDB-GENE-041014-120")</f>
        <v>https://zfin.org/ZDB-GENE-041014-120</v>
      </c>
      <c r="E7633" t="s">
        <v>22866</v>
      </c>
    </row>
    <row r="7634" spans="1:5" x14ac:dyDescent="0.2">
      <c r="A7634" t="s">
        <v>22867</v>
      </c>
      <c r="B7634" t="s">
        <v>22868</v>
      </c>
      <c r="C7634" t="s">
        <v>22868</v>
      </c>
      <c r="D7634" t="str">
        <f>HYPERLINK("https://zfin.org/ZDB-GENE-040426-1251")</f>
        <v>https://zfin.org/ZDB-GENE-040426-1251</v>
      </c>
      <c r="E7634" t="s">
        <v>22869</v>
      </c>
    </row>
    <row r="7635" spans="1:5" x14ac:dyDescent="0.2">
      <c r="A7635" t="s">
        <v>22870</v>
      </c>
      <c r="B7635" t="s">
        <v>22871</v>
      </c>
      <c r="C7635" t="s">
        <v>22871</v>
      </c>
      <c r="D7635" t="str">
        <f>HYPERLINK("https://zfin.org/ZDB-GENE-990415-247")</f>
        <v>https://zfin.org/ZDB-GENE-990415-247</v>
      </c>
      <c r="E7635" t="s">
        <v>22872</v>
      </c>
    </row>
    <row r="7636" spans="1:5" x14ac:dyDescent="0.2">
      <c r="A7636" t="s">
        <v>22873</v>
      </c>
      <c r="B7636" t="s">
        <v>22874</v>
      </c>
      <c r="C7636" t="s">
        <v>22874</v>
      </c>
      <c r="D7636" t="str">
        <f>HYPERLINK("https://zfin.org/ZDB-GENE-030131-8832")</f>
        <v>https://zfin.org/ZDB-GENE-030131-8832</v>
      </c>
      <c r="E7636" t="s">
        <v>22875</v>
      </c>
    </row>
    <row r="7637" spans="1:5" x14ac:dyDescent="0.2">
      <c r="A7637" t="s">
        <v>22876</v>
      </c>
      <c r="B7637" t="s">
        <v>22877</v>
      </c>
      <c r="C7637" t="s">
        <v>22877</v>
      </c>
      <c r="D7637" t="str">
        <f>HYPERLINK("https://zfin.org/ZDB-GENE-030131-1247")</f>
        <v>https://zfin.org/ZDB-GENE-030131-1247</v>
      </c>
      <c r="E7637" t="s">
        <v>22878</v>
      </c>
    </row>
    <row r="7638" spans="1:5" x14ac:dyDescent="0.2">
      <c r="A7638" t="s">
        <v>22879</v>
      </c>
      <c r="B7638" t="s">
        <v>22880</v>
      </c>
      <c r="C7638" t="s">
        <v>22880</v>
      </c>
      <c r="D7638" t="str">
        <f>HYPERLINK("https://zfin.org/ZDB-GENE-040718-216")</f>
        <v>https://zfin.org/ZDB-GENE-040718-216</v>
      </c>
      <c r="E7638" t="s">
        <v>22881</v>
      </c>
    </row>
    <row r="7639" spans="1:5" x14ac:dyDescent="0.2">
      <c r="A7639" t="s">
        <v>22882</v>
      </c>
      <c r="B7639" t="s">
        <v>22883</v>
      </c>
      <c r="C7639" t="s">
        <v>22883</v>
      </c>
      <c r="D7639" t="str">
        <f>HYPERLINK("https://zfin.org/ZDB-GENE-061221-3")</f>
        <v>https://zfin.org/ZDB-GENE-061221-3</v>
      </c>
      <c r="E7639" t="s">
        <v>22884</v>
      </c>
    </row>
    <row r="7640" spans="1:5" x14ac:dyDescent="0.2">
      <c r="A7640" t="s">
        <v>22885</v>
      </c>
      <c r="B7640" t="s">
        <v>22886</v>
      </c>
      <c r="C7640" t="s">
        <v>22886</v>
      </c>
      <c r="D7640" t="str">
        <f>HYPERLINK("https://zfin.org/ZDB-GENE-040426-1539")</f>
        <v>https://zfin.org/ZDB-GENE-040426-1539</v>
      </c>
      <c r="E7640" t="s">
        <v>22887</v>
      </c>
    </row>
    <row r="7641" spans="1:5" x14ac:dyDescent="0.2">
      <c r="A7641" t="s">
        <v>22888</v>
      </c>
      <c r="B7641" t="s">
        <v>22889</v>
      </c>
      <c r="C7641" t="s">
        <v>22889</v>
      </c>
      <c r="D7641" t="str">
        <f>HYPERLINK("https://zfin.org/ZDB-GENE-030131-7806")</f>
        <v>https://zfin.org/ZDB-GENE-030131-7806</v>
      </c>
      <c r="E7641" t="s">
        <v>22890</v>
      </c>
    </row>
    <row r="7642" spans="1:5" x14ac:dyDescent="0.2">
      <c r="A7642" t="s">
        <v>22891</v>
      </c>
      <c r="B7642" t="s">
        <v>22892</v>
      </c>
      <c r="C7642" t="s">
        <v>22892</v>
      </c>
      <c r="D7642" t="str">
        <f>HYPERLINK("https://zfin.org/ZDB-GENE-040724-164")</f>
        <v>https://zfin.org/ZDB-GENE-040724-164</v>
      </c>
      <c r="E7642" t="s">
        <v>22893</v>
      </c>
    </row>
    <row r="7643" spans="1:5" x14ac:dyDescent="0.2">
      <c r="A7643" t="s">
        <v>22894</v>
      </c>
      <c r="B7643" t="s">
        <v>22895</v>
      </c>
      <c r="C7643" t="s">
        <v>22895</v>
      </c>
      <c r="D7643" t="str">
        <f>HYPERLINK("https://zfin.org/ZDB-GENE-040426-1319")</f>
        <v>https://zfin.org/ZDB-GENE-040426-1319</v>
      </c>
      <c r="E7643" t="s">
        <v>22896</v>
      </c>
    </row>
    <row r="7644" spans="1:5" x14ac:dyDescent="0.2">
      <c r="A7644" t="s">
        <v>22897</v>
      </c>
      <c r="B7644" t="s">
        <v>22898</v>
      </c>
      <c r="C7644" t="s">
        <v>22898</v>
      </c>
      <c r="D7644" t="str">
        <f>HYPERLINK("https://zfin.org/ZDB-GENE-141216-238")</f>
        <v>https://zfin.org/ZDB-GENE-141216-238</v>
      </c>
      <c r="E7644" t="s">
        <v>22899</v>
      </c>
    </row>
    <row r="7645" spans="1:5" x14ac:dyDescent="0.2">
      <c r="A7645" t="s">
        <v>22900</v>
      </c>
      <c r="B7645" t="s">
        <v>15874</v>
      </c>
      <c r="C7645" t="s">
        <v>22901</v>
      </c>
      <c r="D7645" t="str">
        <f>HYPERLINK("https://zfin.org/ZDB-GENE-040426-1299")</f>
        <v>https://zfin.org/ZDB-GENE-040426-1299</v>
      </c>
      <c r="E7645" t="s">
        <v>15875</v>
      </c>
    </row>
    <row r="7646" spans="1:5" x14ac:dyDescent="0.2">
      <c r="A7646" t="s">
        <v>22902</v>
      </c>
      <c r="B7646" t="s">
        <v>22903</v>
      </c>
      <c r="C7646" t="s">
        <v>22903</v>
      </c>
      <c r="D7646" t="str">
        <f>HYPERLINK("https://zfin.org/ZDB-GENE-041008-127")</f>
        <v>https://zfin.org/ZDB-GENE-041008-127</v>
      </c>
      <c r="E7646" t="s">
        <v>22904</v>
      </c>
    </row>
    <row r="7647" spans="1:5" x14ac:dyDescent="0.2">
      <c r="A7647" t="s">
        <v>22905</v>
      </c>
      <c r="B7647" t="s">
        <v>22906</v>
      </c>
      <c r="C7647" t="s">
        <v>22906</v>
      </c>
      <c r="D7647" t="str">
        <f>HYPERLINK("https://zfin.org/ZDB-GENE-041010-24")</f>
        <v>https://zfin.org/ZDB-GENE-041010-24</v>
      </c>
      <c r="E7647" t="s">
        <v>22907</v>
      </c>
    </row>
    <row r="7648" spans="1:5" x14ac:dyDescent="0.2">
      <c r="A7648" t="s">
        <v>22908</v>
      </c>
      <c r="B7648" t="s">
        <v>22909</v>
      </c>
      <c r="C7648" t="s">
        <v>22909</v>
      </c>
      <c r="D7648" t="str">
        <f>HYPERLINK("https://zfin.org/ZDB-GENE-030131-6142")</f>
        <v>https://zfin.org/ZDB-GENE-030131-6142</v>
      </c>
      <c r="E7648" t="s">
        <v>22910</v>
      </c>
    </row>
    <row r="7649" spans="1:5" x14ac:dyDescent="0.2">
      <c r="A7649" t="s">
        <v>22911</v>
      </c>
      <c r="B7649" t="s">
        <v>22912</v>
      </c>
      <c r="C7649" t="s">
        <v>22912</v>
      </c>
      <c r="D7649" t="str">
        <f>HYPERLINK("https://zfin.org/ZDB-GENE-040822-13")</f>
        <v>https://zfin.org/ZDB-GENE-040822-13</v>
      </c>
      <c r="E7649" t="s">
        <v>22913</v>
      </c>
    </row>
    <row r="7650" spans="1:5" x14ac:dyDescent="0.2">
      <c r="A7650" t="s">
        <v>22914</v>
      </c>
      <c r="B7650" t="s">
        <v>22915</v>
      </c>
      <c r="C7650" t="s">
        <v>22915</v>
      </c>
      <c r="D7650" t="str">
        <f>HYPERLINK("https://zfin.org/ZDB-GENE-050327-14")</f>
        <v>https://zfin.org/ZDB-GENE-050327-14</v>
      </c>
      <c r="E7650" t="s">
        <v>22916</v>
      </c>
    </row>
    <row r="7651" spans="1:5" x14ac:dyDescent="0.2">
      <c r="A7651" t="s">
        <v>22917</v>
      </c>
      <c r="B7651" t="s">
        <v>22918</v>
      </c>
      <c r="C7651" t="s">
        <v>22918</v>
      </c>
      <c r="D7651" t="str">
        <f>HYPERLINK("https://zfin.org/ZDB-GENE-041008-183")</f>
        <v>https://zfin.org/ZDB-GENE-041008-183</v>
      </c>
      <c r="E7651" t="s">
        <v>22919</v>
      </c>
    </row>
    <row r="7652" spans="1:5" x14ac:dyDescent="0.2">
      <c r="A7652" t="s">
        <v>22920</v>
      </c>
      <c r="B7652" t="s">
        <v>22921</v>
      </c>
      <c r="C7652" t="s">
        <v>22921</v>
      </c>
      <c r="D7652" t="str">
        <f>HYPERLINK("https://zfin.org/ZDB-GENE-140328-1")</f>
        <v>https://zfin.org/ZDB-GENE-140328-1</v>
      </c>
      <c r="E7652" t="s">
        <v>22922</v>
      </c>
    </row>
    <row r="7653" spans="1:5" x14ac:dyDescent="0.2">
      <c r="A7653" t="s">
        <v>22923</v>
      </c>
      <c r="B7653" t="s">
        <v>22924</v>
      </c>
      <c r="C7653" t="s">
        <v>22924</v>
      </c>
      <c r="D7653" t="str">
        <f>HYPERLINK("https://zfin.org/ZDB-GENE-121214-231")</f>
        <v>https://zfin.org/ZDB-GENE-121214-231</v>
      </c>
      <c r="E7653" t="s">
        <v>22925</v>
      </c>
    </row>
    <row r="7654" spans="1:5" x14ac:dyDescent="0.2">
      <c r="A7654" t="s">
        <v>22926</v>
      </c>
      <c r="B7654" t="s">
        <v>22927</v>
      </c>
      <c r="C7654" t="s">
        <v>22927</v>
      </c>
      <c r="D7654" t="str">
        <f>HYPERLINK("https://zfin.org/ZDB-GENE-080829-13")</f>
        <v>https://zfin.org/ZDB-GENE-080829-13</v>
      </c>
      <c r="E7654" t="s">
        <v>22928</v>
      </c>
    </row>
    <row r="7655" spans="1:5" x14ac:dyDescent="0.2">
      <c r="A7655" t="s">
        <v>22929</v>
      </c>
      <c r="B7655" t="s">
        <v>22930</v>
      </c>
      <c r="C7655" t="s">
        <v>22930</v>
      </c>
      <c r="D7655" t="str">
        <f>HYPERLINK("https://zfin.org/ZDB-GENE-040426-1560")</f>
        <v>https://zfin.org/ZDB-GENE-040426-1560</v>
      </c>
      <c r="E7655" t="s">
        <v>22931</v>
      </c>
    </row>
    <row r="7656" spans="1:5" x14ac:dyDescent="0.2">
      <c r="A7656" t="s">
        <v>22932</v>
      </c>
      <c r="B7656" t="s">
        <v>22933</v>
      </c>
      <c r="C7656" t="s">
        <v>22933</v>
      </c>
      <c r="D7656" t="str">
        <f>HYPERLINK("https://zfin.org/ZDB-GENE-040617-2")</f>
        <v>https://zfin.org/ZDB-GENE-040617-2</v>
      </c>
      <c r="E7656" t="s">
        <v>22934</v>
      </c>
    </row>
    <row r="7657" spans="1:5" x14ac:dyDescent="0.2">
      <c r="A7657" t="s">
        <v>22935</v>
      </c>
      <c r="B7657" t="s">
        <v>22936</v>
      </c>
      <c r="C7657" t="s">
        <v>22936</v>
      </c>
      <c r="D7657" t="str">
        <f>HYPERLINK("https://zfin.org/ZDB-GENE-040426-912")</f>
        <v>https://zfin.org/ZDB-GENE-040426-912</v>
      </c>
      <c r="E7657" t="s">
        <v>22937</v>
      </c>
    </row>
    <row r="7658" spans="1:5" x14ac:dyDescent="0.2">
      <c r="A7658" t="s">
        <v>22938</v>
      </c>
      <c r="B7658" t="s">
        <v>22939</v>
      </c>
      <c r="C7658" t="s">
        <v>22940</v>
      </c>
      <c r="D7658" t="str">
        <f>HYPERLINK("https://zfin.org/ZDB-GENE-061026-1")</f>
        <v>https://zfin.org/ZDB-GENE-061026-1</v>
      </c>
      <c r="E7658" t="s">
        <v>22941</v>
      </c>
    </row>
    <row r="7659" spans="1:5" x14ac:dyDescent="0.2">
      <c r="A7659" t="s">
        <v>22942</v>
      </c>
      <c r="B7659" t="s">
        <v>22943</v>
      </c>
      <c r="C7659" t="s">
        <v>22943</v>
      </c>
      <c r="D7659" t="str">
        <f>HYPERLINK("https://zfin.org/ZDB-GENE-030131-4695")</f>
        <v>https://zfin.org/ZDB-GENE-030131-4695</v>
      </c>
      <c r="E7659" t="s">
        <v>22944</v>
      </c>
    </row>
    <row r="7660" spans="1:5" x14ac:dyDescent="0.2">
      <c r="A7660" t="s">
        <v>22945</v>
      </c>
      <c r="B7660" t="s">
        <v>22946</v>
      </c>
      <c r="C7660" t="s">
        <v>22946</v>
      </c>
      <c r="D7660" t="str">
        <f>HYPERLINK("https://zfin.org/ZDB-GENE-070705-137")</f>
        <v>https://zfin.org/ZDB-GENE-070705-137</v>
      </c>
      <c r="E7660" t="s">
        <v>22947</v>
      </c>
    </row>
    <row r="7661" spans="1:5" x14ac:dyDescent="0.2">
      <c r="A7661" t="s">
        <v>22948</v>
      </c>
      <c r="B7661" t="s">
        <v>22949</v>
      </c>
      <c r="C7661" t="s">
        <v>22949</v>
      </c>
      <c r="D7661" t="str">
        <f>HYPERLINK("https://zfin.org/ZDB-GENE-001127-3")</f>
        <v>https://zfin.org/ZDB-GENE-001127-3</v>
      </c>
      <c r="E7661" t="s">
        <v>22950</v>
      </c>
    </row>
    <row r="7662" spans="1:5" x14ac:dyDescent="0.2">
      <c r="A7662" t="s">
        <v>22951</v>
      </c>
      <c r="B7662" t="s">
        <v>22952</v>
      </c>
      <c r="C7662" t="s">
        <v>22952</v>
      </c>
      <c r="D7662" t="str">
        <f>HYPERLINK("https://zfin.org/ZDB-GENE-091230-8")</f>
        <v>https://zfin.org/ZDB-GENE-091230-8</v>
      </c>
      <c r="E7662" t="s">
        <v>22953</v>
      </c>
    </row>
    <row r="7663" spans="1:5" x14ac:dyDescent="0.2">
      <c r="A7663" t="s">
        <v>22954</v>
      </c>
      <c r="B7663" t="s">
        <v>22955</v>
      </c>
      <c r="C7663" t="s">
        <v>22955</v>
      </c>
      <c r="D7663" t="str">
        <f>HYPERLINK("https://zfin.org/ZDB-GENE-090311-8")</f>
        <v>https://zfin.org/ZDB-GENE-090311-8</v>
      </c>
      <c r="E7663" t="s">
        <v>22956</v>
      </c>
    </row>
    <row r="7664" spans="1:5" x14ac:dyDescent="0.2">
      <c r="A7664" t="s">
        <v>22957</v>
      </c>
      <c r="B7664" t="s">
        <v>22958</v>
      </c>
      <c r="C7664" t="s">
        <v>22958</v>
      </c>
      <c r="D7664" t="str">
        <f>HYPERLINK("https://zfin.org/ZDB-GENE-050208-758")</f>
        <v>https://zfin.org/ZDB-GENE-050208-758</v>
      </c>
      <c r="E7664" t="s">
        <v>22959</v>
      </c>
    </row>
    <row r="7665" spans="1:5" x14ac:dyDescent="0.2">
      <c r="A7665" t="s">
        <v>22960</v>
      </c>
      <c r="B7665" t="s">
        <v>22961</v>
      </c>
      <c r="C7665" t="s">
        <v>22961</v>
      </c>
      <c r="D7665" t="str">
        <f>HYPERLINK("https://zfin.org/ZDB-GENE-040426-1059")</f>
        <v>https://zfin.org/ZDB-GENE-040426-1059</v>
      </c>
      <c r="E7665" t="s">
        <v>22962</v>
      </c>
    </row>
    <row r="7666" spans="1:5" x14ac:dyDescent="0.2">
      <c r="A7666" t="s">
        <v>22963</v>
      </c>
      <c r="B7666" t="s">
        <v>22964</v>
      </c>
      <c r="C7666" t="s">
        <v>22964</v>
      </c>
      <c r="D7666" t="str">
        <f>HYPERLINK("https://zfin.org/ZDB-GENE-041010-68")</f>
        <v>https://zfin.org/ZDB-GENE-041010-68</v>
      </c>
      <c r="E7666" t="s">
        <v>22965</v>
      </c>
    </row>
    <row r="7667" spans="1:5" x14ac:dyDescent="0.2">
      <c r="A7667" t="s">
        <v>22966</v>
      </c>
      <c r="B7667" t="s">
        <v>22967</v>
      </c>
      <c r="C7667" t="s">
        <v>22967</v>
      </c>
      <c r="D7667" t="str">
        <f>HYPERLINK("https://zfin.org/ZDB-GENE-040426-1961")</f>
        <v>https://zfin.org/ZDB-GENE-040426-1961</v>
      </c>
      <c r="E7667" t="s">
        <v>22968</v>
      </c>
    </row>
    <row r="7668" spans="1:5" x14ac:dyDescent="0.2">
      <c r="A7668" t="s">
        <v>22969</v>
      </c>
      <c r="B7668" t="s">
        <v>22970</v>
      </c>
      <c r="C7668" t="s">
        <v>22970</v>
      </c>
      <c r="D7668" t="str">
        <f>HYPERLINK("https://zfin.org/ZDB-GENE-040426-1877")</f>
        <v>https://zfin.org/ZDB-GENE-040426-1877</v>
      </c>
      <c r="E7668" t="s">
        <v>22971</v>
      </c>
    </row>
    <row r="7669" spans="1:5" x14ac:dyDescent="0.2">
      <c r="A7669" t="s">
        <v>22972</v>
      </c>
      <c r="B7669" t="s">
        <v>22973</v>
      </c>
      <c r="C7669" t="s">
        <v>22973</v>
      </c>
      <c r="D7669" t="str">
        <f>HYPERLINK("https://zfin.org/ZDB-GENE-040718-411")</f>
        <v>https://zfin.org/ZDB-GENE-040718-411</v>
      </c>
      <c r="E7669" t="s">
        <v>22974</v>
      </c>
    </row>
    <row r="7670" spans="1:5" x14ac:dyDescent="0.2">
      <c r="A7670" t="s">
        <v>22975</v>
      </c>
      <c r="B7670" t="s">
        <v>22976</v>
      </c>
      <c r="C7670" t="s">
        <v>22976</v>
      </c>
      <c r="D7670" t="str">
        <f>HYPERLINK("https://zfin.org/ZDB-GENE-050522-430")</f>
        <v>https://zfin.org/ZDB-GENE-050522-430</v>
      </c>
      <c r="E7670" t="s">
        <v>22977</v>
      </c>
    </row>
    <row r="7671" spans="1:5" x14ac:dyDescent="0.2">
      <c r="A7671" t="s">
        <v>22978</v>
      </c>
      <c r="B7671" t="s">
        <v>22979</v>
      </c>
      <c r="C7671" t="s">
        <v>22979</v>
      </c>
      <c r="D7671" t="str">
        <f>HYPERLINK("https://zfin.org/ZDB-GENE-050522-216")</f>
        <v>https://zfin.org/ZDB-GENE-050522-216</v>
      </c>
      <c r="E7671" t="s">
        <v>22980</v>
      </c>
    </row>
    <row r="7672" spans="1:5" x14ac:dyDescent="0.2">
      <c r="A7672" t="s">
        <v>22981</v>
      </c>
      <c r="B7672" t="s">
        <v>22982</v>
      </c>
      <c r="C7672" t="s">
        <v>22982</v>
      </c>
      <c r="D7672" t="str">
        <f>HYPERLINK("https://zfin.org/ZDB-GENE-030804-2")</f>
        <v>https://zfin.org/ZDB-GENE-030804-2</v>
      </c>
      <c r="E7672" t="s">
        <v>22983</v>
      </c>
    </row>
    <row r="7673" spans="1:5" x14ac:dyDescent="0.2">
      <c r="A7673" t="s">
        <v>22984</v>
      </c>
      <c r="B7673" t="s">
        <v>22985</v>
      </c>
      <c r="C7673" t="s">
        <v>22985</v>
      </c>
      <c r="D7673" t="str">
        <f>HYPERLINK("https://zfin.org/ZDB-GENE-040428-1")</f>
        <v>https://zfin.org/ZDB-GENE-040428-1</v>
      </c>
      <c r="E7673" t="s">
        <v>22986</v>
      </c>
    </row>
    <row r="7674" spans="1:5" x14ac:dyDescent="0.2">
      <c r="A7674" t="s">
        <v>22987</v>
      </c>
      <c r="B7674" t="s">
        <v>22988</v>
      </c>
      <c r="C7674" t="s">
        <v>22988</v>
      </c>
      <c r="D7674" t="str">
        <f>HYPERLINK("https://zfin.org/ZDB-GENE-040625-53")</f>
        <v>https://zfin.org/ZDB-GENE-040625-53</v>
      </c>
      <c r="E7674" t="s">
        <v>22989</v>
      </c>
    </row>
    <row r="7675" spans="1:5" x14ac:dyDescent="0.2">
      <c r="A7675" t="s">
        <v>22990</v>
      </c>
      <c r="B7675" t="s">
        <v>22991</v>
      </c>
      <c r="C7675" t="s">
        <v>22991</v>
      </c>
      <c r="D7675" t="str">
        <f>HYPERLINK("https://zfin.org/ZDB-GENE-041210-176")</f>
        <v>https://zfin.org/ZDB-GENE-041210-176</v>
      </c>
      <c r="E7675" t="s">
        <v>22992</v>
      </c>
    </row>
    <row r="7676" spans="1:5" x14ac:dyDescent="0.2">
      <c r="A7676" t="s">
        <v>22993</v>
      </c>
      <c r="B7676" t="s">
        <v>22994</v>
      </c>
      <c r="C7676" t="s">
        <v>22994</v>
      </c>
      <c r="D7676" t="str">
        <f>HYPERLINK("https://zfin.org/ZDB-GENE-030131-1044")</f>
        <v>https://zfin.org/ZDB-GENE-030131-1044</v>
      </c>
      <c r="E7676" t="s">
        <v>22995</v>
      </c>
    </row>
    <row r="7677" spans="1:5" x14ac:dyDescent="0.2">
      <c r="A7677" t="s">
        <v>22996</v>
      </c>
      <c r="B7677" t="s">
        <v>22997</v>
      </c>
      <c r="C7677" t="s">
        <v>22997</v>
      </c>
      <c r="D7677" t="str">
        <f>HYPERLINK("https://zfin.org/ZDB-GENE-040724-121")</f>
        <v>https://zfin.org/ZDB-GENE-040724-121</v>
      </c>
      <c r="E7677" t="s">
        <v>22998</v>
      </c>
    </row>
    <row r="7678" spans="1:5" x14ac:dyDescent="0.2">
      <c r="A7678" t="s">
        <v>22999</v>
      </c>
      <c r="B7678" t="s">
        <v>23000</v>
      </c>
      <c r="C7678" t="s">
        <v>23000</v>
      </c>
      <c r="D7678" t="str">
        <f>HYPERLINK("https://zfin.org/ZDB-GENE-041001-182")</f>
        <v>https://zfin.org/ZDB-GENE-041001-182</v>
      </c>
      <c r="E7678" t="s">
        <v>23001</v>
      </c>
    </row>
    <row r="7679" spans="1:5" x14ac:dyDescent="0.2">
      <c r="A7679" t="s">
        <v>23002</v>
      </c>
      <c r="B7679" t="s">
        <v>23003</v>
      </c>
      <c r="C7679" t="s">
        <v>23003</v>
      </c>
      <c r="D7679" t="str">
        <f>HYPERLINK("https://zfin.org/ZDB-GENE-060825-97")</f>
        <v>https://zfin.org/ZDB-GENE-060825-97</v>
      </c>
      <c r="E7679" t="s">
        <v>23004</v>
      </c>
    </row>
    <row r="7680" spans="1:5" x14ac:dyDescent="0.2">
      <c r="A7680" t="s">
        <v>23005</v>
      </c>
      <c r="B7680" t="s">
        <v>23006</v>
      </c>
      <c r="C7680" t="s">
        <v>23006</v>
      </c>
      <c r="D7680" t="str">
        <f>HYPERLINK("https://zfin.org/ZDB-GENE-070209-122")</f>
        <v>https://zfin.org/ZDB-GENE-070209-122</v>
      </c>
      <c r="E7680" t="s">
        <v>23007</v>
      </c>
    </row>
    <row r="7681" spans="1:5" x14ac:dyDescent="0.2">
      <c r="A7681" t="s">
        <v>23008</v>
      </c>
      <c r="B7681" t="s">
        <v>23009</v>
      </c>
      <c r="C7681" t="s">
        <v>23009</v>
      </c>
      <c r="D7681" t="str">
        <f>HYPERLINK("https://zfin.org/ZDB-GENE-050522-496")</f>
        <v>https://zfin.org/ZDB-GENE-050522-496</v>
      </c>
      <c r="E7681" t="s">
        <v>23010</v>
      </c>
    </row>
    <row r="7682" spans="1:5" x14ac:dyDescent="0.2">
      <c r="A7682" t="s">
        <v>23011</v>
      </c>
      <c r="B7682" t="s">
        <v>23012</v>
      </c>
      <c r="C7682" t="s">
        <v>23012</v>
      </c>
      <c r="D7682" t="str">
        <f>HYPERLINK("https://zfin.org/ZDB-GENE-040718-310")</f>
        <v>https://zfin.org/ZDB-GENE-040718-310</v>
      </c>
      <c r="E7682" t="s">
        <v>23013</v>
      </c>
    </row>
    <row r="7683" spans="1:5" x14ac:dyDescent="0.2">
      <c r="A7683" t="s">
        <v>23014</v>
      </c>
      <c r="B7683" t="s">
        <v>23015</v>
      </c>
      <c r="C7683" t="s">
        <v>23015</v>
      </c>
      <c r="D7683" t="str">
        <f>HYPERLINK("https://zfin.org/ZDB-GENE-030131-8365")</f>
        <v>https://zfin.org/ZDB-GENE-030131-8365</v>
      </c>
      <c r="E7683" t="s">
        <v>23016</v>
      </c>
    </row>
    <row r="7684" spans="1:5" x14ac:dyDescent="0.2">
      <c r="A7684" t="s">
        <v>23017</v>
      </c>
      <c r="B7684" t="s">
        <v>23018</v>
      </c>
      <c r="C7684" t="s">
        <v>23018</v>
      </c>
      <c r="D7684" t="str">
        <f>HYPERLINK("https://zfin.org/ZDB-GENE-061207-5")</f>
        <v>https://zfin.org/ZDB-GENE-061207-5</v>
      </c>
      <c r="E7684" t="s">
        <v>23019</v>
      </c>
    </row>
    <row r="7685" spans="1:5" x14ac:dyDescent="0.2">
      <c r="A7685" t="s">
        <v>23020</v>
      </c>
      <c r="B7685" t="s">
        <v>23021</v>
      </c>
      <c r="C7685" t="s">
        <v>23021</v>
      </c>
      <c r="D7685" t="str">
        <f>HYPERLINK("https://zfin.org/ZDB-GENE-040927-26")</f>
        <v>https://zfin.org/ZDB-GENE-040927-26</v>
      </c>
      <c r="E7685" t="s">
        <v>23022</v>
      </c>
    </row>
    <row r="7686" spans="1:5" x14ac:dyDescent="0.2">
      <c r="A7686" t="s">
        <v>23023</v>
      </c>
      <c r="B7686" t="s">
        <v>23024</v>
      </c>
      <c r="C7686" t="s">
        <v>23024</v>
      </c>
      <c r="D7686" t="str">
        <f>HYPERLINK("https://zfin.org/ZDB-GENE-030131-3481")</f>
        <v>https://zfin.org/ZDB-GENE-030131-3481</v>
      </c>
      <c r="E7686" t="s">
        <v>23025</v>
      </c>
    </row>
    <row r="7687" spans="1:5" x14ac:dyDescent="0.2">
      <c r="A7687" t="s">
        <v>23026</v>
      </c>
      <c r="B7687" t="s">
        <v>23027</v>
      </c>
      <c r="C7687" t="s">
        <v>23027</v>
      </c>
      <c r="D7687" t="str">
        <f>HYPERLINK("https://zfin.org/ZDB-GENE-041210-15")</f>
        <v>https://zfin.org/ZDB-GENE-041210-15</v>
      </c>
      <c r="E7687" t="s">
        <v>23028</v>
      </c>
    </row>
    <row r="7688" spans="1:5" x14ac:dyDescent="0.2">
      <c r="A7688" t="s">
        <v>23029</v>
      </c>
      <c r="B7688" t="s">
        <v>23030</v>
      </c>
      <c r="C7688" t="s">
        <v>23030</v>
      </c>
      <c r="D7688" t="str">
        <f>HYPERLINK("https://zfin.org/ZDB-GENE-090313-286")</f>
        <v>https://zfin.org/ZDB-GENE-090313-286</v>
      </c>
      <c r="E7688" t="s">
        <v>23031</v>
      </c>
    </row>
    <row r="7689" spans="1:5" x14ac:dyDescent="0.2">
      <c r="A7689" t="s">
        <v>23032</v>
      </c>
      <c r="B7689" t="s">
        <v>23033</v>
      </c>
      <c r="C7689" t="s">
        <v>23033</v>
      </c>
      <c r="D7689" t="str">
        <f>HYPERLINK("https://zfin.org/ZDB-GENE-060526-207")</f>
        <v>https://zfin.org/ZDB-GENE-060526-207</v>
      </c>
      <c r="E7689" t="s">
        <v>23034</v>
      </c>
    </row>
    <row r="7690" spans="1:5" x14ac:dyDescent="0.2">
      <c r="A7690" t="s">
        <v>23035</v>
      </c>
      <c r="B7690" t="s">
        <v>23036</v>
      </c>
      <c r="C7690" t="s">
        <v>23036</v>
      </c>
      <c r="D7690" t="str">
        <f>HYPERLINK("https://zfin.org/ZDB-GENE-091204-387")</f>
        <v>https://zfin.org/ZDB-GENE-091204-387</v>
      </c>
      <c r="E7690" t="s">
        <v>23037</v>
      </c>
    </row>
    <row r="7691" spans="1:5" x14ac:dyDescent="0.2">
      <c r="A7691" t="s">
        <v>23038</v>
      </c>
      <c r="B7691" t="s">
        <v>23039</v>
      </c>
      <c r="C7691" t="s">
        <v>23039</v>
      </c>
      <c r="D7691" t="str">
        <f>HYPERLINK("https://zfin.org/ZDB-GENE-030131-3135")</f>
        <v>https://zfin.org/ZDB-GENE-030131-3135</v>
      </c>
      <c r="E7691" t="s">
        <v>23040</v>
      </c>
    </row>
    <row r="7692" spans="1:5" x14ac:dyDescent="0.2">
      <c r="A7692" t="s">
        <v>23041</v>
      </c>
      <c r="B7692" t="s">
        <v>23042</v>
      </c>
      <c r="C7692" t="s">
        <v>23042</v>
      </c>
      <c r="D7692" t="str">
        <f>HYPERLINK("https://zfin.org/ZDB-GENE-050208-596")</f>
        <v>https://zfin.org/ZDB-GENE-050208-596</v>
      </c>
      <c r="E7692" t="s">
        <v>23043</v>
      </c>
    </row>
    <row r="7693" spans="1:5" x14ac:dyDescent="0.2">
      <c r="A7693" t="s">
        <v>23044</v>
      </c>
      <c r="B7693" t="s">
        <v>23045</v>
      </c>
      <c r="C7693" t="s">
        <v>23045</v>
      </c>
      <c r="D7693" t="str">
        <f>HYPERLINK("https://zfin.org/ZDB-GENE-090313-33")</f>
        <v>https://zfin.org/ZDB-GENE-090313-33</v>
      </c>
      <c r="E7693" t="s">
        <v>23046</v>
      </c>
    </row>
    <row r="7694" spans="1:5" x14ac:dyDescent="0.2">
      <c r="A7694" t="s">
        <v>23047</v>
      </c>
      <c r="B7694" t="s">
        <v>23048</v>
      </c>
      <c r="C7694" t="s">
        <v>23048</v>
      </c>
      <c r="D7694" t="str">
        <f>HYPERLINK("https://zfin.org/ZDB-GENE-131127-368")</f>
        <v>https://zfin.org/ZDB-GENE-131127-368</v>
      </c>
      <c r="E7694" t="s">
        <v>23049</v>
      </c>
    </row>
    <row r="7695" spans="1:5" x14ac:dyDescent="0.2">
      <c r="A7695" t="s">
        <v>23050</v>
      </c>
      <c r="B7695" t="s">
        <v>23051</v>
      </c>
      <c r="C7695" t="s">
        <v>23051</v>
      </c>
      <c r="D7695" t="str">
        <f>HYPERLINK("https://zfin.org/ZDB-GENE-040718-139")</f>
        <v>https://zfin.org/ZDB-GENE-040718-139</v>
      </c>
      <c r="E7695" t="s">
        <v>23052</v>
      </c>
    </row>
    <row r="7696" spans="1:5" x14ac:dyDescent="0.2">
      <c r="A7696" t="s">
        <v>23053</v>
      </c>
      <c r="B7696" t="s">
        <v>23054</v>
      </c>
      <c r="C7696" t="s">
        <v>23054</v>
      </c>
      <c r="D7696" t="str">
        <f>HYPERLINK("https://zfin.org/ZDB-GENE-091204-219")</f>
        <v>https://zfin.org/ZDB-GENE-091204-219</v>
      </c>
      <c r="E7696" t="s">
        <v>23055</v>
      </c>
    </row>
    <row r="7697" spans="1:5" x14ac:dyDescent="0.2">
      <c r="A7697" t="s">
        <v>23056</v>
      </c>
      <c r="B7697" t="s">
        <v>23057</v>
      </c>
      <c r="C7697" t="s">
        <v>23057</v>
      </c>
      <c r="D7697" t="str">
        <f>HYPERLINK("https://zfin.org/ZDB-GENE-040625-136")</f>
        <v>https://zfin.org/ZDB-GENE-040625-136</v>
      </c>
      <c r="E7697" t="s">
        <v>23058</v>
      </c>
    </row>
    <row r="7698" spans="1:5" x14ac:dyDescent="0.2">
      <c r="A7698" t="s">
        <v>23059</v>
      </c>
      <c r="B7698" t="s">
        <v>23060</v>
      </c>
      <c r="C7698" t="s">
        <v>23060</v>
      </c>
      <c r="D7698" t="str">
        <f>HYPERLINK("https://zfin.org/ZDB-GENE-110913-5")</f>
        <v>https://zfin.org/ZDB-GENE-110913-5</v>
      </c>
      <c r="E7698" t="s">
        <v>23061</v>
      </c>
    </row>
    <row r="7699" spans="1:5" x14ac:dyDescent="0.2">
      <c r="A7699" t="s">
        <v>23062</v>
      </c>
      <c r="B7699" t="s">
        <v>23063</v>
      </c>
      <c r="C7699" t="s">
        <v>23063</v>
      </c>
      <c r="D7699" t="str">
        <f>HYPERLINK("https://zfin.org/ZDB-GENE-060503-164")</f>
        <v>https://zfin.org/ZDB-GENE-060503-164</v>
      </c>
      <c r="E7699" t="s">
        <v>23064</v>
      </c>
    </row>
    <row r="7700" spans="1:5" x14ac:dyDescent="0.2">
      <c r="A7700" t="s">
        <v>23065</v>
      </c>
      <c r="B7700" t="s">
        <v>23066</v>
      </c>
      <c r="C7700" t="s">
        <v>23066</v>
      </c>
      <c r="D7700" t="str">
        <f>HYPERLINK("https://zfin.org/ZDB-GENE-030826-34")</f>
        <v>https://zfin.org/ZDB-GENE-030826-34</v>
      </c>
      <c r="E7700" t="s">
        <v>23067</v>
      </c>
    </row>
    <row r="7701" spans="1:5" x14ac:dyDescent="0.2">
      <c r="A7701" t="s">
        <v>23068</v>
      </c>
      <c r="B7701" t="s">
        <v>23069</v>
      </c>
      <c r="C7701" t="s">
        <v>23069</v>
      </c>
      <c r="D7701" t="str">
        <f>HYPERLINK("https://zfin.org/ZDB-GENE-030131-967")</f>
        <v>https://zfin.org/ZDB-GENE-030131-967</v>
      </c>
      <c r="E7701" t="s">
        <v>23070</v>
      </c>
    </row>
    <row r="7702" spans="1:5" x14ac:dyDescent="0.2">
      <c r="A7702" t="s">
        <v>23071</v>
      </c>
      <c r="B7702" t="s">
        <v>23072</v>
      </c>
      <c r="C7702" t="s">
        <v>23072</v>
      </c>
      <c r="D7702" t="str">
        <f>HYPERLINK("https://zfin.org/ZDB-GENE-050208-187")</f>
        <v>https://zfin.org/ZDB-GENE-050208-187</v>
      </c>
      <c r="E7702" t="s">
        <v>23073</v>
      </c>
    </row>
    <row r="7703" spans="1:5" x14ac:dyDescent="0.2">
      <c r="A7703" t="s">
        <v>23074</v>
      </c>
      <c r="B7703" t="s">
        <v>23075</v>
      </c>
      <c r="C7703" t="s">
        <v>23075</v>
      </c>
      <c r="D7703" t="str">
        <f>HYPERLINK("https://zfin.org/ZDB-GENE-070209-74")</f>
        <v>https://zfin.org/ZDB-GENE-070209-74</v>
      </c>
      <c r="E7703" t="s">
        <v>23076</v>
      </c>
    </row>
    <row r="7704" spans="1:5" x14ac:dyDescent="0.2">
      <c r="A7704" t="s">
        <v>23077</v>
      </c>
      <c r="B7704" t="s">
        <v>23078</v>
      </c>
      <c r="C7704" t="s">
        <v>23078</v>
      </c>
      <c r="D7704" t="str">
        <f>HYPERLINK("https://zfin.org/ZDB-GENE-050417-60")</f>
        <v>https://zfin.org/ZDB-GENE-050417-60</v>
      </c>
      <c r="E7704" t="s">
        <v>23079</v>
      </c>
    </row>
    <row r="7705" spans="1:5" x14ac:dyDescent="0.2">
      <c r="A7705" t="s">
        <v>23080</v>
      </c>
      <c r="B7705" t="s">
        <v>23081</v>
      </c>
      <c r="C7705" t="s">
        <v>23081</v>
      </c>
      <c r="D7705" t="str">
        <f>HYPERLINK("https://zfin.org/ZDB-GENE-091117-41")</f>
        <v>https://zfin.org/ZDB-GENE-091117-41</v>
      </c>
      <c r="E7705" t="s">
        <v>23082</v>
      </c>
    </row>
    <row r="7706" spans="1:5" x14ac:dyDescent="0.2">
      <c r="A7706" t="s">
        <v>23083</v>
      </c>
      <c r="B7706" t="s">
        <v>23084</v>
      </c>
      <c r="C7706" t="s">
        <v>23084</v>
      </c>
      <c r="D7706" t="str">
        <f>HYPERLINK("https://zfin.org/ZDB-GENE-030131-2873")</f>
        <v>https://zfin.org/ZDB-GENE-030131-2873</v>
      </c>
      <c r="E7706" t="s">
        <v>23085</v>
      </c>
    </row>
    <row r="7707" spans="1:5" x14ac:dyDescent="0.2">
      <c r="A7707" t="s">
        <v>23086</v>
      </c>
      <c r="B7707" t="s">
        <v>23087</v>
      </c>
      <c r="C7707" t="s">
        <v>23087</v>
      </c>
      <c r="D7707" t="str">
        <f>HYPERLINK("https://zfin.org/ZDB-GENE-111223-4")</f>
        <v>https://zfin.org/ZDB-GENE-111223-4</v>
      </c>
      <c r="E7707" t="s">
        <v>23088</v>
      </c>
    </row>
    <row r="7708" spans="1:5" x14ac:dyDescent="0.2">
      <c r="A7708" t="s">
        <v>23089</v>
      </c>
      <c r="B7708" t="s">
        <v>23090</v>
      </c>
      <c r="C7708" t="s">
        <v>23090</v>
      </c>
      <c r="D7708" t="str">
        <f>HYPERLINK("https://zfin.org/ZDB-GENE-070705-406")</f>
        <v>https://zfin.org/ZDB-GENE-070705-406</v>
      </c>
      <c r="E7708" t="s">
        <v>23091</v>
      </c>
    </row>
    <row r="7709" spans="1:5" x14ac:dyDescent="0.2">
      <c r="A7709" t="s">
        <v>23092</v>
      </c>
      <c r="B7709" t="s">
        <v>23093</v>
      </c>
      <c r="C7709" t="s">
        <v>23093</v>
      </c>
      <c r="D7709" t="str">
        <f>HYPERLINK("https://zfin.org/ZDB-GENE-130530-794")</f>
        <v>https://zfin.org/ZDB-GENE-130530-794</v>
      </c>
      <c r="E7709" t="s">
        <v>23094</v>
      </c>
    </row>
    <row r="7710" spans="1:5" x14ac:dyDescent="0.2">
      <c r="A7710" t="s">
        <v>23095</v>
      </c>
      <c r="B7710" t="s">
        <v>23096</v>
      </c>
      <c r="C7710" t="s">
        <v>23096</v>
      </c>
      <c r="D7710" t="str">
        <f>HYPERLINK("https://zfin.org/ZDB-GENE-100921-40")</f>
        <v>https://zfin.org/ZDB-GENE-100921-40</v>
      </c>
      <c r="E7710" t="s">
        <v>23097</v>
      </c>
    </row>
    <row r="7711" spans="1:5" x14ac:dyDescent="0.2">
      <c r="A7711" t="s">
        <v>23098</v>
      </c>
      <c r="B7711" t="s">
        <v>23099</v>
      </c>
      <c r="C7711" t="s">
        <v>23099</v>
      </c>
      <c r="D7711" t="str">
        <f>HYPERLINK("https://zfin.org/ZDB-GENE-070815-4")</f>
        <v>https://zfin.org/ZDB-GENE-070815-4</v>
      </c>
      <c r="E7711" t="s">
        <v>23100</v>
      </c>
    </row>
    <row r="7712" spans="1:5" x14ac:dyDescent="0.2">
      <c r="A7712" t="s">
        <v>23101</v>
      </c>
      <c r="B7712" t="s">
        <v>23102</v>
      </c>
      <c r="C7712" t="s">
        <v>23102</v>
      </c>
      <c r="D7712" t="str">
        <f>HYPERLINK("https://zfin.org/ZDB-GENE-131127-72")</f>
        <v>https://zfin.org/ZDB-GENE-131127-72</v>
      </c>
      <c r="E7712" t="s">
        <v>23103</v>
      </c>
    </row>
    <row r="7713" spans="1:5" x14ac:dyDescent="0.2">
      <c r="A7713" t="s">
        <v>23104</v>
      </c>
      <c r="B7713" t="s">
        <v>23105</v>
      </c>
      <c r="C7713" t="s">
        <v>23105</v>
      </c>
      <c r="D7713" t="str">
        <f>HYPERLINK("https://zfin.org/ZDB-GENE-071004-60")</f>
        <v>https://zfin.org/ZDB-GENE-071004-60</v>
      </c>
      <c r="E7713" t="s">
        <v>23106</v>
      </c>
    </row>
    <row r="7714" spans="1:5" x14ac:dyDescent="0.2">
      <c r="A7714" t="s">
        <v>23107</v>
      </c>
      <c r="B7714" t="s">
        <v>23108</v>
      </c>
      <c r="C7714" t="s">
        <v>23108</v>
      </c>
      <c r="D7714" t="str">
        <f>HYPERLINK("https://zfin.org/ZDB-GENE-090312-73")</f>
        <v>https://zfin.org/ZDB-GENE-090312-73</v>
      </c>
      <c r="E7714" t="s">
        <v>23109</v>
      </c>
    </row>
    <row r="7715" spans="1:5" x14ac:dyDescent="0.2">
      <c r="A7715" t="s">
        <v>23110</v>
      </c>
      <c r="B7715" t="s">
        <v>23111</v>
      </c>
      <c r="C7715" t="s">
        <v>23111</v>
      </c>
      <c r="D7715" t="str">
        <f>HYPERLINK("https://zfin.org/ZDB-GENE-030131-5779")</f>
        <v>https://zfin.org/ZDB-GENE-030131-5779</v>
      </c>
      <c r="E7715" t="s">
        <v>23112</v>
      </c>
    </row>
    <row r="7716" spans="1:5" x14ac:dyDescent="0.2">
      <c r="A7716" t="s">
        <v>23113</v>
      </c>
      <c r="B7716" t="s">
        <v>23114</v>
      </c>
      <c r="C7716" t="s">
        <v>23114</v>
      </c>
      <c r="D7716" t="str">
        <f>HYPERLINK("https://zfin.org/ZDB-GENE-091113-47")</f>
        <v>https://zfin.org/ZDB-GENE-091113-47</v>
      </c>
      <c r="E7716" t="s">
        <v>23115</v>
      </c>
    </row>
    <row r="7717" spans="1:5" x14ac:dyDescent="0.2">
      <c r="A7717" t="s">
        <v>23116</v>
      </c>
      <c r="B7717" t="s">
        <v>23117</v>
      </c>
      <c r="C7717" t="s">
        <v>23117</v>
      </c>
      <c r="D7717" t="str">
        <f>HYPERLINK("https://zfin.org/ZDB-GENE-040426-841")</f>
        <v>https://zfin.org/ZDB-GENE-040426-841</v>
      </c>
      <c r="E7717" t="s">
        <v>23118</v>
      </c>
    </row>
    <row r="7718" spans="1:5" x14ac:dyDescent="0.2">
      <c r="A7718" t="s">
        <v>23119</v>
      </c>
      <c r="B7718" t="s">
        <v>23120</v>
      </c>
      <c r="C7718" t="s">
        <v>23120</v>
      </c>
      <c r="D7718" t="str">
        <f>HYPERLINK("https://zfin.org/ZDB-GENE-041008-125")</f>
        <v>https://zfin.org/ZDB-GENE-041008-125</v>
      </c>
      <c r="E7718" t="s">
        <v>23121</v>
      </c>
    </row>
    <row r="7719" spans="1:5" x14ac:dyDescent="0.2">
      <c r="A7719" t="s">
        <v>23122</v>
      </c>
      <c r="B7719" t="s">
        <v>23123</v>
      </c>
      <c r="C7719" t="s">
        <v>23123</v>
      </c>
      <c r="D7719" t="str">
        <f>HYPERLINK("https://zfin.org/ZDB-GENE-050320-57")</f>
        <v>https://zfin.org/ZDB-GENE-050320-57</v>
      </c>
      <c r="E7719" t="s">
        <v>23124</v>
      </c>
    </row>
    <row r="7720" spans="1:5" x14ac:dyDescent="0.2">
      <c r="A7720" t="s">
        <v>23125</v>
      </c>
      <c r="B7720" t="s">
        <v>23126</v>
      </c>
      <c r="C7720" t="s">
        <v>23126</v>
      </c>
      <c r="D7720" t="str">
        <f>HYPERLINK("https://zfin.org/ZDB-GENE-031116-2")</f>
        <v>https://zfin.org/ZDB-GENE-031116-2</v>
      </c>
      <c r="E7720" t="s">
        <v>23127</v>
      </c>
    </row>
    <row r="7721" spans="1:5" x14ac:dyDescent="0.2">
      <c r="A7721" t="s">
        <v>23128</v>
      </c>
      <c r="B7721" t="s">
        <v>23129</v>
      </c>
      <c r="C7721" t="s">
        <v>23129</v>
      </c>
      <c r="D7721" t="str">
        <f>HYPERLINK("https://zfin.org/ZDB-GENE-041210-174")</f>
        <v>https://zfin.org/ZDB-GENE-041210-174</v>
      </c>
      <c r="E7721" t="s">
        <v>23130</v>
      </c>
    </row>
    <row r="7722" spans="1:5" x14ac:dyDescent="0.2">
      <c r="A7722" t="s">
        <v>23131</v>
      </c>
      <c r="B7722" t="s">
        <v>23132</v>
      </c>
      <c r="C7722" t="s">
        <v>23132</v>
      </c>
      <c r="D7722" t="str">
        <f>HYPERLINK("https://zfin.org/ZDB-GENE-041210-118")</f>
        <v>https://zfin.org/ZDB-GENE-041210-118</v>
      </c>
      <c r="E7722" t="s">
        <v>23133</v>
      </c>
    </row>
    <row r="7723" spans="1:5" x14ac:dyDescent="0.2">
      <c r="A7723" t="s">
        <v>23134</v>
      </c>
      <c r="B7723" t="s">
        <v>23135</v>
      </c>
      <c r="C7723" t="s">
        <v>23135</v>
      </c>
      <c r="D7723" t="str">
        <f>HYPERLINK("https://zfin.org/ZDB-GENE-050220-15")</f>
        <v>https://zfin.org/ZDB-GENE-050220-15</v>
      </c>
      <c r="E7723" t="s">
        <v>23136</v>
      </c>
    </row>
    <row r="7724" spans="1:5" x14ac:dyDescent="0.2">
      <c r="A7724" t="s">
        <v>23137</v>
      </c>
      <c r="B7724" t="s">
        <v>23138</v>
      </c>
      <c r="C7724" t="s">
        <v>23138</v>
      </c>
      <c r="D7724" t="str">
        <f>HYPERLINK("https://zfin.org/ZDB-GENE-030805-3")</f>
        <v>https://zfin.org/ZDB-GENE-030805-3</v>
      </c>
      <c r="E7724" t="s">
        <v>23139</v>
      </c>
    </row>
    <row r="7725" spans="1:5" x14ac:dyDescent="0.2">
      <c r="A7725" t="s">
        <v>23140</v>
      </c>
      <c r="B7725" t="s">
        <v>23141</v>
      </c>
      <c r="C7725" t="s">
        <v>23141</v>
      </c>
      <c r="D7725" t="str">
        <f>HYPERLINK("https://zfin.org/ZDB-GENE-060524-3")</f>
        <v>https://zfin.org/ZDB-GENE-060524-3</v>
      </c>
      <c r="E7725" t="s">
        <v>23142</v>
      </c>
    </row>
    <row r="7726" spans="1:5" x14ac:dyDescent="0.2">
      <c r="A7726" t="s">
        <v>23143</v>
      </c>
      <c r="B7726" t="s">
        <v>23144</v>
      </c>
      <c r="C7726" t="s">
        <v>23144</v>
      </c>
      <c r="D7726" t="str">
        <f>HYPERLINK("https://zfin.org/ZDB-GENE-040718-156")</f>
        <v>https://zfin.org/ZDB-GENE-040718-156</v>
      </c>
      <c r="E7726" t="s">
        <v>23145</v>
      </c>
    </row>
    <row r="7727" spans="1:5" x14ac:dyDescent="0.2">
      <c r="A7727" t="s">
        <v>23146</v>
      </c>
      <c r="B7727" t="s">
        <v>23147</v>
      </c>
      <c r="C7727" t="s">
        <v>23147</v>
      </c>
      <c r="D7727" t="str">
        <f>HYPERLINK("https://zfin.org/ZDB-GENE-060503-806")</f>
        <v>https://zfin.org/ZDB-GENE-060503-806</v>
      </c>
      <c r="E7727" t="s">
        <v>23148</v>
      </c>
    </row>
    <row r="7728" spans="1:5" x14ac:dyDescent="0.2">
      <c r="A7728" t="s">
        <v>23149</v>
      </c>
      <c r="B7728" t="s">
        <v>23150</v>
      </c>
      <c r="C7728" t="s">
        <v>23150</v>
      </c>
      <c r="D7728" t="str">
        <f>HYPERLINK("https://zfin.org/ZDB-GENE-060322-5")</f>
        <v>https://zfin.org/ZDB-GENE-060322-5</v>
      </c>
      <c r="E7728" t="s">
        <v>23151</v>
      </c>
    </row>
    <row r="7729" spans="1:5" x14ac:dyDescent="0.2">
      <c r="A7729" t="s">
        <v>23152</v>
      </c>
      <c r="B7729" t="s">
        <v>23153</v>
      </c>
      <c r="C7729" t="s">
        <v>23153</v>
      </c>
      <c r="D7729" t="str">
        <f>HYPERLINK("https://zfin.org/ZDB-GENE-040801-222")</f>
        <v>https://zfin.org/ZDB-GENE-040801-222</v>
      </c>
      <c r="E7729" t="s">
        <v>23154</v>
      </c>
    </row>
    <row r="7730" spans="1:5" x14ac:dyDescent="0.2">
      <c r="A7730" t="s">
        <v>23155</v>
      </c>
      <c r="B7730" t="s">
        <v>23156</v>
      </c>
      <c r="C7730" t="s">
        <v>23156</v>
      </c>
      <c r="D7730" t="str">
        <f>HYPERLINK("https://zfin.org/ZDB-GENE-061013-114")</f>
        <v>https://zfin.org/ZDB-GENE-061013-114</v>
      </c>
      <c r="E7730" t="s">
        <v>23157</v>
      </c>
    </row>
    <row r="7731" spans="1:5" x14ac:dyDescent="0.2">
      <c r="A7731" t="s">
        <v>23158</v>
      </c>
      <c r="B7731" t="s">
        <v>23159</v>
      </c>
      <c r="C7731" t="s">
        <v>23159</v>
      </c>
      <c r="D7731" t="str">
        <f>HYPERLINK("https://zfin.org/ZDB-GENE-030131-647")</f>
        <v>https://zfin.org/ZDB-GENE-030131-647</v>
      </c>
      <c r="E7731" t="s">
        <v>23160</v>
      </c>
    </row>
    <row r="7732" spans="1:5" x14ac:dyDescent="0.2">
      <c r="A7732" t="s">
        <v>23161</v>
      </c>
      <c r="B7732" t="s">
        <v>23162</v>
      </c>
      <c r="C7732" t="s">
        <v>23162</v>
      </c>
      <c r="D7732" t="str">
        <f>HYPERLINK("https://zfin.org/ZDB-GENE-030131-6107")</f>
        <v>https://zfin.org/ZDB-GENE-030131-6107</v>
      </c>
      <c r="E7732" t="s">
        <v>23163</v>
      </c>
    </row>
    <row r="7733" spans="1:5" x14ac:dyDescent="0.2">
      <c r="A7733" t="s">
        <v>23164</v>
      </c>
      <c r="B7733" t="s">
        <v>23165</v>
      </c>
      <c r="C7733" t="s">
        <v>23165</v>
      </c>
      <c r="D7733" t="str">
        <f>HYPERLINK("https://zfin.org/ZDB-GENE-030327-7")</f>
        <v>https://zfin.org/ZDB-GENE-030327-7</v>
      </c>
      <c r="E7733" t="s">
        <v>23166</v>
      </c>
    </row>
    <row r="7734" spans="1:5" x14ac:dyDescent="0.2">
      <c r="A7734" t="s">
        <v>23167</v>
      </c>
      <c r="B7734" t="s">
        <v>23168</v>
      </c>
      <c r="C7734" t="s">
        <v>23169</v>
      </c>
      <c r="D7734" t="str">
        <f>HYPERLINK("https://zfin.org/ZDB-GENE-030131-8290")</f>
        <v>https://zfin.org/ZDB-GENE-030131-8290</v>
      </c>
      <c r="E7734" t="s">
        <v>23170</v>
      </c>
    </row>
    <row r="7735" spans="1:5" x14ac:dyDescent="0.2">
      <c r="A7735" t="s">
        <v>23171</v>
      </c>
      <c r="B7735" t="s">
        <v>23172</v>
      </c>
      <c r="C7735" t="s">
        <v>23172</v>
      </c>
      <c r="D7735" t="str">
        <f>HYPERLINK("https://zfin.org/ZDB-GENE-120215-144")</f>
        <v>https://zfin.org/ZDB-GENE-120215-144</v>
      </c>
      <c r="E7735" t="s">
        <v>23173</v>
      </c>
    </row>
    <row r="7736" spans="1:5" x14ac:dyDescent="0.2">
      <c r="A7736" t="s">
        <v>23174</v>
      </c>
      <c r="B7736" t="s">
        <v>23175</v>
      </c>
      <c r="C7736" t="s">
        <v>23175</v>
      </c>
      <c r="D7736" t="str">
        <f>HYPERLINK("https://zfin.org/ZDB-GENE-040927-20")</f>
        <v>https://zfin.org/ZDB-GENE-040927-20</v>
      </c>
      <c r="E7736" t="s">
        <v>23176</v>
      </c>
    </row>
    <row r="7737" spans="1:5" x14ac:dyDescent="0.2">
      <c r="A7737" t="s">
        <v>23177</v>
      </c>
      <c r="B7737" t="s">
        <v>23178</v>
      </c>
      <c r="C7737" t="s">
        <v>23178</v>
      </c>
      <c r="D7737" t="str">
        <f>HYPERLINK("https://zfin.org/ZDB-GENE-070424-97")</f>
        <v>https://zfin.org/ZDB-GENE-070424-97</v>
      </c>
      <c r="E7737" t="s">
        <v>23179</v>
      </c>
    </row>
    <row r="7738" spans="1:5" x14ac:dyDescent="0.2">
      <c r="A7738" t="s">
        <v>23180</v>
      </c>
      <c r="B7738" t="s">
        <v>8483</v>
      </c>
      <c r="C7738" t="s">
        <v>23181</v>
      </c>
      <c r="D7738" t="str">
        <f>HYPERLINK("https://zfin.org/ZDB-GENE-050417-65")</f>
        <v>https://zfin.org/ZDB-GENE-050417-65</v>
      </c>
      <c r="E7738" t="s">
        <v>8484</v>
      </c>
    </row>
    <row r="7739" spans="1:5" x14ac:dyDescent="0.2">
      <c r="A7739" t="s">
        <v>23182</v>
      </c>
      <c r="B7739" t="s">
        <v>23183</v>
      </c>
      <c r="C7739" t="s">
        <v>23183</v>
      </c>
      <c r="D7739" t="str">
        <f>HYPERLINK("https://zfin.org/ZDB-GENE-030131-8663")</f>
        <v>https://zfin.org/ZDB-GENE-030131-8663</v>
      </c>
      <c r="E7739" t="s">
        <v>23184</v>
      </c>
    </row>
    <row r="7740" spans="1:5" x14ac:dyDescent="0.2">
      <c r="A7740" t="s">
        <v>23185</v>
      </c>
      <c r="B7740" t="s">
        <v>23186</v>
      </c>
      <c r="C7740" t="s">
        <v>23186</v>
      </c>
      <c r="D7740" t="str">
        <f>HYPERLINK("https://zfin.org/ZDB-GENE-030131-6588")</f>
        <v>https://zfin.org/ZDB-GENE-030131-6588</v>
      </c>
      <c r="E7740" t="s">
        <v>23187</v>
      </c>
    </row>
    <row r="7741" spans="1:5" x14ac:dyDescent="0.2">
      <c r="A7741" t="s">
        <v>23188</v>
      </c>
      <c r="B7741" t="s">
        <v>23189</v>
      </c>
      <c r="C7741" t="s">
        <v>23189</v>
      </c>
      <c r="D7741" t="str">
        <f>HYPERLINK("https://zfin.org/ZDB-GENE-010614-1")</f>
        <v>https://zfin.org/ZDB-GENE-010614-1</v>
      </c>
      <c r="E7741" t="s">
        <v>23190</v>
      </c>
    </row>
    <row r="7742" spans="1:5" x14ac:dyDescent="0.2">
      <c r="A7742" t="s">
        <v>23191</v>
      </c>
      <c r="B7742" t="s">
        <v>23192</v>
      </c>
      <c r="C7742" t="s">
        <v>23192</v>
      </c>
      <c r="D7742" t="str">
        <f>HYPERLINK("https://zfin.org/ZDB-GENE-050320-32")</f>
        <v>https://zfin.org/ZDB-GENE-050320-32</v>
      </c>
      <c r="E7742" t="s">
        <v>23193</v>
      </c>
    </row>
    <row r="7743" spans="1:5" x14ac:dyDescent="0.2">
      <c r="A7743" t="s">
        <v>23194</v>
      </c>
      <c r="B7743" t="s">
        <v>23195</v>
      </c>
      <c r="C7743" t="s">
        <v>23195</v>
      </c>
      <c r="D7743" t="str">
        <f>HYPERLINK("https://zfin.org/ZDB-GENE-040426-968")</f>
        <v>https://zfin.org/ZDB-GENE-040426-968</v>
      </c>
      <c r="E7743" t="s">
        <v>23196</v>
      </c>
    </row>
    <row r="7744" spans="1:5" x14ac:dyDescent="0.2">
      <c r="A7744" t="s">
        <v>23197</v>
      </c>
      <c r="B7744" t="s">
        <v>23198</v>
      </c>
      <c r="C7744" t="s">
        <v>23198</v>
      </c>
      <c r="D7744" t="str">
        <f>HYPERLINK("https://zfin.org/ZDB-GENE-050411-55")</f>
        <v>https://zfin.org/ZDB-GENE-050411-55</v>
      </c>
      <c r="E7744" t="s">
        <v>23199</v>
      </c>
    </row>
    <row r="7745" spans="1:5" x14ac:dyDescent="0.2">
      <c r="A7745" t="s">
        <v>23200</v>
      </c>
      <c r="B7745" t="s">
        <v>23201</v>
      </c>
      <c r="C7745" t="s">
        <v>23201</v>
      </c>
      <c r="D7745" t="str">
        <f>HYPERLINK("https://zfin.org/ZDB-GENE-040426-1489")</f>
        <v>https://zfin.org/ZDB-GENE-040426-1489</v>
      </c>
      <c r="E7745" t="s">
        <v>23202</v>
      </c>
    </row>
    <row r="7746" spans="1:5" x14ac:dyDescent="0.2">
      <c r="A7746" t="s">
        <v>23203</v>
      </c>
      <c r="B7746" t="s">
        <v>23204</v>
      </c>
      <c r="C7746" t="s">
        <v>23204</v>
      </c>
      <c r="D7746" t="str">
        <f>HYPERLINK("https://zfin.org/ZDB-GENE-040718-150")</f>
        <v>https://zfin.org/ZDB-GENE-040718-150</v>
      </c>
      <c r="E7746" t="s">
        <v>23205</v>
      </c>
    </row>
    <row r="7747" spans="1:5" x14ac:dyDescent="0.2">
      <c r="A7747" t="s">
        <v>23206</v>
      </c>
      <c r="B7747" t="s">
        <v>23207</v>
      </c>
      <c r="C7747" t="s">
        <v>23207</v>
      </c>
      <c r="D7747" t="str">
        <f>HYPERLINK("https://zfin.org/ZDB-GENE-041024-1")</f>
        <v>https://zfin.org/ZDB-GENE-041024-1</v>
      </c>
      <c r="E7747" t="s">
        <v>23208</v>
      </c>
    </row>
    <row r="7748" spans="1:5" x14ac:dyDescent="0.2">
      <c r="A7748" t="s">
        <v>23209</v>
      </c>
      <c r="B7748" t="s">
        <v>23210</v>
      </c>
      <c r="C7748" t="s">
        <v>23210</v>
      </c>
      <c r="D7748" t="str">
        <f>HYPERLINK("https://zfin.org/ZDB-GENE-011212-4")</f>
        <v>https://zfin.org/ZDB-GENE-011212-4</v>
      </c>
      <c r="E7748" t="s">
        <v>23211</v>
      </c>
    </row>
    <row r="7749" spans="1:5" x14ac:dyDescent="0.2">
      <c r="A7749" t="s">
        <v>23212</v>
      </c>
      <c r="B7749" t="s">
        <v>23213</v>
      </c>
      <c r="C7749" t="s">
        <v>23213</v>
      </c>
      <c r="D7749" t="str">
        <f>HYPERLINK("https://zfin.org/ZDB-GENE-030131-7166")</f>
        <v>https://zfin.org/ZDB-GENE-030131-7166</v>
      </c>
      <c r="E7749" t="s">
        <v>23214</v>
      </c>
    </row>
    <row r="7750" spans="1:5" x14ac:dyDescent="0.2">
      <c r="A7750" t="s">
        <v>23215</v>
      </c>
      <c r="B7750" t="s">
        <v>23216</v>
      </c>
      <c r="C7750" t="s">
        <v>23216</v>
      </c>
      <c r="D7750" t="str">
        <f>HYPERLINK("https://zfin.org/ZDB-GENE-110914-220")</f>
        <v>https://zfin.org/ZDB-GENE-110914-220</v>
      </c>
      <c r="E7750" t="s">
        <v>23217</v>
      </c>
    </row>
    <row r="7751" spans="1:5" x14ac:dyDescent="0.2">
      <c r="A7751" t="s">
        <v>23218</v>
      </c>
      <c r="B7751" t="s">
        <v>23219</v>
      </c>
      <c r="C7751" t="s">
        <v>23219</v>
      </c>
      <c r="D7751" t="str">
        <f>HYPERLINK("https://zfin.org/ZDB-GENE-030429-14")</f>
        <v>https://zfin.org/ZDB-GENE-030429-14</v>
      </c>
      <c r="E7751" t="s">
        <v>23220</v>
      </c>
    </row>
    <row r="7752" spans="1:5" x14ac:dyDescent="0.2">
      <c r="A7752" t="s">
        <v>23221</v>
      </c>
      <c r="B7752" t="s">
        <v>23222</v>
      </c>
      <c r="C7752" t="s">
        <v>23222</v>
      </c>
      <c r="D7752" t="str">
        <f>HYPERLINK("https://zfin.org/ZDB-GENE-081104-229")</f>
        <v>https://zfin.org/ZDB-GENE-081104-229</v>
      </c>
      <c r="E7752" t="s">
        <v>23223</v>
      </c>
    </row>
    <row r="7753" spans="1:5" x14ac:dyDescent="0.2">
      <c r="A7753" t="s">
        <v>23224</v>
      </c>
      <c r="B7753" t="s">
        <v>23225</v>
      </c>
      <c r="C7753" t="s">
        <v>23225</v>
      </c>
      <c r="D7753" t="str">
        <f>HYPERLINK("https://zfin.org/ZDB-GENE-040426-1625")</f>
        <v>https://zfin.org/ZDB-GENE-040426-1625</v>
      </c>
      <c r="E7753" t="s">
        <v>23226</v>
      </c>
    </row>
    <row r="7754" spans="1:5" x14ac:dyDescent="0.2">
      <c r="A7754" t="s">
        <v>23227</v>
      </c>
      <c r="B7754" t="s">
        <v>23228</v>
      </c>
      <c r="C7754" t="s">
        <v>23228</v>
      </c>
      <c r="D7754" t="str">
        <f>HYPERLINK("https://zfin.org/ZDB-GENE-081031-95")</f>
        <v>https://zfin.org/ZDB-GENE-081031-95</v>
      </c>
      <c r="E7754" t="s">
        <v>23229</v>
      </c>
    </row>
    <row r="7755" spans="1:5" x14ac:dyDescent="0.2">
      <c r="A7755" t="s">
        <v>23230</v>
      </c>
      <c r="B7755" t="s">
        <v>23231</v>
      </c>
      <c r="C7755" t="s">
        <v>23231</v>
      </c>
      <c r="D7755" t="str">
        <f>HYPERLINK("https://zfin.org/ZDB-GENE-030131-5836")</f>
        <v>https://zfin.org/ZDB-GENE-030131-5836</v>
      </c>
      <c r="E7755" t="s">
        <v>23232</v>
      </c>
    </row>
    <row r="7756" spans="1:5" x14ac:dyDescent="0.2">
      <c r="A7756" t="s">
        <v>23233</v>
      </c>
      <c r="B7756" t="s">
        <v>23234</v>
      </c>
      <c r="C7756" t="s">
        <v>23234</v>
      </c>
      <c r="D7756" t="str">
        <f>HYPERLINK("https://zfin.org/ZDB-GENE-080514-3")</f>
        <v>https://zfin.org/ZDB-GENE-080514-3</v>
      </c>
      <c r="E7756" t="s">
        <v>23235</v>
      </c>
    </row>
    <row r="7757" spans="1:5" x14ac:dyDescent="0.2">
      <c r="A7757" t="s">
        <v>23236</v>
      </c>
      <c r="B7757" t="s">
        <v>23237</v>
      </c>
      <c r="C7757" t="s">
        <v>23237</v>
      </c>
      <c r="D7757" t="str">
        <f>HYPERLINK("https://zfin.org/ZDB-GENE-040516-9")</f>
        <v>https://zfin.org/ZDB-GENE-040516-9</v>
      </c>
      <c r="E7757" t="s">
        <v>23238</v>
      </c>
    </row>
    <row r="7758" spans="1:5" x14ac:dyDescent="0.2">
      <c r="A7758" t="s">
        <v>23239</v>
      </c>
      <c r="B7758" t="s">
        <v>23240</v>
      </c>
      <c r="C7758" t="s">
        <v>23240</v>
      </c>
      <c r="D7758" t="str">
        <f>HYPERLINK("https://zfin.org/ZDB-GENE-050522-120")</f>
        <v>https://zfin.org/ZDB-GENE-050522-120</v>
      </c>
      <c r="E7758" t="s">
        <v>23241</v>
      </c>
    </row>
    <row r="7759" spans="1:5" x14ac:dyDescent="0.2">
      <c r="A7759" t="s">
        <v>23242</v>
      </c>
      <c r="B7759" t="s">
        <v>23243</v>
      </c>
      <c r="C7759" t="s">
        <v>23243</v>
      </c>
      <c r="D7759" t="str">
        <f>HYPERLINK("https://zfin.org/ZDB-GENE-030131-9805")</f>
        <v>https://zfin.org/ZDB-GENE-030131-9805</v>
      </c>
      <c r="E7759" t="s">
        <v>23244</v>
      </c>
    </row>
    <row r="7760" spans="1:5" x14ac:dyDescent="0.2">
      <c r="A7760" t="s">
        <v>23245</v>
      </c>
      <c r="B7760" t="s">
        <v>23246</v>
      </c>
      <c r="C7760" t="s">
        <v>23246</v>
      </c>
      <c r="D7760" t="str">
        <f>HYPERLINK("https://zfin.org/ZDB-GENE-141216-459")</f>
        <v>https://zfin.org/ZDB-GENE-141216-459</v>
      </c>
      <c r="E7760" t="s">
        <v>23247</v>
      </c>
    </row>
    <row r="7761" spans="1:5" x14ac:dyDescent="0.2">
      <c r="A7761" t="s">
        <v>23248</v>
      </c>
      <c r="B7761" t="s">
        <v>23249</v>
      </c>
      <c r="C7761" t="s">
        <v>23249</v>
      </c>
      <c r="D7761" t="str">
        <f>HYPERLINK("https://zfin.org/ZDB-GENE-131126-19")</f>
        <v>https://zfin.org/ZDB-GENE-131126-19</v>
      </c>
      <c r="E7761" t="s">
        <v>23250</v>
      </c>
    </row>
    <row r="7762" spans="1:5" x14ac:dyDescent="0.2">
      <c r="A7762" t="s">
        <v>23251</v>
      </c>
      <c r="B7762" t="s">
        <v>23252</v>
      </c>
      <c r="C7762" t="s">
        <v>23252</v>
      </c>
      <c r="D7762" t="str">
        <f>HYPERLINK("https://zfin.org/ZDB-GENE-070912-124")</f>
        <v>https://zfin.org/ZDB-GENE-070912-124</v>
      </c>
      <c r="E7762" t="s">
        <v>23253</v>
      </c>
    </row>
    <row r="7763" spans="1:5" x14ac:dyDescent="0.2">
      <c r="A7763" t="s">
        <v>23254</v>
      </c>
      <c r="B7763" t="s">
        <v>23255</v>
      </c>
      <c r="C7763" t="s">
        <v>23255</v>
      </c>
      <c r="D7763" t="str">
        <f>HYPERLINK("https://zfin.org/ZDB-GENE-030131-124")</f>
        <v>https://zfin.org/ZDB-GENE-030131-124</v>
      </c>
      <c r="E7763" t="s">
        <v>23256</v>
      </c>
    </row>
    <row r="7764" spans="1:5" x14ac:dyDescent="0.2">
      <c r="A7764" t="s">
        <v>23257</v>
      </c>
      <c r="B7764" t="s">
        <v>23258</v>
      </c>
      <c r="C7764" t="s">
        <v>23258</v>
      </c>
      <c r="D7764" t="str">
        <f>HYPERLINK("https://zfin.org/ZDB-GENE-030131-8764")</f>
        <v>https://zfin.org/ZDB-GENE-030131-8764</v>
      </c>
      <c r="E7764" t="s">
        <v>23259</v>
      </c>
    </row>
    <row r="7765" spans="1:5" x14ac:dyDescent="0.2">
      <c r="A7765" t="s">
        <v>23260</v>
      </c>
      <c r="B7765" t="s">
        <v>23261</v>
      </c>
      <c r="C7765" t="s">
        <v>23261</v>
      </c>
      <c r="D7765" t="str">
        <f>HYPERLINK("https://zfin.org/ZDB-GENE-050208-757")</f>
        <v>https://zfin.org/ZDB-GENE-050208-757</v>
      </c>
      <c r="E7765" t="s">
        <v>23262</v>
      </c>
    </row>
    <row r="7766" spans="1:5" x14ac:dyDescent="0.2">
      <c r="A7766" t="s">
        <v>23263</v>
      </c>
      <c r="B7766" t="s">
        <v>23264</v>
      </c>
      <c r="C7766" t="s">
        <v>23264</v>
      </c>
      <c r="D7766" t="str">
        <f>HYPERLINK("https://zfin.org/ZDB-GENE-060804-3")</f>
        <v>https://zfin.org/ZDB-GENE-060804-3</v>
      </c>
      <c r="E7766" t="s">
        <v>23265</v>
      </c>
    </row>
    <row r="7767" spans="1:5" x14ac:dyDescent="0.2">
      <c r="A7767" t="s">
        <v>23266</v>
      </c>
      <c r="B7767" t="s">
        <v>23267</v>
      </c>
      <c r="C7767" t="s">
        <v>23267</v>
      </c>
      <c r="D7767" t="str">
        <f>HYPERLINK("https://zfin.org/ZDB-GENE-030131-5845")</f>
        <v>https://zfin.org/ZDB-GENE-030131-5845</v>
      </c>
      <c r="E7767" t="s">
        <v>23268</v>
      </c>
    </row>
    <row r="7768" spans="1:5" x14ac:dyDescent="0.2">
      <c r="A7768" t="s">
        <v>23269</v>
      </c>
      <c r="B7768" t="s">
        <v>23270</v>
      </c>
      <c r="C7768" t="s">
        <v>23270</v>
      </c>
      <c r="D7768" t="str">
        <f>HYPERLINK("https://zfin.org/ZDB-GENE-070912-21")</f>
        <v>https://zfin.org/ZDB-GENE-070912-21</v>
      </c>
      <c r="E7768" t="s">
        <v>23271</v>
      </c>
    </row>
    <row r="7769" spans="1:5" x14ac:dyDescent="0.2">
      <c r="A7769" t="s">
        <v>23272</v>
      </c>
      <c r="B7769" t="s">
        <v>23273</v>
      </c>
      <c r="C7769" t="s">
        <v>23273</v>
      </c>
      <c r="D7769" t="str">
        <f>HYPERLINK("https://zfin.org/ZDB-GENE-060929-1142")</f>
        <v>https://zfin.org/ZDB-GENE-060929-1142</v>
      </c>
      <c r="E7769" t="s">
        <v>23274</v>
      </c>
    </row>
    <row r="7770" spans="1:5" x14ac:dyDescent="0.2">
      <c r="A7770" t="s">
        <v>23275</v>
      </c>
      <c r="B7770" t="s">
        <v>23276</v>
      </c>
      <c r="C7770" t="s">
        <v>23276</v>
      </c>
      <c r="D7770" t="str">
        <f>HYPERLINK("https://zfin.org/ZDB-GENE-120215-233")</f>
        <v>https://zfin.org/ZDB-GENE-120215-233</v>
      </c>
      <c r="E7770" t="s">
        <v>23277</v>
      </c>
    </row>
    <row r="7771" spans="1:5" x14ac:dyDescent="0.2">
      <c r="A7771" t="s">
        <v>23278</v>
      </c>
      <c r="B7771" t="s">
        <v>23279</v>
      </c>
      <c r="C7771" t="s">
        <v>23279</v>
      </c>
      <c r="D7771" t="str">
        <f>HYPERLINK("https://zfin.org/ZDB-GENE-130530-546")</f>
        <v>https://zfin.org/ZDB-GENE-130530-546</v>
      </c>
      <c r="E7771" t="s">
        <v>23280</v>
      </c>
    </row>
    <row r="7772" spans="1:5" x14ac:dyDescent="0.2">
      <c r="A7772" t="s">
        <v>23281</v>
      </c>
      <c r="B7772" t="s">
        <v>23282</v>
      </c>
      <c r="C7772" t="s">
        <v>23282</v>
      </c>
      <c r="D7772" t="str">
        <f>HYPERLINK("https://zfin.org/ZDB-GENE-030404-1")</f>
        <v>https://zfin.org/ZDB-GENE-030404-1</v>
      </c>
      <c r="E7772" t="s">
        <v>23283</v>
      </c>
    </row>
    <row r="7773" spans="1:5" x14ac:dyDescent="0.2">
      <c r="A7773" t="s">
        <v>23284</v>
      </c>
      <c r="B7773" t="s">
        <v>23285</v>
      </c>
      <c r="C7773" t="s">
        <v>23285</v>
      </c>
      <c r="D7773" t="str">
        <f>HYPERLINK("https://zfin.org/ZDB-GENE-141216-198")</f>
        <v>https://zfin.org/ZDB-GENE-141216-198</v>
      </c>
      <c r="E7773" t="s">
        <v>23286</v>
      </c>
    </row>
    <row r="7774" spans="1:5" x14ac:dyDescent="0.2">
      <c r="A7774" t="s">
        <v>23287</v>
      </c>
      <c r="B7774" t="s">
        <v>23288</v>
      </c>
      <c r="C7774" t="s">
        <v>23288</v>
      </c>
      <c r="D7774" t="str">
        <f>HYPERLINK("https://zfin.org/ZDB-GENE-110914-51")</f>
        <v>https://zfin.org/ZDB-GENE-110914-51</v>
      </c>
      <c r="E7774" t="s">
        <v>23289</v>
      </c>
    </row>
    <row r="7775" spans="1:5" x14ac:dyDescent="0.2">
      <c r="A7775" t="s">
        <v>23290</v>
      </c>
      <c r="B7775" t="s">
        <v>23291</v>
      </c>
      <c r="C7775" t="s">
        <v>23291</v>
      </c>
      <c r="D7775" t="str">
        <f>HYPERLINK("https://zfin.org/ZDB-GENE-131127-514")</f>
        <v>https://zfin.org/ZDB-GENE-131127-514</v>
      </c>
      <c r="E7775" t="s">
        <v>23292</v>
      </c>
    </row>
    <row r="7776" spans="1:5" x14ac:dyDescent="0.2">
      <c r="A7776" t="s">
        <v>23293</v>
      </c>
      <c r="B7776" t="s">
        <v>23294</v>
      </c>
      <c r="C7776" t="s">
        <v>23294</v>
      </c>
      <c r="D7776" t="str">
        <f>HYPERLINK("https://zfin.org/ZDB-GENE-040426-1474")</f>
        <v>https://zfin.org/ZDB-GENE-040426-1474</v>
      </c>
      <c r="E7776" t="s">
        <v>23295</v>
      </c>
    </row>
    <row r="7777" spans="1:5" x14ac:dyDescent="0.2">
      <c r="A7777" t="s">
        <v>23296</v>
      </c>
      <c r="B7777" t="s">
        <v>23297</v>
      </c>
      <c r="C7777" t="s">
        <v>23297</v>
      </c>
      <c r="D7777" t="str">
        <f>HYPERLINK("https://zfin.org/ZDB-GENE-030131-9545")</f>
        <v>https://zfin.org/ZDB-GENE-030131-9545</v>
      </c>
      <c r="E7777" t="s">
        <v>23298</v>
      </c>
    </row>
    <row r="7778" spans="1:5" x14ac:dyDescent="0.2">
      <c r="A7778" t="s">
        <v>23299</v>
      </c>
      <c r="B7778" t="s">
        <v>23300</v>
      </c>
      <c r="C7778" t="s">
        <v>23300</v>
      </c>
      <c r="D7778" t="str">
        <f>HYPERLINK("https://zfin.org/ZDB-GENE-081031-54")</f>
        <v>https://zfin.org/ZDB-GENE-081031-54</v>
      </c>
      <c r="E7778" t="s">
        <v>23301</v>
      </c>
    </row>
    <row r="7779" spans="1:5" x14ac:dyDescent="0.2">
      <c r="A7779" t="s">
        <v>23302</v>
      </c>
      <c r="B7779" t="s">
        <v>23303</v>
      </c>
      <c r="C7779" t="s">
        <v>23303</v>
      </c>
      <c r="D7779" t="str">
        <f>HYPERLINK("https://zfin.org/ZDB-GENE-060503-803")</f>
        <v>https://zfin.org/ZDB-GENE-060503-803</v>
      </c>
      <c r="E7779" t="s">
        <v>23304</v>
      </c>
    </row>
    <row r="7780" spans="1:5" x14ac:dyDescent="0.2">
      <c r="A7780" t="s">
        <v>23305</v>
      </c>
      <c r="B7780" t="s">
        <v>23306</v>
      </c>
      <c r="C7780" t="s">
        <v>23306</v>
      </c>
      <c r="D7780" t="str">
        <f>HYPERLINK("https://zfin.org/ZDB-GENE-030131-5511")</f>
        <v>https://zfin.org/ZDB-GENE-030131-5511</v>
      </c>
      <c r="E7780" t="s">
        <v>23307</v>
      </c>
    </row>
    <row r="7781" spans="1:5" x14ac:dyDescent="0.2">
      <c r="A7781" t="s">
        <v>23308</v>
      </c>
      <c r="B7781" t="s">
        <v>23309</v>
      </c>
      <c r="C7781" t="s">
        <v>23309</v>
      </c>
      <c r="D7781" t="str">
        <f>HYPERLINK("https://zfin.org/ZDB-GENE-090313-240")</f>
        <v>https://zfin.org/ZDB-GENE-090313-240</v>
      </c>
      <c r="E7781" t="s">
        <v>23310</v>
      </c>
    </row>
    <row r="7782" spans="1:5" x14ac:dyDescent="0.2">
      <c r="A7782" t="s">
        <v>23311</v>
      </c>
      <c r="B7782" t="s">
        <v>23312</v>
      </c>
      <c r="C7782" t="s">
        <v>23312</v>
      </c>
      <c r="D7782" t="str">
        <f>HYPERLINK("https://zfin.org/ZDB-GENE-070410-115")</f>
        <v>https://zfin.org/ZDB-GENE-070410-115</v>
      </c>
      <c r="E7782" t="s">
        <v>23313</v>
      </c>
    </row>
    <row r="7783" spans="1:5" x14ac:dyDescent="0.2">
      <c r="A7783" t="s">
        <v>23314</v>
      </c>
      <c r="B7783" t="s">
        <v>23315</v>
      </c>
      <c r="C7783" t="s">
        <v>23315</v>
      </c>
      <c r="D7783" t="str">
        <f>HYPERLINK("https://zfin.org/ZDB-GENE-040724-214")</f>
        <v>https://zfin.org/ZDB-GENE-040724-214</v>
      </c>
      <c r="E7783" t="s">
        <v>23316</v>
      </c>
    </row>
    <row r="7784" spans="1:5" x14ac:dyDescent="0.2">
      <c r="A7784" t="s">
        <v>23317</v>
      </c>
      <c r="B7784" t="s">
        <v>23318</v>
      </c>
      <c r="C7784" t="s">
        <v>23318</v>
      </c>
      <c r="D7784" t="str">
        <f>HYPERLINK("https://zfin.org/ZDB-GENE-120215-153")</f>
        <v>https://zfin.org/ZDB-GENE-120215-153</v>
      </c>
      <c r="E7784" t="s">
        <v>23319</v>
      </c>
    </row>
    <row r="7785" spans="1:5" x14ac:dyDescent="0.2">
      <c r="A7785" t="s">
        <v>23320</v>
      </c>
      <c r="B7785" t="s">
        <v>23321</v>
      </c>
      <c r="C7785" t="s">
        <v>23321</v>
      </c>
      <c r="D7785" t="str">
        <f>HYPERLINK("https://zfin.org/ZDB-GENE-030131-9676")</f>
        <v>https://zfin.org/ZDB-GENE-030131-9676</v>
      </c>
      <c r="E7785" t="s">
        <v>23322</v>
      </c>
    </row>
    <row r="7786" spans="1:5" x14ac:dyDescent="0.2">
      <c r="A7786" t="s">
        <v>23323</v>
      </c>
      <c r="B7786" t="s">
        <v>23324</v>
      </c>
      <c r="C7786" t="s">
        <v>23324</v>
      </c>
      <c r="D7786" t="str">
        <f>HYPERLINK("https://zfin.org/ZDB-GENE-131121-575")</f>
        <v>https://zfin.org/ZDB-GENE-131121-575</v>
      </c>
      <c r="E7786" t="s">
        <v>23325</v>
      </c>
    </row>
    <row r="7787" spans="1:5" x14ac:dyDescent="0.2">
      <c r="A7787" t="s">
        <v>23326</v>
      </c>
      <c r="B7787" t="s">
        <v>23327</v>
      </c>
      <c r="C7787" t="s">
        <v>23327</v>
      </c>
      <c r="D7787" t="str">
        <f>HYPERLINK("https://zfin.org/ZDB-GENE-040426-1765")</f>
        <v>https://zfin.org/ZDB-GENE-040426-1765</v>
      </c>
      <c r="E7787" t="s">
        <v>23328</v>
      </c>
    </row>
    <row r="7788" spans="1:5" x14ac:dyDescent="0.2">
      <c r="A7788" t="s">
        <v>23329</v>
      </c>
      <c r="B7788" t="s">
        <v>23330</v>
      </c>
      <c r="C7788" t="s">
        <v>23330</v>
      </c>
      <c r="D7788" t="str">
        <f>HYPERLINK("https://zfin.org/ZDB-GENE-041001-180")</f>
        <v>https://zfin.org/ZDB-GENE-041001-180</v>
      </c>
      <c r="E7788" t="s">
        <v>23331</v>
      </c>
    </row>
    <row r="7789" spans="1:5" x14ac:dyDescent="0.2">
      <c r="A7789" t="s">
        <v>23332</v>
      </c>
      <c r="B7789" t="s">
        <v>23333</v>
      </c>
      <c r="C7789" t="s">
        <v>23333</v>
      </c>
      <c r="D7789" t="str">
        <f>HYPERLINK("https://zfin.org/ZDB-GENE-081107-72")</f>
        <v>https://zfin.org/ZDB-GENE-081107-72</v>
      </c>
      <c r="E7789" t="s">
        <v>23334</v>
      </c>
    </row>
    <row r="7790" spans="1:5" x14ac:dyDescent="0.2">
      <c r="A7790" t="s">
        <v>23335</v>
      </c>
      <c r="B7790" t="s">
        <v>23336</v>
      </c>
      <c r="C7790" t="s">
        <v>23336</v>
      </c>
      <c r="D7790" t="str">
        <f>HYPERLINK("https://zfin.org/ZDB-GENE-131121-219")</f>
        <v>https://zfin.org/ZDB-GENE-131121-219</v>
      </c>
      <c r="E7790" t="s">
        <v>23337</v>
      </c>
    </row>
    <row r="7791" spans="1:5" x14ac:dyDescent="0.2">
      <c r="A7791" t="s">
        <v>23338</v>
      </c>
      <c r="B7791" t="s">
        <v>23339</v>
      </c>
      <c r="C7791" t="s">
        <v>23339</v>
      </c>
      <c r="D7791" t="str">
        <f>HYPERLINK("https://zfin.org/ZDB-GENE-050522-285")</f>
        <v>https://zfin.org/ZDB-GENE-050522-285</v>
      </c>
      <c r="E7791" t="s">
        <v>23340</v>
      </c>
    </row>
    <row r="7792" spans="1:5" x14ac:dyDescent="0.2">
      <c r="A7792" t="s">
        <v>23341</v>
      </c>
      <c r="B7792" t="s">
        <v>23342</v>
      </c>
      <c r="C7792" t="s">
        <v>23342</v>
      </c>
      <c r="D7792" t="str">
        <f>HYPERLINK("https://zfin.org/ZDB-GENE-030131-3951")</f>
        <v>https://zfin.org/ZDB-GENE-030131-3951</v>
      </c>
      <c r="E7792" t="s">
        <v>23343</v>
      </c>
    </row>
    <row r="7793" spans="1:5" x14ac:dyDescent="0.2">
      <c r="A7793" t="s">
        <v>23344</v>
      </c>
      <c r="B7793" t="s">
        <v>23345</v>
      </c>
      <c r="C7793" t="s">
        <v>23345</v>
      </c>
      <c r="D7793" t="str">
        <f>HYPERLINK("https://zfin.org/ZDB-GENE-040822-26")</f>
        <v>https://zfin.org/ZDB-GENE-040822-26</v>
      </c>
      <c r="E7793" t="s">
        <v>23346</v>
      </c>
    </row>
    <row r="7794" spans="1:5" x14ac:dyDescent="0.2">
      <c r="A7794" t="s">
        <v>23347</v>
      </c>
      <c r="B7794" t="s">
        <v>23348</v>
      </c>
      <c r="C7794" t="s">
        <v>23348</v>
      </c>
      <c r="D7794" t="str">
        <f>HYPERLINK("https://zfin.org/ZDB-GENE-990415-258")</f>
        <v>https://zfin.org/ZDB-GENE-990415-258</v>
      </c>
      <c r="E7794" t="s">
        <v>23349</v>
      </c>
    </row>
    <row r="7795" spans="1:5" x14ac:dyDescent="0.2">
      <c r="A7795" t="s">
        <v>23350</v>
      </c>
      <c r="B7795" t="s">
        <v>23351</v>
      </c>
      <c r="C7795" t="s">
        <v>23351</v>
      </c>
      <c r="D7795" t="str">
        <f>HYPERLINK("https://zfin.org/ZDB-GENE-080917-19")</f>
        <v>https://zfin.org/ZDB-GENE-080917-19</v>
      </c>
      <c r="E7795" t="s">
        <v>23352</v>
      </c>
    </row>
    <row r="7796" spans="1:5" x14ac:dyDescent="0.2">
      <c r="A7796" t="s">
        <v>23353</v>
      </c>
      <c r="B7796" t="s">
        <v>23354</v>
      </c>
      <c r="C7796" t="s">
        <v>23354</v>
      </c>
      <c r="D7796" t="str">
        <f>HYPERLINK("https://zfin.org/ZDB-GENE-091204-48")</f>
        <v>https://zfin.org/ZDB-GENE-091204-48</v>
      </c>
      <c r="E7796" t="s">
        <v>23355</v>
      </c>
    </row>
    <row r="7797" spans="1:5" x14ac:dyDescent="0.2">
      <c r="A7797" t="s">
        <v>23356</v>
      </c>
      <c r="B7797" t="s">
        <v>23357</v>
      </c>
      <c r="C7797" t="s">
        <v>23357</v>
      </c>
      <c r="D7797" t="str">
        <f>HYPERLINK("https://zfin.org/ZDB-GENE-060526-275")</f>
        <v>https://zfin.org/ZDB-GENE-060526-275</v>
      </c>
      <c r="E7797" t="s">
        <v>23358</v>
      </c>
    </row>
    <row r="7798" spans="1:5" x14ac:dyDescent="0.2">
      <c r="A7798" t="s">
        <v>23359</v>
      </c>
      <c r="B7798" t="s">
        <v>23360</v>
      </c>
      <c r="C7798" t="s">
        <v>23360</v>
      </c>
      <c r="D7798" t="str">
        <f>HYPERLINK("https://zfin.org/ZDB-GENE-060526-103")</f>
        <v>https://zfin.org/ZDB-GENE-060526-103</v>
      </c>
      <c r="E7798" t="s">
        <v>23361</v>
      </c>
    </row>
    <row r="7799" spans="1:5" x14ac:dyDescent="0.2">
      <c r="A7799" t="s">
        <v>23362</v>
      </c>
      <c r="B7799" t="s">
        <v>23363</v>
      </c>
      <c r="C7799" t="s">
        <v>23363</v>
      </c>
      <c r="D7799" t="str">
        <f>HYPERLINK("https://zfin.org/ZDB-GENE-031118-14")</f>
        <v>https://zfin.org/ZDB-GENE-031118-14</v>
      </c>
      <c r="E7799" t="s">
        <v>23364</v>
      </c>
    </row>
    <row r="7800" spans="1:5" x14ac:dyDescent="0.2">
      <c r="A7800" t="s">
        <v>23365</v>
      </c>
      <c r="B7800" t="s">
        <v>23366</v>
      </c>
      <c r="C7800" t="s">
        <v>23366</v>
      </c>
      <c r="D7800" t="str">
        <f>HYPERLINK("https://zfin.org/ZDB-GENE-081104-457")</f>
        <v>https://zfin.org/ZDB-GENE-081104-457</v>
      </c>
      <c r="E7800" t="s">
        <v>23367</v>
      </c>
    </row>
    <row r="7801" spans="1:5" x14ac:dyDescent="0.2">
      <c r="A7801" t="s">
        <v>23368</v>
      </c>
      <c r="B7801" t="s">
        <v>23369</v>
      </c>
      <c r="C7801" t="s">
        <v>23369</v>
      </c>
      <c r="D7801" t="str">
        <f>HYPERLINK("https://zfin.org/ZDB-GENE-060929-136")</f>
        <v>https://zfin.org/ZDB-GENE-060929-136</v>
      </c>
      <c r="E7801" t="s">
        <v>23370</v>
      </c>
    </row>
    <row r="7802" spans="1:5" x14ac:dyDescent="0.2">
      <c r="A7802" t="s">
        <v>23371</v>
      </c>
      <c r="B7802" t="s">
        <v>23372</v>
      </c>
      <c r="C7802" t="s">
        <v>23372</v>
      </c>
      <c r="D7802" t="str">
        <f>HYPERLINK("https://zfin.org/ZDB-GENE-000906-2")</f>
        <v>https://zfin.org/ZDB-GENE-000906-2</v>
      </c>
      <c r="E7802" t="s">
        <v>23373</v>
      </c>
    </row>
    <row r="7803" spans="1:5" x14ac:dyDescent="0.2">
      <c r="A7803" t="s">
        <v>23374</v>
      </c>
      <c r="B7803" t="s">
        <v>23375</v>
      </c>
      <c r="C7803" t="s">
        <v>23375</v>
      </c>
      <c r="D7803" t="str">
        <f>HYPERLINK("https://zfin.org/ZDB-GENE-030131-2958")</f>
        <v>https://zfin.org/ZDB-GENE-030131-2958</v>
      </c>
      <c r="E7803" t="s">
        <v>23376</v>
      </c>
    </row>
    <row r="7804" spans="1:5" x14ac:dyDescent="0.2">
      <c r="A7804" t="s">
        <v>23377</v>
      </c>
      <c r="B7804" t="s">
        <v>23378</v>
      </c>
      <c r="C7804" t="s">
        <v>23378</v>
      </c>
      <c r="D7804" t="str">
        <f>HYPERLINK("https://zfin.org/ZDB-GENE-040426-2692")</f>
        <v>https://zfin.org/ZDB-GENE-040426-2692</v>
      </c>
      <c r="E7804" t="s">
        <v>23379</v>
      </c>
    </row>
    <row r="7805" spans="1:5" x14ac:dyDescent="0.2">
      <c r="A7805" t="s">
        <v>23380</v>
      </c>
      <c r="B7805" t="s">
        <v>23381</v>
      </c>
      <c r="C7805" t="s">
        <v>23381</v>
      </c>
      <c r="D7805" t="str">
        <f>HYPERLINK("https://zfin.org/ZDB-GENE-010822-3")</f>
        <v>https://zfin.org/ZDB-GENE-010822-3</v>
      </c>
      <c r="E7805" t="s">
        <v>23382</v>
      </c>
    </row>
    <row r="7806" spans="1:5" x14ac:dyDescent="0.2">
      <c r="A7806" t="s">
        <v>23383</v>
      </c>
      <c r="B7806" t="s">
        <v>23384</v>
      </c>
      <c r="C7806" t="s">
        <v>23384</v>
      </c>
      <c r="D7806" t="str">
        <f>HYPERLINK("https://zfin.org/ZDB-GENE-020814-2")</f>
        <v>https://zfin.org/ZDB-GENE-020814-2</v>
      </c>
      <c r="E7806" t="s">
        <v>23385</v>
      </c>
    </row>
    <row r="7807" spans="1:5" x14ac:dyDescent="0.2">
      <c r="A7807" t="s">
        <v>23386</v>
      </c>
      <c r="B7807" t="s">
        <v>23387</v>
      </c>
      <c r="C7807" t="s">
        <v>23387</v>
      </c>
      <c r="D7807" t="str">
        <f>HYPERLINK("https://zfin.org/ZDB-GENE-040724-141")</f>
        <v>https://zfin.org/ZDB-GENE-040724-141</v>
      </c>
      <c r="E7807" t="s">
        <v>23388</v>
      </c>
    </row>
    <row r="7808" spans="1:5" x14ac:dyDescent="0.2">
      <c r="A7808" t="s">
        <v>23389</v>
      </c>
      <c r="B7808" t="s">
        <v>23390</v>
      </c>
      <c r="C7808" t="s">
        <v>23390</v>
      </c>
      <c r="D7808" t="str">
        <f>HYPERLINK("https://zfin.org/ZDB-GENE-060719-1")</f>
        <v>https://zfin.org/ZDB-GENE-060719-1</v>
      </c>
      <c r="E7808" t="s">
        <v>23391</v>
      </c>
    </row>
    <row r="7809" spans="1:5" x14ac:dyDescent="0.2">
      <c r="A7809" t="s">
        <v>23392</v>
      </c>
      <c r="B7809" t="s">
        <v>23393</v>
      </c>
      <c r="C7809" t="s">
        <v>23393</v>
      </c>
      <c r="D7809" t="str">
        <f>HYPERLINK("https://zfin.org/ZDB-GENE-030131-5379")</f>
        <v>https://zfin.org/ZDB-GENE-030131-5379</v>
      </c>
      <c r="E7809" t="s">
        <v>23394</v>
      </c>
    </row>
    <row r="7810" spans="1:5" x14ac:dyDescent="0.2">
      <c r="A7810" t="s">
        <v>23395</v>
      </c>
      <c r="B7810" t="s">
        <v>23396</v>
      </c>
      <c r="C7810" t="s">
        <v>23396</v>
      </c>
      <c r="D7810" t="str">
        <f>HYPERLINK("https://zfin.org/ZDB-GENE-030131-8671")</f>
        <v>https://zfin.org/ZDB-GENE-030131-8671</v>
      </c>
      <c r="E7810" t="s">
        <v>23397</v>
      </c>
    </row>
    <row r="7811" spans="1:5" x14ac:dyDescent="0.2">
      <c r="A7811" t="s">
        <v>23398</v>
      </c>
      <c r="B7811" t="s">
        <v>23399</v>
      </c>
      <c r="C7811" t="s">
        <v>23399</v>
      </c>
      <c r="D7811" t="str">
        <f>HYPERLINK("https://zfin.org/ZDB-GENE-000210-35")</f>
        <v>https://zfin.org/ZDB-GENE-000210-35</v>
      </c>
      <c r="E7811" t="s">
        <v>23400</v>
      </c>
    </row>
    <row r="7812" spans="1:5" x14ac:dyDescent="0.2">
      <c r="A7812" t="s">
        <v>23401</v>
      </c>
      <c r="B7812" t="s">
        <v>23402</v>
      </c>
      <c r="C7812" t="s">
        <v>23402</v>
      </c>
      <c r="D7812" t="str">
        <f>HYPERLINK("https://zfin.org/ZDB-GENE-030616-128")</f>
        <v>https://zfin.org/ZDB-GENE-030616-128</v>
      </c>
      <c r="E7812" t="s">
        <v>23403</v>
      </c>
    </row>
    <row r="7813" spans="1:5" x14ac:dyDescent="0.2">
      <c r="A7813" t="s">
        <v>23404</v>
      </c>
      <c r="B7813" t="s">
        <v>23405</v>
      </c>
      <c r="C7813" t="s">
        <v>23405</v>
      </c>
      <c r="D7813" t="str">
        <f>HYPERLINK("https://zfin.org/ZDB-GENE-050314-3")</f>
        <v>https://zfin.org/ZDB-GENE-050314-3</v>
      </c>
      <c r="E7813" t="s">
        <v>23406</v>
      </c>
    </row>
    <row r="7814" spans="1:5" x14ac:dyDescent="0.2">
      <c r="A7814" t="s">
        <v>23407</v>
      </c>
      <c r="B7814" t="s">
        <v>23408</v>
      </c>
      <c r="C7814" t="s">
        <v>23408</v>
      </c>
      <c r="D7814" t="str">
        <f>HYPERLINK("https://zfin.org/ZDB-GENE-061207-6")</f>
        <v>https://zfin.org/ZDB-GENE-061207-6</v>
      </c>
      <c r="E7814" t="s">
        <v>23409</v>
      </c>
    </row>
    <row r="7815" spans="1:5" x14ac:dyDescent="0.2">
      <c r="A7815" t="s">
        <v>23410</v>
      </c>
      <c r="B7815" t="s">
        <v>23411</v>
      </c>
      <c r="C7815" t="s">
        <v>23411</v>
      </c>
      <c r="D7815" t="str">
        <f>HYPERLINK("https://zfin.org/ZDB-GENE-050419-195")</f>
        <v>https://zfin.org/ZDB-GENE-050419-195</v>
      </c>
      <c r="E7815" t="s">
        <v>23412</v>
      </c>
    </row>
    <row r="7816" spans="1:5" x14ac:dyDescent="0.2">
      <c r="A7816" t="s">
        <v>23413</v>
      </c>
      <c r="B7816" t="s">
        <v>23414</v>
      </c>
      <c r="C7816" t="s">
        <v>23414</v>
      </c>
      <c r="D7816" t="str">
        <f>HYPERLINK("https://zfin.org/ZDB-GENE-040426-767")</f>
        <v>https://zfin.org/ZDB-GENE-040426-767</v>
      </c>
      <c r="E7816" t="s">
        <v>23415</v>
      </c>
    </row>
    <row r="7817" spans="1:5" x14ac:dyDescent="0.2">
      <c r="A7817" t="s">
        <v>23416</v>
      </c>
      <c r="B7817" t="s">
        <v>23417</v>
      </c>
      <c r="C7817" t="s">
        <v>23417</v>
      </c>
      <c r="D7817" t="str">
        <f>HYPERLINK("https://zfin.org/ZDB-GENE-070206-9")</f>
        <v>https://zfin.org/ZDB-GENE-070206-9</v>
      </c>
      <c r="E7817" t="s">
        <v>23418</v>
      </c>
    </row>
    <row r="7818" spans="1:5" x14ac:dyDescent="0.2">
      <c r="A7818" t="s">
        <v>23419</v>
      </c>
      <c r="B7818" t="s">
        <v>23420</v>
      </c>
      <c r="C7818" t="s">
        <v>23420</v>
      </c>
      <c r="D7818" t="str">
        <f>HYPERLINK("https://zfin.org/ZDB-GENE-021010-1")</f>
        <v>https://zfin.org/ZDB-GENE-021010-1</v>
      </c>
      <c r="E7818" t="s">
        <v>23421</v>
      </c>
    </row>
    <row r="7819" spans="1:5" x14ac:dyDescent="0.2">
      <c r="A7819" t="s">
        <v>23422</v>
      </c>
      <c r="B7819" t="s">
        <v>23423</v>
      </c>
      <c r="C7819" t="s">
        <v>23423</v>
      </c>
      <c r="D7819" t="str">
        <f>HYPERLINK("https://zfin.org/ZDB-GENE-110420-3")</f>
        <v>https://zfin.org/ZDB-GENE-110420-3</v>
      </c>
      <c r="E7819" t="s">
        <v>23424</v>
      </c>
    </row>
    <row r="7820" spans="1:5" x14ac:dyDescent="0.2">
      <c r="A7820" t="s">
        <v>23425</v>
      </c>
      <c r="B7820" t="s">
        <v>23426</v>
      </c>
      <c r="C7820" t="s">
        <v>23426</v>
      </c>
      <c r="D7820" t="str">
        <f>HYPERLINK("https://zfin.org/ZDB-GENE-050913-70")</f>
        <v>https://zfin.org/ZDB-GENE-050913-70</v>
      </c>
      <c r="E7820" t="s">
        <v>23427</v>
      </c>
    </row>
    <row r="7821" spans="1:5" x14ac:dyDescent="0.2">
      <c r="A7821" t="s">
        <v>23428</v>
      </c>
      <c r="B7821" t="s">
        <v>23429</v>
      </c>
      <c r="C7821" t="s">
        <v>23429</v>
      </c>
      <c r="D7821" t="str">
        <f>HYPERLINK("https://zfin.org/ZDB-GENE-050913-83")</f>
        <v>https://zfin.org/ZDB-GENE-050913-83</v>
      </c>
      <c r="E7821" t="s">
        <v>23430</v>
      </c>
    </row>
    <row r="7822" spans="1:5" x14ac:dyDescent="0.2">
      <c r="A7822" t="s">
        <v>23431</v>
      </c>
      <c r="B7822" t="s">
        <v>23432</v>
      </c>
      <c r="C7822" t="s">
        <v>23432</v>
      </c>
      <c r="D7822" t="str">
        <f>HYPERLINK("https://zfin.org/ZDB-GENE-050417-389")</f>
        <v>https://zfin.org/ZDB-GENE-050417-389</v>
      </c>
      <c r="E7822" t="s">
        <v>23433</v>
      </c>
    </row>
    <row r="7823" spans="1:5" x14ac:dyDescent="0.2">
      <c r="A7823" t="s">
        <v>23434</v>
      </c>
      <c r="B7823" t="s">
        <v>23435</v>
      </c>
      <c r="C7823" t="s">
        <v>23435</v>
      </c>
      <c r="D7823" t="str">
        <f>HYPERLINK("https://zfin.org/ZDB-GENE-050327-95")</f>
        <v>https://zfin.org/ZDB-GENE-050327-95</v>
      </c>
      <c r="E7823" t="s">
        <v>23436</v>
      </c>
    </row>
    <row r="7824" spans="1:5" x14ac:dyDescent="0.2">
      <c r="A7824" t="s">
        <v>23437</v>
      </c>
      <c r="B7824" t="s">
        <v>23438</v>
      </c>
      <c r="C7824" t="s">
        <v>23438</v>
      </c>
      <c r="D7824" t="str">
        <f>HYPERLINK("https://zfin.org/ZDB-GENE-030131-6611")</f>
        <v>https://zfin.org/ZDB-GENE-030131-6611</v>
      </c>
      <c r="E7824" t="s">
        <v>23439</v>
      </c>
    </row>
    <row r="7825" spans="1:5" x14ac:dyDescent="0.2">
      <c r="A7825" t="s">
        <v>23440</v>
      </c>
      <c r="B7825" t="s">
        <v>23441</v>
      </c>
      <c r="C7825" t="s">
        <v>23441</v>
      </c>
      <c r="D7825" t="str">
        <f>HYPERLINK("https://zfin.org/ZDB-GENE-040426-1824")</f>
        <v>https://zfin.org/ZDB-GENE-040426-1824</v>
      </c>
      <c r="E7825" t="s">
        <v>23442</v>
      </c>
    </row>
    <row r="7826" spans="1:5" x14ac:dyDescent="0.2">
      <c r="A7826" t="s">
        <v>23443</v>
      </c>
      <c r="B7826" t="s">
        <v>23444</v>
      </c>
      <c r="C7826" t="s">
        <v>23444</v>
      </c>
      <c r="D7826" t="str">
        <f>HYPERLINK("https://zfin.org/ZDB-GENE-070112-882")</f>
        <v>https://zfin.org/ZDB-GENE-070112-882</v>
      </c>
      <c r="E7826" t="s">
        <v>23445</v>
      </c>
    </row>
    <row r="7827" spans="1:5" x14ac:dyDescent="0.2">
      <c r="A7827" t="s">
        <v>23446</v>
      </c>
      <c r="B7827" t="s">
        <v>23447</v>
      </c>
      <c r="C7827" t="s">
        <v>23447</v>
      </c>
      <c r="D7827" t="str">
        <f>HYPERLINK("https://zfin.org/ZDB-GENE-040808-9")</f>
        <v>https://zfin.org/ZDB-GENE-040808-9</v>
      </c>
      <c r="E7827" t="s">
        <v>23448</v>
      </c>
    </row>
    <row r="7828" spans="1:5" x14ac:dyDescent="0.2">
      <c r="A7828" t="s">
        <v>23449</v>
      </c>
      <c r="B7828" t="s">
        <v>23450</v>
      </c>
      <c r="C7828" t="s">
        <v>23450</v>
      </c>
      <c r="D7828" t="str">
        <f>HYPERLINK("https://zfin.org/ZDB-GENE-110718-1")</f>
        <v>https://zfin.org/ZDB-GENE-110718-1</v>
      </c>
      <c r="E7828" t="s">
        <v>23451</v>
      </c>
    </row>
    <row r="7829" spans="1:5" x14ac:dyDescent="0.2">
      <c r="A7829" t="s">
        <v>23452</v>
      </c>
      <c r="B7829" t="s">
        <v>23453</v>
      </c>
      <c r="C7829" t="s">
        <v>23453</v>
      </c>
      <c r="D7829" t="str">
        <f>HYPERLINK("https://zfin.org/ZDB-GENE-040426-1604")</f>
        <v>https://zfin.org/ZDB-GENE-040426-1604</v>
      </c>
      <c r="E7829" t="s">
        <v>23454</v>
      </c>
    </row>
    <row r="7830" spans="1:5" x14ac:dyDescent="0.2">
      <c r="A7830" t="s">
        <v>23455</v>
      </c>
      <c r="B7830" t="s">
        <v>23456</v>
      </c>
      <c r="C7830" t="s">
        <v>23456</v>
      </c>
      <c r="D7830" t="str">
        <f>HYPERLINK("https://zfin.org/ZDB-GENE-110421-1")</f>
        <v>https://zfin.org/ZDB-GENE-110421-1</v>
      </c>
      <c r="E7830" t="s">
        <v>23457</v>
      </c>
    </row>
    <row r="7831" spans="1:5" x14ac:dyDescent="0.2">
      <c r="A7831" t="s">
        <v>23458</v>
      </c>
      <c r="B7831" t="s">
        <v>23459</v>
      </c>
      <c r="C7831" t="s">
        <v>23459</v>
      </c>
      <c r="D7831" t="str">
        <f>HYPERLINK("https://zfin.org/ZDB-GENE-060616-266")</f>
        <v>https://zfin.org/ZDB-GENE-060616-266</v>
      </c>
      <c r="E7831" t="s">
        <v>23460</v>
      </c>
    </row>
    <row r="7832" spans="1:5" x14ac:dyDescent="0.2">
      <c r="A7832" t="s">
        <v>23461</v>
      </c>
      <c r="B7832" t="s">
        <v>23462</v>
      </c>
      <c r="C7832" t="s">
        <v>23462</v>
      </c>
      <c r="D7832" t="str">
        <f>HYPERLINK("https://zfin.org/ZDB-GENE-020122-5")</f>
        <v>https://zfin.org/ZDB-GENE-020122-5</v>
      </c>
      <c r="E7832" t="s">
        <v>23463</v>
      </c>
    </row>
    <row r="7833" spans="1:5" x14ac:dyDescent="0.2">
      <c r="A7833" t="s">
        <v>23464</v>
      </c>
      <c r="B7833" t="s">
        <v>23465</v>
      </c>
      <c r="C7833" t="s">
        <v>23465</v>
      </c>
      <c r="D7833" t="str">
        <f>HYPERLINK("https://zfin.org/ZDB-GENE-050522-18")</f>
        <v>https://zfin.org/ZDB-GENE-050522-18</v>
      </c>
      <c r="E7833" t="s">
        <v>23466</v>
      </c>
    </row>
    <row r="7834" spans="1:5" x14ac:dyDescent="0.2">
      <c r="A7834" t="s">
        <v>23467</v>
      </c>
      <c r="B7834" t="s">
        <v>23468</v>
      </c>
      <c r="C7834" t="s">
        <v>23468</v>
      </c>
      <c r="D7834" t="str">
        <f>HYPERLINK("https://zfin.org/ZDB-GENE-040426-1108")</f>
        <v>https://zfin.org/ZDB-GENE-040426-1108</v>
      </c>
      <c r="E7834" t="s">
        <v>23469</v>
      </c>
    </row>
    <row r="7835" spans="1:5" x14ac:dyDescent="0.2">
      <c r="A7835" t="s">
        <v>23470</v>
      </c>
      <c r="B7835" t="s">
        <v>23471</v>
      </c>
      <c r="C7835" t="s">
        <v>23471</v>
      </c>
      <c r="D7835" t="str">
        <f>HYPERLINK("https://zfin.org/ZDB-GENE-060607-13")</f>
        <v>https://zfin.org/ZDB-GENE-060607-13</v>
      </c>
      <c r="E7835" t="s">
        <v>23472</v>
      </c>
    </row>
    <row r="7836" spans="1:5" x14ac:dyDescent="0.2">
      <c r="A7836" t="s">
        <v>23473</v>
      </c>
      <c r="B7836" t="s">
        <v>23474</v>
      </c>
      <c r="C7836" t="s">
        <v>23474</v>
      </c>
      <c r="D7836" t="str">
        <f>HYPERLINK("https://zfin.org/ZDB-GENE-030131-2921")</f>
        <v>https://zfin.org/ZDB-GENE-030131-2921</v>
      </c>
      <c r="E7836" t="s">
        <v>23475</v>
      </c>
    </row>
    <row r="7837" spans="1:5" x14ac:dyDescent="0.2">
      <c r="A7837" t="s">
        <v>23476</v>
      </c>
      <c r="B7837" t="s">
        <v>23477</v>
      </c>
      <c r="C7837" t="s">
        <v>23477</v>
      </c>
      <c r="D7837" t="str">
        <f>HYPERLINK("https://zfin.org/ZDB-GENE-040426-1057")</f>
        <v>https://zfin.org/ZDB-GENE-040426-1057</v>
      </c>
      <c r="E7837" t="s">
        <v>23478</v>
      </c>
    </row>
    <row r="7838" spans="1:5" x14ac:dyDescent="0.2">
      <c r="A7838" t="s">
        <v>23479</v>
      </c>
      <c r="B7838" t="s">
        <v>23480</v>
      </c>
      <c r="C7838" t="s">
        <v>23480</v>
      </c>
      <c r="D7838" t="str">
        <f>HYPERLINK("https://zfin.org/ZDB-GENE-060929-180")</f>
        <v>https://zfin.org/ZDB-GENE-060929-180</v>
      </c>
      <c r="E7838" t="s">
        <v>23481</v>
      </c>
    </row>
    <row r="7839" spans="1:5" x14ac:dyDescent="0.2">
      <c r="A7839" t="s">
        <v>23482</v>
      </c>
      <c r="B7839" t="s">
        <v>23483</v>
      </c>
      <c r="C7839" t="s">
        <v>23483</v>
      </c>
      <c r="D7839" t="str">
        <f>HYPERLINK("https://zfin.org/ZDB-GENE-080218-17")</f>
        <v>https://zfin.org/ZDB-GENE-080218-17</v>
      </c>
      <c r="E7839" t="s">
        <v>23484</v>
      </c>
    </row>
    <row r="7840" spans="1:5" x14ac:dyDescent="0.2">
      <c r="A7840" t="s">
        <v>23485</v>
      </c>
      <c r="B7840" t="s">
        <v>23486</v>
      </c>
      <c r="C7840" t="s">
        <v>23486</v>
      </c>
      <c r="D7840" t="str">
        <f>HYPERLINK("https://zfin.org/ZDB-GENE-021206-7")</f>
        <v>https://zfin.org/ZDB-GENE-021206-7</v>
      </c>
      <c r="E7840" t="s">
        <v>23487</v>
      </c>
    </row>
    <row r="7841" spans="1:5" x14ac:dyDescent="0.2">
      <c r="A7841" t="s">
        <v>23488</v>
      </c>
      <c r="B7841" t="s">
        <v>23489</v>
      </c>
      <c r="C7841" t="s">
        <v>23489</v>
      </c>
      <c r="D7841" t="str">
        <f>HYPERLINK("https://zfin.org/ZDB-GENE-040120-1")</f>
        <v>https://zfin.org/ZDB-GENE-040120-1</v>
      </c>
      <c r="E7841" t="s">
        <v>23490</v>
      </c>
    </row>
    <row r="7842" spans="1:5" x14ac:dyDescent="0.2">
      <c r="A7842" t="s">
        <v>23491</v>
      </c>
      <c r="B7842" t="s">
        <v>23492</v>
      </c>
      <c r="C7842" t="s">
        <v>23492</v>
      </c>
      <c r="D7842" t="str">
        <f>HYPERLINK("https://zfin.org/ZDB-GENE-141211-57")</f>
        <v>https://zfin.org/ZDB-GENE-141211-57</v>
      </c>
      <c r="E7842" t="s">
        <v>23493</v>
      </c>
    </row>
    <row r="7843" spans="1:5" x14ac:dyDescent="0.2">
      <c r="A7843" t="s">
        <v>23494</v>
      </c>
      <c r="B7843" t="s">
        <v>23495</v>
      </c>
      <c r="C7843" t="s">
        <v>23495</v>
      </c>
      <c r="D7843" t="str">
        <f>HYPERLINK("https://zfin.org/ZDB-GENE-030131-3831")</f>
        <v>https://zfin.org/ZDB-GENE-030131-3831</v>
      </c>
      <c r="E7843" t="s">
        <v>23496</v>
      </c>
    </row>
    <row r="7844" spans="1:5" x14ac:dyDescent="0.2">
      <c r="A7844" t="s">
        <v>23497</v>
      </c>
      <c r="B7844" t="s">
        <v>23498</v>
      </c>
      <c r="C7844" t="s">
        <v>23498</v>
      </c>
      <c r="D7844" t="str">
        <f>HYPERLINK("https://zfin.org/ZDB-GENE-070615-10")</f>
        <v>https://zfin.org/ZDB-GENE-070615-10</v>
      </c>
      <c r="E7844" t="s">
        <v>23499</v>
      </c>
    </row>
    <row r="7845" spans="1:5" x14ac:dyDescent="0.2">
      <c r="A7845" t="s">
        <v>23500</v>
      </c>
      <c r="B7845" t="s">
        <v>23501</v>
      </c>
      <c r="C7845" t="s">
        <v>23501</v>
      </c>
      <c r="D7845" t="str">
        <f>HYPERLINK("https://zfin.org/ZDB-GENE-070112-202")</f>
        <v>https://zfin.org/ZDB-GENE-070112-202</v>
      </c>
      <c r="E7845" t="s">
        <v>23502</v>
      </c>
    </row>
    <row r="7846" spans="1:5" x14ac:dyDescent="0.2">
      <c r="A7846" t="s">
        <v>23503</v>
      </c>
      <c r="B7846" t="s">
        <v>23504</v>
      </c>
      <c r="C7846" t="s">
        <v>23504</v>
      </c>
      <c r="D7846" t="str">
        <f>HYPERLINK("https://zfin.org/ZDB-GENE-040426-1833")</f>
        <v>https://zfin.org/ZDB-GENE-040426-1833</v>
      </c>
      <c r="E7846" t="s">
        <v>23505</v>
      </c>
    </row>
    <row r="7847" spans="1:5" x14ac:dyDescent="0.2">
      <c r="A7847" t="s">
        <v>23506</v>
      </c>
      <c r="B7847" t="s">
        <v>23507</v>
      </c>
      <c r="C7847" t="s">
        <v>23507</v>
      </c>
      <c r="D7847" t="str">
        <f>HYPERLINK("https://zfin.org/ZDB-GENE-030131-6451")</f>
        <v>https://zfin.org/ZDB-GENE-030131-6451</v>
      </c>
      <c r="E7847" t="s">
        <v>23508</v>
      </c>
    </row>
    <row r="7848" spans="1:5" x14ac:dyDescent="0.2">
      <c r="A7848" t="s">
        <v>23509</v>
      </c>
      <c r="B7848" t="s">
        <v>23510</v>
      </c>
      <c r="C7848" t="s">
        <v>23510</v>
      </c>
      <c r="D7848" t="str">
        <f>HYPERLINK("https://zfin.org/ZDB-GENE-040426-2541")</f>
        <v>https://zfin.org/ZDB-GENE-040426-2541</v>
      </c>
      <c r="E7848" t="s">
        <v>23511</v>
      </c>
    </row>
    <row r="7849" spans="1:5" x14ac:dyDescent="0.2">
      <c r="A7849" t="s">
        <v>23512</v>
      </c>
      <c r="B7849" t="s">
        <v>23513</v>
      </c>
      <c r="C7849" t="s">
        <v>23513</v>
      </c>
      <c r="D7849" t="str">
        <f>HYPERLINK("https://zfin.org/ZDB-GENE-050517-15")</f>
        <v>https://zfin.org/ZDB-GENE-050517-15</v>
      </c>
      <c r="E7849" t="s">
        <v>23514</v>
      </c>
    </row>
    <row r="7850" spans="1:5" x14ac:dyDescent="0.2">
      <c r="A7850" t="s">
        <v>23515</v>
      </c>
      <c r="B7850" t="s">
        <v>23516</v>
      </c>
      <c r="C7850" t="s">
        <v>23516</v>
      </c>
      <c r="D7850" t="str">
        <f>HYPERLINK("https://zfin.org/ZDB-GENE-050208-44")</f>
        <v>https://zfin.org/ZDB-GENE-050208-44</v>
      </c>
      <c r="E7850" t="s">
        <v>23517</v>
      </c>
    </row>
    <row r="7851" spans="1:5" x14ac:dyDescent="0.2">
      <c r="A7851" t="s">
        <v>23518</v>
      </c>
      <c r="B7851" t="s">
        <v>23519</v>
      </c>
      <c r="C7851" t="s">
        <v>23519</v>
      </c>
      <c r="D7851" t="str">
        <f>HYPERLINK("https://zfin.org/ZDB-GENE-030131-5658")</f>
        <v>https://zfin.org/ZDB-GENE-030131-5658</v>
      </c>
      <c r="E7851" t="s">
        <v>23520</v>
      </c>
    </row>
    <row r="7852" spans="1:5" x14ac:dyDescent="0.2">
      <c r="A7852" t="s">
        <v>23521</v>
      </c>
      <c r="B7852" t="s">
        <v>23522</v>
      </c>
      <c r="C7852" t="s">
        <v>23522</v>
      </c>
      <c r="D7852" t="str">
        <f>HYPERLINK("https://zfin.org/ZDB-GENE-060503-526")</f>
        <v>https://zfin.org/ZDB-GENE-060503-526</v>
      </c>
      <c r="E7852" t="s">
        <v>23523</v>
      </c>
    </row>
    <row r="7853" spans="1:5" x14ac:dyDescent="0.2">
      <c r="A7853" t="s">
        <v>23524</v>
      </c>
      <c r="B7853" t="s">
        <v>23525</v>
      </c>
      <c r="C7853" t="s">
        <v>23525</v>
      </c>
      <c r="D7853" t="str">
        <f>HYPERLINK("https://zfin.org/ZDB-GENE-010413-1")</f>
        <v>https://zfin.org/ZDB-GENE-010413-1</v>
      </c>
      <c r="E7853" t="s">
        <v>23526</v>
      </c>
    </row>
    <row r="7854" spans="1:5" x14ac:dyDescent="0.2">
      <c r="A7854" t="s">
        <v>23527</v>
      </c>
      <c r="B7854" t="s">
        <v>23528</v>
      </c>
      <c r="C7854" t="s">
        <v>23528</v>
      </c>
      <c r="D7854" t="str">
        <f>HYPERLINK("https://zfin.org/ZDB-GENE-130603-84")</f>
        <v>https://zfin.org/ZDB-GENE-130603-84</v>
      </c>
      <c r="E7854" t="s">
        <v>23529</v>
      </c>
    </row>
    <row r="7855" spans="1:5" x14ac:dyDescent="0.2">
      <c r="A7855" t="s">
        <v>23530</v>
      </c>
      <c r="B7855" t="s">
        <v>23531</v>
      </c>
      <c r="C7855" t="s">
        <v>23531</v>
      </c>
      <c r="D7855" t="str">
        <f>HYPERLINK("https://zfin.org/ZDB-GENE-060929-636")</f>
        <v>https://zfin.org/ZDB-GENE-060929-636</v>
      </c>
      <c r="E7855" t="s">
        <v>23532</v>
      </c>
    </row>
    <row r="7856" spans="1:5" x14ac:dyDescent="0.2">
      <c r="A7856" t="s">
        <v>23533</v>
      </c>
      <c r="B7856" t="s">
        <v>23534</v>
      </c>
      <c r="C7856" t="s">
        <v>23534</v>
      </c>
      <c r="D7856" t="str">
        <f>HYPERLINK("https://zfin.org/ZDB-GENE-061027-60")</f>
        <v>https://zfin.org/ZDB-GENE-061027-60</v>
      </c>
      <c r="E7856" t="s">
        <v>23535</v>
      </c>
    </row>
    <row r="7857" spans="1:5" x14ac:dyDescent="0.2">
      <c r="A7857" t="s">
        <v>23536</v>
      </c>
      <c r="B7857" t="s">
        <v>23537</v>
      </c>
      <c r="C7857" t="s">
        <v>23537</v>
      </c>
      <c r="D7857" t="str">
        <f>HYPERLINK("https://zfin.org/ZDB-GENE-040704-48")</f>
        <v>https://zfin.org/ZDB-GENE-040704-48</v>
      </c>
      <c r="E7857" t="s">
        <v>23538</v>
      </c>
    </row>
    <row r="7858" spans="1:5" x14ac:dyDescent="0.2">
      <c r="A7858" t="s">
        <v>23539</v>
      </c>
      <c r="B7858" t="s">
        <v>23540</v>
      </c>
      <c r="C7858" t="s">
        <v>23540</v>
      </c>
      <c r="D7858" t="str">
        <f>HYPERLINK("https://zfin.org/ZDB-GENE-070427-2")</f>
        <v>https://zfin.org/ZDB-GENE-070427-2</v>
      </c>
      <c r="E7858" t="s">
        <v>23541</v>
      </c>
    </row>
    <row r="7859" spans="1:5" x14ac:dyDescent="0.2">
      <c r="A7859" t="s">
        <v>23542</v>
      </c>
      <c r="B7859" t="s">
        <v>23543</v>
      </c>
      <c r="C7859" t="s">
        <v>23543</v>
      </c>
      <c r="D7859" t="str">
        <f>HYPERLINK("https://zfin.org/ZDB-GENE-040426-2445")</f>
        <v>https://zfin.org/ZDB-GENE-040426-2445</v>
      </c>
      <c r="E7859" t="s">
        <v>23544</v>
      </c>
    </row>
    <row r="7860" spans="1:5" x14ac:dyDescent="0.2">
      <c r="A7860" t="s">
        <v>23545</v>
      </c>
      <c r="B7860" t="s">
        <v>23546</v>
      </c>
      <c r="C7860" t="s">
        <v>23546</v>
      </c>
      <c r="D7860" t="str">
        <f>HYPERLINK("https://zfin.org/ZDB-GENE-060825-19")</f>
        <v>https://zfin.org/ZDB-GENE-060825-19</v>
      </c>
      <c r="E7860" t="s">
        <v>23547</v>
      </c>
    </row>
    <row r="7861" spans="1:5" x14ac:dyDescent="0.2">
      <c r="A7861" t="s">
        <v>23548</v>
      </c>
      <c r="B7861" t="s">
        <v>23549</v>
      </c>
      <c r="C7861" t="s">
        <v>23549</v>
      </c>
      <c r="D7861" t="str">
        <f>HYPERLINK("https://zfin.org/ZDB-GENE-060929-488")</f>
        <v>https://zfin.org/ZDB-GENE-060929-488</v>
      </c>
      <c r="E7861" t="s">
        <v>23550</v>
      </c>
    </row>
    <row r="7862" spans="1:5" x14ac:dyDescent="0.2">
      <c r="A7862" t="s">
        <v>23551</v>
      </c>
      <c r="B7862" t="s">
        <v>23552</v>
      </c>
      <c r="C7862" t="s">
        <v>23552</v>
      </c>
      <c r="D7862" t="str">
        <f>HYPERLINK("https://zfin.org/ZDB-GENE-050419-71")</f>
        <v>https://zfin.org/ZDB-GENE-050419-71</v>
      </c>
      <c r="E7862" t="s">
        <v>23553</v>
      </c>
    </row>
    <row r="7863" spans="1:5" x14ac:dyDescent="0.2">
      <c r="A7863" t="s">
        <v>23554</v>
      </c>
      <c r="B7863" t="s">
        <v>23555</v>
      </c>
      <c r="C7863" t="s">
        <v>23555</v>
      </c>
      <c r="D7863" t="str">
        <f>HYPERLINK("https://zfin.org/ZDB-GENE-040426-2812")</f>
        <v>https://zfin.org/ZDB-GENE-040426-2812</v>
      </c>
      <c r="E7863" t="s">
        <v>23556</v>
      </c>
    </row>
    <row r="7864" spans="1:5" x14ac:dyDescent="0.2">
      <c r="A7864" t="s">
        <v>23557</v>
      </c>
      <c r="B7864" t="s">
        <v>23558</v>
      </c>
      <c r="C7864" t="s">
        <v>23558</v>
      </c>
      <c r="D7864" t="str">
        <f>HYPERLINK("https://zfin.org/ZDB-GENE-060825-140")</f>
        <v>https://zfin.org/ZDB-GENE-060825-140</v>
      </c>
      <c r="E7864" t="s">
        <v>23559</v>
      </c>
    </row>
    <row r="7865" spans="1:5" x14ac:dyDescent="0.2">
      <c r="A7865" t="s">
        <v>23560</v>
      </c>
      <c r="B7865" t="s">
        <v>23561</v>
      </c>
      <c r="C7865" t="s">
        <v>23561</v>
      </c>
      <c r="D7865" t="str">
        <f>HYPERLINK("https://zfin.org/ZDB-GENE-081104-369")</f>
        <v>https://zfin.org/ZDB-GENE-081104-369</v>
      </c>
      <c r="E7865" t="s">
        <v>23562</v>
      </c>
    </row>
    <row r="7866" spans="1:5" x14ac:dyDescent="0.2">
      <c r="A7866" t="s">
        <v>23563</v>
      </c>
      <c r="B7866" t="s">
        <v>23564</v>
      </c>
      <c r="C7866" t="s">
        <v>23564</v>
      </c>
      <c r="D7866" t="str">
        <f>HYPERLINK("https://zfin.org/ZDB-GENE-040718-280")</f>
        <v>https://zfin.org/ZDB-GENE-040718-280</v>
      </c>
      <c r="E7866" t="s">
        <v>23565</v>
      </c>
    </row>
    <row r="7867" spans="1:5" x14ac:dyDescent="0.2">
      <c r="A7867" t="s">
        <v>23566</v>
      </c>
      <c r="B7867" t="s">
        <v>23567</v>
      </c>
      <c r="C7867" t="s">
        <v>23567</v>
      </c>
      <c r="D7867" t="str">
        <f>HYPERLINK("https://zfin.org/ZDB-GENE-030131-1633")</f>
        <v>https://zfin.org/ZDB-GENE-030131-1633</v>
      </c>
      <c r="E7867" t="s">
        <v>23568</v>
      </c>
    </row>
    <row r="7868" spans="1:5" x14ac:dyDescent="0.2">
      <c r="A7868" t="s">
        <v>23569</v>
      </c>
      <c r="B7868" t="s">
        <v>23570</v>
      </c>
      <c r="C7868" t="s">
        <v>23570</v>
      </c>
      <c r="D7868" t="str">
        <f>HYPERLINK("https://zfin.org/ZDB-GENE-051120-78")</f>
        <v>https://zfin.org/ZDB-GENE-051120-78</v>
      </c>
      <c r="E7868" t="s">
        <v>23571</v>
      </c>
    </row>
    <row r="7869" spans="1:5" x14ac:dyDescent="0.2">
      <c r="A7869" t="s">
        <v>23572</v>
      </c>
      <c r="B7869" t="s">
        <v>23573</v>
      </c>
      <c r="C7869" t="s">
        <v>23573</v>
      </c>
      <c r="D7869" t="str">
        <f>HYPERLINK("https://zfin.org/ZDB-GENE-091204-65")</f>
        <v>https://zfin.org/ZDB-GENE-091204-65</v>
      </c>
      <c r="E7869" t="s">
        <v>23574</v>
      </c>
    </row>
    <row r="7870" spans="1:5" x14ac:dyDescent="0.2">
      <c r="A7870" t="s">
        <v>23575</v>
      </c>
      <c r="B7870" t="s">
        <v>23576</v>
      </c>
      <c r="C7870" t="s">
        <v>23576</v>
      </c>
      <c r="D7870" t="str">
        <f>HYPERLINK("https://zfin.org/ZDB-GENE-131120-116")</f>
        <v>https://zfin.org/ZDB-GENE-131120-116</v>
      </c>
      <c r="E7870" t="s">
        <v>23577</v>
      </c>
    </row>
    <row r="7871" spans="1:5" x14ac:dyDescent="0.2">
      <c r="A7871" t="s">
        <v>23578</v>
      </c>
      <c r="B7871" t="s">
        <v>23579</v>
      </c>
      <c r="C7871" t="s">
        <v>23579</v>
      </c>
      <c r="D7871" t="str">
        <f>HYPERLINK("https://zfin.org/ZDB-GENE-081105-136")</f>
        <v>https://zfin.org/ZDB-GENE-081105-136</v>
      </c>
      <c r="E7871" t="s">
        <v>23580</v>
      </c>
    </row>
    <row r="7872" spans="1:5" x14ac:dyDescent="0.2">
      <c r="A7872" t="s">
        <v>23581</v>
      </c>
      <c r="B7872" t="s">
        <v>23582</v>
      </c>
      <c r="C7872" t="s">
        <v>23582</v>
      </c>
      <c r="D7872" t="str">
        <f>HYPERLINK("https://zfin.org/ZDB-GENE-031112-5")</f>
        <v>https://zfin.org/ZDB-GENE-031112-5</v>
      </c>
      <c r="E7872" t="s">
        <v>23583</v>
      </c>
    </row>
    <row r="7873" spans="1:5" x14ac:dyDescent="0.2">
      <c r="A7873" t="s">
        <v>23584</v>
      </c>
      <c r="B7873" t="s">
        <v>23585</v>
      </c>
      <c r="C7873" t="s">
        <v>23585</v>
      </c>
      <c r="D7873" t="str">
        <f>HYPERLINK("https://zfin.org/ZDB-GENE-030131-1437")</f>
        <v>https://zfin.org/ZDB-GENE-030131-1437</v>
      </c>
      <c r="E7873" t="s">
        <v>23586</v>
      </c>
    </row>
    <row r="7874" spans="1:5" x14ac:dyDescent="0.2">
      <c r="A7874" t="s">
        <v>23587</v>
      </c>
      <c r="B7874" t="s">
        <v>23588</v>
      </c>
      <c r="C7874" t="s">
        <v>23588</v>
      </c>
      <c r="D7874" t="str">
        <f>HYPERLINK("https://zfin.org/ZDB-GENE-030131-7577")</f>
        <v>https://zfin.org/ZDB-GENE-030131-7577</v>
      </c>
      <c r="E7874" t="s">
        <v>23589</v>
      </c>
    </row>
    <row r="7875" spans="1:5" x14ac:dyDescent="0.2">
      <c r="A7875" t="s">
        <v>23590</v>
      </c>
      <c r="B7875" t="s">
        <v>23531</v>
      </c>
      <c r="C7875" t="s">
        <v>23591</v>
      </c>
      <c r="D7875" t="str">
        <f>HYPERLINK("https://zfin.org/")</f>
        <v>https://zfin.org/</v>
      </c>
    </row>
    <row r="7876" spans="1:5" x14ac:dyDescent="0.2">
      <c r="A7876" t="s">
        <v>23592</v>
      </c>
      <c r="B7876" t="s">
        <v>23593</v>
      </c>
      <c r="C7876" t="s">
        <v>23593</v>
      </c>
      <c r="D7876" t="str">
        <f>HYPERLINK("https://zfin.org/ZDB-GENE-121214-92")</f>
        <v>https://zfin.org/ZDB-GENE-121214-92</v>
      </c>
      <c r="E7876" t="s">
        <v>23594</v>
      </c>
    </row>
    <row r="7877" spans="1:5" x14ac:dyDescent="0.2">
      <c r="A7877" t="s">
        <v>23595</v>
      </c>
      <c r="B7877" t="s">
        <v>23596</v>
      </c>
      <c r="C7877" t="s">
        <v>23596</v>
      </c>
      <c r="D7877" t="str">
        <f>HYPERLINK("https://zfin.org/ZDB-GENE-080107-1")</f>
        <v>https://zfin.org/ZDB-GENE-080107-1</v>
      </c>
      <c r="E7877" t="s">
        <v>23597</v>
      </c>
    </row>
    <row r="7878" spans="1:5" x14ac:dyDescent="0.2">
      <c r="A7878" t="s">
        <v>23598</v>
      </c>
      <c r="B7878" t="s">
        <v>23599</v>
      </c>
      <c r="C7878" t="s">
        <v>23599</v>
      </c>
      <c r="D7878" t="str">
        <f>HYPERLINK("https://zfin.org/ZDB-GENE-110511-1")</f>
        <v>https://zfin.org/ZDB-GENE-110511-1</v>
      </c>
      <c r="E7878" t="s">
        <v>23600</v>
      </c>
    </row>
    <row r="7879" spans="1:5" x14ac:dyDescent="0.2">
      <c r="A7879" t="s">
        <v>23601</v>
      </c>
      <c r="B7879" t="s">
        <v>23602</v>
      </c>
      <c r="C7879" t="s">
        <v>23602</v>
      </c>
      <c r="D7879" t="str">
        <f>HYPERLINK("https://zfin.org/ZDB-GENE-041014-321")</f>
        <v>https://zfin.org/ZDB-GENE-041014-321</v>
      </c>
      <c r="E7879" t="s">
        <v>23603</v>
      </c>
    </row>
    <row r="7880" spans="1:5" x14ac:dyDescent="0.2">
      <c r="A7880" t="s">
        <v>23604</v>
      </c>
      <c r="B7880" t="s">
        <v>23605</v>
      </c>
      <c r="C7880" t="s">
        <v>23605</v>
      </c>
      <c r="D7880" t="str">
        <f>HYPERLINK("https://zfin.org/ZDB-GENE-040426-1079")</f>
        <v>https://zfin.org/ZDB-GENE-040426-1079</v>
      </c>
      <c r="E7880" t="s">
        <v>23606</v>
      </c>
    </row>
    <row r="7881" spans="1:5" x14ac:dyDescent="0.2">
      <c r="A7881" t="s">
        <v>23607</v>
      </c>
      <c r="B7881" t="s">
        <v>23608</v>
      </c>
      <c r="C7881" t="s">
        <v>23608</v>
      </c>
      <c r="D7881" t="str">
        <f>HYPERLINK("https://zfin.org/ZDB-GENE-091006-1")</f>
        <v>https://zfin.org/ZDB-GENE-091006-1</v>
      </c>
      <c r="E7881" t="s">
        <v>23609</v>
      </c>
    </row>
    <row r="7882" spans="1:5" x14ac:dyDescent="0.2">
      <c r="A7882" t="s">
        <v>23610</v>
      </c>
      <c r="B7882" t="s">
        <v>23611</v>
      </c>
      <c r="C7882" t="s">
        <v>23611</v>
      </c>
      <c r="D7882" t="str">
        <f>HYPERLINK("https://zfin.org/ZDB-GENE-081103-27")</f>
        <v>https://zfin.org/ZDB-GENE-081103-27</v>
      </c>
      <c r="E7882" t="s">
        <v>23612</v>
      </c>
    </row>
    <row r="7883" spans="1:5" x14ac:dyDescent="0.2">
      <c r="A7883" t="s">
        <v>23613</v>
      </c>
      <c r="B7883" t="s">
        <v>23614</v>
      </c>
      <c r="C7883" t="s">
        <v>23614</v>
      </c>
      <c r="D7883" t="str">
        <f>HYPERLINK("https://zfin.org/ZDB-GENE-040624-8")</f>
        <v>https://zfin.org/ZDB-GENE-040624-8</v>
      </c>
      <c r="E7883" t="s">
        <v>23615</v>
      </c>
    </row>
    <row r="7884" spans="1:5" x14ac:dyDescent="0.2">
      <c r="A7884" t="s">
        <v>23616</v>
      </c>
      <c r="B7884" t="s">
        <v>23617</v>
      </c>
      <c r="C7884" t="s">
        <v>23617</v>
      </c>
      <c r="D7884" t="str">
        <f>HYPERLINK("https://zfin.org/ZDB-GENE-071126-1")</f>
        <v>https://zfin.org/ZDB-GENE-071126-1</v>
      </c>
      <c r="E7884" t="s">
        <v>23618</v>
      </c>
    </row>
    <row r="7885" spans="1:5" x14ac:dyDescent="0.2">
      <c r="A7885" t="s">
        <v>23619</v>
      </c>
      <c r="B7885" t="s">
        <v>23620</v>
      </c>
      <c r="C7885" t="s">
        <v>23620</v>
      </c>
      <c r="D7885" t="str">
        <f>HYPERLINK("https://zfin.org/ZDB-GENE-030131-4317")</f>
        <v>https://zfin.org/ZDB-GENE-030131-4317</v>
      </c>
      <c r="E7885" t="s">
        <v>23621</v>
      </c>
    </row>
    <row r="7886" spans="1:5" x14ac:dyDescent="0.2">
      <c r="A7886" t="s">
        <v>23622</v>
      </c>
      <c r="B7886" t="s">
        <v>23623</v>
      </c>
      <c r="C7886" t="s">
        <v>23623</v>
      </c>
      <c r="D7886" t="str">
        <f>HYPERLINK("https://zfin.org/ZDB-GENE-030131-4289")</f>
        <v>https://zfin.org/ZDB-GENE-030131-4289</v>
      </c>
      <c r="E7886" t="s">
        <v>23624</v>
      </c>
    </row>
    <row r="7887" spans="1:5" x14ac:dyDescent="0.2">
      <c r="A7887" t="s">
        <v>23625</v>
      </c>
      <c r="B7887" t="s">
        <v>23626</v>
      </c>
      <c r="C7887" t="s">
        <v>23626</v>
      </c>
      <c r="D7887" t="str">
        <f>HYPERLINK("https://zfin.org/ZDB-GENE-040426-2845")</f>
        <v>https://zfin.org/ZDB-GENE-040426-2845</v>
      </c>
      <c r="E7887" t="s">
        <v>23627</v>
      </c>
    </row>
    <row r="7888" spans="1:5" x14ac:dyDescent="0.2">
      <c r="A7888" t="s">
        <v>23628</v>
      </c>
      <c r="B7888" t="s">
        <v>23629</v>
      </c>
      <c r="C7888" t="s">
        <v>23629</v>
      </c>
      <c r="D7888" t="str">
        <f>HYPERLINK("https://zfin.org/ZDB-GENE-020419-35")</f>
        <v>https://zfin.org/ZDB-GENE-020419-35</v>
      </c>
      <c r="E7888" t="s">
        <v>23630</v>
      </c>
    </row>
    <row r="7889" spans="1:5" x14ac:dyDescent="0.2">
      <c r="A7889" t="s">
        <v>23631</v>
      </c>
      <c r="B7889" t="s">
        <v>23632</v>
      </c>
      <c r="C7889" t="s">
        <v>23632</v>
      </c>
      <c r="D7889" t="str">
        <f>HYPERLINK("https://zfin.org/ZDB-GENE-051030-99")</f>
        <v>https://zfin.org/ZDB-GENE-051030-99</v>
      </c>
      <c r="E7889" t="s">
        <v>23633</v>
      </c>
    </row>
    <row r="7890" spans="1:5" x14ac:dyDescent="0.2">
      <c r="A7890" t="s">
        <v>23634</v>
      </c>
      <c r="B7890" t="s">
        <v>23635</v>
      </c>
      <c r="C7890" t="s">
        <v>23635</v>
      </c>
      <c r="D7890" t="str">
        <f>HYPERLINK("https://zfin.org/ZDB-GENE-030131-6397")</f>
        <v>https://zfin.org/ZDB-GENE-030131-6397</v>
      </c>
      <c r="E7890" t="s">
        <v>23636</v>
      </c>
    </row>
    <row r="7891" spans="1:5" x14ac:dyDescent="0.2">
      <c r="A7891" t="s">
        <v>23637</v>
      </c>
      <c r="B7891" t="s">
        <v>23638</v>
      </c>
      <c r="C7891" t="s">
        <v>23638</v>
      </c>
      <c r="D7891" t="str">
        <f>HYPERLINK("https://zfin.org/ZDB-GENE-060602-2")</f>
        <v>https://zfin.org/ZDB-GENE-060602-2</v>
      </c>
      <c r="E7891" t="s">
        <v>23639</v>
      </c>
    </row>
    <row r="7892" spans="1:5" x14ac:dyDescent="0.2">
      <c r="A7892" t="s">
        <v>23640</v>
      </c>
      <c r="B7892" t="s">
        <v>23641</v>
      </c>
      <c r="C7892" t="s">
        <v>23641</v>
      </c>
      <c r="D7892" t="str">
        <f>HYPERLINK("https://zfin.org/ZDB-GENE-051107-8")</f>
        <v>https://zfin.org/ZDB-GENE-051107-8</v>
      </c>
      <c r="E7892" t="s">
        <v>23642</v>
      </c>
    </row>
    <row r="7893" spans="1:5" x14ac:dyDescent="0.2">
      <c r="A7893" t="s">
        <v>23643</v>
      </c>
      <c r="B7893" t="s">
        <v>23644</v>
      </c>
      <c r="C7893" t="s">
        <v>23644</v>
      </c>
      <c r="D7893" t="str">
        <f>HYPERLINK("https://zfin.org/ZDB-GENE-070912-59")</f>
        <v>https://zfin.org/ZDB-GENE-070912-59</v>
      </c>
      <c r="E7893" t="s">
        <v>23645</v>
      </c>
    </row>
    <row r="7894" spans="1:5" x14ac:dyDescent="0.2">
      <c r="A7894" t="s">
        <v>23646</v>
      </c>
      <c r="B7894" t="s">
        <v>23647</v>
      </c>
      <c r="C7894" t="s">
        <v>23647</v>
      </c>
      <c r="D7894" t="str">
        <f>HYPERLINK("https://zfin.org/ZDB-GENE-040426-937")</f>
        <v>https://zfin.org/ZDB-GENE-040426-937</v>
      </c>
      <c r="E7894" t="s">
        <v>23648</v>
      </c>
    </row>
    <row r="7895" spans="1:5" x14ac:dyDescent="0.2">
      <c r="A7895" t="s">
        <v>23649</v>
      </c>
      <c r="B7895" t="s">
        <v>23650</v>
      </c>
      <c r="C7895" t="s">
        <v>23650</v>
      </c>
      <c r="D7895" t="str">
        <f>HYPERLINK("https://zfin.org/ZDB-GENE-060929-528")</f>
        <v>https://zfin.org/ZDB-GENE-060929-528</v>
      </c>
      <c r="E7895" t="s">
        <v>23651</v>
      </c>
    </row>
    <row r="7896" spans="1:5" x14ac:dyDescent="0.2">
      <c r="A7896" t="s">
        <v>23652</v>
      </c>
      <c r="B7896" t="s">
        <v>23653</v>
      </c>
      <c r="C7896" t="s">
        <v>23653</v>
      </c>
      <c r="D7896" t="str">
        <f>HYPERLINK("https://zfin.org/ZDB-GENE-050208-508")</f>
        <v>https://zfin.org/ZDB-GENE-050208-508</v>
      </c>
      <c r="E7896" t="s">
        <v>23654</v>
      </c>
    </row>
    <row r="7897" spans="1:5" x14ac:dyDescent="0.2">
      <c r="A7897" t="s">
        <v>23655</v>
      </c>
      <c r="B7897" t="s">
        <v>23656</v>
      </c>
      <c r="C7897" t="s">
        <v>23656</v>
      </c>
      <c r="D7897" t="str">
        <f>HYPERLINK("https://zfin.org/ZDB-GENE-111003-1")</f>
        <v>https://zfin.org/ZDB-GENE-111003-1</v>
      </c>
      <c r="E7897" t="s">
        <v>23657</v>
      </c>
    </row>
    <row r="7898" spans="1:5" x14ac:dyDescent="0.2">
      <c r="A7898" t="s">
        <v>23658</v>
      </c>
      <c r="B7898" t="s">
        <v>23659</v>
      </c>
      <c r="C7898" t="s">
        <v>23659</v>
      </c>
      <c r="D7898" t="str">
        <f>HYPERLINK("https://zfin.org/ZDB-GENE-080829-12")</f>
        <v>https://zfin.org/ZDB-GENE-080829-12</v>
      </c>
      <c r="E7898" t="s">
        <v>23660</v>
      </c>
    </row>
    <row r="7899" spans="1:5" x14ac:dyDescent="0.2">
      <c r="A7899" t="s">
        <v>23661</v>
      </c>
      <c r="B7899" t="s">
        <v>23662</v>
      </c>
      <c r="C7899" t="s">
        <v>23662</v>
      </c>
      <c r="D7899" t="str">
        <f>HYPERLINK("https://zfin.org/ZDB-GENE-060531-161")</f>
        <v>https://zfin.org/ZDB-GENE-060531-161</v>
      </c>
      <c r="E7899" t="s">
        <v>23663</v>
      </c>
    </row>
    <row r="7900" spans="1:5" x14ac:dyDescent="0.2">
      <c r="A7900" t="s">
        <v>23664</v>
      </c>
      <c r="B7900" t="s">
        <v>23665</v>
      </c>
      <c r="C7900" t="s">
        <v>23665</v>
      </c>
      <c r="D7900" t="str">
        <f>HYPERLINK("https://zfin.org/ZDB-GENE-050208-523")</f>
        <v>https://zfin.org/ZDB-GENE-050208-523</v>
      </c>
      <c r="E7900" t="s">
        <v>23666</v>
      </c>
    </row>
    <row r="7901" spans="1:5" x14ac:dyDescent="0.2">
      <c r="A7901" t="s">
        <v>23667</v>
      </c>
      <c r="B7901" t="s">
        <v>23668</v>
      </c>
      <c r="C7901" t="s">
        <v>23668</v>
      </c>
      <c r="D7901" t="str">
        <f>HYPERLINK("https://zfin.org/ZDB-GENE-030131-8325")</f>
        <v>https://zfin.org/ZDB-GENE-030131-8325</v>
      </c>
      <c r="E7901" t="s">
        <v>23669</v>
      </c>
    </row>
    <row r="7902" spans="1:5" x14ac:dyDescent="0.2">
      <c r="A7902" t="s">
        <v>23670</v>
      </c>
      <c r="B7902" t="s">
        <v>23671</v>
      </c>
      <c r="C7902" t="s">
        <v>23671</v>
      </c>
      <c r="D7902" t="str">
        <f>HYPERLINK("https://zfin.org/ZDB-GENE-060929-708")</f>
        <v>https://zfin.org/ZDB-GENE-060929-708</v>
      </c>
      <c r="E7902" t="s">
        <v>23672</v>
      </c>
    </row>
    <row r="7903" spans="1:5" x14ac:dyDescent="0.2">
      <c r="A7903" t="s">
        <v>23673</v>
      </c>
      <c r="B7903" t="s">
        <v>23674</v>
      </c>
      <c r="C7903" t="s">
        <v>23674</v>
      </c>
      <c r="D7903" t="str">
        <f>HYPERLINK("https://zfin.org/ZDB-GENE-040426-2828")</f>
        <v>https://zfin.org/ZDB-GENE-040426-2828</v>
      </c>
      <c r="E7903" t="s">
        <v>23675</v>
      </c>
    </row>
    <row r="7904" spans="1:5" x14ac:dyDescent="0.2">
      <c r="A7904" t="s">
        <v>23676</v>
      </c>
      <c r="B7904" t="s">
        <v>23677</v>
      </c>
      <c r="C7904" t="s">
        <v>23677</v>
      </c>
      <c r="D7904" t="str">
        <f>HYPERLINK("https://zfin.org/ZDB-GENE-041111-7")</f>
        <v>https://zfin.org/ZDB-GENE-041111-7</v>
      </c>
      <c r="E7904" t="s">
        <v>23678</v>
      </c>
    </row>
    <row r="7905" spans="1:5" x14ac:dyDescent="0.2">
      <c r="A7905" t="s">
        <v>23679</v>
      </c>
      <c r="B7905" t="s">
        <v>23680</v>
      </c>
      <c r="C7905" t="s">
        <v>23680</v>
      </c>
      <c r="D7905" t="str">
        <f>HYPERLINK("https://zfin.org/ZDB-GENE-110411-25")</f>
        <v>https://zfin.org/ZDB-GENE-110411-25</v>
      </c>
      <c r="E7905" t="s">
        <v>23681</v>
      </c>
    </row>
    <row r="7906" spans="1:5" x14ac:dyDescent="0.2">
      <c r="A7906" t="s">
        <v>23682</v>
      </c>
      <c r="B7906" t="s">
        <v>23683</v>
      </c>
      <c r="C7906" t="s">
        <v>23683</v>
      </c>
      <c r="D7906" t="str">
        <f>HYPERLINK("https://zfin.org/ZDB-GENE-121119-1")</f>
        <v>https://zfin.org/ZDB-GENE-121119-1</v>
      </c>
      <c r="E7906" t="s">
        <v>23684</v>
      </c>
    </row>
    <row r="7907" spans="1:5" x14ac:dyDescent="0.2">
      <c r="A7907" t="s">
        <v>23685</v>
      </c>
      <c r="B7907" t="s">
        <v>23686</v>
      </c>
      <c r="C7907" t="s">
        <v>23686</v>
      </c>
      <c r="D7907" t="str">
        <f>HYPERLINK("https://zfin.org/ZDB-GENE-030131-235")</f>
        <v>https://zfin.org/ZDB-GENE-030131-235</v>
      </c>
      <c r="E7907" t="s">
        <v>23687</v>
      </c>
    </row>
    <row r="7908" spans="1:5" x14ac:dyDescent="0.2">
      <c r="A7908" t="s">
        <v>23688</v>
      </c>
      <c r="B7908" t="s">
        <v>23689</v>
      </c>
      <c r="C7908" t="s">
        <v>23689</v>
      </c>
      <c r="D7908" t="str">
        <f>HYPERLINK("https://zfin.org/ZDB-GENE-021120-2")</f>
        <v>https://zfin.org/ZDB-GENE-021120-2</v>
      </c>
      <c r="E7908" t="s">
        <v>23690</v>
      </c>
    </row>
    <row r="7909" spans="1:5" x14ac:dyDescent="0.2">
      <c r="A7909" t="s">
        <v>23691</v>
      </c>
      <c r="B7909" t="s">
        <v>23692</v>
      </c>
      <c r="C7909" t="s">
        <v>23692</v>
      </c>
      <c r="D7909" t="str">
        <f>HYPERLINK("https://zfin.org/ZDB-GENE-030131-7753")</f>
        <v>https://zfin.org/ZDB-GENE-030131-7753</v>
      </c>
      <c r="E7909" t="s">
        <v>23693</v>
      </c>
    </row>
    <row r="7910" spans="1:5" x14ac:dyDescent="0.2">
      <c r="A7910" t="s">
        <v>23694</v>
      </c>
      <c r="B7910" t="s">
        <v>23695</v>
      </c>
      <c r="C7910" t="s">
        <v>23695</v>
      </c>
      <c r="D7910" t="str">
        <f>HYPERLINK("https://zfin.org/ZDB-GENE-141216-448")</f>
        <v>https://zfin.org/ZDB-GENE-141216-448</v>
      </c>
      <c r="E7910" t="s">
        <v>23696</v>
      </c>
    </row>
    <row r="7911" spans="1:5" x14ac:dyDescent="0.2">
      <c r="A7911" t="s">
        <v>23697</v>
      </c>
      <c r="B7911" t="s">
        <v>23698</v>
      </c>
      <c r="C7911" t="s">
        <v>23698</v>
      </c>
      <c r="D7911" t="str">
        <f>HYPERLINK("https://zfin.org/ZDB-GENE-050417-350")</f>
        <v>https://zfin.org/ZDB-GENE-050417-350</v>
      </c>
      <c r="E7911" t="s">
        <v>23699</v>
      </c>
    </row>
    <row r="7912" spans="1:5" x14ac:dyDescent="0.2">
      <c r="A7912" t="s">
        <v>23700</v>
      </c>
      <c r="B7912" t="s">
        <v>23701</v>
      </c>
      <c r="C7912" t="s">
        <v>23701</v>
      </c>
      <c r="D7912" t="str">
        <f>HYPERLINK("https://zfin.org/ZDB-GENE-060427-4")</f>
        <v>https://zfin.org/ZDB-GENE-060427-4</v>
      </c>
      <c r="E7912" t="s">
        <v>23702</v>
      </c>
    </row>
    <row r="7913" spans="1:5" x14ac:dyDescent="0.2">
      <c r="A7913" t="s">
        <v>23703</v>
      </c>
      <c r="B7913" t="s">
        <v>23704</v>
      </c>
      <c r="C7913" t="s">
        <v>23704</v>
      </c>
      <c r="D7913" t="str">
        <f>HYPERLINK("https://zfin.org/ZDB-GENE-021022-3")</f>
        <v>https://zfin.org/ZDB-GENE-021022-3</v>
      </c>
      <c r="E7913" t="s">
        <v>23705</v>
      </c>
    </row>
    <row r="7914" spans="1:5" x14ac:dyDescent="0.2">
      <c r="A7914" t="s">
        <v>23706</v>
      </c>
      <c r="B7914" t="s">
        <v>23707</v>
      </c>
      <c r="C7914" t="s">
        <v>23707</v>
      </c>
      <c r="D7914" t="str">
        <f>HYPERLINK("https://zfin.org/ZDB-GENE-040426-2063")</f>
        <v>https://zfin.org/ZDB-GENE-040426-2063</v>
      </c>
      <c r="E7914" t="s">
        <v>23708</v>
      </c>
    </row>
    <row r="7915" spans="1:5" x14ac:dyDescent="0.2">
      <c r="A7915" t="s">
        <v>23709</v>
      </c>
      <c r="B7915" t="s">
        <v>23710</v>
      </c>
      <c r="C7915" t="s">
        <v>23710</v>
      </c>
      <c r="D7915" t="str">
        <f>HYPERLINK("https://zfin.org/ZDB-GENE-031113-5")</f>
        <v>https://zfin.org/ZDB-GENE-031113-5</v>
      </c>
      <c r="E7915" t="s">
        <v>23711</v>
      </c>
    </row>
    <row r="7916" spans="1:5" x14ac:dyDescent="0.2">
      <c r="A7916" t="s">
        <v>23712</v>
      </c>
      <c r="B7916" t="s">
        <v>23713</v>
      </c>
      <c r="C7916" t="s">
        <v>23713</v>
      </c>
      <c r="D7916" t="str">
        <f>HYPERLINK("https://zfin.org/ZDB-GENE-070410-103")</f>
        <v>https://zfin.org/ZDB-GENE-070410-103</v>
      </c>
      <c r="E7916" t="s">
        <v>23714</v>
      </c>
    </row>
    <row r="7917" spans="1:5" x14ac:dyDescent="0.2">
      <c r="A7917" t="s">
        <v>23715</v>
      </c>
      <c r="B7917" t="s">
        <v>23716</v>
      </c>
      <c r="C7917" t="s">
        <v>23716</v>
      </c>
      <c r="D7917" t="str">
        <f>HYPERLINK("https://zfin.org/ZDB-GENE-040407-2")</f>
        <v>https://zfin.org/ZDB-GENE-040407-2</v>
      </c>
      <c r="E7917" t="s">
        <v>23717</v>
      </c>
    </row>
    <row r="7918" spans="1:5" x14ac:dyDescent="0.2">
      <c r="A7918" t="s">
        <v>23718</v>
      </c>
      <c r="B7918" t="s">
        <v>23719</v>
      </c>
      <c r="C7918" t="s">
        <v>23719</v>
      </c>
      <c r="D7918" t="str">
        <f>HYPERLINK("https://zfin.org/ZDB-GENE-061027-379")</f>
        <v>https://zfin.org/ZDB-GENE-061027-379</v>
      </c>
      <c r="E7918" t="s">
        <v>23720</v>
      </c>
    </row>
    <row r="7919" spans="1:5" x14ac:dyDescent="0.2">
      <c r="A7919" t="s">
        <v>23721</v>
      </c>
      <c r="B7919" t="s">
        <v>23722</v>
      </c>
      <c r="C7919" t="s">
        <v>23722</v>
      </c>
      <c r="D7919" t="str">
        <f>HYPERLINK("https://zfin.org/ZDB-GENE-040426-2924")</f>
        <v>https://zfin.org/ZDB-GENE-040426-2924</v>
      </c>
      <c r="E7919" t="s">
        <v>23723</v>
      </c>
    </row>
    <row r="7920" spans="1:5" x14ac:dyDescent="0.2">
      <c r="A7920" t="s">
        <v>23724</v>
      </c>
      <c r="B7920" t="s">
        <v>23725</v>
      </c>
      <c r="C7920" t="s">
        <v>23725</v>
      </c>
      <c r="D7920" t="str">
        <f>HYPERLINK("https://zfin.org/ZDB-GENE-040426-1211")</f>
        <v>https://zfin.org/ZDB-GENE-040426-1211</v>
      </c>
      <c r="E7920" t="s">
        <v>23726</v>
      </c>
    </row>
    <row r="7921" spans="1:5" x14ac:dyDescent="0.2">
      <c r="A7921" t="s">
        <v>23727</v>
      </c>
      <c r="B7921" t="s">
        <v>23728</v>
      </c>
      <c r="C7921" t="s">
        <v>23728</v>
      </c>
      <c r="D7921" t="str">
        <f>HYPERLINK("https://zfin.org/ZDB-GENE-030131-9631")</f>
        <v>https://zfin.org/ZDB-GENE-030131-9631</v>
      </c>
      <c r="E7921" t="s">
        <v>23729</v>
      </c>
    </row>
    <row r="7922" spans="1:5" x14ac:dyDescent="0.2">
      <c r="A7922" t="s">
        <v>23730</v>
      </c>
      <c r="B7922" t="s">
        <v>23731</v>
      </c>
      <c r="C7922" t="s">
        <v>23731</v>
      </c>
      <c r="D7922" t="str">
        <f>HYPERLINK("https://zfin.org/ZDB-GENE-030327-5")</f>
        <v>https://zfin.org/ZDB-GENE-030327-5</v>
      </c>
      <c r="E7922" t="s">
        <v>23732</v>
      </c>
    </row>
    <row r="7923" spans="1:5" x14ac:dyDescent="0.2">
      <c r="A7923" t="s">
        <v>23733</v>
      </c>
      <c r="B7923" t="s">
        <v>23734</v>
      </c>
      <c r="C7923" t="s">
        <v>23735</v>
      </c>
      <c r="D7923" t="str">
        <f>HYPERLINK("https://zfin.org/")</f>
        <v>https://zfin.org/</v>
      </c>
    </row>
    <row r="7924" spans="1:5" x14ac:dyDescent="0.2">
      <c r="A7924" t="s">
        <v>23736</v>
      </c>
      <c r="B7924" t="s">
        <v>23737</v>
      </c>
      <c r="C7924" t="s">
        <v>23737</v>
      </c>
      <c r="D7924" t="str">
        <f>HYPERLINK("https://zfin.org/ZDB-GENE-040426-996")</f>
        <v>https://zfin.org/ZDB-GENE-040426-996</v>
      </c>
      <c r="E7924" t="s">
        <v>23738</v>
      </c>
    </row>
    <row r="7925" spans="1:5" x14ac:dyDescent="0.2">
      <c r="A7925" t="s">
        <v>23739</v>
      </c>
      <c r="B7925" t="s">
        <v>23740</v>
      </c>
      <c r="C7925" t="s">
        <v>23740</v>
      </c>
      <c r="D7925" t="str">
        <f>HYPERLINK("https://zfin.org/ZDB-GENE-030131-3132")</f>
        <v>https://zfin.org/ZDB-GENE-030131-3132</v>
      </c>
      <c r="E7925" t="s">
        <v>23741</v>
      </c>
    </row>
    <row r="7926" spans="1:5" x14ac:dyDescent="0.2">
      <c r="A7926" t="s">
        <v>23742</v>
      </c>
      <c r="B7926" t="s">
        <v>23743</v>
      </c>
      <c r="C7926" t="s">
        <v>23743</v>
      </c>
      <c r="D7926" t="str">
        <f>HYPERLINK("https://zfin.org/ZDB-GENEP-060503-8")</f>
        <v>https://zfin.org/ZDB-GENEP-060503-8</v>
      </c>
      <c r="E7926" t="s">
        <v>23744</v>
      </c>
    </row>
    <row r="7927" spans="1:5" x14ac:dyDescent="0.2">
      <c r="A7927" t="s">
        <v>23745</v>
      </c>
      <c r="B7927" t="s">
        <v>23746</v>
      </c>
      <c r="C7927" t="s">
        <v>23746</v>
      </c>
      <c r="D7927" t="str">
        <f>HYPERLINK("https://zfin.org/ZDB-GENE-040801-200")</f>
        <v>https://zfin.org/ZDB-GENE-040801-200</v>
      </c>
      <c r="E7927" t="s">
        <v>23747</v>
      </c>
    </row>
    <row r="7928" spans="1:5" x14ac:dyDescent="0.2">
      <c r="A7928" t="s">
        <v>23748</v>
      </c>
      <c r="B7928" t="s">
        <v>23749</v>
      </c>
      <c r="C7928" t="s">
        <v>23749</v>
      </c>
      <c r="D7928" t="str">
        <f>HYPERLINK("https://zfin.org/ZDB-GENE-040426-1633")</f>
        <v>https://zfin.org/ZDB-GENE-040426-1633</v>
      </c>
      <c r="E7928" t="s">
        <v>23750</v>
      </c>
    </row>
    <row r="7929" spans="1:5" x14ac:dyDescent="0.2">
      <c r="A7929" t="s">
        <v>23751</v>
      </c>
      <c r="B7929" t="s">
        <v>23752</v>
      </c>
      <c r="C7929" t="s">
        <v>23752</v>
      </c>
      <c r="D7929" t="str">
        <f>HYPERLINK("https://zfin.org/ZDB-GENE-060512-211")</f>
        <v>https://zfin.org/ZDB-GENE-060512-211</v>
      </c>
      <c r="E7929" t="s">
        <v>23753</v>
      </c>
    </row>
    <row r="7930" spans="1:5" x14ac:dyDescent="0.2">
      <c r="A7930" t="s">
        <v>23754</v>
      </c>
      <c r="B7930" t="s">
        <v>23755</v>
      </c>
      <c r="C7930" t="s">
        <v>23755</v>
      </c>
      <c r="D7930" t="str">
        <f>HYPERLINK("https://zfin.org/ZDB-GENE-041014-4")</f>
        <v>https://zfin.org/ZDB-GENE-041014-4</v>
      </c>
      <c r="E7930" t="s">
        <v>23756</v>
      </c>
    </row>
    <row r="7931" spans="1:5" x14ac:dyDescent="0.2">
      <c r="A7931" t="s">
        <v>23757</v>
      </c>
      <c r="B7931" t="s">
        <v>23758</v>
      </c>
      <c r="C7931" t="s">
        <v>23758</v>
      </c>
      <c r="D7931" t="str">
        <f>HYPERLINK("https://zfin.org/ZDB-GENE-050419-140")</f>
        <v>https://zfin.org/ZDB-GENE-050419-140</v>
      </c>
      <c r="E7931" t="s">
        <v>23759</v>
      </c>
    </row>
    <row r="7932" spans="1:5" x14ac:dyDescent="0.2">
      <c r="A7932" t="s">
        <v>23760</v>
      </c>
      <c r="B7932" t="s">
        <v>23761</v>
      </c>
      <c r="C7932" t="s">
        <v>23761</v>
      </c>
      <c r="D7932" t="str">
        <f>HYPERLINK("https://zfin.org/ZDB-GENE-030804-11")</f>
        <v>https://zfin.org/ZDB-GENE-030804-11</v>
      </c>
      <c r="E7932" t="s">
        <v>23762</v>
      </c>
    </row>
    <row r="7933" spans="1:5" x14ac:dyDescent="0.2">
      <c r="A7933" t="s">
        <v>23763</v>
      </c>
      <c r="B7933" t="s">
        <v>23764</v>
      </c>
      <c r="C7933" t="s">
        <v>23764</v>
      </c>
      <c r="D7933" t="str">
        <f>HYPERLINK("https://zfin.org/ZDB-GENE-100922-111")</f>
        <v>https://zfin.org/ZDB-GENE-100922-111</v>
      </c>
      <c r="E7933" t="s">
        <v>23765</v>
      </c>
    </row>
    <row r="7934" spans="1:5" x14ac:dyDescent="0.2">
      <c r="A7934" t="s">
        <v>23766</v>
      </c>
      <c r="B7934" t="s">
        <v>23767</v>
      </c>
      <c r="C7934" t="s">
        <v>23767</v>
      </c>
      <c r="D7934" t="str">
        <f>HYPERLINK("https://zfin.org/ZDB-GENE-030131-8064")</f>
        <v>https://zfin.org/ZDB-GENE-030131-8064</v>
      </c>
      <c r="E7934" t="s">
        <v>23768</v>
      </c>
    </row>
    <row r="7935" spans="1:5" x14ac:dyDescent="0.2">
      <c r="A7935" t="s">
        <v>23769</v>
      </c>
      <c r="B7935" t="s">
        <v>23770</v>
      </c>
      <c r="C7935" t="s">
        <v>23770</v>
      </c>
      <c r="D7935" t="str">
        <f>HYPERLINK("https://zfin.org/ZDB-GENE-001207-7")</f>
        <v>https://zfin.org/ZDB-GENE-001207-7</v>
      </c>
      <c r="E7935" t="s">
        <v>23771</v>
      </c>
    </row>
    <row r="7936" spans="1:5" x14ac:dyDescent="0.2">
      <c r="A7936" t="s">
        <v>23772</v>
      </c>
      <c r="B7936" t="s">
        <v>23773</v>
      </c>
      <c r="C7936" t="s">
        <v>23773</v>
      </c>
      <c r="D7936" t="str">
        <f>HYPERLINK("https://zfin.org/ZDB-GENE-061110-82")</f>
        <v>https://zfin.org/ZDB-GENE-061110-82</v>
      </c>
      <c r="E7936" t="s">
        <v>23774</v>
      </c>
    </row>
    <row r="7937" spans="1:5" x14ac:dyDescent="0.2">
      <c r="A7937" t="s">
        <v>23775</v>
      </c>
      <c r="B7937" t="s">
        <v>23776</v>
      </c>
      <c r="C7937" t="s">
        <v>23776</v>
      </c>
      <c r="D7937" t="str">
        <f>HYPERLINK("https://zfin.org/ZDB-GENE-130603-23")</f>
        <v>https://zfin.org/ZDB-GENE-130603-23</v>
      </c>
      <c r="E7937" t="s">
        <v>23777</v>
      </c>
    </row>
    <row r="7938" spans="1:5" x14ac:dyDescent="0.2">
      <c r="A7938" t="s">
        <v>23778</v>
      </c>
      <c r="B7938" t="s">
        <v>23779</v>
      </c>
      <c r="C7938" t="s">
        <v>23779</v>
      </c>
      <c r="D7938" t="str">
        <f>HYPERLINK("https://zfin.org/ZDB-GENE-030131-183")</f>
        <v>https://zfin.org/ZDB-GENE-030131-183</v>
      </c>
      <c r="E7938" t="s">
        <v>23780</v>
      </c>
    </row>
    <row r="7939" spans="1:5" x14ac:dyDescent="0.2">
      <c r="A7939" t="s">
        <v>23781</v>
      </c>
      <c r="B7939" t="s">
        <v>23782</v>
      </c>
      <c r="C7939" t="s">
        <v>23782</v>
      </c>
      <c r="D7939" t="str">
        <f>HYPERLINK("https://zfin.org/ZDB-GENE-101007-5")</f>
        <v>https://zfin.org/ZDB-GENE-101007-5</v>
      </c>
      <c r="E7939" t="s">
        <v>23783</v>
      </c>
    </row>
    <row r="7940" spans="1:5" x14ac:dyDescent="0.2">
      <c r="A7940" t="s">
        <v>23784</v>
      </c>
      <c r="B7940" t="s">
        <v>23785</v>
      </c>
      <c r="C7940" t="s">
        <v>23785</v>
      </c>
      <c r="D7940" t="str">
        <f>HYPERLINK("https://zfin.org/ZDB-GENE-100105-2")</f>
        <v>https://zfin.org/ZDB-GENE-100105-2</v>
      </c>
      <c r="E7940" t="s">
        <v>23786</v>
      </c>
    </row>
    <row r="7941" spans="1:5" x14ac:dyDescent="0.2">
      <c r="A7941" t="s">
        <v>23787</v>
      </c>
      <c r="B7941" t="s">
        <v>23788</v>
      </c>
      <c r="C7941" t="s">
        <v>23788</v>
      </c>
      <c r="D7941" t="str">
        <f>HYPERLINK("https://zfin.org/ZDB-GENE-990415-29")</f>
        <v>https://zfin.org/ZDB-GENE-990415-29</v>
      </c>
      <c r="E7941" t="s">
        <v>23789</v>
      </c>
    </row>
    <row r="7942" spans="1:5" x14ac:dyDescent="0.2">
      <c r="A7942" t="s">
        <v>23790</v>
      </c>
      <c r="B7942" t="s">
        <v>23791</v>
      </c>
      <c r="C7942" t="s">
        <v>23791</v>
      </c>
      <c r="D7942" t="str">
        <f>HYPERLINK("https://zfin.org/ZDB-GENE-040426-1093")</f>
        <v>https://zfin.org/ZDB-GENE-040426-1093</v>
      </c>
      <c r="E7942" t="s">
        <v>23792</v>
      </c>
    </row>
    <row r="7943" spans="1:5" x14ac:dyDescent="0.2">
      <c r="A7943" t="s">
        <v>23793</v>
      </c>
      <c r="B7943" t="s">
        <v>23794</v>
      </c>
      <c r="C7943" t="s">
        <v>23794</v>
      </c>
      <c r="D7943" t="str">
        <f>HYPERLINK("https://zfin.org/ZDB-GENE-131119-24")</f>
        <v>https://zfin.org/ZDB-GENE-131119-24</v>
      </c>
      <c r="E7943" t="s">
        <v>23795</v>
      </c>
    </row>
    <row r="7944" spans="1:5" x14ac:dyDescent="0.2">
      <c r="A7944" t="s">
        <v>23796</v>
      </c>
      <c r="B7944" t="s">
        <v>23797</v>
      </c>
      <c r="C7944" t="s">
        <v>23797</v>
      </c>
      <c r="D7944" t="str">
        <f>HYPERLINK("https://zfin.org/ZDB-GENE-070912-3")</f>
        <v>https://zfin.org/ZDB-GENE-070912-3</v>
      </c>
      <c r="E7944" t="s">
        <v>23798</v>
      </c>
    </row>
    <row r="7945" spans="1:5" x14ac:dyDescent="0.2">
      <c r="A7945" t="s">
        <v>23799</v>
      </c>
      <c r="B7945" t="s">
        <v>23800</v>
      </c>
      <c r="C7945" t="s">
        <v>23800</v>
      </c>
      <c r="D7945" t="str">
        <f>HYPERLINK("https://zfin.org/ZDB-GENE-040426-1206")</f>
        <v>https://zfin.org/ZDB-GENE-040426-1206</v>
      </c>
      <c r="E7945" t="s">
        <v>23801</v>
      </c>
    </row>
    <row r="7946" spans="1:5" x14ac:dyDescent="0.2">
      <c r="A7946" t="s">
        <v>23802</v>
      </c>
      <c r="B7946" t="s">
        <v>23803</v>
      </c>
      <c r="C7946" t="s">
        <v>23803</v>
      </c>
      <c r="D7946" t="str">
        <f>HYPERLINK("https://zfin.org/ZDB-GENE-081105-74")</f>
        <v>https://zfin.org/ZDB-GENE-081105-74</v>
      </c>
      <c r="E7946" t="s">
        <v>23804</v>
      </c>
    </row>
    <row r="7947" spans="1:5" x14ac:dyDescent="0.2">
      <c r="A7947" t="s">
        <v>23805</v>
      </c>
      <c r="B7947" t="s">
        <v>23806</v>
      </c>
      <c r="C7947" t="s">
        <v>23806</v>
      </c>
      <c r="D7947" t="str">
        <f>HYPERLINK("https://zfin.org/ZDB-GENE-040426-1965")</f>
        <v>https://zfin.org/ZDB-GENE-040426-1965</v>
      </c>
      <c r="E7947" t="s">
        <v>23807</v>
      </c>
    </row>
    <row r="7948" spans="1:5" x14ac:dyDescent="0.2">
      <c r="A7948" t="s">
        <v>23808</v>
      </c>
      <c r="B7948" t="s">
        <v>23809</v>
      </c>
      <c r="C7948" t="s">
        <v>23809</v>
      </c>
      <c r="D7948" t="str">
        <f>HYPERLINK("https://zfin.org/ZDB-GENE-120703-34")</f>
        <v>https://zfin.org/ZDB-GENE-120703-34</v>
      </c>
      <c r="E7948" t="s">
        <v>23810</v>
      </c>
    </row>
    <row r="7949" spans="1:5" x14ac:dyDescent="0.2">
      <c r="A7949" t="s">
        <v>23811</v>
      </c>
      <c r="B7949" t="s">
        <v>23812</v>
      </c>
      <c r="C7949" t="s">
        <v>23812</v>
      </c>
      <c r="D7949" t="str">
        <f>HYPERLINK("https://zfin.org/ZDB-GENE-040718-329")</f>
        <v>https://zfin.org/ZDB-GENE-040718-329</v>
      </c>
      <c r="E7949" t="s">
        <v>23813</v>
      </c>
    </row>
    <row r="7950" spans="1:5" x14ac:dyDescent="0.2">
      <c r="A7950" t="s">
        <v>23814</v>
      </c>
      <c r="B7950" t="s">
        <v>23815</v>
      </c>
      <c r="C7950" t="s">
        <v>23815</v>
      </c>
      <c r="D7950" t="str">
        <f>HYPERLINK("https://zfin.org/ZDB-GENE-131121-300")</f>
        <v>https://zfin.org/ZDB-GENE-131121-300</v>
      </c>
      <c r="E7950" t="s">
        <v>23816</v>
      </c>
    </row>
    <row r="7951" spans="1:5" x14ac:dyDescent="0.2">
      <c r="A7951" t="s">
        <v>23817</v>
      </c>
      <c r="B7951" t="s">
        <v>23818</v>
      </c>
      <c r="C7951" t="s">
        <v>23818</v>
      </c>
      <c r="D7951" t="str">
        <f>HYPERLINK("https://zfin.org/ZDB-GENE-030131-9003")</f>
        <v>https://zfin.org/ZDB-GENE-030131-9003</v>
      </c>
      <c r="E7951" t="s">
        <v>23819</v>
      </c>
    </row>
    <row r="7952" spans="1:5" x14ac:dyDescent="0.2">
      <c r="A7952" t="s">
        <v>23820</v>
      </c>
      <c r="B7952" t="s">
        <v>23821</v>
      </c>
      <c r="C7952" t="s">
        <v>23821</v>
      </c>
      <c r="D7952" t="str">
        <f>HYPERLINK("https://zfin.org/ZDB-GENE-030131-6795")</f>
        <v>https://zfin.org/ZDB-GENE-030131-6795</v>
      </c>
      <c r="E7952" t="s">
        <v>23822</v>
      </c>
    </row>
    <row r="7953" spans="1:5" x14ac:dyDescent="0.2">
      <c r="A7953" t="s">
        <v>23823</v>
      </c>
      <c r="B7953" t="s">
        <v>23824</v>
      </c>
      <c r="C7953" t="s">
        <v>23824</v>
      </c>
      <c r="D7953" t="str">
        <f>HYPERLINK("https://zfin.org/ZDB-GENE-120215-249")</f>
        <v>https://zfin.org/ZDB-GENE-120215-249</v>
      </c>
      <c r="E7953" t="s">
        <v>23825</v>
      </c>
    </row>
    <row r="7954" spans="1:5" x14ac:dyDescent="0.2">
      <c r="A7954" t="s">
        <v>23826</v>
      </c>
      <c r="B7954" t="s">
        <v>23827</v>
      </c>
      <c r="C7954" t="s">
        <v>23827</v>
      </c>
      <c r="D7954" t="str">
        <f>HYPERLINK("https://zfin.org/ZDB-GENE-050417-81")</f>
        <v>https://zfin.org/ZDB-GENE-050417-81</v>
      </c>
      <c r="E7954" t="s">
        <v>23828</v>
      </c>
    </row>
    <row r="7955" spans="1:5" x14ac:dyDescent="0.2">
      <c r="A7955" t="s">
        <v>23829</v>
      </c>
      <c r="B7955" t="s">
        <v>23830</v>
      </c>
      <c r="C7955" t="s">
        <v>23830</v>
      </c>
      <c r="D7955" t="str">
        <f>HYPERLINK("https://zfin.org/ZDB-GENE-130603-21")</f>
        <v>https://zfin.org/ZDB-GENE-130603-21</v>
      </c>
      <c r="E7955" t="s">
        <v>23831</v>
      </c>
    </row>
    <row r="7956" spans="1:5" x14ac:dyDescent="0.2">
      <c r="A7956" t="s">
        <v>23832</v>
      </c>
      <c r="B7956" t="s">
        <v>23833</v>
      </c>
      <c r="C7956" t="s">
        <v>23833</v>
      </c>
      <c r="D7956" t="str">
        <f>HYPERLINK("https://zfin.org/ZDB-GENE-030131-8626")</f>
        <v>https://zfin.org/ZDB-GENE-030131-8626</v>
      </c>
      <c r="E7956" t="s">
        <v>23834</v>
      </c>
    </row>
    <row r="7957" spans="1:5" x14ac:dyDescent="0.2">
      <c r="A7957" t="s">
        <v>23835</v>
      </c>
      <c r="B7957" t="s">
        <v>23836</v>
      </c>
      <c r="C7957" t="s">
        <v>23836</v>
      </c>
      <c r="D7957" t="str">
        <f>HYPERLINK("https://zfin.org/ZDB-GENE-040426-2056")</f>
        <v>https://zfin.org/ZDB-GENE-040426-2056</v>
      </c>
      <c r="E7957" t="s">
        <v>23837</v>
      </c>
    </row>
    <row r="7958" spans="1:5" x14ac:dyDescent="0.2">
      <c r="A7958" t="s">
        <v>23838</v>
      </c>
      <c r="B7958" t="s">
        <v>23839</v>
      </c>
      <c r="C7958" t="s">
        <v>23839</v>
      </c>
      <c r="D7958" t="str">
        <f>HYPERLINK("https://zfin.org/ZDB-GENE-040426-2227")</f>
        <v>https://zfin.org/ZDB-GENE-040426-2227</v>
      </c>
      <c r="E7958" t="s">
        <v>23840</v>
      </c>
    </row>
    <row r="7959" spans="1:5" x14ac:dyDescent="0.2">
      <c r="A7959" t="s">
        <v>23841</v>
      </c>
      <c r="B7959" t="s">
        <v>23842</v>
      </c>
      <c r="C7959" t="s">
        <v>23842</v>
      </c>
      <c r="D7959" t="str">
        <f>HYPERLINK("https://zfin.org/ZDB-GENE-070705-434")</f>
        <v>https://zfin.org/ZDB-GENE-070705-434</v>
      </c>
      <c r="E7959" t="s">
        <v>23843</v>
      </c>
    </row>
    <row r="7960" spans="1:5" x14ac:dyDescent="0.2">
      <c r="A7960" t="s">
        <v>23844</v>
      </c>
      <c r="B7960" t="s">
        <v>23845</v>
      </c>
      <c r="C7960" t="s">
        <v>23845</v>
      </c>
      <c r="D7960" t="str">
        <f>HYPERLINK("https://zfin.org/ZDB-GENE-980526-280")</f>
        <v>https://zfin.org/ZDB-GENE-980526-280</v>
      </c>
      <c r="E7960" t="s">
        <v>23846</v>
      </c>
    </row>
    <row r="7961" spans="1:5" x14ac:dyDescent="0.2">
      <c r="A7961" t="s">
        <v>23847</v>
      </c>
      <c r="B7961" t="s">
        <v>23848</v>
      </c>
      <c r="C7961" t="s">
        <v>23848</v>
      </c>
      <c r="D7961" t="str">
        <f>HYPERLINK("https://zfin.org/ZDB-GENE-110913-67")</f>
        <v>https://zfin.org/ZDB-GENE-110913-67</v>
      </c>
      <c r="E7961" t="s">
        <v>23849</v>
      </c>
    </row>
    <row r="7962" spans="1:5" x14ac:dyDescent="0.2">
      <c r="A7962" t="s">
        <v>23850</v>
      </c>
      <c r="B7962" t="s">
        <v>23851</v>
      </c>
      <c r="C7962" t="s">
        <v>23851</v>
      </c>
      <c r="D7962" t="str">
        <f>HYPERLINK("https://zfin.org/ZDB-GENE-030131-1695")</f>
        <v>https://zfin.org/ZDB-GENE-030131-1695</v>
      </c>
      <c r="E7962" t="s">
        <v>23852</v>
      </c>
    </row>
    <row r="7963" spans="1:5" x14ac:dyDescent="0.2">
      <c r="A7963" t="s">
        <v>23853</v>
      </c>
      <c r="B7963" t="s">
        <v>23854</v>
      </c>
      <c r="C7963" t="s">
        <v>23854</v>
      </c>
      <c r="D7963" t="str">
        <f>HYPERLINK("https://zfin.org/ZDB-GENE-030131-2453")</f>
        <v>https://zfin.org/ZDB-GENE-030131-2453</v>
      </c>
      <c r="E7963" t="s">
        <v>23855</v>
      </c>
    </row>
    <row r="7964" spans="1:5" x14ac:dyDescent="0.2">
      <c r="A7964" t="s">
        <v>23856</v>
      </c>
      <c r="B7964" t="s">
        <v>23857</v>
      </c>
      <c r="C7964" t="s">
        <v>23857</v>
      </c>
      <c r="D7964" t="str">
        <f>HYPERLINK("https://zfin.org/ZDB-GENE-030131-1257")</f>
        <v>https://zfin.org/ZDB-GENE-030131-1257</v>
      </c>
      <c r="E7964" t="s">
        <v>23858</v>
      </c>
    </row>
    <row r="7965" spans="1:5" x14ac:dyDescent="0.2">
      <c r="A7965" t="s">
        <v>23859</v>
      </c>
      <c r="B7965" t="s">
        <v>23860</v>
      </c>
      <c r="C7965" t="s">
        <v>23860</v>
      </c>
      <c r="D7965" t="str">
        <f>HYPERLINK("https://zfin.org/ZDB-GENE-040419-1")</f>
        <v>https://zfin.org/ZDB-GENE-040419-1</v>
      </c>
      <c r="E7965" t="s">
        <v>23861</v>
      </c>
    </row>
    <row r="7966" spans="1:5" x14ac:dyDescent="0.2">
      <c r="A7966" t="s">
        <v>23862</v>
      </c>
      <c r="B7966" t="s">
        <v>23863</v>
      </c>
      <c r="C7966" t="s">
        <v>23863</v>
      </c>
      <c r="D7966" t="str">
        <f>HYPERLINK("https://zfin.org/ZDB-GENE-041001-153")</f>
        <v>https://zfin.org/ZDB-GENE-041001-153</v>
      </c>
      <c r="E7966" t="s">
        <v>23864</v>
      </c>
    </row>
    <row r="7967" spans="1:5" x14ac:dyDescent="0.2">
      <c r="A7967" t="s">
        <v>23865</v>
      </c>
      <c r="B7967" t="s">
        <v>23866</v>
      </c>
      <c r="C7967" t="s">
        <v>23866</v>
      </c>
      <c r="D7967" t="str">
        <f>HYPERLINK("https://zfin.org/ZDB-GENE-990415-223")</f>
        <v>https://zfin.org/ZDB-GENE-990415-223</v>
      </c>
      <c r="E7967" t="s">
        <v>23867</v>
      </c>
    </row>
    <row r="7968" spans="1:5" x14ac:dyDescent="0.2">
      <c r="A7968" t="s">
        <v>23868</v>
      </c>
      <c r="B7968" t="s">
        <v>23869</v>
      </c>
      <c r="C7968" t="s">
        <v>23869</v>
      </c>
      <c r="D7968" t="str">
        <f>HYPERLINK("https://zfin.org/ZDB-GENE-040801-247")</f>
        <v>https://zfin.org/ZDB-GENE-040801-247</v>
      </c>
      <c r="E7968" t="s">
        <v>23870</v>
      </c>
    </row>
    <row r="7969" spans="1:5" x14ac:dyDescent="0.2">
      <c r="A7969" t="s">
        <v>23871</v>
      </c>
      <c r="B7969" t="s">
        <v>23872</v>
      </c>
      <c r="C7969" t="s">
        <v>23872</v>
      </c>
      <c r="D7969" t="str">
        <f>HYPERLINK("https://zfin.org/ZDB-GENE-130530-952")</f>
        <v>https://zfin.org/ZDB-GENE-130530-952</v>
      </c>
      <c r="E7969" t="s">
        <v>23873</v>
      </c>
    </row>
    <row r="7970" spans="1:5" x14ac:dyDescent="0.2">
      <c r="A7970" t="s">
        <v>23874</v>
      </c>
      <c r="B7970" t="s">
        <v>23875</v>
      </c>
      <c r="C7970" t="s">
        <v>23875</v>
      </c>
      <c r="D7970" t="str">
        <f>HYPERLINK("https://zfin.org/ZDB-GENE-031113-23")</f>
        <v>https://zfin.org/ZDB-GENE-031113-23</v>
      </c>
      <c r="E7970" t="s">
        <v>23876</v>
      </c>
    </row>
    <row r="7971" spans="1:5" x14ac:dyDescent="0.2">
      <c r="A7971" t="s">
        <v>23877</v>
      </c>
      <c r="B7971" t="s">
        <v>23878</v>
      </c>
      <c r="C7971" t="s">
        <v>23878</v>
      </c>
      <c r="D7971" t="str">
        <f>HYPERLINK("https://zfin.org/ZDB-GENE-030131-6138")</f>
        <v>https://zfin.org/ZDB-GENE-030131-6138</v>
      </c>
      <c r="E7971" t="s">
        <v>23879</v>
      </c>
    </row>
    <row r="7972" spans="1:5" x14ac:dyDescent="0.2">
      <c r="A7972" t="s">
        <v>23880</v>
      </c>
      <c r="B7972" t="s">
        <v>23881</v>
      </c>
      <c r="C7972" t="s">
        <v>23881</v>
      </c>
      <c r="D7972" t="str">
        <f>HYPERLINK("https://zfin.org/ZDB-GENE-040718-295")</f>
        <v>https://zfin.org/ZDB-GENE-040718-295</v>
      </c>
      <c r="E7972" t="s">
        <v>23882</v>
      </c>
    </row>
    <row r="7973" spans="1:5" x14ac:dyDescent="0.2">
      <c r="A7973" t="s">
        <v>23883</v>
      </c>
      <c r="B7973" t="s">
        <v>23884</v>
      </c>
      <c r="C7973" t="s">
        <v>23884</v>
      </c>
      <c r="D7973" t="str">
        <f>HYPERLINK("https://zfin.org/ZDB-GENE-040718-338")</f>
        <v>https://zfin.org/ZDB-GENE-040718-338</v>
      </c>
      <c r="E7973" t="s">
        <v>23885</v>
      </c>
    </row>
    <row r="7974" spans="1:5" x14ac:dyDescent="0.2">
      <c r="A7974" t="s">
        <v>23886</v>
      </c>
      <c r="B7974" t="s">
        <v>23887</v>
      </c>
      <c r="C7974" t="s">
        <v>23887</v>
      </c>
      <c r="D7974" t="str">
        <f>HYPERLINK("https://zfin.org/ZDB-GENE-041014-214")</f>
        <v>https://zfin.org/ZDB-GENE-041014-214</v>
      </c>
      <c r="E7974" t="s">
        <v>23888</v>
      </c>
    </row>
    <row r="7975" spans="1:5" x14ac:dyDescent="0.2">
      <c r="A7975" t="s">
        <v>23889</v>
      </c>
      <c r="B7975" t="s">
        <v>23890</v>
      </c>
      <c r="C7975" t="s">
        <v>23890</v>
      </c>
      <c r="D7975" t="str">
        <f>HYPERLINK("https://zfin.org/ZDB-GENE-040426-2160")</f>
        <v>https://zfin.org/ZDB-GENE-040426-2160</v>
      </c>
      <c r="E7975" t="s">
        <v>23891</v>
      </c>
    </row>
    <row r="7976" spans="1:5" x14ac:dyDescent="0.2">
      <c r="A7976" t="s">
        <v>23892</v>
      </c>
      <c r="B7976" t="s">
        <v>23893</v>
      </c>
      <c r="C7976" t="s">
        <v>23893</v>
      </c>
      <c r="D7976" t="str">
        <f>HYPERLINK("https://zfin.org/ZDB-GENE-050208-445")</f>
        <v>https://zfin.org/ZDB-GENE-050208-445</v>
      </c>
      <c r="E7976" t="s">
        <v>23894</v>
      </c>
    </row>
    <row r="7977" spans="1:5" x14ac:dyDescent="0.2">
      <c r="A7977" t="s">
        <v>23895</v>
      </c>
      <c r="B7977" t="s">
        <v>23896</v>
      </c>
      <c r="C7977" t="s">
        <v>23896</v>
      </c>
      <c r="D7977" t="str">
        <f>HYPERLINK("https://zfin.org/ZDB-GENE-131121-185")</f>
        <v>https://zfin.org/ZDB-GENE-131121-185</v>
      </c>
      <c r="E7977" t="s">
        <v>23897</v>
      </c>
    </row>
    <row r="7978" spans="1:5" x14ac:dyDescent="0.2">
      <c r="A7978" t="s">
        <v>23898</v>
      </c>
      <c r="B7978" t="s">
        <v>23899</v>
      </c>
      <c r="C7978" t="s">
        <v>23899</v>
      </c>
      <c r="D7978" t="str">
        <f>HYPERLINK("https://zfin.org/ZDB-GENE-040718-386")</f>
        <v>https://zfin.org/ZDB-GENE-040718-386</v>
      </c>
      <c r="E7978" t="s">
        <v>23900</v>
      </c>
    </row>
    <row r="7979" spans="1:5" x14ac:dyDescent="0.2">
      <c r="A7979" t="s">
        <v>23901</v>
      </c>
      <c r="B7979" t="s">
        <v>23902</v>
      </c>
      <c r="C7979" t="s">
        <v>23902</v>
      </c>
      <c r="D7979" t="str">
        <f>HYPERLINK("https://zfin.org/ZDB-GENE-041010-28")</f>
        <v>https://zfin.org/ZDB-GENE-041010-28</v>
      </c>
      <c r="E7979" t="s">
        <v>23903</v>
      </c>
    </row>
    <row r="7980" spans="1:5" x14ac:dyDescent="0.2">
      <c r="A7980" t="s">
        <v>23904</v>
      </c>
      <c r="B7980" t="s">
        <v>23905</v>
      </c>
      <c r="C7980" t="s">
        <v>23905</v>
      </c>
      <c r="D7980" t="str">
        <f>HYPERLINK("https://zfin.org/ZDB-GENE-030616-3")</f>
        <v>https://zfin.org/ZDB-GENE-030616-3</v>
      </c>
      <c r="E7980" t="s">
        <v>23906</v>
      </c>
    </row>
    <row r="7981" spans="1:5" x14ac:dyDescent="0.2">
      <c r="A7981" t="s">
        <v>23907</v>
      </c>
      <c r="B7981" t="s">
        <v>23908</v>
      </c>
      <c r="C7981" t="s">
        <v>23908</v>
      </c>
      <c r="D7981" t="str">
        <f>HYPERLINK("https://zfin.org/ZDB-GENE-040426-2849")</f>
        <v>https://zfin.org/ZDB-GENE-040426-2849</v>
      </c>
      <c r="E7981" t="s">
        <v>23909</v>
      </c>
    </row>
    <row r="7982" spans="1:5" x14ac:dyDescent="0.2">
      <c r="A7982" t="s">
        <v>23910</v>
      </c>
      <c r="B7982" t="s">
        <v>23911</v>
      </c>
      <c r="C7982" t="s">
        <v>23911</v>
      </c>
      <c r="D7982" t="str">
        <f>HYPERLINK("https://zfin.org/ZDB-GENE-060201-1")</f>
        <v>https://zfin.org/ZDB-GENE-060201-1</v>
      </c>
      <c r="E7982" t="s">
        <v>23912</v>
      </c>
    </row>
    <row r="7983" spans="1:5" x14ac:dyDescent="0.2">
      <c r="A7983" t="s">
        <v>23913</v>
      </c>
      <c r="B7983" t="s">
        <v>23914</v>
      </c>
      <c r="C7983" t="s">
        <v>23914</v>
      </c>
      <c r="D7983" t="str">
        <f>HYPERLINK("https://zfin.org/ZDB-GENE-060503-897")</f>
        <v>https://zfin.org/ZDB-GENE-060503-897</v>
      </c>
      <c r="E7983" t="s">
        <v>23915</v>
      </c>
    </row>
    <row r="7984" spans="1:5" x14ac:dyDescent="0.2">
      <c r="A7984" t="s">
        <v>23916</v>
      </c>
      <c r="B7984" t="s">
        <v>23917</v>
      </c>
      <c r="C7984" t="s">
        <v>23917</v>
      </c>
      <c r="D7984" t="str">
        <f>HYPERLINK("https://zfin.org/ZDB-GENE-010320-2")</f>
        <v>https://zfin.org/ZDB-GENE-010320-2</v>
      </c>
      <c r="E7984" t="s">
        <v>23918</v>
      </c>
    </row>
    <row r="7985" spans="1:5" x14ac:dyDescent="0.2">
      <c r="A7985" t="s">
        <v>23919</v>
      </c>
      <c r="B7985" t="s">
        <v>23920</v>
      </c>
      <c r="C7985" t="s">
        <v>23920</v>
      </c>
      <c r="D7985" t="str">
        <f>HYPERLINK("https://zfin.org/ZDB-GENE-060312-5")</f>
        <v>https://zfin.org/ZDB-GENE-060312-5</v>
      </c>
      <c r="E7985" t="s">
        <v>23921</v>
      </c>
    </row>
    <row r="7986" spans="1:5" x14ac:dyDescent="0.2">
      <c r="A7986" t="s">
        <v>23922</v>
      </c>
      <c r="B7986" t="s">
        <v>23923</v>
      </c>
      <c r="C7986" t="s">
        <v>23923</v>
      </c>
      <c r="D7986" t="str">
        <f>HYPERLINK("https://zfin.org/ZDB-GENE-130531-45")</f>
        <v>https://zfin.org/ZDB-GENE-130531-45</v>
      </c>
      <c r="E7986" t="s">
        <v>23924</v>
      </c>
    </row>
    <row r="7987" spans="1:5" x14ac:dyDescent="0.2">
      <c r="A7987" t="s">
        <v>23925</v>
      </c>
      <c r="B7987" t="s">
        <v>23926</v>
      </c>
      <c r="C7987" t="s">
        <v>23926</v>
      </c>
      <c r="D7987" t="str">
        <f>HYPERLINK("https://zfin.org/ZDB-GENE-070117-2447")</f>
        <v>https://zfin.org/ZDB-GENE-070117-2447</v>
      </c>
      <c r="E7987" t="s">
        <v>23927</v>
      </c>
    </row>
    <row r="7988" spans="1:5" x14ac:dyDescent="0.2">
      <c r="A7988" t="s">
        <v>23928</v>
      </c>
      <c r="B7988" t="s">
        <v>23929</v>
      </c>
      <c r="C7988" t="s">
        <v>23929</v>
      </c>
      <c r="D7988" t="str">
        <f>HYPERLINK("https://zfin.org/ZDB-GENE-050522-240")</f>
        <v>https://zfin.org/ZDB-GENE-050522-240</v>
      </c>
      <c r="E7988" t="s">
        <v>23930</v>
      </c>
    </row>
    <row r="7989" spans="1:5" x14ac:dyDescent="0.2">
      <c r="A7989" t="s">
        <v>23931</v>
      </c>
      <c r="B7989" t="s">
        <v>23932</v>
      </c>
      <c r="C7989" t="s">
        <v>23932</v>
      </c>
      <c r="D7989" t="str">
        <f>HYPERLINK("https://zfin.org/ZDB-GENE-050809-130")</f>
        <v>https://zfin.org/ZDB-GENE-050809-130</v>
      </c>
      <c r="E7989" t="s">
        <v>23933</v>
      </c>
    </row>
    <row r="7990" spans="1:5" x14ac:dyDescent="0.2">
      <c r="A7990" t="s">
        <v>23934</v>
      </c>
      <c r="B7990" t="s">
        <v>23935</v>
      </c>
      <c r="C7990" t="s">
        <v>23935</v>
      </c>
      <c r="D7990" t="str">
        <f>HYPERLINK("https://zfin.org/ZDB-GENE-040724-19")</f>
        <v>https://zfin.org/ZDB-GENE-040724-19</v>
      </c>
      <c r="E7990" t="s">
        <v>23936</v>
      </c>
    </row>
    <row r="7991" spans="1:5" x14ac:dyDescent="0.2">
      <c r="A7991" t="s">
        <v>23937</v>
      </c>
      <c r="B7991" t="s">
        <v>23938</v>
      </c>
      <c r="C7991" t="s">
        <v>23938</v>
      </c>
      <c r="D7991" t="str">
        <f>HYPERLINK("https://zfin.org/ZDB-GENE-030131-8556")</f>
        <v>https://zfin.org/ZDB-GENE-030131-8556</v>
      </c>
      <c r="E7991" t="s">
        <v>23939</v>
      </c>
    </row>
    <row r="7992" spans="1:5" x14ac:dyDescent="0.2">
      <c r="A7992" t="s">
        <v>23940</v>
      </c>
      <c r="B7992" t="s">
        <v>23941</v>
      </c>
      <c r="C7992" t="s">
        <v>23941</v>
      </c>
      <c r="D7992" t="str">
        <f>HYPERLINK("https://zfin.org/ZDB-GENE-070928-27")</f>
        <v>https://zfin.org/ZDB-GENE-070928-27</v>
      </c>
      <c r="E7992" t="s">
        <v>23942</v>
      </c>
    </row>
    <row r="7993" spans="1:5" x14ac:dyDescent="0.2">
      <c r="A7993" t="s">
        <v>23943</v>
      </c>
      <c r="B7993" t="s">
        <v>23944</v>
      </c>
      <c r="C7993" t="s">
        <v>23944</v>
      </c>
      <c r="D7993" t="str">
        <f>HYPERLINK("https://zfin.org/ZDB-GENE-030131-9847")</f>
        <v>https://zfin.org/ZDB-GENE-030131-9847</v>
      </c>
      <c r="E7993" t="s">
        <v>23945</v>
      </c>
    </row>
    <row r="7994" spans="1:5" x14ac:dyDescent="0.2">
      <c r="A7994" t="s">
        <v>23946</v>
      </c>
      <c r="B7994" t="s">
        <v>23947</v>
      </c>
      <c r="C7994" t="s">
        <v>23947</v>
      </c>
      <c r="D7994" t="str">
        <f>HYPERLINK("https://zfin.org/ZDB-GENE-030131-8569")</f>
        <v>https://zfin.org/ZDB-GENE-030131-8569</v>
      </c>
      <c r="E7994" t="s">
        <v>23948</v>
      </c>
    </row>
    <row r="7995" spans="1:5" x14ac:dyDescent="0.2">
      <c r="A7995" t="s">
        <v>23949</v>
      </c>
      <c r="B7995" t="s">
        <v>23950</v>
      </c>
      <c r="C7995" t="s">
        <v>23950</v>
      </c>
      <c r="D7995" t="str">
        <f>HYPERLINK("https://zfin.org/ZDB-GENE-041010-205")</f>
        <v>https://zfin.org/ZDB-GENE-041010-205</v>
      </c>
      <c r="E7995" t="s">
        <v>23951</v>
      </c>
    </row>
    <row r="7996" spans="1:5" x14ac:dyDescent="0.2">
      <c r="A7996" t="s">
        <v>23952</v>
      </c>
      <c r="B7996" t="s">
        <v>23953</v>
      </c>
      <c r="C7996" t="s">
        <v>23953</v>
      </c>
      <c r="D7996" t="str">
        <f>HYPERLINK("https://zfin.org/ZDB-GENE-060825-257")</f>
        <v>https://zfin.org/ZDB-GENE-060825-257</v>
      </c>
      <c r="E7996" t="s">
        <v>23954</v>
      </c>
    </row>
    <row r="7997" spans="1:5" x14ac:dyDescent="0.2">
      <c r="A7997" t="s">
        <v>23955</v>
      </c>
      <c r="B7997" t="s">
        <v>23956</v>
      </c>
      <c r="C7997" t="s">
        <v>23956</v>
      </c>
      <c r="D7997" t="str">
        <f>HYPERLINK("https://zfin.org/ZDB-GENE-160113-152")</f>
        <v>https://zfin.org/ZDB-GENE-160113-152</v>
      </c>
      <c r="E7997" t="s">
        <v>23957</v>
      </c>
    </row>
    <row r="7998" spans="1:5" x14ac:dyDescent="0.2">
      <c r="A7998" t="s">
        <v>23958</v>
      </c>
      <c r="B7998" t="s">
        <v>23959</v>
      </c>
      <c r="C7998" t="s">
        <v>23959</v>
      </c>
      <c r="D7998" t="str">
        <f>HYPERLINK("https://zfin.org/ZDB-GENE-040426-1962")</f>
        <v>https://zfin.org/ZDB-GENE-040426-1962</v>
      </c>
      <c r="E7998" t="s">
        <v>23960</v>
      </c>
    </row>
    <row r="7999" spans="1:5" x14ac:dyDescent="0.2">
      <c r="A7999" t="s">
        <v>23961</v>
      </c>
      <c r="B7999" t="s">
        <v>23962</v>
      </c>
      <c r="C7999" t="s">
        <v>23962</v>
      </c>
      <c r="D7999" t="str">
        <f>HYPERLINK("https://zfin.org/ZDB-GENE-030723-2")</f>
        <v>https://zfin.org/ZDB-GENE-030723-2</v>
      </c>
      <c r="E7999" t="s">
        <v>23963</v>
      </c>
    </row>
    <row r="8000" spans="1:5" x14ac:dyDescent="0.2">
      <c r="A8000" t="s">
        <v>23964</v>
      </c>
      <c r="B8000" t="s">
        <v>23965</v>
      </c>
      <c r="C8000" t="s">
        <v>23965</v>
      </c>
      <c r="D8000" t="str">
        <f>HYPERLINK("https://zfin.org/ZDB-GENE-070912-672")</f>
        <v>https://zfin.org/ZDB-GENE-070912-672</v>
      </c>
      <c r="E8000" t="s">
        <v>23966</v>
      </c>
    </row>
    <row r="8001" spans="1:5" x14ac:dyDescent="0.2">
      <c r="A8001" t="s">
        <v>23967</v>
      </c>
      <c r="B8001" t="s">
        <v>23968</v>
      </c>
      <c r="C8001" t="s">
        <v>23968</v>
      </c>
      <c r="D8001" t="str">
        <f>HYPERLINK("https://zfin.org/ZDB-GENE-990415-96")</f>
        <v>https://zfin.org/ZDB-GENE-990415-96</v>
      </c>
      <c r="E8001" t="s">
        <v>23969</v>
      </c>
    </row>
    <row r="8002" spans="1:5" x14ac:dyDescent="0.2">
      <c r="A8002" t="s">
        <v>23970</v>
      </c>
      <c r="B8002" t="s">
        <v>23971</v>
      </c>
      <c r="C8002" t="s">
        <v>23971</v>
      </c>
      <c r="D8002" t="str">
        <f>HYPERLINK("https://zfin.org/ZDB-GENE-030131-3097")</f>
        <v>https://zfin.org/ZDB-GENE-030131-3097</v>
      </c>
      <c r="E8002" t="s">
        <v>23972</v>
      </c>
    </row>
    <row r="8003" spans="1:5" x14ac:dyDescent="0.2">
      <c r="A8003" t="s">
        <v>23973</v>
      </c>
      <c r="B8003" t="s">
        <v>23974</v>
      </c>
      <c r="C8003" t="s">
        <v>23974</v>
      </c>
      <c r="D8003" t="str">
        <f>HYPERLINK("https://zfin.org/ZDB-GENE-041010-106")</f>
        <v>https://zfin.org/ZDB-GENE-041010-106</v>
      </c>
      <c r="E8003" t="s">
        <v>23975</v>
      </c>
    </row>
    <row r="8004" spans="1:5" x14ac:dyDescent="0.2">
      <c r="A8004" t="s">
        <v>23976</v>
      </c>
      <c r="B8004" t="s">
        <v>23977</v>
      </c>
      <c r="C8004" t="s">
        <v>23977</v>
      </c>
      <c r="D8004" t="str">
        <f>HYPERLINK("https://zfin.org/ZDB-GENE-130530-580")</f>
        <v>https://zfin.org/ZDB-GENE-130530-580</v>
      </c>
      <c r="E8004" t="s">
        <v>23978</v>
      </c>
    </row>
    <row r="8005" spans="1:5" x14ac:dyDescent="0.2">
      <c r="A8005" t="s">
        <v>23979</v>
      </c>
      <c r="B8005" t="s">
        <v>23980</v>
      </c>
      <c r="C8005" t="s">
        <v>23980</v>
      </c>
      <c r="D8005" t="str">
        <f>HYPERLINK("https://zfin.org/ZDB-GENE-141222-6")</f>
        <v>https://zfin.org/ZDB-GENE-141222-6</v>
      </c>
      <c r="E8005" t="s">
        <v>23981</v>
      </c>
    </row>
    <row r="8006" spans="1:5" x14ac:dyDescent="0.2">
      <c r="A8006" t="s">
        <v>23982</v>
      </c>
      <c r="B8006" t="s">
        <v>23968</v>
      </c>
      <c r="C8006" t="s">
        <v>23983</v>
      </c>
      <c r="D8006" t="str">
        <f>HYPERLINK("https://zfin.org/")</f>
        <v>https://zfin.org/</v>
      </c>
    </row>
    <row r="8007" spans="1:5" x14ac:dyDescent="0.2">
      <c r="A8007" t="s">
        <v>23984</v>
      </c>
      <c r="B8007" t="s">
        <v>23985</v>
      </c>
      <c r="C8007" t="s">
        <v>23985</v>
      </c>
      <c r="D8007" t="str">
        <f>HYPERLINK("https://zfin.org/ZDB-GENE-060531-44")</f>
        <v>https://zfin.org/ZDB-GENE-060531-44</v>
      </c>
      <c r="E8007" t="s">
        <v>23986</v>
      </c>
    </row>
    <row r="8008" spans="1:5" x14ac:dyDescent="0.2">
      <c r="A8008" t="s">
        <v>23987</v>
      </c>
      <c r="B8008" t="s">
        <v>23988</v>
      </c>
      <c r="C8008" t="s">
        <v>23988</v>
      </c>
      <c r="D8008" t="str">
        <f>HYPERLINK("https://zfin.org/ZDB-GENE-050522-405")</f>
        <v>https://zfin.org/ZDB-GENE-050522-405</v>
      </c>
      <c r="E8008" t="s">
        <v>23989</v>
      </c>
    </row>
    <row r="8009" spans="1:5" x14ac:dyDescent="0.2">
      <c r="A8009" t="s">
        <v>23990</v>
      </c>
      <c r="B8009" t="s">
        <v>23991</v>
      </c>
      <c r="C8009" t="s">
        <v>23991</v>
      </c>
      <c r="D8009" t="str">
        <f>HYPERLINK("https://zfin.org/ZDB-GENE-080917-56")</f>
        <v>https://zfin.org/ZDB-GENE-080917-56</v>
      </c>
      <c r="E8009" t="s">
        <v>23992</v>
      </c>
    </row>
    <row r="8010" spans="1:5" x14ac:dyDescent="0.2">
      <c r="A8010" t="s">
        <v>23993</v>
      </c>
      <c r="B8010" t="s">
        <v>23994</v>
      </c>
      <c r="C8010" t="s">
        <v>23994</v>
      </c>
      <c r="D8010" t="str">
        <f>HYPERLINK("https://zfin.org/ZDB-GENE-050913-10")</f>
        <v>https://zfin.org/ZDB-GENE-050913-10</v>
      </c>
      <c r="E8010" t="s">
        <v>23995</v>
      </c>
    </row>
    <row r="8011" spans="1:5" x14ac:dyDescent="0.2">
      <c r="A8011" t="s">
        <v>23996</v>
      </c>
      <c r="B8011" t="s">
        <v>23997</v>
      </c>
      <c r="C8011" t="s">
        <v>23997</v>
      </c>
      <c r="D8011" t="str">
        <f>HYPERLINK("https://zfin.org/ZDB-GENE-040426-1179")</f>
        <v>https://zfin.org/ZDB-GENE-040426-1179</v>
      </c>
      <c r="E8011" t="s">
        <v>23998</v>
      </c>
    </row>
    <row r="8012" spans="1:5" x14ac:dyDescent="0.2">
      <c r="A8012" t="s">
        <v>23999</v>
      </c>
      <c r="B8012" t="s">
        <v>24000</v>
      </c>
      <c r="C8012" t="s">
        <v>24000</v>
      </c>
      <c r="D8012" t="str">
        <f>HYPERLINK("https://zfin.org/ZDB-GENE-070112-1492")</f>
        <v>https://zfin.org/ZDB-GENE-070112-1492</v>
      </c>
      <c r="E8012" t="s">
        <v>24001</v>
      </c>
    </row>
    <row r="8013" spans="1:5" x14ac:dyDescent="0.2">
      <c r="A8013" t="s">
        <v>24002</v>
      </c>
      <c r="B8013" t="s">
        <v>24003</v>
      </c>
      <c r="C8013" t="s">
        <v>24003</v>
      </c>
      <c r="D8013" t="str">
        <f>HYPERLINK("https://zfin.org/ZDB-GENE-040801-135")</f>
        <v>https://zfin.org/ZDB-GENE-040801-135</v>
      </c>
      <c r="E8013" t="s">
        <v>24004</v>
      </c>
    </row>
    <row r="8014" spans="1:5" x14ac:dyDescent="0.2">
      <c r="A8014" t="s">
        <v>24005</v>
      </c>
      <c r="B8014" t="s">
        <v>24006</v>
      </c>
      <c r="C8014" t="s">
        <v>24006</v>
      </c>
      <c r="D8014" t="str">
        <f>HYPERLINK("https://zfin.org/ZDB-GENE-070928-5")</f>
        <v>https://zfin.org/ZDB-GENE-070928-5</v>
      </c>
      <c r="E8014" t="s">
        <v>24007</v>
      </c>
    </row>
    <row r="8015" spans="1:5" x14ac:dyDescent="0.2">
      <c r="A8015" t="s">
        <v>24008</v>
      </c>
      <c r="B8015" t="s">
        <v>24009</v>
      </c>
      <c r="C8015" t="s">
        <v>24009</v>
      </c>
      <c r="D8015" t="str">
        <f>HYPERLINK("https://zfin.org/ZDB-GENE-040801-54")</f>
        <v>https://zfin.org/ZDB-GENE-040801-54</v>
      </c>
      <c r="E8015" t="s">
        <v>24010</v>
      </c>
    </row>
    <row r="8016" spans="1:5" x14ac:dyDescent="0.2">
      <c r="A8016" t="s">
        <v>24011</v>
      </c>
      <c r="B8016" t="s">
        <v>24012</v>
      </c>
      <c r="C8016" t="s">
        <v>24012</v>
      </c>
      <c r="D8016" t="str">
        <f>HYPERLINK("https://zfin.org/ZDB-GENE-050208-7")</f>
        <v>https://zfin.org/ZDB-GENE-050208-7</v>
      </c>
      <c r="E8016" t="s">
        <v>24013</v>
      </c>
    </row>
    <row r="8017" spans="1:5" x14ac:dyDescent="0.2">
      <c r="A8017" t="s">
        <v>24014</v>
      </c>
      <c r="B8017" t="s">
        <v>24015</v>
      </c>
      <c r="C8017" t="s">
        <v>24015</v>
      </c>
      <c r="D8017" t="str">
        <f>HYPERLINK("https://zfin.org/ZDB-GENE-160114-69")</f>
        <v>https://zfin.org/ZDB-GENE-160114-69</v>
      </c>
      <c r="E8017" t="s">
        <v>24016</v>
      </c>
    </row>
    <row r="8018" spans="1:5" x14ac:dyDescent="0.2">
      <c r="A8018" t="s">
        <v>24017</v>
      </c>
      <c r="B8018" t="s">
        <v>24018</v>
      </c>
      <c r="C8018" t="s">
        <v>24018</v>
      </c>
      <c r="D8018" t="str">
        <f>HYPERLINK("https://zfin.org/ZDB-GENE-060503-743")</f>
        <v>https://zfin.org/ZDB-GENE-060503-743</v>
      </c>
      <c r="E8018" t="s">
        <v>24019</v>
      </c>
    </row>
    <row r="8019" spans="1:5" x14ac:dyDescent="0.2">
      <c r="A8019" t="s">
        <v>24020</v>
      </c>
      <c r="B8019" t="s">
        <v>24021</v>
      </c>
      <c r="C8019" t="s">
        <v>24021</v>
      </c>
      <c r="D8019" t="str">
        <f>HYPERLINK("https://zfin.org/ZDB-GENE-040801-174")</f>
        <v>https://zfin.org/ZDB-GENE-040801-174</v>
      </c>
      <c r="E8019" t="s">
        <v>24022</v>
      </c>
    </row>
    <row r="8020" spans="1:5" x14ac:dyDescent="0.2">
      <c r="A8020" t="s">
        <v>24023</v>
      </c>
      <c r="B8020" t="s">
        <v>24024</v>
      </c>
      <c r="C8020" t="s">
        <v>24024</v>
      </c>
      <c r="D8020" t="str">
        <f>HYPERLINK("https://zfin.org/ZDB-GENE-081105-22")</f>
        <v>https://zfin.org/ZDB-GENE-081105-22</v>
      </c>
      <c r="E8020" t="s">
        <v>24025</v>
      </c>
    </row>
    <row r="8021" spans="1:5" x14ac:dyDescent="0.2">
      <c r="A8021" t="s">
        <v>24026</v>
      </c>
      <c r="B8021" t="s">
        <v>24027</v>
      </c>
      <c r="C8021" t="s">
        <v>24027</v>
      </c>
      <c r="D8021" t="str">
        <f>HYPERLINK("https://zfin.org/ZDB-GENE-051030-93")</f>
        <v>https://zfin.org/ZDB-GENE-051030-93</v>
      </c>
      <c r="E8021" t="s">
        <v>24028</v>
      </c>
    </row>
    <row r="8022" spans="1:5" x14ac:dyDescent="0.2">
      <c r="A8022" t="s">
        <v>24029</v>
      </c>
      <c r="B8022" t="s">
        <v>24030</v>
      </c>
      <c r="C8022" t="s">
        <v>24030</v>
      </c>
      <c r="D8022" t="str">
        <f>HYPERLINK("https://zfin.org/ZDB-GENE-030131-9093")</f>
        <v>https://zfin.org/ZDB-GENE-030131-9093</v>
      </c>
      <c r="E8022" t="s">
        <v>24031</v>
      </c>
    </row>
    <row r="8023" spans="1:5" x14ac:dyDescent="0.2">
      <c r="A8023" t="s">
        <v>24032</v>
      </c>
      <c r="B8023" t="s">
        <v>24033</v>
      </c>
      <c r="C8023" t="s">
        <v>24033</v>
      </c>
      <c r="D8023" t="str">
        <f>HYPERLINK("https://zfin.org/ZDB-GENE-010718-1")</f>
        <v>https://zfin.org/ZDB-GENE-010718-1</v>
      </c>
      <c r="E8023" t="s">
        <v>24034</v>
      </c>
    </row>
    <row r="8024" spans="1:5" x14ac:dyDescent="0.2">
      <c r="A8024" t="s">
        <v>24035</v>
      </c>
      <c r="B8024" t="s">
        <v>24036</v>
      </c>
      <c r="C8024" t="s">
        <v>24036</v>
      </c>
      <c r="D8024" t="str">
        <f>HYPERLINK("https://zfin.org/ZDB-GENE-031001-3")</f>
        <v>https://zfin.org/ZDB-GENE-031001-3</v>
      </c>
      <c r="E8024" t="s">
        <v>24037</v>
      </c>
    </row>
    <row r="8025" spans="1:5" x14ac:dyDescent="0.2">
      <c r="A8025" t="s">
        <v>24038</v>
      </c>
      <c r="B8025" t="s">
        <v>24039</v>
      </c>
      <c r="C8025" t="s">
        <v>24039</v>
      </c>
      <c r="D8025" t="str">
        <f>HYPERLINK("https://zfin.org/ZDB-GENE-030902-4")</f>
        <v>https://zfin.org/ZDB-GENE-030902-4</v>
      </c>
      <c r="E8025" t="s">
        <v>24040</v>
      </c>
    </row>
    <row r="8026" spans="1:5" x14ac:dyDescent="0.2">
      <c r="A8026" t="s">
        <v>24041</v>
      </c>
      <c r="B8026" t="s">
        <v>24042</v>
      </c>
      <c r="C8026" t="s">
        <v>24042</v>
      </c>
      <c r="D8026" t="str">
        <f>HYPERLINK("https://zfin.org/ZDB-GENE-040912-141")</f>
        <v>https://zfin.org/ZDB-GENE-040912-141</v>
      </c>
      <c r="E8026" t="s">
        <v>24043</v>
      </c>
    </row>
    <row r="8027" spans="1:5" x14ac:dyDescent="0.2">
      <c r="A8027" t="s">
        <v>24044</v>
      </c>
      <c r="B8027" t="s">
        <v>24045</v>
      </c>
      <c r="C8027" t="s">
        <v>24045</v>
      </c>
      <c r="D8027" t="str">
        <f>HYPERLINK("https://zfin.org/ZDB-GENE-040426-855")</f>
        <v>https://zfin.org/ZDB-GENE-040426-855</v>
      </c>
      <c r="E8027" t="s">
        <v>24046</v>
      </c>
    </row>
    <row r="8028" spans="1:5" x14ac:dyDescent="0.2">
      <c r="A8028" t="s">
        <v>24047</v>
      </c>
      <c r="B8028" t="s">
        <v>24048</v>
      </c>
      <c r="C8028" t="s">
        <v>24048</v>
      </c>
      <c r="D8028" t="str">
        <f>HYPERLINK("https://zfin.org/ZDB-GENE-040426-1083")</f>
        <v>https://zfin.org/ZDB-GENE-040426-1083</v>
      </c>
      <c r="E8028" t="s">
        <v>24049</v>
      </c>
    </row>
    <row r="8029" spans="1:5" x14ac:dyDescent="0.2">
      <c r="A8029" t="s">
        <v>24050</v>
      </c>
      <c r="B8029" t="s">
        <v>24051</v>
      </c>
      <c r="C8029" t="s">
        <v>24051</v>
      </c>
      <c r="D8029" t="str">
        <f>HYPERLINK("https://zfin.org/ZDB-GENE-120215-92")</f>
        <v>https://zfin.org/ZDB-GENE-120215-92</v>
      </c>
      <c r="E8029" t="s">
        <v>24052</v>
      </c>
    </row>
    <row r="8030" spans="1:5" x14ac:dyDescent="0.2">
      <c r="A8030" t="s">
        <v>24053</v>
      </c>
      <c r="B8030" t="s">
        <v>24054</v>
      </c>
      <c r="C8030" t="s">
        <v>24054</v>
      </c>
      <c r="D8030" t="str">
        <f>HYPERLINK("https://zfin.org/ZDB-GENE-040812-3")</f>
        <v>https://zfin.org/ZDB-GENE-040812-3</v>
      </c>
      <c r="E8030" t="s">
        <v>24055</v>
      </c>
    </row>
    <row r="8031" spans="1:5" x14ac:dyDescent="0.2">
      <c r="A8031" t="s">
        <v>24056</v>
      </c>
      <c r="B8031" t="s">
        <v>24057</v>
      </c>
      <c r="C8031" t="s">
        <v>24057</v>
      </c>
      <c r="D8031" t="str">
        <f>HYPERLINK("https://zfin.org/ZDB-GENE-061207-44")</f>
        <v>https://zfin.org/ZDB-GENE-061207-44</v>
      </c>
      <c r="E8031" t="s">
        <v>24058</v>
      </c>
    </row>
    <row r="8032" spans="1:5" x14ac:dyDescent="0.2">
      <c r="A8032" t="s">
        <v>24059</v>
      </c>
      <c r="B8032" t="s">
        <v>24060</v>
      </c>
      <c r="C8032" t="s">
        <v>24060</v>
      </c>
      <c r="D8032" t="str">
        <f>HYPERLINK("https://zfin.org/ZDB-GENE-040426-1996")</f>
        <v>https://zfin.org/ZDB-GENE-040426-1996</v>
      </c>
      <c r="E8032" t="s">
        <v>24061</v>
      </c>
    </row>
    <row r="8033" spans="1:5" x14ac:dyDescent="0.2">
      <c r="A8033" t="s">
        <v>24062</v>
      </c>
      <c r="B8033" t="s">
        <v>24063</v>
      </c>
      <c r="C8033" t="s">
        <v>24063</v>
      </c>
      <c r="D8033" t="str">
        <f>HYPERLINK("https://zfin.org/ZDB-GENE-070606-2")</f>
        <v>https://zfin.org/ZDB-GENE-070606-2</v>
      </c>
      <c r="E8033" t="s">
        <v>24064</v>
      </c>
    </row>
    <row r="8034" spans="1:5" x14ac:dyDescent="0.2">
      <c r="A8034" t="s">
        <v>24065</v>
      </c>
      <c r="B8034" t="s">
        <v>24066</v>
      </c>
      <c r="C8034" t="s">
        <v>24067</v>
      </c>
      <c r="D8034" t="str">
        <f>HYPERLINK("https://zfin.org/")</f>
        <v>https://zfin.org/</v>
      </c>
    </row>
    <row r="8035" spans="1:5" x14ac:dyDescent="0.2">
      <c r="A8035" t="s">
        <v>24068</v>
      </c>
      <c r="B8035" t="s">
        <v>24069</v>
      </c>
      <c r="C8035" t="s">
        <v>24069</v>
      </c>
      <c r="D8035" t="str">
        <f>HYPERLINK("https://zfin.org/ZDB-GENE-040625-107")</f>
        <v>https://zfin.org/ZDB-GENE-040625-107</v>
      </c>
      <c r="E8035" t="s">
        <v>24070</v>
      </c>
    </row>
    <row r="8036" spans="1:5" x14ac:dyDescent="0.2">
      <c r="A8036" t="s">
        <v>24071</v>
      </c>
      <c r="B8036" t="s">
        <v>24072</v>
      </c>
      <c r="C8036" t="s">
        <v>24072</v>
      </c>
      <c r="D8036" t="str">
        <f>HYPERLINK("https://zfin.org/ZDB-GENE-040718-484")</f>
        <v>https://zfin.org/ZDB-GENE-040718-484</v>
      </c>
      <c r="E8036" t="s">
        <v>24073</v>
      </c>
    </row>
    <row r="8037" spans="1:5" x14ac:dyDescent="0.2">
      <c r="A8037" t="s">
        <v>24074</v>
      </c>
      <c r="B8037" t="s">
        <v>24075</v>
      </c>
      <c r="C8037" t="s">
        <v>24075</v>
      </c>
      <c r="D8037" t="str">
        <f>HYPERLINK("https://zfin.org/ZDB-GENE-030131-5926")</f>
        <v>https://zfin.org/ZDB-GENE-030131-5926</v>
      </c>
      <c r="E8037" t="s">
        <v>24076</v>
      </c>
    </row>
    <row r="8038" spans="1:5" x14ac:dyDescent="0.2">
      <c r="A8038" t="s">
        <v>24077</v>
      </c>
      <c r="B8038" t="s">
        <v>24078</v>
      </c>
      <c r="C8038" t="s">
        <v>24078</v>
      </c>
      <c r="D8038" t="str">
        <f>HYPERLINK("https://zfin.org/ZDB-GENE-061013-3")</f>
        <v>https://zfin.org/ZDB-GENE-061013-3</v>
      </c>
      <c r="E8038" t="s">
        <v>24079</v>
      </c>
    </row>
    <row r="8039" spans="1:5" x14ac:dyDescent="0.2">
      <c r="A8039" t="s">
        <v>24080</v>
      </c>
      <c r="B8039" t="s">
        <v>24081</v>
      </c>
      <c r="C8039" t="s">
        <v>24081</v>
      </c>
      <c r="D8039" t="str">
        <f>HYPERLINK("https://zfin.org/ZDB-GENE-030131-4900")</f>
        <v>https://zfin.org/ZDB-GENE-030131-4900</v>
      </c>
      <c r="E8039" t="s">
        <v>24082</v>
      </c>
    </row>
    <row r="8040" spans="1:5" x14ac:dyDescent="0.2">
      <c r="A8040" t="s">
        <v>24083</v>
      </c>
      <c r="B8040" t="s">
        <v>24084</v>
      </c>
      <c r="C8040" t="s">
        <v>24084</v>
      </c>
      <c r="D8040" t="str">
        <f>HYPERLINK("https://zfin.org/ZDB-GENE-110208-2")</f>
        <v>https://zfin.org/ZDB-GENE-110208-2</v>
      </c>
      <c r="E8040" t="s">
        <v>24085</v>
      </c>
    </row>
    <row r="8041" spans="1:5" x14ac:dyDescent="0.2">
      <c r="A8041" t="s">
        <v>24086</v>
      </c>
      <c r="B8041" t="s">
        <v>24087</v>
      </c>
      <c r="C8041" t="s">
        <v>24087</v>
      </c>
      <c r="D8041" t="str">
        <f>HYPERLINK("https://zfin.org/ZDB-GENE-050201-2")</f>
        <v>https://zfin.org/ZDB-GENE-050201-2</v>
      </c>
      <c r="E8041" t="s">
        <v>24088</v>
      </c>
    </row>
    <row r="8042" spans="1:5" x14ac:dyDescent="0.2">
      <c r="A8042" t="s">
        <v>24089</v>
      </c>
      <c r="B8042" t="s">
        <v>24090</v>
      </c>
      <c r="C8042" t="s">
        <v>24090</v>
      </c>
      <c r="D8042" t="str">
        <f>HYPERLINK("https://zfin.org/ZDB-GENE-041210-196")</f>
        <v>https://zfin.org/ZDB-GENE-041210-196</v>
      </c>
      <c r="E8042" t="s">
        <v>24091</v>
      </c>
    </row>
    <row r="8043" spans="1:5" x14ac:dyDescent="0.2">
      <c r="A8043" t="s">
        <v>24092</v>
      </c>
      <c r="B8043" t="s">
        <v>24093</v>
      </c>
      <c r="C8043" t="s">
        <v>24093</v>
      </c>
      <c r="D8043" t="str">
        <f>HYPERLINK("https://zfin.org/ZDB-GENE-030131-5175")</f>
        <v>https://zfin.org/ZDB-GENE-030131-5175</v>
      </c>
      <c r="E8043" t="s">
        <v>24094</v>
      </c>
    </row>
    <row r="8044" spans="1:5" x14ac:dyDescent="0.2">
      <c r="A8044" t="s">
        <v>24095</v>
      </c>
      <c r="B8044" t="s">
        <v>24096</v>
      </c>
      <c r="C8044" t="s">
        <v>24096</v>
      </c>
      <c r="D8044" t="str">
        <f>HYPERLINK("https://zfin.org/ZDB-GENE-050320-149")</f>
        <v>https://zfin.org/ZDB-GENE-050320-149</v>
      </c>
      <c r="E8044" t="s">
        <v>24097</v>
      </c>
    </row>
    <row r="8045" spans="1:5" x14ac:dyDescent="0.2">
      <c r="A8045" t="s">
        <v>24098</v>
      </c>
      <c r="B8045" t="s">
        <v>24099</v>
      </c>
      <c r="C8045" t="s">
        <v>24099</v>
      </c>
      <c r="D8045" t="str">
        <f>HYPERLINK("https://zfin.org/ZDB-GENE-030131-7127")</f>
        <v>https://zfin.org/ZDB-GENE-030131-7127</v>
      </c>
      <c r="E8045" t="s">
        <v>24100</v>
      </c>
    </row>
    <row r="8046" spans="1:5" x14ac:dyDescent="0.2">
      <c r="A8046" t="s">
        <v>24101</v>
      </c>
      <c r="B8046" t="s">
        <v>24102</v>
      </c>
      <c r="C8046" t="s">
        <v>24102</v>
      </c>
      <c r="D8046" t="str">
        <f>HYPERLINK("https://zfin.org/ZDB-GENE-071212-2")</f>
        <v>https://zfin.org/ZDB-GENE-071212-2</v>
      </c>
      <c r="E8046" t="s">
        <v>24103</v>
      </c>
    </row>
    <row r="8047" spans="1:5" x14ac:dyDescent="0.2">
      <c r="A8047" t="s">
        <v>24104</v>
      </c>
      <c r="B8047" t="s">
        <v>24105</v>
      </c>
      <c r="C8047" t="s">
        <v>24105</v>
      </c>
      <c r="D8047" t="str">
        <f>HYPERLINK("https://zfin.org/ZDB-GENE-990415-230")</f>
        <v>https://zfin.org/ZDB-GENE-990415-230</v>
      </c>
      <c r="E8047" t="s">
        <v>24106</v>
      </c>
    </row>
    <row r="8048" spans="1:5" x14ac:dyDescent="0.2">
      <c r="A8048" t="s">
        <v>24107</v>
      </c>
      <c r="B8048" t="s">
        <v>24108</v>
      </c>
      <c r="C8048" t="s">
        <v>24108</v>
      </c>
      <c r="D8048" t="str">
        <f>HYPERLINK("https://zfin.org/ZDB-GENE-040718-491")</f>
        <v>https://zfin.org/ZDB-GENE-040718-491</v>
      </c>
      <c r="E8048" t="s">
        <v>24109</v>
      </c>
    </row>
    <row r="8049" spans="1:5" x14ac:dyDescent="0.2">
      <c r="A8049" t="s">
        <v>24110</v>
      </c>
      <c r="B8049" t="s">
        <v>24111</v>
      </c>
      <c r="C8049" t="s">
        <v>24111</v>
      </c>
      <c r="D8049" t="str">
        <f>HYPERLINK("https://zfin.org/ZDB-GENE-030131-7778")</f>
        <v>https://zfin.org/ZDB-GENE-030131-7778</v>
      </c>
      <c r="E8049" t="s">
        <v>24112</v>
      </c>
    </row>
    <row r="8050" spans="1:5" x14ac:dyDescent="0.2">
      <c r="A8050" t="s">
        <v>24113</v>
      </c>
      <c r="B8050" t="s">
        <v>24114</v>
      </c>
      <c r="C8050" t="s">
        <v>24114</v>
      </c>
      <c r="D8050" t="str">
        <f>HYPERLINK("https://zfin.org/ZDB-GENE-040426-2501")</f>
        <v>https://zfin.org/ZDB-GENE-040426-2501</v>
      </c>
      <c r="E8050" t="s">
        <v>24115</v>
      </c>
    </row>
    <row r="8051" spans="1:5" x14ac:dyDescent="0.2">
      <c r="A8051" t="s">
        <v>24116</v>
      </c>
      <c r="B8051" t="s">
        <v>24117</v>
      </c>
      <c r="C8051" t="s">
        <v>24117</v>
      </c>
      <c r="D8051" t="str">
        <f>HYPERLINK("https://zfin.org/ZDB-GENE-040426-1178")</f>
        <v>https://zfin.org/ZDB-GENE-040426-1178</v>
      </c>
      <c r="E8051" t="s">
        <v>24118</v>
      </c>
    </row>
    <row r="8052" spans="1:5" x14ac:dyDescent="0.2">
      <c r="A8052" t="s">
        <v>24119</v>
      </c>
      <c r="B8052" t="s">
        <v>24120</v>
      </c>
      <c r="C8052" t="s">
        <v>24120</v>
      </c>
      <c r="D8052" t="str">
        <f>HYPERLINK("https://zfin.org/ZDB-GENE-030131-5335")</f>
        <v>https://zfin.org/ZDB-GENE-030131-5335</v>
      </c>
      <c r="E8052" t="s">
        <v>24121</v>
      </c>
    </row>
    <row r="8053" spans="1:5" x14ac:dyDescent="0.2">
      <c r="A8053" t="s">
        <v>24122</v>
      </c>
      <c r="B8053" t="s">
        <v>24123</v>
      </c>
      <c r="C8053" t="s">
        <v>24123</v>
      </c>
      <c r="D8053" t="str">
        <f>HYPERLINK("https://zfin.org/ZDB-GENE-040426-933")</f>
        <v>https://zfin.org/ZDB-GENE-040426-933</v>
      </c>
      <c r="E8053" t="s">
        <v>24124</v>
      </c>
    </row>
    <row r="8054" spans="1:5" x14ac:dyDescent="0.2">
      <c r="A8054" t="s">
        <v>24125</v>
      </c>
      <c r="B8054" t="s">
        <v>24126</v>
      </c>
      <c r="C8054" t="s">
        <v>24126</v>
      </c>
      <c r="D8054" t="str">
        <f>HYPERLINK("https://zfin.org/ZDB-GENE-040426-1991")</f>
        <v>https://zfin.org/ZDB-GENE-040426-1991</v>
      </c>
      <c r="E8054" t="s">
        <v>24127</v>
      </c>
    </row>
    <row r="8055" spans="1:5" x14ac:dyDescent="0.2">
      <c r="A8055" t="s">
        <v>24128</v>
      </c>
      <c r="B8055" t="s">
        <v>24129</v>
      </c>
      <c r="C8055" t="s">
        <v>24129</v>
      </c>
      <c r="D8055" t="str">
        <f>HYPERLINK("https://zfin.org/ZDB-GENE-060929-712")</f>
        <v>https://zfin.org/ZDB-GENE-060929-712</v>
      </c>
      <c r="E8055" t="s">
        <v>24130</v>
      </c>
    </row>
    <row r="8056" spans="1:5" x14ac:dyDescent="0.2">
      <c r="A8056" t="s">
        <v>24131</v>
      </c>
      <c r="B8056" t="s">
        <v>24132</v>
      </c>
      <c r="C8056" t="s">
        <v>24132</v>
      </c>
      <c r="D8056" t="str">
        <f>HYPERLINK("https://zfin.org/ZDB-GENE-040625-57")</f>
        <v>https://zfin.org/ZDB-GENE-040625-57</v>
      </c>
      <c r="E8056" t="s">
        <v>24133</v>
      </c>
    </row>
    <row r="8057" spans="1:5" x14ac:dyDescent="0.2">
      <c r="A8057" t="s">
        <v>24134</v>
      </c>
      <c r="B8057" t="s">
        <v>24135</v>
      </c>
      <c r="C8057" t="s">
        <v>24135</v>
      </c>
      <c r="D8057" t="str">
        <f>HYPERLINK("https://zfin.org/ZDB-GENE-100922-43")</f>
        <v>https://zfin.org/ZDB-GENE-100922-43</v>
      </c>
      <c r="E8057" t="s">
        <v>24136</v>
      </c>
    </row>
    <row r="8058" spans="1:5" x14ac:dyDescent="0.2">
      <c r="A8058" t="s">
        <v>24137</v>
      </c>
      <c r="B8058" t="s">
        <v>24138</v>
      </c>
      <c r="C8058" t="s">
        <v>24138</v>
      </c>
      <c r="D8058" t="str">
        <f>HYPERLINK("https://zfin.org/ZDB-GENE-050208-133")</f>
        <v>https://zfin.org/ZDB-GENE-050208-133</v>
      </c>
      <c r="E8058" t="s">
        <v>24139</v>
      </c>
    </row>
    <row r="8059" spans="1:5" x14ac:dyDescent="0.2">
      <c r="A8059" t="s">
        <v>24140</v>
      </c>
      <c r="B8059" t="s">
        <v>24141</v>
      </c>
      <c r="C8059" t="s">
        <v>24141</v>
      </c>
      <c r="D8059" t="str">
        <f>HYPERLINK("https://zfin.org/ZDB-GENE-040426-1097")</f>
        <v>https://zfin.org/ZDB-GENE-040426-1097</v>
      </c>
      <c r="E8059" t="s">
        <v>24142</v>
      </c>
    </row>
    <row r="8060" spans="1:5" x14ac:dyDescent="0.2">
      <c r="A8060" t="s">
        <v>24143</v>
      </c>
      <c r="B8060" t="s">
        <v>24144</v>
      </c>
      <c r="C8060" t="s">
        <v>24144</v>
      </c>
      <c r="D8060" t="str">
        <f>HYPERLINK("https://zfin.org/ZDB-GENE-040426-800")</f>
        <v>https://zfin.org/ZDB-GENE-040426-800</v>
      </c>
      <c r="E8060" t="s">
        <v>24145</v>
      </c>
    </row>
    <row r="8061" spans="1:5" x14ac:dyDescent="0.2">
      <c r="A8061" t="s">
        <v>24146</v>
      </c>
      <c r="B8061" t="s">
        <v>24147</v>
      </c>
      <c r="C8061" t="s">
        <v>24147</v>
      </c>
      <c r="D8061" t="str">
        <f>HYPERLINK("https://zfin.org/ZDB-GENE-990714-8")</f>
        <v>https://zfin.org/ZDB-GENE-990714-8</v>
      </c>
      <c r="E8061" t="s">
        <v>24148</v>
      </c>
    </row>
    <row r="8062" spans="1:5" x14ac:dyDescent="0.2">
      <c r="A8062" t="s">
        <v>24149</v>
      </c>
      <c r="B8062" t="s">
        <v>24150</v>
      </c>
      <c r="C8062" t="s">
        <v>24150</v>
      </c>
      <c r="D8062" t="str">
        <f>HYPERLINK("https://zfin.org/ZDB-GENE-070925-1")</f>
        <v>https://zfin.org/ZDB-GENE-070925-1</v>
      </c>
      <c r="E8062" t="s">
        <v>24151</v>
      </c>
    </row>
    <row r="8063" spans="1:5" x14ac:dyDescent="0.2">
      <c r="A8063" t="s">
        <v>24152</v>
      </c>
      <c r="B8063" t="s">
        <v>24153</v>
      </c>
      <c r="C8063" t="s">
        <v>24153</v>
      </c>
      <c r="D8063" t="str">
        <f>HYPERLINK("https://zfin.org/ZDB-GENE-050809-123")</f>
        <v>https://zfin.org/ZDB-GENE-050809-123</v>
      </c>
      <c r="E8063" t="s">
        <v>24154</v>
      </c>
    </row>
    <row r="8064" spans="1:5" x14ac:dyDescent="0.2">
      <c r="A8064" t="s">
        <v>24155</v>
      </c>
      <c r="B8064" t="s">
        <v>24156</v>
      </c>
      <c r="C8064" t="s">
        <v>24156</v>
      </c>
      <c r="D8064" t="str">
        <f>HYPERLINK("https://zfin.org/ZDB-GENE-011220-2")</f>
        <v>https://zfin.org/ZDB-GENE-011220-2</v>
      </c>
      <c r="E8064" t="s">
        <v>24157</v>
      </c>
    </row>
    <row r="8065" spans="1:5" x14ac:dyDescent="0.2">
      <c r="A8065" t="s">
        <v>24158</v>
      </c>
      <c r="B8065" t="s">
        <v>24159</v>
      </c>
      <c r="C8065" t="s">
        <v>24159</v>
      </c>
      <c r="D8065" t="str">
        <f>HYPERLINK("https://zfin.org/ZDB-GENE-000208-23")</f>
        <v>https://zfin.org/ZDB-GENE-000208-23</v>
      </c>
      <c r="E8065" t="s">
        <v>24160</v>
      </c>
    </row>
    <row r="8066" spans="1:5" x14ac:dyDescent="0.2">
      <c r="A8066" t="s">
        <v>24161</v>
      </c>
      <c r="B8066" t="s">
        <v>24162</v>
      </c>
      <c r="C8066" t="s">
        <v>24162</v>
      </c>
      <c r="D8066" t="str">
        <f>HYPERLINK("https://zfin.org/ZDB-GENE-991119-4")</f>
        <v>https://zfin.org/ZDB-GENE-991119-4</v>
      </c>
      <c r="E8066" t="s">
        <v>24163</v>
      </c>
    </row>
    <row r="8067" spans="1:5" x14ac:dyDescent="0.2">
      <c r="A8067" t="s">
        <v>24164</v>
      </c>
      <c r="B8067" t="s">
        <v>24165</v>
      </c>
      <c r="C8067" t="s">
        <v>24165</v>
      </c>
      <c r="D8067" t="str">
        <f>HYPERLINK("https://zfin.org/ZDB-GENE-050107-6")</f>
        <v>https://zfin.org/ZDB-GENE-050107-6</v>
      </c>
      <c r="E8067" t="s">
        <v>24166</v>
      </c>
    </row>
    <row r="8068" spans="1:5" x14ac:dyDescent="0.2">
      <c r="A8068" t="s">
        <v>24167</v>
      </c>
      <c r="B8068" t="s">
        <v>24168</v>
      </c>
      <c r="C8068" t="s">
        <v>24168</v>
      </c>
      <c r="D8068" t="str">
        <f>HYPERLINK("https://zfin.org/ZDB-GENE-060613-1")</f>
        <v>https://zfin.org/ZDB-GENE-060613-1</v>
      </c>
      <c r="E8068" t="s">
        <v>24169</v>
      </c>
    </row>
    <row r="8069" spans="1:5" x14ac:dyDescent="0.2">
      <c r="A8069" t="s">
        <v>24170</v>
      </c>
      <c r="B8069" t="s">
        <v>24171</v>
      </c>
      <c r="C8069" t="s">
        <v>24171</v>
      </c>
      <c r="D8069" t="str">
        <f>HYPERLINK("https://zfin.org/ZDB-GENE-030131-9616")</f>
        <v>https://zfin.org/ZDB-GENE-030131-9616</v>
      </c>
      <c r="E8069" t="s">
        <v>24172</v>
      </c>
    </row>
    <row r="8070" spans="1:5" x14ac:dyDescent="0.2">
      <c r="A8070" t="s">
        <v>24173</v>
      </c>
      <c r="B8070" t="s">
        <v>24174</v>
      </c>
      <c r="C8070" t="s">
        <v>24174</v>
      </c>
      <c r="D8070" t="str">
        <f>HYPERLINK("https://zfin.org/ZDB-GENE-131120-36")</f>
        <v>https://zfin.org/ZDB-GENE-131120-36</v>
      </c>
      <c r="E8070" t="s">
        <v>24175</v>
      </c>
    </row>
    <row r="8071" spans="1:5" x14ac:dyDescent="0.2">
      <c r="A8071" t="s">
        <v>24176</v>
      </c>
      <c r="B8071" t="s">
        <v>24177</v>
      </c>
      <c r="C8071" t="s">
        <v>24177</v>
      </c>
      <c r="D8071" t="str">
        <f>HYPERLINK("https://zfin.org/ZDB-GENE-030131-6560")</f>
        <v>https://zfin.org/ZDB-GENE-030131-6560</v>
      </c>
      <c r="E8071" t="s">
        <v>24178</v>
      </c>
    </row>
    <row r="8072" spans="1:5" x14ac:dyDescent="0.2">
      <c r="A8072" t="s">
        <v>24179</v>
      </c>
      <c r="B8072" t="s">
        <v>24180</v>
      </c>
      <c r="C8072" t="s">
        <v>24180</v>
      </c>
      <c r="D8072" t="str">
        <f>HYPERLINK("https://zfin.org/ZDB-GENE-081104-53")</f>
        <v>https://zfin.org/ZDB-GENE-081104-53</v>
      </c>
      <c r="E8072" t="s">
        <v>24181</v>
      </c>
    </row>
    <row r="8073" spans="1:5" x14ac:dyDescent="0.2">
      <c r="A8073" t="s">
        <v>24182</v>
      </c>
      <c r="B8073" t="s">
        <v>24183</v>
      </c>
      <c r="C8073" t="s">
        <v>24183</v>
      </c>
      <c r="D8073" t="str">
        <f>HYPERLINK("https://zfin.org/ZDB-GENE-030131-7461")</f>
        <v>https://zfin.org/ZDB-GENE-030131-7461</v>
      </c>
      <c r="E8073" t="s">
        <v>24184</v>
      </c>
    </row>
    <row r="8074" spans="1:5" x14ac:dyDescent="0.2">
      <c r="A8074" t="s">
        <v>24185</v>
      </c>
      <c r="B8074" t="s">
        <v>24186</v>
      </c>
      <c r="C8074" t="s">
        <v>24186</v>
      </c>
      <c r="D8074" t="str">
        <f>HYPERLINK("https://zfin.org/ZDB-GENE-030131-8475")</f>
        <v>https://zfin.org/ZDB-GENE-030131-8475</v>
      </c>
      <c r="E8074" t="s">
        <v>24187</v>
      </c>
    </row>
    <row r="8075" spans="1:5" x14ac:dyDescent="0.2">
      <c r="A8075" t="s">
        <v>24188</v>
      </c>
      <c r="B8075" t="s">
        <v>24189</v>
      </c>
      <c r="C8075" t="s">
        <v>24189</v>
      </c>
      <c r="D8075" t="str">
        <f>HYPERLINK("https://zfin.org/ZDB-GENE-060616-94")</f>
        <v>https://zfin.org/ZDB-GENE-060616-94</v>
      </c>
      <c r="E8075" t="s">
        <v>24190</v>
      </c>
    </row>
    <row r="8076" spans="1:5" x14ac:dyDescent="0.2">
      <c r="A8076" t="s">
        <v>24191</v>
      </c>
      <c r="B8076" t="s">
        <v>24192</v>
      </c>
      <c r="C8076" t="s">
        <v>24192</v>
      </c>
      <c r="D8076" t="str">
        <f>HYPERLINK("https://zfin.org/ZDB-GENE-050417-130")</f>
        <v>https://zfin.org/ZDB-GENE-050417-130</v>
      </c>
      <c r="E8076" t="s">
        <v>24193</v>
      </c>
    </row>
    <row r="8077" spans="1:5" x14ac:dyDescent="0.2">
      <c r="A8077" t="s">
        <v>24194</v>
      </c>
      <c r="B8077" t="s">
        <v>24195</v>
      </c>
      <c r="C8077" t="s">
        <v>24195</v>
      </c>
      <c r="D8077" t="str">
        <f>HYPERLINK("https://zfin.org/ZDB-GENE-060526-282")</f>
        <v>https://zfin.org/ZDB-GENE-060526-282</v>
      </c>
      <c r="E8077" t="s">
        <v>24196</v>
      </c>
    </row>
    <row r="8078" spans="1:5" x14ac:dyDescent="0.2">
      <c r="A8078" t="s">
        <v>24197</v>
      </c>
      <c r="B8078" t="s">
        <v>24198</v>
      </c>
      <c r="C8078" t="s">
        <v>24198</v>
      </c>
      <c r="D8078" t="str">
        <f>HYPERLINK("https://zfin.org/ZDB-GENE-030131-2799")</f>
        <v>https://zfin.org/ZDB-GENE-030131-2799</v>
      </c>
      <c r="E8078" t="s">
        <v>24199</v>
      </c>
    </row>
    <row r="8079" spans="1:5" x14ac:dyDescent="0.2">
      <c r="A8079" t="s">
        <v>24200</v>
      </c>
      <c r="B8079" t="s">
        <v>24201</v>
      </c>
      <c r="C8079" t="s">
        <v>24201</v>
      </c>
      <c r="D8079" t="str">
        <f>HYPERLINK("https://zfin.org/ZDB-GENE-040426-2056")</f>
        <v>https://zfin.org/ZDB-GENE-040426-2056</v>
      </c>
      <c r="E8079" t="s">
        <v>23837</v>
      </c>
    </row>
    <row r="8080" spans="1:5" x14ac:dyDescent="0.2">
      <c r="A8080" t="s">
        <v>24202</v>
      </c>
      <c r="B8080" t="s">
        <v>24203</v>
      </c>
      <c r="C8080" t="s">
        <v>24203</v>
      </c>
      <c r="D8080" t="str">
        <f>HYPERLINK("https://zfin.org/ZDB-GENE-050208-577")</f>
        <v>https://zfin.org/ZDB-GENE-050208-577</v>
      </c>
      <c r="E8080" t="s">
        <v>24204</v>
      </c>
    </row>
    <row r="8081" spans="1:5" x14ac:dyDescent="0.2">
      <c r="A8081" t="s">
        <v>24205</v>
      </c>
      <c r="B8081" t="s">
        <v>24206</v>
      </c>
      <c r="C8081" t="s">
        <v>24206</v>
      </c>
      <c r="D8081" t="str">
        <f>HYPERLINK("https://zfin.org/ZDB-GENE-041014-149")</f>
        <v>https://zfin.org/ZDB-GENE-041014-149</v>
      </c>
      <c r="E8081" t="s">
        <v>24207</v>
      </c>
    </row>
    <row r="8082" spans="1:5" x14ac:dyDescent="0.2">
      <c r="A8082" t="s">
        <v>24208</v>
      </c>
      <c r="B8082" t="s">
        <v>24209</v>
      </c>
      <c r="C8082" t="s">
        <v>24209</v>
      </c>
      <c r="D8082" t="str">
        <f>HYPERLINK("https://zfin.org/ZDB-GENE-040718-430")</f>
        <v>https://zfin.org/ZDB-GENE-040718-430</v>
      </c>
      <c r="E8082" t="s">
        <v>24210</v>
      </c>
    </row>
    <row r="8083" spans="1:5" x14ac:dyDescent="0.2">
      <c r="A8083" t="s">
        <v>24211</v>
      </c>
      <c r="B8083" t="s">
        <v>24212</v>
      </c>
      <c r="C8083" t="s">
        <v>24212</v>
      </c>
      <c r="D8083" t="str">
        <f>HYPERLINK("https://zfin.org/ZDB-GENE-041114-100")</f>
        <v>https://zfin.org/ZDB-GENE-041114-100</v>
      </c>
      <c r="E8083" t="s">
        <v>24213</v>
      </c>
    </row>
    <row r="8084" spans="1:5" x14ac:dyDescent="0.2">
      <c r="A8084" t="s">
        <v>24214</v>
      </c>
      <c r="B8084" t="s">
        <v>24215</v>
      </c>
      <c r="C8084" t="s">
        <v>24215</v>
      </c>
      <c r="D8084" t="str">
        <f>HYPERLINK("https://zfin.org/ZDB-GENE-160113-49")</f>
        <v>https://zfin.org/ZDB-GENE-160113-49</v>
      </c>
      <c r="E8084" t="s">
        <v>24216</v>
      </c>
    </row>
    <row r="8085" spans="1:5" x14ac:dyDescent="0.2">
      <c r="A8085" t="s">
        <v>24217</v>
      </c>
      <c r="B8085" t="s">
        <v>24218</v>
      </c>
      <c r="C8085" t="s">
        <v>24218</v>
      </c>
      <c r="D8085" t="str">
        <f>HYPERLINK("https://zfin.org/ZDB-GENE-160113-129")</f>
        <v>https://zfin.org/ZDB-GENE-160113-129</v>
      </c>
      <c r="E8085" t="s">
        <v>24219</v>
      </c>
    </row>
    <row r="8086" spans="1:5" x14ac:dyDescent="0.2">
      <c r="A8086" t="s">
        <v>24220</v>
      </c>
      <c r="B8086" t="s">
        <v>24221</v>
      </c>
      <c r="C8086" t="s">
        <v>24221</v>
      </c>
      <c r="D8086" t="str">
        <f>HYPERLINK("https://zfin.org/ZDB-GENE-121120-2")</f>
        <v>https://zfin.org/ZDB-GENE-121120-2</v>
      </c>
      <c r="E8086" t="s">
        <v>24222</v>
      </c>
    </row>
    <row r="8087" spans="1:5" x14ac:dyDescent="0.2">
      <c r="A8087" t="s">
        <v>24223</v>
      </c>
      <c r="B8087" t="s">
        <v>24224</v>
      </c>
      <c r="C8087" t="s">
        <v>24224</v>
      </c>
      <c r="D8087" t="str">
        <f>HYPERLINK("https://zfin.org/ZDB-GENE-130603-30")</f>
        <v>https://zfin.org/ZDB-GENE-130603-30</v>
      </c>
      <c r="E8087" t="s">
        <v>24225</v>
      </c>
    </row>
    <row r="8088" spans="1:5" x14ac:dyDescent="0.2">
      <c r="A8088" t="s">
        <v>24226</v>
      </c>
      <c r="B8088" t="s">
        <v>24227</v>
      </c>
      <c r="C8088" t="s">
        <v>24227</v>
      </c>
      <c r="D8088" t="str">
        <f>HYPERLINK("https://zfin.org/ZDB-GENE-060929-1262")</f>
        <v>https://zfin.org/ZDB-GENE-060929-1262</v>
      </c>
      <c r="E8088" t="s">
        <v>24228</v>
      </c>
    </row>
    <row r="8089" spans="1:5" x14ac:dyDescent="0.2">
      <c r="A8089" t="s">
        <v>24229</v>
      </c>
      <c r="B8089" t="s">
        <v>24230</v>
      </c>
      <c r="C8089" t="s">
        <v>24230</v>
      </c>
      <c r="D8089" t="str">
        <f>HYPERLINK("https://zfin.org/ZDB-GENE-131121-368")</f>
        <v>https://zfin.org/ZDB-GENE-131121-368</v>
      </c>
      <c r="E8089" t="s">
        <v>24231</v>
      </c>
    </row>
    <row r="8090" spans="1:5" x14ac:dyDescent="0.2">
      <c r="A8090" t="s">
        <v>24232</v>
      </c>
      <c r="B8090" t="s">
        <v>24233</v>
      </c>
      <c r="C8090" t="s">
        <v>24233</v>
      </c>
      <c r="D8090" t="str">
        <f>HYPERLINK("https://zfin.org/ZDB-GENE-070705-553")</f>
        <v>https://zfin.org/ZDB-GENE-070705-553</v>
      </c>
      <c r="E8090" t="s">
        <v>24234</v>
      </c>
    </row>
    <row r="8091" spans="1:5" x14ac:dyDescent="0.2">
      <c r="A8091" t="s">
        <v>24235</v>
      </c>
      <c r="B8091" t="s">
        <v>24236</v>
      </c>
      <c r="C8091" t="s">
        <v>24236</v>
      </c>
      <c r="D8091" t="str">
        <f>HYPERLINK("https://zfin.org/ZDB-GENE-091204-51")</f>
        <v>https://zfin.org/ZDB-GENE-091204-51</v>
      </c>
      <c r="E8091" t="s">
        <v>24237</v>
      </c>
    </row>
    <row r="8092" spans="1:5" x14ac:dyDescent="0.2">
      <c r="A8092" t="s">
        <v>24238</v>
      </c>
      <c r="B8092" t="s">
        <v>24239</v>
      </c>
      <c r="C8092" t="s">
        <v>24239</v>
      </c>
      <c r="D8092" t="str">
        <f>HYPERLINK("https://zfin.org/ZDB-GENE-041111-187")</f>
        <v>https://zfin.org/ZDB-GENE-041111-187</v>
      </c>
      <c r="E8092" t="s">
        <v>24240</v>
      </c>
    </row>
    <row r="8093" spans="1:5" x14ac:dyDescent="0.2">
      <c r="A8093" t="s">
        <v>24241</v>
      </c>
      <c r="B8093" t="s">
        <v>24242</v>
      </c>
      <c r="C8093" t="s">
        <v>24242</v>
      </c>
      <c r="D8093" t="str">
        <f>HYPERLINK("https://zfin.org/ZDB-GENE-070129-1")</f>
        <v>https://zfin.org/ZDB-GENE-070129-1</v>
      </c>
      <c r="E8093" t="s">
        <v>24243</v>
      </c>
    </row>
    <row r="8094" spans="1:5" x14ac:dyDescent="0.2">
      <c r="A8094" t="s">
        <v>24244</v>
      </c>
      <c r="B8094" t="s">
        <v>24245</v>
      </c>
      <c r="C8094" t="s">
        <v>24245</v>
      </c>
      <c r="D8094" t="str">
        <f>HYPERLINK("https://zfin.org/ZDB-GENE-990415-50")</f>
        <v>https://zfin.org/ZDB-GENE-990415-50</v>
      </c>
      <c r="E8094" t="s">
        <v>24246</v>
      </c>
    </row>
    <row r="8095" spans="1:5" x14ac:dyDescent="0.2">
      <c r="A8095" t="s">
        <v>24247</v>
      </c>
      <c r="B8095" t="s">
        <v>24248</v>
      </c>
      <c r="C8095" t="s">
        <v>24248</v>
      </c>
      <c r="D8095" t="str">
        <f>HYPERLINK("https://zfin.org/ZDB-GENE-081104-381")</f>
        <v>https://zfin.org/ZDB-GENE-081104-381</v>
      </c>
      <c r="E8095" t="s">
        <v>24249</v>
      </c>
    </row>
    <row r="8096" spans="1:5" x14ac:dyDescent="0.2">
      <c r="A8096" t="s">
        <v>24250</v>
      </c>
      <c r="B8096" t="s">
        <v>24251</v>
      </c>
      <c r="C8096" t="s">
        <v>24251</v>
      </c>
      <c r="D8096" t="str">
        <f>HYPERLINK("https://zfin.org/ZDB-GENE-040914-76")</f>
        <v>https://zfin.org/ZDB-GENE-040914-76</v>
      </c>
      <c r="E8096" t="s">
        <v>24252</v>
      </c>
    </row>
    <row r="8097" spans="1:5" x14ac:dyDescent="0.2">
      <c r="A8097" t="s">
        <v>24253</v>
      </c>
      <c r="B8097" t="s">
        <v>24254</v>
      </c>
      <c r="C8097" t="s">
        <v>24254</v>
      </c>
      <c r="D8097" t="str">
        <f>HYPERLINK("https://zfin.org/ZDB-GENE-040718-219")</f>
        <v>https://zfin.org/ZDB-GENE-040718-219</v>
      </c>
      <c r="E8097" t="s">
        <v>24255</v>
      </c>
    </row>
    <row r="8098" spans="1:5" x14ac:dyDescent="0.2">
      <c r="A8098" t="s">
        <v>24256</v>
      </c>
      <c r="B8098" t="s">
        <v>24257</v>
      </c>
      <c r="C8098" t="s">
        <v>24257</v>
      </c>
      <c r="D8098" t="str">
        <f>HYPERLINK("https://zfin.org/ZDB-GENE-040426-782")</f>
        <v>https://zfin.org/ZDB-GENE-040426-782</v>
      </c>
      <c r="E8098" t="s">
        <v>24258</v>
      </c>
    </row>
    <row r="8099" spans="1:5" x14ac:dyDescent="0.2">
      <c r="A8099" t="s">
        <v>24259</v>
      </c>
      <c r="B8099" t="s">
        <v>24260</v>
      </c>
      <c r="C8099" t="s">
        <v>24260</v>
      </c>
      <c r="D8099" t="str">
        <f>HYPERLINK("https://zfin.org/ZDB-GENE-030131-2143")</f>
        <v>https://zfin.org/ZDB-GENE-030131-2143</v>
      </c>
      <c r="E8099" t="s">
        <v>24261</v>
      </c>
    </row>
    <row r="8100" spans="1:5" x14ac:dyDescent="0.2">
      <c r="A8100" t="s">
        <v>24262</v>
      </c>
      <c r="B8100" t="s">
        <v>24263</v>
      </c>
      <c r="C8100" t="s">
        <v>24263</v>
      </c>
      <c r="D8100" t="str">
        <f>HYPERLINK("https://zfin.org/ZDB-GENE-010323-11")</f>
        <v>https://zfin.org/ZDB-GENE-010323-11</v>
      </c>
      <c r="E8100" t="s">
        <v>24264</v>
      </c>
    </row>
    <row r="8101" spans="1:5" x14ac:dyDescent="0.2">
      <c r="A8101" t="s">
        <v>24265</v>
      </c>
      <c r="B8101" t="s">
        <v>24266</v>
      </c>
      <c r="C8101" t="s">
        <v>24266</v>
      </c>
      <c r="D8101" t="str">
        <f>HYPERLINK("https://zfin.org/ZDB-GENE-050417-296")</f>
        <v>https://zfin.org/ZDB-GENE-050417-296</v>
      </c>
      <c r="E8101" t="s">
        <v>24267</v>
      </c>
    </row>
    <row r="8102" spans="1:5" x14ac:dyDescent="0.2">
      <c r="A8102" t="s">
        <v>24268</v>
      </c>
      <c r="B8102" t="s">
        <v>24269</v>
      </c>
      <c r="C8102" t="s">
        <v>24269</v>
      </c>
      <c r="D8102" t="str">
        <f>HYPERLINK("https://zfin.org/ZDB-GENE-131121-427")</f>
        <v>https://zfin.org/ZDB-GENE-131121-427</v>
      </c>
      <c r="E8102" t="s">
        <v>24270</v>
      </c>
    </row>
    <row r="8103" spans="1:5" x14ac:dyDescent="0.2">
      <c r="A8103" t="s">
        <v>24271</v>
      </c>
      <c r="B8103" t="s">
        <v>24272</v>
      </c>
      <c r="C8103" t="s">
        <v>24272</v>
      </c>
      <c r="D8103" t="str">
        <f>HYPERLINK("https://zfin.org/ZDB-GENE-050208-601")</f>
        <v>https://zfin.org/ZDB-GENE-050208-601</v>
      </c>
      <c r="E8103" t="s">
        <v>24273</v>
      </c>
    </row>
    <row r="8104" spans="1:5" x14ac:dyDescent="0.2">
      <c r="A8104" t="s">
        <v>24274</v>
      </c>
      <c r="B8104" t="s">
        <v>24275</v>
      </c>
      <c r="C8104" t="s">
        <v>24275</v>
      </c>
      <c r="D8104" t="str">
        <f>HYPERLINK("https://zfin.org/ZDB-GENE-010501-4")</f>
        <v>https://zfin.org/ZDB-GENE-010501-4</v>
      </c>
      <c r="E8104" t="s">
        <v>24276</v>
      </c>
    </row>
    <row r="8105" spans="1:5" x14ac:dyDescent="0.2">
      <c r="A8105" t="s">
        <v>24277</v>
      </c>
      <c r="B8105" t="s">
        <v>24278</v>
      </c>
      <c r="C8105" t="s">
        <v>24278</v>
      </c>
      <c r="D8105" t="str">
        <f>HYPERLINK("https://zfin.org/ZDB-GENE-091118-8")</f>
        <v>https://zfin.org/ZDB-GENE-091118-8</v>
      </c>
      <c r="E8105" t="s">
        <v>24279</v>
      </c>
    </row>
    <row r="8106" spans="1:5" x14ac:dyDescent="0.2">
      <c r="A8106" t="s">
        <v>24280</v>
      </c>
      <c r="B8106" t="s">
        <v>24281</v>
      </c>
      <c r="C8106" t="s">
        <v>24281</v>
      </c>
      <c r="D8106" t="str">
        <f>HYPERLINK("https://zfin.org/ZDB-GENE-040801-142")</f>
        <v>https://zfin.org/ZDB-GENE-040801-142</v>
      </c>
      <c r="E8106" t="s">
        <v>24282</v>
      </c>
    </row>
    <row r="8107" spans="1:5" x14ac:dyDescent="0.2">
      <c r="A8107" t="s">
        <v>24283</v>
      </c>
      <c r="B8107" t="s">
        <v>24284</v>
      </c>
      <c r="C8107" t="s">
        <v>24284</v>
      </c>
      <c r="D8107" t="str">
        <f>HYPERLINK("https://zfin.org/ZDB-GENE-040520-2")</f>
        <v>https://zfin.org/ZDB-GENE-040520-2</v>
      </c>
      <c r="E8107" t="s">
        <v>24285</v>
      </c>
    </row>
    <row r="8108" spans="1:5" x14ac:dyDescent="0.2">
      <c r="A8108" t="s">
        <v>24286</v>
      </c>
      <c r="B8108" t="s">
        <v>24287</v>
      </c>
      <c r="C8108" t="s">
        <v>24287</v>
      </c>
      <c r="D8108" t="str">
        <f>HYPERLINK("https://zfin.org/ZDB-GENE-131127-533")</f>
        <v>https://zfin.org/ZDB-GENE-131127-533</v>
      </c>
      <c r="E8108" t="s">
        <v>24288</v>
      </c>
    </row>
    <row r="8109" spans="1:5" x14ac:dyDescent="0.2">
      <c r="A8109" t="s">
        <v>24289</v>
      </c>
      <c r="B8109" t="s">
        <v>24290</v>
      </c>
      <c r="C8109" t="s">
        <v>24290</v>
      </c>
      <c r="D8109" t="str">
        <f>HYPERLINK("https://zfin.org/ZDB-GENE-101007-3")</f>
        <v>https://zfin.org/ZDB-GENE-101007-3</v>
      </c>
      <c r="E8109" t="s">
        <v>24291</v>
      </c>
    </row>
    <row r="8110" spans="1:5" x14ac:dyDescent="0.2">
      <c r="A8110" t="s">
        <v>24292</v>
      </c>
      <c r="B8110" t="s">
        <v>24293</v>
      </c>
      <c r="C8110" t="s">
        <v>24293</v>
      </c>
      <c r="D8110" t="str">
        <f>HYPERLINK("https://zfin.org/ZDB-GENE-030114-8")</f>
        <v>https://zfin.org/ZDB-GENE-030114-8</v>
      </c>
      <c r="E8110" t="s">
        <v>24294</v>
      </c>
    </row>
    <row r="8111" spans="1:5" x14ac:dyDescent="0.2">
      <c r="A8111" t="s">
        <v>24295</v>
      </c>
      <c r="B8111" t="s">
        <v>24296</v>
      </c>
      <c r="C8111" t="s">
        <v>24296</v>
      </c>
      <c r="D8111" t="str">
        <f>HYPERLINK("https://zfin.org/ZDB-GENE-040625-176")</f>
        <v>https://zfin.org/ZDB-GENE-040625-176</v>
      </c>
      <c r="E8111" t="s">
        <v>24297</v>
      </c>
    </row>
    <row r="8112" spans="1:5" x14ac:dyDescent="0.2">
      <c r="A8112" t="s">
        <v>24298</v>
      </c>
      <c r="B8112" t="s">
        <v>24299</v>
      </c>
      <c r="C8112" t="s">
        <v>24299</v>
      </c>
      <c r="D8112" t="str">
        <f>HYPERLINK("https://zfin.org/ZDB-GENE-040801-133")</f>
        <v>https://zfin.org/ZDB-GENE-040801-133</v>
      </c>
      <c r="E8112" t="s">
        <v>24300</v>
      </c>
    </row>
    <row r="8113" spans="1:5" x14ac:dyDescent="0.2">
      <c r="A8113" t="s">
        <v>24301</v>
      </c>
      <c r="B8113" t="s">
        <v>24302</v>
      </c>
      <c r="C8113" t="s">
        <v>24302</v>
      </c>
      <c r="D8113" t="str">
        <f>HYPERLINK("https://zfin.org/ZDB-GENE-030131-6123")</f>
        <v>https://zfin.org/ZDB-GENE-030131-6123</v>
      </c>
      <c r="E8113" t="s">
        <v>24303</v>
      </c>
    </row>
    <row r="8114" spans="1:5" x14ac:dyDescent="0.2">
      <c r="A8114" t="s">
        <v>24304</v>
      </c>
      <c r="B8114" t="s">
        <v>24305</v>
      </c>
      <c r="C8114" t="s">
        <v>24305</v>
      </c>
      <c r="D8114" t="str">
        <f>HYPERLINK("https://zfin.org/ZDB-GENE-050102-4")</f>
        <v>https://zfin.org/ZDB-GENE-050102-4</v>
      </c>
      <c r="E8114" t="s">
        <v>24306</v>
      </c>
    </row>
    <row r="8115" spans="1:5" x14ac:dyDescent="0.2">
      <c r="A8115" t="s">
        <v>24307</v>
      </c>
      <c r="B8115" t="s">
        <v>24308</v>
      </c>
      <c r="C8115" t="s">
        <v>24308</v>
      </c>
      <c r="D8115" t="str">
        <f>HYPERLINK("https://zfin.org/ZDB-GENE-041014-310")</f>
        <v>https://zfin.org/ZDB-GENE-041014-310</v>
      </c>
      <c r="E8115" t="s">
        <v>24309</v>
      </c>
    </row>
    <row r="8116" spans="1:5" x14ac:dyDescent="0.2">
      <c r="A8116" t="s">
        <v>24310</v>
      </c>
      <c r="B8116" t="s">
        <v>24311</v>
      </c>
      <c r="C8116" t="s">
        <v>24311</v>
      </c>
      <c r="D8116" t="str">
        <f>HYPERLINK("https://zfin.org/ZDB-GENE-071005-3")</f>
        <v>https://zfin.org/ZDB-GENE-071005-3</v>
      </c>
      <c r="E8116" t="s">
        <v>24312</v>
      </c>
    </row>
    <row r="8117" spans="1:5" x14ac:dyDescent="0.2">
      <c r="A8117" t="s">
        <v>24313</v>
      </c>
      <c r="B8117" t="s">
        <v>24314</v>
      </c>
      <c r="C8117" t="s">
        <v>24314</v>
      </c>
      <c r="D8117" t="str">
        <f>HYPERLINK("https://zfin.org/ZDB-GENE-040426-2305")</f>
        <v>https://zfin.org/ZDB-GENE-040426-2305</v>
      </c>
      <c r="E8117" t="s">
        <v>24315</v>
      </c>
    </row>
    <row r="8118" spans="1:5" x14ac:dyDescent="0.2">
      <c r="A8118" t="s">
        <v>24316</v>
      </c>
      <c r="B8118" t="s">
        <v>24317</v>
      </c>
      <c r="C8118" t="s">
        <v>24317</v>
      </c>
      <c r="D8118" t="str">
        <f>HYPERLINK("https://zfin.org/ZDB-GENE-030328-13")</f>
        <v>https://zfin.org/ZDB-GENE-030328-13</v>
      </c>
      <c r="E8118" t="s">
        <v>24318</v>
      </c>
    </row>
    <row r="8119" spans="1:5" x14ac:dyDescent="0.2">
      <c r="A8119" t="s">
        <v>24319</v>
      </c>
      <c r="B8119" t="s">
        <v>24320</v>
      </c>
      <c r="C8119" t="s">
        <v>24320</v>
      </c>
      <c r="D8119" t="str">
        <f>HYPERLINK("https://zfin.org/ZDB-GENE-081104-197")</f>
        <v>https://zfin.org/ZDB-GENE-081104-197</v>
      </c>
      <c r="E8119" t="s">
        <v>24321</v>
      </c>
    </row>
    <row r="8120" spans="1:5" x14ac:dyDescent="0.2">
      <c r="A8120" t="s">
        <v>24322</v>
      </c>
      <c r="B8120" t="s">
        <v>24323</v>
      </c>
      <c r="C8120" t="s">
        <v>24323</v>
      </c>
      <c r="D8120" t="str">
        <f>HYPERLINK("https://zfin.org/ZDB-GENE-050208-116")</f>
        <v>https://zfin.org/ZDB-GENE-050208-116</v>
      </c>
      <c r="E8120" t="s">
        <v>24324</v>
      </c>
    </row>
    <row r="8121" spans="1:5" x14ac:dyDescent="0.2">
      <c r="A8121" t="s">
        <v>24325</v>
      </c>
      <c r="B8121" t="s">
        <v>24326</v>
      </c>
      <c r="C8121" t="s">
        <v>24326</v>
      </c>
      <c r="D8121" t="str">
        <f>HYPERLINK("https://zfin.org/ZDB-GENE-030616-129")</f>
        <v>https://zfin.org/ZDB-GENE-030616-129</v>
      </c>
      <c r="E8121" t="s">
        <v>24327</v>
      </c>
    </row>
    <row r="8122" spans="1:5" x14ac:dyDescent="0.2">
      <c r="A8122" t="s">
        <v>24328</v>
      </c>
      <c r="B8122" t="s">
        <v>24329</v>
      </c>
      <c r="C8122" t="s">
        <v>24329</v>
      </c>
      <c r="D8122" t="str">
        <f>HYPERLINK("https://zfin.org/ZDB-GENE-081104-428")</f>
        <v>https://zfin.org/ZDB-GENE-081104-428</v>
      </c>
      <c r="E8122" t="s">
        <v>24330</v>
      </c>
    </row>
    <row r="8123" spans="1:5" x14ac:dyDescent="0.2">
      <c r="A8123" t="s">
        <v>24331</v>
      </c>
      <c r="B8123" t="s">
        <v>24332</v>
      </c>
      <c r="C8123" t="s">
        <v>24332</v>
      </c>
      <c r="D8123" t="str">
        <f>HYPERLINK("https://zfin.org/ZDB-GENE-070209-286")</f>
        <v>https://zfin.org/ZDB-GENE-070209-286</v>
      </c>
      <c r="E8123" t="s">
        <v>24333</v>
      </c>
    </row>
    <row r="8124" spans="1:5" x14ac:dyDescent="0.2">
      <c r="A8124" t="s">
        <v>24334</v>
      </c>
      <c r="B8124" t="s">
        <v>24335</v>
      </c>
      <c r="C8124" t="s">
        <v>24335</v>
      </c>
      <c r="D8124" t="str">
        <f>HYPERLINK("https://zfin.org/ZDB-GENE-080723-20")</f>
        <v>https://zfin.org/ZDB-GENE-080723-20</v>
      </c>
      <c r="E8124" t="s">
        <v>24336</v>
      </c>
    </row>
    <row r="8125" spans="1:5" x14ac:dyDescent="0.2">
      <c r="A8125" t="s">
        <v>24337</v>
      </c>
      <c r="B8125" t="s">
        <v>24338</v>
      </c>
      <c r="C8125" t="s">
        <v>24338</v>
      </c>
      <c r="D8125" t="str">
        <f>HYPERLINK("https://zfin.org/ZDB-GENE-060510-3")</f>
        <v>https://zfin.org/ZDB-GENE-060510-3</v>
      </c>
      <c r="E8125" t="s">
        <v>24339</v>
      </c>
    </row>
    <row r="8126" spans="1:5" x14ac:dyDescent="0.2">
      <c r="A8126" t="s">
        <v>24340</v>
      </c>
      <c r="B8126" t="s">
        <v>24341</v>
      </c>
      <c r="C8126" t="s">
        <v>24341</v>
      </c>
      <c r="D8126" t="str">
        <f>HYPERLINK("https://zfin.org/ZDB-GENE-050208-747")</f>
        <v>https://zfin.org/ZDB-GENE-050208-747</v>
      </c>
      <c r="E8126" t="s">
        <v>24342</v>
      </c>
    </row>
    <row r="8127" spans="1:5" x14ac:dyDescent="0.2">
      <c r="A8127" t="s">
        <v>24343</v>
      </c>
      <c r="B8127" t="s">
        <v>24344</v>
      </c>
      <c r="C8127" t="s">
        <v>24344</v>
      </c>
      <c r="D8127" t="str">
        <f>HYPERLINK("https://zfin.org/ZDB-GENE-070424-75")</f>
        <v>https://zfin.org/ZDB-GENE-070424-75</v>
      </c>
      <c r="E8127" t="s">
        <v>24345</v>
      </c>
    </row>
    <row r="8128" spans="1:5" x14ac:dyDescent="0.2">
      <c r="A8128" t="s">
        <v>24346</v>
      </c>
      <c r="B8128" t="s">
        <v>24347</v>
      </c>
      <c r="C8128" t="s">
        <v>24347</v>
      </c>
      <c r="D8128" t="str">
        <f>HYPERLINK("https://zfin.org/ZDB-GENE-050417-302")</f>
        <v>https://zfin.org/ZDB-GENE-050417-302</v>
      </c>
      <c r="E8128" t="s">
        <v>24348</v>
      </c>
    </row>
    <row r="8129" spans="1:5" x14ac:dyDescent="0.2">
      <c r="A8129" t="s">
        <v>24349</v>
      </c>
      <c r="B8129" t="s">
        <v>24350</v>
      </c>
      <c r="C8129" t="s">
        <v>24350</v>
      </c>
      <c r="D8129" t="str">
        <f>HYPERLINK("https://zfin.org/ZDB-GENE-040912-127")</f>
        <v>https://zfin.org/ZDB-GENE-040912-127</v>
      </c>
      <c r="E8129" t="s">
        <v>24351</v>
      </c>
    </row>
    <row r="8130" spans="1:5" x14ac:dyDescent="0.2">
      <c r="A8130" t="s">
        <v>24352</v>
      </c>
      <c r="B8130" t="s">
        <v>24353</v>
      </c>
      <c r="C8130" t="s">
        <v>24353</v>
      </c>
      <c r="D8130" t="str">
        <f>HYPERLINK("https://zfin.org/ZDB-GENE-030131-5987")</f>
        <v>https://zfin.org/ZDB-GENE-030131-5987</v>
      </c>
      <c r="E8130" t="s">
        <v>24354</v>
      </c>
    </row>
    <row r="8131" spans="1:5" x14ac:dyDescent="0.2">
      <c r="A8131" t="s">
        <v>24355</v>
      </c>
      <c r="B8131" t="s">
        <v>24356</v>
      </c>
      <c r="C8131" t="s">
        <v>24356</v>
      </c>
      <c r="D8131" t="str">
        <f>HYPERLINK("https://zfin.org/ZDB-GENE-071012-6")</f>
        <v>https://zfin.org/ZDB-GENE-071012-6</v>
      </c>
      <c r="E8131" t="s">
        <v>24357</v>
      </c>
    </row>
    <row r="8132" spans="1:5" x14ac:dyDescent="0.2">
      <c r="A8132" t="s">
        <v>24358</v>
      </c>
      <c r="B8132" t="s">
        <v>24359</v>
      </c>
      <c r="C8132" t="s">
        <v>24359</v>
      </c>
      <c r="D8132" t="str">
        <f>HYPERLINK("https://zfin.org/ZDB-GENE-040718-58")</f>
        <v>https://zfin.org/ZDB-GENE-040718-58</v>
      </c>
      <c r="E8132" t="s">
        <v>24360</v>
      </c>
    </row>
    <row r="8133" spans="1:5" x14ac:dyDescent="0.2">
      <c r="A8133" t="s">
        <v>24361</v>
      </c>
      <c r="B8133" t="s">
        <v>24362</v>
      </c>
      <c r="C8133" t="s">
        <v>24362</v>
      </c>
      <c r="D8133" t="str">
        <f>HYPERLINK("https://zfin.org/ZDB-GENE-050309-65")</f>
        <v>https://zfin.org/ZDB-GENE-050309-65</v>
      </c>
      <c r="E8133" t="s">
        <v>24363</v>
      </c>
    </row>
    <row r="8134" spans="1:5" x14ac:dyDescent="0.2">
      <c r="A8134" t="s">
        <v>24364</v>
      </c>
      <c r="B8134" t="s">
        <v>24365</v>
      </c>
      <c r="C8134" t="s">
        <v>24365</v>
      </c>
      <c r="D8134" t="str">
        <f>HYPERLINK("https://zfin.org/ZDB-GENE-111109-1")</f>
        <v>https://zfin.org/ZDB-GENE-111109-1</v>
      </c>
      <c r="E8134" t="s">
        <v>24366</v>
      </c>
    </row>
    <row r="8135" spans="1:5" x14ac:dyDescent="0.2">
      <c r="A8135" t="s">
        <v>24367</v>
      </c>
      <c r="B8135" t="s">
        <v>24368</v>
      </c>
      <c r="C8135" t="s">
        <v>24368</v>
      </c>
      <c r="D8135" t="str">
        <f>HYPERLINK("https://zfin.org/ZDB-GENE-060503-848")</f>
        <v>https://zfin.org/ZDB-GENE-060503-848</v>
      </c>
      <c r="E8135" t="s">
        <v>24369</v>
      </c>
    </row>
    <row r="8136" spans="1:5" x14ac:dyDescent="0.2">
      <c r="A8136" t="s">
        <v>24370</v>
      </c>
      <c r="B8136" t="s">
        <v>24371</v>
      </c>
      <c r="C8136" t="s">
        <v>24371</v>
      </c>
      <c r="D8136" t="str">
        <f>HYPERLINK("https://zfin.org/ZDB-GENE-070705-5")</f>
        <v>https://zfin.org/ZDB-GENE-070705-5</v>
      </c>
      <c r="E8136" t="s">
        <v>24372</v>
      </c>
    </row>
    <row r="8137" spans="1:5" x14ac:dyDescent="0.2">
      <c r="A8137" t="s">
        <v>24373</v>
      </c>
      <c r="B8137" t="s">
        <v>24374</v>
      </c>
      <c r="C8137" t="s">
        <v>24374</v>
      </c>
      <c r="D8137" t="str">
        <f>HYPERLINK("https://zfin.org/ZDB-GENE-040801-30")</f>
        <v>https://zfin.org/ZDB-GENE-040801-30</v>
      </c>
      <c r="E8137" t="s">
        <v>24375</v>
      </c>
    </row>
    <row r="8138" spans="1:5" x14ac:dyDescent="0.2">
      <c r="A8138" t="s">
        <v>24376</v>
      </c>
      <c r="B8138" t="s">
        <v>24377</v>
      </c>
      <c r="C8138" t="s">
        <v>24377</v>
      </c>
      <c r="D8138" t="str">
        <f>HYPERLINK("https://zfin.org/ZDB-GENE-040426-1337")</f>
        <v>https://zfin.org/ZDB-GENE-040426-1337</v>
      </c>
      <c r="E8138" t="s">
        <v>24378</v>
      </c>
    </row>
    <row r="8139" spans="1:5" x14ac:dyDescent="0.2">
      <c r="A8139" t="s">
        <v>24379</v>
      </c>
      <c r="B8139" t="s">
        <v>24380</v>
      </c>
      <c r="C8139" t="s">
        <v>24380</v>
      </c>
      <c r="D8139" t="str">
        <f>HYPERLINK("https://zfin.org/ZDB-GENE-030131-4925")</f>
        <v>https://zfin.org/ZDB-GENE-030131-4925</v>
      </c>
      <c r="E8139" t="s">
        <v>24381</v>
      </c>
    </row>
    <row r="8140" spans="1:5" x14ac:dyDescent="0.2">
      <c r="A8140" t="s">
        <v>24382</v>
      </c>
      <c r="B8140" t="s">
        <v>24383</v>
      </c>
      <c r="C8140" t="s">
        <v>24383</v>
      </c>
      <c r="D8140" t="str">
        <f>HYPERLINK("https://zfin.org/ZDB-GENE-040426-2229")</f>
        <v>https://zfin.org/ZDB-GENE-040426-2229</v>
      </c>
      <c r="E8140" t="s">
        <v>24384</v>
      </c>
    </row>
    <row r="8141" spans="1:5" x14ac:dyDescent="0.2">
      <c r="A8141" t="s">
        <v>24385</v>
      </c>
      <c r="B8141" t="s">
        <v>24386</v>
      </c>
      <c r="C8141" t="s">
        <v>24386</v>
      </c>
      <c r="D8141" t="str">
        <f>HYPERLINK("https://zfin.org/ZDB-GENE-071012-1")</f>
        <v>https://zfin.org/ZDB-GENE-071012-1</v>
      </c>
      <c r="E8141" t="s">
        <v>24387</v>
      </c>
    </row>
    <row r="8142" spans="1:5" x14ac:dyDescent="0.2">
      <c r="A8142" t="s">
        <v>24388</v>
      </c>
      <c r="B8142" t="s">
        <v>24389</v>
      </c>
      <c r="C8142" t="s">
        <v>24389</v>
      </c>
      <c r="D8142" t="str">
        <f>HYPERLINK("https://zfin.org/ZDB-GENE-070209-119")</f>
        <v>https://zfin.org/ZDB-GENE-070209-119</v>
      </c>
      <c r="E8142" t="s">
        <v>24390</v>
      </c>
    </row>
    <row r="8143" spans="1:5" x14ac:dyDescent="0.2">
      <c r="A8143" t="s">
        <v>24391</v>
      </c>
      <c r="B8143" t="s">
        <v>24392</v>
      </c>
      <c r="C8143" t="s">
        <v>24392</v>
      </c>
      <c r="D8143" t="str">
        <f>HYPERLINK("https://zfin.org/ZDB-GENE-121214-328")</f>
        <v>https://zfin.org/ZDB-GENE-121214-328</v>
      </c>
      <c r="E8143" t="s">
        <v>24393</v>
      </c>
    </row>
    <row r="8144" spans="1:5" x14ac:dyDescent="0.2">
      <c r="A8144" t="s">
        <v>24394</v>
      </c>
      <c r="B8144" t="s">
        <v>24395</v>
      </c>
      <c r="C8144" t="s">
        <v>24395</v>
      </c>
      <c r="D8144" t="str">
        <f>HYPERLINK("https://zfin.org/ZDB-GENE-041014-309")</f>
        <v>https://zfin.org/ZDB-GENE-041014-309</v>
      </c>
      <c r="E8144" t="s">
        <v>24396</v>
      </c>
    </row>
    <row r="8145" spans="1:5" x14ac:dyDescent="0.2">
      <c r="A8145" t="s">
        <v>24397</v>
      </c>
      <c r="B8145" t="s">
        <v>24398</v>
      </c>
      <c r="C8145" t="s">
        <v>24398</v>
      </c>
      <c r="D8145" t="str">
        <f>HYPERLINK("https://zfin.org/ZDB-GENE-040426-1788")</f>
        <v>https://zfin.org/ZDB-GENE-040426-1788</v>
      </c>
      <c r="E8145" t="s">
        <v>24399</v>
      </c>
    </row>
    <row r="8146" spans="1:5" x14ac:dyDescent="0.2">
      <c r="A8146" t="s">
        <v>24400</v>
      </c>
      <c r="B8146" t="s">
        <v>24401</v>
      </c>
      <c r="C8146" t="s">
        <v>24401</v>
      </c>
      <c r="D8146" t="str">
        <f>HYPERLINK("https://zfin.org/ZDB-GENE-060503-941")</f>
        <v>https://zfin.org/ZDB-GENE-060503-941</v>
      </c>
      <c r="E8146" t="s">
        <v>24402</v>
      </c>
    </row>
    <row r="8147" spans="1:5" x14ac:dyDescent="0.2">
      <c r="A8147" t="s">
        <v>24403</v>
      </c>
      <c r="B8147" t="s">
        <v>24404</v>
      </c>
      <c r="C8147" t="s">
        <v>24404</v>
      </c>
      <c r="D8147" t="str">
        <f>HYPERLINK("https://zfin.org/ZDB-GENE-030131-2202")</f>
        <v>https://zfin.org/ZDB-GENE-030131-2202</v>
      </c>
      <c r="E8147" t="s">
        <v>24405</v>
      </c>
    </row>
    <row r="8148" spans="1:5" x14ac:dyDescent="0.2">
      <c r="A8148" t="s">
        <v>24406</v>
      </c>
      <c r="B8148" t="s">
        <v>24407</v>
      </c>
      <c r="C8148" t="s">
        <v>24407</v>
      </c>
      <c r="D8148" t="str">
        <f>HYPERLINK("https://zfin.org/ZDB-GENE-060223-2")</f>
        <v>https://zfin.org/ZDB-GENE-060223-2</v>
      </c>
      <c r="E8148" t="s">
        <v>24408</v>
      </c>
    </row>
    <row r="8149" spans="1:5" x14ac:dyDescent="0.2">
      <c r="A8149" t="s">
        <v>24409</v>
      </c>
      <c r="B8149" t="s">
        <v>24410</v>
      </c>
      <c r="C8149" t="s">
        <v>24410</v>
      </c>
      <c r="D8149" t="str">
        <f>HYPERLINK("https://zfin.org/ZDB-GENE-141212-402")</f>
        <v>https://zfin.org/ZDB-GENE-141212-402</v>
      </c>
      <c r="E8149" t="s">
        <v>24411</v>
      </c>
    </row>
    <row r="8150" spans="1:5" x14ac:dyDescent="0.2">
      <c r="A8150" t="s">
        <v>24412</v>
      </c>
      <c r="B8150" t="s">
        <v>24413</v>
      </c>
      <c r="C8150" t="s">
        <v>24413</v>
      </c>
      <c r="D8150" t="str">
        <f>HYPERLINK("https://zfin.org/ZDB-GENE-050417-344")</f>
        <v>https://zfin.org/ZDB-GENE-050417-344</v>
      </c>
      <c r="E8150" t="s">
        <v>24414</v>
      </c>
    </row>
    <row r="8151" spans="1:5" x14ac:dyDescent="0.2">
      <c r="A8151" t="s">
        <v>24415</v>
      </c>
      <c r="B8151" t="s">
        <v>24416</v>
      </c>
      <c r="C8151" t="s">
        <v>24416</v>
      </c>
      <c r="D8151" t="str">
        <f>HYPERLINK("https://zfin.org/ZDB-GENE-030131-9529")</f>
        <v>https://zfin.org/ZDB-GENE-030131-9529</v>
      </c>
      <c r="E8151" t="s">
        <v>24417</v>
      </c>
    </row>
    <row r="8152" spans="1:5" x14ac:dyDescent="0.2">
      <c r="A8152" t="s">
        <v>24418</v>
      </c>
      <c r="B8152" t="s">
        <v>24419</v>
      </c>
      <c r="C8152" t="s">
        <v>24419</v>
      </c>
      <c r="D8152" t="str">
        <f>HYPERLINK("https://zfin.org/ZDB-GENE-030131-8118")</f>
        <v>https://zfin.org/ZDB-GENE-030131-8118</v>
      </c>
      <c r="E8152" t="s">
        <v>24420</v>
      </c>
    </row>
    <row r="8153" spans="1:5" x14ac:dyDescent="0.2">
      <c r="A8153" t="s">
        <v>24421</v>
      </c>
      <c r="B8153" t="s">
        <v>24422</v>
      </c>
      <c r="C8153" t="s">
        <v>24422</v>
      </c>
      <c r="D8153" t="str">
        <f>HYPERLINK("https://zfin.org/ZDB-GENE-040426-2717")</f>
        <v>https://zfin.org/ZDB-GENE-040426-2717</v>
      </c>
      <c r="E8153" t="s">
        <v>24423</v>
      </c>
    </row>
    <row r="8154" spans="1:5" x14ac:dyDescent="0.2">
      <c r="A8154" t="s">
        <v>24424</v>
      </c>
      <c r="B8154" t="s">
        <v>24425</v>
      </c>
      <c r="C8154" t="s">
        <v>24425</v>
      </c>
      <c r="D8154" t="str">
        <f>HYPERLINK("https://zfin.org/ZDB-GENE-121214-213")</f>
        <v>https://zfin.org/ZDB-GENE-121214-213</v>
      </c>
      <c r="E8154" t="s">
        <v>24426</v>
      </c>
    </row>
    <row r="8155" spans="1:5" x14ac:dyDescent="0.2">
      <c r="A8155" t="s">
        <v>24427</v>
      </c>
      <c r="B8155" t="s">
        <v>24428</v>
      </c>
      <c r="C8155" t="s">
        <v>24428</v>
      </c>
      <c r="D8155" t="str">
        <f>HYPERLINK("https://zfin.org/ZDB-GENE-030131-6251")</f>
        <v>https://zfin.org/ZDB-GENE-030131-6251</v>
      </c>
      <c r="E8155" t="s">
        <v>24429</v>
      </c>
    </row>
    <row r="8156" spans="1:5" x14ac:dyDescent="0.2">
      <c r="A8156" t="s">
        <v>24430</v>
      </c>
      <c r="B8156" t="s">
        <v>24431</v>
      </c>
      <c r="C8156" t="s">
        <v>24431</v>
      </c>
      <c r="D8156" t="str">
        <f>HYPERLINK("https://zfin.org/ZDB-GENE-040801-261")</f>
        <v>https://zfin.org/ZDB-GENE-040801-261</v>
      </c>
      <c r="E8156" t="s">
        <v>24432</v>
      </c>
    </row>
    <row r="8157" spans="1:5" x14ac:dyDescent="0.2">
      <c r="A8157" t="s">
        <v>24433</v>
      </c>
      <c r="B8157" t="s">
        <v>24434</v>
      </c>
      <c r="C8157" t="s">
        <v>24434</v>
      </c>
      <c r="D8157" t="str">
        <f>HYPERLINK("https://zfin.org/ZDB-GENE-070928-12")</f>
        <v>https://zfin.org/ZDB-GENE-070928-12</v>
      </c>
      <c r="E8157" t="s">
        <v>24435</v>
      </c>
    </row>
    <row r="8158" spans="1:5" x14ac:dyDescent="0.2">
      <c r="A8158" t="s">
        <v>24436</v>
      </c>
      <c r="B8158" t="s">
        <v>24437</v>
      </c>
      <c r="C8158" t="s">
        <v>24437</v>
      </c>
      <c r="D8158" t="str">
        <f>HYPERLINK("https://zfin.org/ZDB-GENE-050309-236")</f>
        <v>https://zfin.org/ZDB-GENE-050309-236</v>
      </c>
      <c r="E8158" t="s">
        <v>24438</v>
      </c>
    </row>
    <row r="8159" spans="1:5" x14ac:dyDescent="0.2">
      <c r="A8159" t="s">
        <v>24439</v>
      </c>
      <c r="B8159" t="s">
        <v>24440</v>
      </c>
      <c r="C8159" t="s">
        <v>24440</v>
      </c>
      <c r="D8159" t="str">
        <f>HYPERLINK("https://zfin.org/ZDB-GENE-040912-37")</f>
        <v>https://zfin.org/ZDB-GENE-040912-37</v>
      </c>
      <c r="E8159" t="s">
        <v>24441</v>
      </c>
    </row>
    <row r="8160" spans="1:5" x14ac:dyDescent="0.2">
      <c r="A8160" t="s">
        <v>24442</v>
      </c>
      <c r="B8160" t="s">
        <v>24443</v>
      </c>
      <c r="C8160" t="s">
        <v>24443</v>
      </c>
      <c r="D8160" t="str">
        <f>HYPERLINK("https://zfin.org/ZDB-GENE-070209-253")</f>
        <v>https://zfin.org/ZDB-GENE-070209-253</v>
      </c>
      <c r="E8160" t="s">
        <v>24444</v>
      </c>
    </row>
    <row r="8161" spans="1:5" x14ac:dyDescent="0.2">
      <c r="A8161" t="s">
        <v>24445</v>
      </c>
      <c r="B8161" t="s">
        <v>24446</v>
      </c>
      <c r="C8161" t="s">
        <v>24446</v>
      </c>
      <c r="D8161" t="str">
        <f>HYPERLINK("https://zfin.org/ZDB-GENE-121214-202")</f>
        <v>https://zfin.org/ZDB-GENE-121214-202</v>
      </c>
      <c r="E8161" t="s">
        <v>24447</v>
      </c>
    </row>
    <row r="8162" spans="1:5" x14ac:dyDescent="0.2">
      <c r="A8162" t="s">
        <v>24448</v>
      </c>
      <c r="B8162" t="s">
        <v>24449</v>
      </c>
      <c r="C8162" t="s">
        <v>24449</v>
      </c>
      <c r="D8162" t="str">
        <f>HYPERLINK("https://zfin.org/ZDB-GENE-040809-1")</f>
        <v>https://zfin.org/ZDB-GENE-040809-1</v>
      </c>
      <c r="E8162" t="s">
        <v>24450</v>
      </c>
    </row>
    <row r="8163" spans="1:5" x14ac:dyDescent="0.2">
      <c r="A8163" t="s">
        <v>24451</v>
      </c>
      <c r="B8163" t="s">
        <v>24452</v>
      </c>
      <c r="C8163" t="s">
        <v>24452</v>
      </c>
      <c r="D8163" t="str">
        <f>HYPERLINK("https://zfin.org/ZDB-GENE-070410-134")</f>
        <v>https://zfin.org/ZDB-GENE-070410-134</v>
      </c>
      <c r="E8163" t="s">
        <v>24453</v>
      </c>
    </row>
    <row r="8164" spans="1:5" x14ac:dyDescent="0.2">
      <c r="A8164" t="s">
        <v>24454</v>
      </c>
      <c r="B8164" t="s">
        <v>24455</v>
      </c>
      <c r="C8164" t="s">
        <v>24455</v>
      </c>
      <c r="D8164" t="str">
        <f>HYPERLINK("https://zfin.org/ZDB-GENE-120727-11")</f>
        <v>https://zfin.org/ZDB-GENE-120727-11</v>
      </c>
      <c r="E8164" t="s">
        <v>24456</v>
      </c>
    </row>
    <row r="8165" spans="1:5" x14ac:dyDescent="0.2">
      <c r="A8165" t="s">
        <v>24457</v>
      </c>
      <c r="B8165" t="s">
        <v>24458</v>
      </c>
      <c r="C8165" t="s">
        <v>24458</v>
      </c>
      <c r="D8165" t="str">
        <f>HYPERLINK("https://zfin.org/ZDB-GENE-041111-115")</f>
        <v>https://zfin.org/ZDB-GENE-041111-115</v>
      </c>
      <c r="E8165" t="s">
        <v>24459</v>
      </c>
    </row>
    <row r="8166" spans="1:5" x14ac:dyDescent="0.2">
      <c r="A8166" t="s">
        <v>24460</v>
      </c>
      <c r="B8166" t="s">
        <v>24461</v>
      </c>
      <c r="C8166" t="s">
        <v>24461</v>
      </c>
      <c r="D8166" t="str">
        <f>HYPERLINK("https://zfin.org/ZDB-GENE-040801-50")</f>
        <v>https://zfin.org/ZDB-GENE-040801-50</v>
      </c>
      <c r="E8166" t="s">
        <v>24462</v>
      </c>
    </row>
    <row r="8167" spans="1:5" x14ac:dyDescent="0.2">
      <c r="A8167" t="s">
        <v>24463</v>
      </c>
      <c r="B8167" t="s">
        <v>24464</v>
      </c>
      <c r="C8167" t="s">
        <v>24464</v>
      </c>
      <c r="D8167" t="str">
        <f>HYPERLINK("https://zfin.org/ZDB-GENE-040426-1197")</f>
        <v>https://zfin.org/ZDB-GENE-040426-1197</v>
      </c>
      <c r="E8167" t="s">
        <v>24465</v>
      </c>
    </row>
    <row r="8168" spans="1:5" x14ac:dyDescent="0.2">
      <c r="A8168" t="s">
        <v>24466</v>
      </c>
      <c r="B8168" t="s">
        <v>24467</v>
      </c>
      <c r="C8168" t="s">
        <v>24467</v>
      </c>
      <c r="D8168" t="str">
        <f>HYPERLINK("https://zfin.org/ZDB-GENE-030131-2861")</f>
        <v>https://zfin.org/ZDB-GENE-030131-2861</v>
      </c>
      <c r="E8168" t="s">
        <v>24468</v>
      </c>
    </row>
    <row r="8169" spans="1:5" x14ac:dyDescent="0.2">
      <c r="A8169" t="s">
        <v>24469</v>
      </c>
      <c r="B8169" t="s">
        <v>24470</v>
      </c>
      <c r="C8169" t="s">
        <v>24470</v>
      </c>
      <c r="D8169" t="str">
        <f>HYPERLINK("https://zfin.org/ZDB-GENE-061110-76")</f>
        <v>https://zfin.org/ZDB-GENE-061110-76</v>
      </c>
      <c r="E8169" t="s">
        <v>24471</v>
      </c>
    </row>
    <row r="8170" spans="1:5" x14ac:dyDescent="0.2">
      <c r="A8170" t="s">
        <v>24472</v>
      </c>
      <c r="B8170" t="s">
        <v>24473</v>
      </c>
      <c r="C8170" t="s">
        <v>24473</v>
      </c>
      <c r="D8170" t="str">
        <f>HYPERLINK("https://zfin.org/ZDB-GENE-040426-2128")</f>
        <v>https://zfin.org/ZDB-GENE-040426-2128</v>
      </c>
      <c r="E8170" t="s">
        <v>24474</v>
      </c>
    </row>
    <row r="8171" spans="1:5" x14ac:dyDescent="0.2">
      <c r="A8171" t="s">
        <v>24475</v>
      </c>
      <c r="B8171" t="s">
        <v>24476</v>
      </c>
      <c r="C8171" t="s">
        <v>24476</v>
      </c>
      <c r="D8171" t="str">
        <f>HYPERLINK("https://zfin.org/ZDB-GENE-021030-5")</f>
        <v>https://zfin.org/ZDB-GENE-021030-5</v>
      </c>
      <c r="E8171" t="s">
        <v>24477</v>
      </c>
    </row>
    <row r="8172" spans="1:5" x14ac:dyDescent="0.2">
      <c r="A8172" t="s">
        <v>24478</v>
      </c>
      <c r="B8172" t="s">
        <v>24479</v>
      </c>
      <c r="C8172" t="s">
        <v>24479</v>
      </c>
      <c r="D8172" t="str">
        <f>HYPERLINK("https://zfin.org/ZDB-GENE-030131-8921")</f>
        <v>https://zfin.org/ZDB-GENE-030131-8921</v>
      </c>
      <c r="E8172" t="s">
        <v>24480</v>
      </c>
    </row>
    <row r="8173" spans="1:5" x14ac:dyDescent="0.2">
      <c r="A8173" t="s">
        <v>24481</v>
      </c>
      <c r="B8173" t="s">
        <v>24482</v>
      </c>
      <c r="C8173" t="s">
        <v>24482</v>
      </c>
      <c r="D8173" t="str">
        <f>HYPERLINK("https://zfin.org/ZDB-GENE-060503-19")</f>
        <v>https://zfin.org/ZDB-GENE-060503-19</v>
      </c>
      <c r="E8173" t="s">
        <v>24483</v>
      </c>
    </row>
    <row r="8174" spans="1:5" x14ac:dyDescent="0.2">
      <c r="A8174" t="s">
        <v>24484</v>
      </c>
      <c r="B8174" t="s">
        <v>24485</v>
      </c>
      <c r="C8174" t="s">
        <v>24485</v>
      </c>
      <c r="D8174" t="str">
        <f>HYPERLINK("https://zfin.org/ZDB-GENE-040426-760")</f>
        <v>https://zfin.org/ZDB-GENE-040426-760</v>
      </c>
      <c r="E8174" t="s">
        <v>24486</v>
      </c>
    </row>
    <row r="8175" spans="1:5" x14ac:dyDescent="0.2">
      <c r="A8175" t="s">
        <v>24487</v>
      </c>
      <c r="B8175" t="s">
        <v>24488</v>
      </c>
      <c r="C8175" t="s">
        <v>24488</v>
      </c>
      <c r="D8175" t="str">
        <f>HYPERLINK("https://zfin.org/ZDB-GENE-040808-13")</f>
        <v>https://zfin.org/ZDB-GENE-040808-13</v>
      </c>
      <c r="E8175" t="s">
        <v>24489</v>
      </c>
    </row>
    <row r="8176" spans="1:5" x14ac:dyDescent="0.2">
      <c r="A8176" t="s">
        <v>24490</v>
      </c>
      <c r="B8176" t="s">
        <v>24491</v>
      </c>
      <c r="C8176" t="s">
        <v>24491</v>
      </c>
      <c r="D8176" t="str">
        <f>HYPERLINK("https://zfin.org/ZDB-GENE-091118-62")</f>
        <v>https://zfin.org/ZDB-GENE-091118-62</v>
      </c>
      <c r="E8176" t="s">
        <v>24492</v>
      </c>
    </row>
    <row r="8177" spans="1:5" x14ac:dyDescent="0.2">
      <c r="A8177" t="s">
        <v>24493</v>
      </c>
      <c r="B8177" t="s">
        <v>24494</v>
      </c>
      <c r="C8177" t="s">
        <v>24494</v>
      </c>
      <c r="D8177" t="str">
        <f>HYPERLINK("https://zfin.org/ZDB-GENE-060825-261")</f>
        <v>https://zfin.org/ZDB-GENE-060825-261</v>
      </c>
      <c r="E8177" t="s">
        <v>24495</v>
      </c>
    </row>
    <row r="8178" spans="1:5" x14ac:dyDescent="0.2">
      <c r="A8178" t="s">
        <v>24496</v>
      </c>
      <c r="B8178" t="s">
        <v>24497</v>
      </c>
      <c r="C8178" t="s">
        <v>24497</v>
      </c>
      <c r="D8178" t="str">
        <f>HYPERLINK("https://zfin.org/ZDB-GENE-050417-333")</f>
        <v>https://zfin.org/ZDB-GENE-050417-333</v>
      </c>
      <c r="E8178" t="s">
        <v>24498</v>
      </c>
    </row>
    <row r="8179" spans="1:5" x14ac:dyDescent="0.2">
      <c r="A8179" t="s">
        <v>24499</v>
      </c>
      <c r="B8179" t="s">
        <v>24500</v>
      </c>
      <c r="C8179" t="s">
        <v>24500</v>
      </c>
      <c r="D8179" t="str">
        <f>HYPERLINK("https://zfin.org/ZDB-GENE-030131-6323")</f>
        <v>https://zfin.org/ZDB-GENE-030131-6323</v>
      </c>
      <c r="E8179" t="s">
        <v>24501</v>
      </c>
    </row>
    <row r="8180" spans="1:5" x14ac:dyDescent="0.2">
      <c r="A8180" t="s">
        <v>24502</v>
      </c>
      <c r="B8180" t="s">
        <v>24503</v>
      </c>
      <c r="C8180" t="s">
        <v>24503</v>
      </c>
      <c r="D8180" t="str">
        <f>HYPERLINK("https://zfin.org/ZDB-GENE-040426-1781")</f>
        <v>https://zfin.org/ZDB-GENE-040426-1781</v>
      </c>
      <c r="E8180" t="s">
        <v>24504</v>
      </c>
    </row>
    <row r="8181" spans="1:5" x14ac:dyDescent="0.2">
      <c r="A8181" t="s">
        <v>24505</v>
      </c>
      <c r="B8181" t="s">
        <v>24506</v>
      </c>
      <c r="C8181" t="s">
        <v>24506</v>
      </c>
      <c r="D8181" t="str">
        <f>HYPERLINK("https://zfin.org/ZDB-GENE-040625-105")</f>
        <v>https://zfin.org/ZDB-GENE-040625-105</v>
      </c>
      <c r="E8181" t="s">
        <v>24507</v>
      </c>
    </row>
    <row r="8182" spans="1:5" x14ac:dyDescent="0.2">
      <c r="A8182" t="s">
        <v>24508</v>
      </c>
      <c r="B8182" t="s">
        <v>24509</v>
      </c>
      <c r="C8182" t="s">
        <v>24509</v>
      </c>
      <c r="D8182" t="str">
        <f>HYPERLINK("https://zfin.org/ZDB-GENE-070402-2")</f>
        <v>https://zfin.org/ZDB-GENE-070402-2</v>
      </c>
      <c r="E8182" t="s">
        <v>24510</v>
      </c>
    </row>
    <row r="8183" spans="1:5" x14ac:dyDescent="0.2">
      <c r="A8183" t="s">
        <v>24511</v>
      </c>
      <c r="B8183" t="s">
        <v>24512</v>
      </c>
      <c r="C8183" t="s">
        <v>24512</v>
      </c>
      <c r="D8183" t="str">
        <f>HYPERLINK("https://zfin.org/ZDB-GENE-081002-3")</f>
        <v>https://zfin.org/ZDB-GENE-081002-3</v>
      </c>
      <c r="E8183" t="s">
        <v>24513</v>
      </c>
    </row>
    <row r="8184" spans="1:5" x14ac:dyDescent="0.2">
      <c r="A8184" t="s">
        <v>24514</v>
      </c>
      <c r="B8184" t="s">
        <v>24515</v>
      </c>
      <c r="C8184" t="s">
        <v>24515</v>
      </c>
      <c r="D8184" t="str">
        <f>HYPERLINK("https://zfin.org/ZDB-GENE-050208-569")</f>
        <v>https://zfin.org/ZDB-GENE-050208-569</v>
      </c>
      <c r="E8184" t="s">
        <v>24516</v>
      </c>
    </row>
    <row r="8185" spans="1:5" x14ac:dyDescent="0.2">
      <c r="A8185" t="s">
        <v>24517</v>
      </c>
      <c r="B8185" t="s">
        <v>24518</v>
      </c>
      <c r="C8185" t="s">
        <v>24518</v>
      </c>
      <c r="D8185" t="str">
        <f>HYPERLINK("https://zfin.org/ZDB-GENE-030616-571")</f>
        <v>https://zfin.org/ZDB-GENE-030616-571</v>
      </c>
      <c r="E8185" t="s">
        <v>24519</v>
      </c>
    </row>
    <row r="8186" spans="1:5" x14ac:dyDescent="0.2">
      <c r="A8186" t="s">
        <v>24520</v>
      </c>
      <c r="B8186" t="s">
        <v>24521</v>
      </c>
      <c r="C8186" t="s">
        <v>24521</v>
      </c>
      <c r="D8186" t="str">
        <f>HYPERLINK("https://zfin.org/ZDB-GENE-040426-1855")</f>
        <v>https://zfin.org/ZDB-GENE-040426-1855</v>
      </c>
      <c r="E8186" t="s">
        <v>24522</v>
      </c>
    </row>
    <row r="8187" spans="1:5" x14ac:dyDescent="0.2">
      <c r="A8187" t="s">
        <v>24523</v>
      </c>
      <c r="B8187" t="s">
        <v>24524</v>
      </c>
      <c r="C8187" t="s">
        <v>24524</v>
      </c>
      <c r="D8187" t="str">
        <f>HYPERLINK("https://zfin.org/ZDB-GENE-141216-287")</f>
        <v>https://zfin.org/ZDB-GENE-141216-287</v>
      </c>
      <c r="E8187" t="s">
        <v>24525</v>
      </c>
    </row>
    <row r="8188" spans="1:5" x14ac:dyDescent="0.2">
      <c r="A8188" t="s">
        <v>24526</v>
      </c>
      <c r="B8188" t="s">
        <v>24527</v>
      </c>
      <c r="C8188" t="s">
        <v>24527</v>
      </c>
      <c r="D8188" t="str">
        <f>HYPERLINK("https://zfin.org/ZDB-GENE-050417-201")</f>
        <v>https://zfin.org/ZDB-GENE-050417-201</v>
      </c>
      <c r="E8188" t="s">
        <v>24528</v>
      </c>
    </row>
    <row r="8189" spans="1:5" x14ac:dyDescent="0.2">
      <c r="A8189" t="s">
        <v>24529</v>
      </c>
      <c r="B8189" t="s">
        <v>24530</v>
      </c>
      <c r="C8189" t="s">
        <v>24530</v>
      </c>
      <c r="D8189" t="str">
        <f>HYPERLINK("https://zfin.org/ZDB-GENE-040426-2787")</f>
        <v>https://zfin.org/ZDB-GENE-040426-2787</v>
      </c>
      <c r="E8189" t="s">
        <v>24531</v>
      </c>
    </row>
    <row r="8190" spans="1:5" x14ac:dyDescent="0.2">
      <c r="A8190" t="s">
        <v>24532</v>
      </c>
      <c r="B8190" t="s">
        <v>24533</v>
      </c>
      <c r="C8190" t="s">
        <v>24533</v>
      </c>
      <c r="D8190" t="str">
        <f>HYPERLINK("https://zfin.org/ZDB-GENE-031113-22")</f>
        <v>https://zfin.org/ZDB-GENE-031113-22</v>
      </c>
      <c r="E8190" t="s">
        <v>24534</v>
      </c>
    </row>
    <row r="8191" spans="1:5" x14ac:dyDescent="0.2">
      <c r="A8191" t="s">
        <v>24535</v>
      </c>
      <c r="B8191" t="s">
        <v>24536</v>
      </c>
      <c r="C8191" t="s">
        <v>24536</v>
      </c>
      <c r="D8191" t="str">
        <f>HYPERLINK("https://zfin.org/ZDB-GENE-030711-1")</f>
        <v>https://zfin.org/ZDB-GENE-030711-1</v>
      </c>
      <c r="E8191" t="s">
        <v>24537</v>
      </c>
    </row>
    <row r="8192" spans="1:5" x14ac:dyDescent="0.2">
      <c r="A8192" t="s">
        <v>24538</v>
      </c>
      <c r="B8192" t="s">
        <v>24539</v>
      </c>
      <c r="C8192" t="s">
        <v>24539</v>
      </c>
      <c r="D8192" t="str">
        <f>HYPERLINK("https://zfin.org/ZDB-GENE-040426-863")</f>
        <v>https://zfin.org/ZDB-GENE-040426-863</v>
      </c>
      <c r="E8192" t="s">
        <v>24540</v>
      </c>
    </row>
    <row r="8193" spans="1:5" x14ac:dyDescent="0.2">
      <c r="A8193" t="s">
        <v>24541</v>
      </c>
      <c r="B8193" t="s">
        <v>24542</v>
      </c>
      <c r="C8193" t="s">
        <v>24542</v>
      </c>
      <c r="D8193" t="str">
        <f>HYPERLINK("https://zfin.org/ZDB-GENE-030131-5213")</f>
        <v>https://zfin.org/ZDB-GENE-030131-5213</v>
      </c>
      <c r="E8193" t="s">
        <v>24543</v>
      </c>
    </row>
    <row r="8194" spans="1:5" x14ac:dyDescent="0.2">
      <c r="A8194" t="s">
        <v>24544</v>
      </c>
      <c r="B8194" t="s">
        <v>24545</v>
      </c>
      <c r="C8194" t="s">
        <v>24545</v>
      </c>
      <c r="D8194" t="str">
        <f>HYPERLINK("https://zfin.org/ZDB-GENE-040808-48")</f>
        <v>https://zfin.org/ZDB-GENE-040808-48</v>
      </c>
      <c r="E8194" t="s">
        <v>24546</v>
      </c>
    </row>
    <row r="8195" spans="1:5" x14ac:dyDescent="0.2">
      <c r="A8195" t="s">
        <v>24547</v>
      </c>
      <c r="B8195" t="s">
        <v>24548</v>
      </c>
      <c r="C8195" t="s">
        <v>24548</v>
      </c>
      <c r="D8195" t="str">
        <f>HYPERLINK("https://zfin.org/ZDB-GENE-030131-5248")</f>
        <v>https://zfin.org/ZDB-GENE-030131-5248</v>
      </c>
      <c r="E8195" t="s">
        <v>24549</v>
      </c>
    </row>
    <row r="8196" spans="1:5" x14ac:dyDescent="0.2">
      <c r="A8196" t="s">
        <v>24550</v>
      </c>
      <c r="B8196" t="s">
        <v>24551</v>
      </c>
      <c r="C8196" t="s">
        <v>24551</v>
      </c>
      <c r="D8196" t="str">
        <f>HYPERLINK("https://zfin.org/ZDB-GENE-040426-2760")</f>
        <v>https://zfin.org/ZDB-GENE-040426-2760</v>
      </c>
      <c r="E8196" t="s">
        <v>24552</v>
      </c>
    </row>
    <row r="8197" spans="1:5" x14ac:dyDescent="0.2">
      <c r="A8197" t="s">
        <v>24553</v>
      </c>
      <c r="B8197" t="s">
        <v>24554</v>
      </c>
      <c r="C8197" t="s">
        <v>24555</v>
      </c>
      <c r="D8197" t="str">
        <f>HYPERLINK("https://zfin.org/ZDB-GENE-070112-592")</f>
        <v>https://zfin.org/ZDB-GENE-070112-592</v>
      </c>
      <c r="E8197" t="s">
        <v>24556</v>
      </c>
    </row>
    <row r="8198" spans="1:5" x14ac:dyDescent="0.2">
      <c r="A8198" t="s">
        <v>24557</v>
      </c>
      <c r="B8198" t="s">
        <v>24558</v>
      </c>
      <c r="C8198" t="s">
        <v>24558</v>
      </c>
      <c r="D8198" t="str">
        <f>HYPERLINK("https://zfin.org/ZDB-GENE-040426-1106")</f>
        <v>https://zfin.org/ZDB-GENE-040426-1106</v>
      </c>
      <c r="E8198" t="s">
        <v>24559</v>
      </c>
    </row>
    <row r="8199" spans="1:5" x14ac:dyDescent="0.2">
      <c r="A8199" t="s">
        <v>24560</v>
      </c>
      <c r="B8199" t="s">
        <v>24561</v>
      </c>
      <c r="C8199" t="s">
        <v>24561</v>
      </c>
      <c r="D8199" t="str">
        <f>HYPERLINK("https://zfin.org/ZDB-GENE-061103-433")</f>
        <v>https://zfin.org/ZDB-GENE-061103-433</v>
      </c>
      <c r="E8199" t="s">
        <v>24562</v>
      </c>
    </row>
    <row r="8200" spans="1:5" x14ac:dyDescent="0.2">
      <c r="A8200" t="s">
        <v>24563</v>
      </c>
      <c r="B8200" t="s">
        <v>24564</v>
      </c>
      <c r="C8200" t="s">
        <v>24564</v>
      </c>
      <c r="D8200" t="str">
        <f>HYPERLINK("https://zfin.org/ZDB-GENE-040801-269")</f>
        <v>https://zfin.org/ZDB-GENE-040801-269</v>
      </c>
      <c r="E8200" t="s">
        <v>24565</v>
      </c>
    </row>
    <row r="8201" spans="1:5" x14ac:dyDescent="0.2">
      <c r="A8201" t="s">
        <v>24566</v>
      </c>
      <c r="B8201" t="s">
        <v>24567</v>
      </c>
      <c r="C8201" t="s">
        <v>24567</v>
      </c>
      <c r="D8201" t="str">
        <f>HYPERLINK("https://zfin.org/ZDB-GENE-060526-10")</f>
        <v>https://zfin.org/ZDB-GENE-060526-10</v>
      </c>
      <c r="E8201" t="s">
        <v>24568</v>
      </c>
    </row>
    <row r="8202" spans="1:5" x14ac:dyDescent="0.2">
      <c r="A8202" t="s">
        <v>24569</v>
      </c>
      <c r="B8202" t="s">
        <v>24570</v>
      </c>
      <c r="C8202" t="s">
        <v>24570</v>
      </c>
      <c r="D8202" t="str">
        <f>HYPERLINK("https://zfin.org/ZDB-GENE-080728-3")</f>
        <v>https://zfin.org/ZDB-GENE-080728-3</v>
      </c>
      <c r="E8202" t="s">
        <v>24571</v>
      </c>
    </row>
    <row r="8203" spans="1:5" x14ac:dyDescent="0.2">
      <c r="A8203" t="s">
        <v>24572</v>
      </c>
      <c r="B8203" t="s">
        <v>24573</v>
      </c>
      <c r="C8203" t="s">
        <v>24573</v>
      </c>
      <c r="D8203" t="str">
        <f>HYPERLINK("https://zfin.org/ZDB-GENE-040718-367")</f>
        <v>https://zfin.org/ZDB-GENE-040718-367</v>
      </c>
      <c r="E8203" t="s">
        <v>24574</v>
      </c>
    </row>
    <row r="8204" spans="1:5" x14ac:dyDescent="0.2">
      <c r="A8204" t="s">
        <v>24575</v>
      </c>
      <c r="B8204" t="s">
        <v>24576</v>
      </c>
      <c r="C8204" t="s">
        <v>24576</v>
      </c>
      <c r="D8204" t="str">
        <f>HYPERLINK("https://zfin.org/ZDB-GENE-050417-388")</f>
        <v>https://zfin.org/ZDB-GENE-050417-388</v>
      </c>
      <c r="E8204" t="s">
        <v>24577</v>
      </c>
    </row>
    <row r="8205" spans="1:5" x14ac:dyDescent="0.2">
      <c r="A8205" t="s">
        <v>24578</v>
      </c>
      <c r="B8205" t="s">
        <v>24579</v>
      </c>
      <c r="C8205" t="s">
        <v>24579</v>
      </c>
      <c r="D8205" t="str">
        <f>HYPERLINK("https://zfin.org/ZDB-GENE-030131-2279")</f>
        <v>https://zfin.org/ZDB-GENE-030131-2279</v>
      </c>
      <c r="E8205" t="s">
        <v>24580</v>
      </c>
    </row>
    <row r="8206" spans="1:5" x14ac:dyDescent="0.2">
      <c r="A8206" t="s">
        <v>24581</v>
      </c>
      <c r="B8206" t="s">
        <v>24582</v>
      </c>
      <c r="C8206" t="s">
        <v>24582</v>
      </c>
      <c r="D8206" t="str">
        <f>HYPERLINK("https://zfin.org/ZDB-GENE-040426-2388")</f>
        <v>https://zfin.org/ZDB-GENE-040426-2388</v>
      </c>
      <c r="E8206" t="s">
        <v>24583</v>
      </c>
    </row>
    <row r="8207" spans="1:5" x14ac:dyDescent="0.2">
      <c r="A8207" t="s">
        <v>24584</v>
      </c>
      <c r="B8207" t="s">
        <v>24585</v>
      </c>
      <c r="C8207" t="s">
        <v>24585</v>
      </c>
      <c r="D8207" t="str">
        <f>HYPERLINK("https://zfin.org/ZDB-GENE-081104-261")</f>
        <v>https://zfin.org/ZDB-GENE-081104-261</v>
      </c>
      <c r="E8207" t="s">
        <v>24586</v>
      </c>
    </row>
    <row r="8208" spans="1:5" x14ac:dyDescent="0.2">
      <c r="A8208" t="s">
        <v>24587</v>
      </c>
      <c r="B8208" t="s">
        <v>24588</v>
      </c>
      <c r="C8208" t="s">
        <v>24588</v>
      </c>
      <c r="D8208" t="str">
        <f>HYPERLINK("https://zfin.org/ZDB-GENE-060531-4")</f>
        <v>https://zfin.org/ZDB-GENE-060531-4</v>
      </c>
      <c r="E8208" t="s">
        <v>24589</v>
      </c>
    </row>
    <row r="8209" spans="1:5" x14ac:dyDescent="0.2">
      <c r="A8209" t="s">
        <v>24590</v>
      </c>
      <c r="B8209" t="s">
        <v>24591</v>
      </c>
      <c r="C8209" t="s">
        <v>24591</v>
      </c>
      <c r="D8209" t="str">
        <f>HYPERLINK("https://zfin.org/ZDB-GENE-040718-75")</f>
        <v>https://zfin.org/ZDB-GENE-040718-75</v>
      </c>
      <c r="E8209" t="s">
        <v>24592</v>
      </c>
    </row>
    <row r="8210" spans="1:5" x14ac:dyDescent="0.2">
      <c r="A8210" t="s">
        <v>24593</v>
      </c>
      <c r="B8210" t="s">
        <v>24594</v>
      </c>
      <c r="C8210" t="s">
        <v>24594</v>
      </c>
      <c r="D8210" t="str">
        <f>HYPERLINK("https://zfin.org/ZDB-GENE-070410-66")</f>
        <v>https://zfin.org/ZDB-GENE-070410-66</v>
      </c>
      <c r="E8210" t="s">
        <v>24595</v>
      </c>
    </row>
    <row r="8211" spans="1:5" x14ac:dyDescent="0.2">
      <c r="A8211" t="s">
        <v>24596</v>
      </c>
      <c r="B8211" t="s">
        <v>24597</v>
      </c>
      <c r="C8211" t="s">
        <v>24597</v>
      </c>
      <c r="D8211" t="str">
        <f>HYPERLINK("https://zfin.org/ZDB-GENE-030131-1901")</f>
        <v>https://zfin.org/ZDB-GENE-030131-1901</v>
      </c>
      <c r="E8211" t="s">
        <v>24598</v>
      </c>
    </row>
    <row r="8212" spans="1:5" x14ac:dyDescent="0.2">
      <c r="A8212" t="s">
        <v>24599</v>
      </c>
      <c r="B8212" t="s">
        <v>24600</v>
      </c>
      <c r="C8212" t="s">
        <v>24600</v>
      </c>
      <c r="D8212" t="str">
        <f>HYPERLINK("https://zfin.org/ZDB-GENE-030131-9684")</f>
        <v>https://zfin.org/ZDB-GENE-030131-9684</v>
      </c>
      <c r="E8212" t="s">
        <v>24601</v>
      </c>
    </row>
    <row r="8213" spans="1:5" x14ac:dyDescent="0.2">
      <c r="A8213" t="s">
        <v>24602</v>
      </c>
      <c r="B8213" t="s">
        <v>24603</v>
      </c>
      <c r="C8213" t="s">
        <v>24603</v>
      </c>
      <c r="D8213" t="str">
        <f>HYPERLINK("https://zfin.org/ZDB-GENE-040426-2939")</f>
        <v>https://zfin.org/ZDB-GENE-040426-2939</v>
      </c>
      <c r="E8213" t="s">
        <v>24604</v>
      </c>
    </row>
    <row r="8214" spans="1:5" x14ac:dyDescent="0.2">
      <c r="A8214" t="s">
        <v>24605</v>
      </c>
      <c r="B8214" t="s">
        <v>24606</v>
      </c>
      <c r="C8214" t="s">
        <v>24606</v>
      </c>
      <c r="D8214" t="str">
        <f>HYPERLINK("https://zfin.org/ZDB-GENE-090312-161")</f>
        <v>https://zfin.org/ZDB-GENE-090312-161</v>
      </c>
      <c r="E8214" t="s">
        <v>24607</v>
      </c>
    </row>
    <row r="8215" spans="1:5" x14ac:dyDescent="0.2">
      <c r="A8215" t="s">
        <v>24608</v>
      </c>
      <c r="B8215" t="s">
        <v>24609</v>
      </c>
      <c r="C8215" t="s">
        <v>24609</v>
      </c>
      <c r="D8215" t="str">
        <f>HYPERLINK("https://zfin.org/ZDB-GENE-080320-1")</f>
        <v>https://zfin.org/ZDB-GENE-080320-1</v>
      </c>
      <c r="E8215" t="s">
        <v>24610</v>
      </c>
    </row>
    <row r="8216" spans="1:5" x14ac:dyDescent="0.2">
      <c r="A8216" t="s">
        <v>24611</v>
      </c>
      <c r="B8216" t="s">
        <v>24612</v>
      </c>
      <c r="C8216" t="s">
        <v>24612</v>
      </c>
      <c r="D8216" t="str">
        <f>HYPERLINK("https://zfin.org/ZDB-GENE-030131-3532")</f>
        <v>https://zfin.org/ZDB-GENE-030131-3532</v>
      </c>
      <c r="E8216" t="s">
        <v>24613</v>
      </c>
    </row>
    <row r="8217" spans="1:5" x14ac:dyDescent="0.2">
      <c r="A8217" t="s">
        <v>24614</v>
      </c>
      <c r="B8217" t="s">
        <v>24615</v>
      </c>
      <c r="C8217" t="s">
        <v>24615</v>
      </c>
      <c r="D8217" t="str">
        <f>HYPERLINK("https://zfin.org/ZDB-GENE-041014-198")</f>
        <v>https://zfin.org/ZDB-GENE-041014-198</v>
      </c>
      <c r="E8217" t="s">
        <v>24616</v>
      </c>
    </row>
    <row r="8218" spans="1:5" x14ac:dyDescent="0.2">
      <c r="A8218" t="s">
        <v>24617</v>
      </c>
      <c r="B8218" t="s">
        <v>24618</v>
      </c>
      <c r="C8218" t="s">
        <v>24618</v>
      </c>
      <c r="D8218" t="str">
        <f>HYPERLINK("https://zfin.org/ZDB-GENE-091118-68")</f>
        <v>https://zfin.org/ZDB-GENE-091118-68</v>
      </c>
      <c r="E8218" t="s">
        <v>24619</v>
      </c>
    </row>
    <row r="8219" spans="1:5" x14ac:dyDescent="0.2">
      <c r="A8219" t="s">
        <v>24620</v>
      </c>
      <c r="B8219" t="s">
        <v>24621</v>
      </c>
      <c r="C8219" t="s">
        <v>24621</v>
      </c>
      <c r="D8219" t="str">
        <f>HYPERLINK("https://zfin.org/ZDB-GENE-030131-9435")</f>
        <v>https://zfin.org/ZDB-GENE-030131-9435</v>
      </c>
      <c r="E8219" t="s">
        <v>24622</v>
      </c>
    </row>
    <row r="8220" spans="1:5" x14ac:dyDescent="0.2">
      <c r="A8220" t="s">
        <v>24623</v>
      </c>
      <c r="B8220" t="s">
        <v>24624</v>
      </c>
      <c r="C8220" t="s">
        <v>24624</v>
      </c>
      <c r="D8220" t="str">
        <f>HYPERLINK("https://zfin.org/ZDB-GENE-081104-370")</f>
        <v>https://zfin.org/ZDB-GENE-081104-370</v>
      </c>
      <c r="E8220" t="s">
        <v>24625</v>
      </c>
    </row>
    <row r="8221" spans="1:5" x14ac:dyDescent="0.2">
      <c r="A8221" t="s">
        <v>24626</v>
      </c>
      <c r="B8221" t="s">
        <v>24627</v>
      </c>
      <c r="C8221" t="s">
        <v>24627</v>
      </c>
      <c r="D8221" t="str">
        <f>HYPERLINK("https://zfin.org/ZDB-GENE-050417-150")</f>
        <v>https://zfin.org/ZDB-GENE-050417-150</v>
      </c>
      <c r="E8221" t="s">
        <v>24628</v>
      </c>
    </row>
    <row r="8222" spans="1:5" x14ac:dyDescent="0.2">
      <c r="A8222" t="s">
        <v>24629</v>
      </c>
      <c r="B8222" t="s">
        <v>24630</v>
      </c>
      <c r="C8222" t="s">
        <v>24630</v>
      </c>
      <c r="D8222" t="str">
        <f>HYPERLINK("https://zfin.org/ZDB-GENE-040426-1816")</f>
        <v>https://zfin.org/ZDB-GENE-040426-1816</v>
      </c>
      <c r="E8222" t="s">
        <v>24631</v>
      </c>
    </row>
    <row r="8223" spans="1:5" x14ac:dyDescent="0.2">
      <c r="A8223" t="s">
        <v>24632</v>
      </c>
      <c r="B8223" t="s">
        <v>24633</v>
      </c>
      <c r="C8223" t="s">
        <v>24633</v>
      </c>
      <c r="D8223" t="str">
        <f>HYPERLINK("https://zfin.org/ZDB-GENE-041111-267")</f>
        <v>https://zfin.org/ZDB-GENE-041111-267</v>
      </c>
      <c r="E8223" t="s">
        <v>24634</v>
      </c>
    </row>
    <row r="8224" spans="1:5" x14ac:dyDescent="0.2">
      <c r="A8224" t="s">
        <v>24635</v>
      </c>
      <c r="B8224" t="s">
        <v>24636</v>
      </c>
      <c r="C8224" t="s">
        <v>24636</v>
      </c>
      <c r="D8224" t="str">
        <f>HYPERLINK("https://zfin.org/ZDB-GENE-040912-48")</f>
        <v>https://zfin.org/ZDB-GENE-040912-48</v>
      </c>
      <c r="E8224" t="s">
        <v>24637</v>
      </c>
    </row>
    <row r="8225" spans="1:5" x14ac:dyDescent="0.2">
      <c r="A8225" t="s">
        <v>24638</v>
      </c>
      <c r="B8225" t="s">
        <v>24639</v>
      </c>
      <c r="C8225" t="s">
        <v>24639</v>
      </c>
      <c r="D8225" t="str">
        <f>HYPERLINK("https://zfin.org/ZDB-GENE-040808-31")</f>
        <v>https://zfin.org/ZDB-GENE-040808-31</v>
      </c>
      <c r="E8225" t="s">
        <v>24640</v>
      </c>
    </row>
    <row r="8226" spans="1:5" x14ac:dyDescent="0.2">
      <c r="A8226" t="s">
        <v>24641</v>
      </c>
      <c r="B8226" t="s">
        <v>24642</v>
      </c>
      <c r="C8226" t="s">
        <v>24642</v>
      </c>
      <c r="D8226" t="str">
        <f>HYPERLINK("https://zfin.org/ZDB-GENE-070410-94")</f>
        <v>https://zfin.org/ZDB-GENE-070410-94</v>
      </c>
      <c r="E8226" t="s">
        <v>24643</v>
      </c>
    </row>
    <row r="8227" spans="1:5" x14ac:dyDescent="0.2">
      <c r="A8227" t="s">
        <v>24644</v>
      </c>
      <c r="B8227" t="s">
        <v>24645</v>
      </c>
      <c r="C8227" t="s">
        <v>24645</v>
      </c>
      <c r="D8227" t="str">
        <f>HYPERLINK("https://zfin.org/ZDB-GENE-050320-26")</f>
        <v>https://zfin.org/ZDB-GENE-050320-26</v>
      </c>
      <c r="E8227" t="s">
        <v>24646</v>
      </c>
    </row>
    <row r="8228" spans="1:5" x14ac:dyDescent="0.2">
      <c r="A8228" t="s">
        <v>24647</v>
      </c>
      <c r="B8228" t="s">
        <v>24648</v>
      </c>
      <c r="C8228" t="s">
        <v>24648</v>
      </c>
      <c r="D8228" t="str">
        <f>HYPERLINK("https://zfin.org/ZDB-GENE-041114-165")</f>
        <v>https://zfin.org/ZDB-GENE-041114-165</v>
      </c>
      <c r="E8228" t="s">
        <v>24649</v>
      </c>
    </row>
    <row r="8229" spans="1:5" x14ac:dyDescent="0.2">
      <c r="A8229" t="s">
        <v>24650</v>
      </c>
      <c r="B8229" t="s">
        <v>24651</v>
      </c>
      <c r="C8229" t="s">
        <v>24652</v>
      </c>
      <c r="D8229" t="str">
        <f>HYPERLINK("https://zfin.org/ZDB-GENE-050714-2")</f>
        <v>https://zfin.org/ZDB-GENE-050714-2</v>
      </c>
      <c r="E8229" t="s">
        <v>24653</v>
      </c>
    </row>
    <row r="8230" spans="1:5" x14ac:dyDescent="0.2">
      <c r="A8230" t="s">
        <v>24654</v>
      </c>
      <c r="B8230" t="s">
        <v>24655</v>
      </c>
      <c r="C8230" t="s">
        <v>24655</v>
      </c>
      <c r="D8230" t="str">
        <f>HYPERLINK("https://zfin.org/ZDB-GENE-030131-5900")</f>
        <v>https://zfin.org/ZDB-GENE-030131-5900</v>
      </c>
      <c r="E8230" t="s">
        <v>24656</v>
      </c>
    </row>
    <row r="8231" spans="1:5" x14ac:dyDescent="0.2">
      <c r="A8231" t="s">
        <v>24657</v>
      </c>
      <c r="B8231" t="s">
        <v>24658</v>
      </c>
      <c r="C8231" t="s">
        <v>24658</v>
      </c>
      <c r="D8231" t="str">
        <f>HYPERLINK("https://zfin.org/ZDB-GENE-130530-559")</f>
        <v>https://zfin.org/ZDB-GENE-130530-559</v>
      </c>
      <c r="E8231" t="s">
        <v>24659</v>
      </c>
    </row>
    <row r="8232" spans="1:5" x14ac:dyDescent="0.2">
      <c r="A8232" t="s">
        <v>24660</v>
      </c>
      <c r="B8232" t="s">
        <v>24661</v>
      </c>
      <c r="C8232" t="s">
        <v>24661</v>
      </c>
      <c r="D8232" t="str">
        <f>HYPERLINK("https://zfin.org/ZDB-GENE-121214-200")</f>
        <v>https://zfin.org/ZDB-GENE-121214-200</v>
      </c>
      <c r="E8232" t="s">
        <v>24662</v>
      </c>
    </row>
    <row r="8233" spans="1:5" x14ac:dyDescent="0.2">
      <c r="A8233" t="s">
        <v>24663</v>
      </c>
      <c r="B8233" t="s">
        <v>18688</v>
      </c>
      <c r="C8233" t="s">
        <v>24664</v>
      </c>
      <c r="D8233" t="str">
        <f>HYPERLINK("https://zfin.org/ZDB-GENE-131125-50")</f>
        <v>https://zfin.org/ZDB-GENE-131125-50</v>
      </c>
      <c r="E8233" t="s">
        <v>24665</v>
      </c>
    </row>
    <row r="8234" spans="1:5" x14ac:dyDescent="0.2">
      <c r="A8234" t="s">
        <v>24666</v>
      </c>
      <c r="B8234" t="s">
        <v>24667</v>
      </c>
      <c r="C8234" t="s">
        <v>24667</v>
      </c>
      <c r="D8234" t="str">
        <f>HYPERLINK("https://zfin.org/ZDB-GENE-141222-28")</f>
        <v>https://zfin.org/ZDB-GENE-141222-28</v>
      </c>
      <c r="E8234" t="s">
        <v>24668</v>
      </c>
    </row>
    <row r="8235" spans="1:5" x14ac:dyDescent="0.2">
      <c r="A8235" t="s">
        <v>24669</v>
      </c>
      <c r="B8235" t="s">
        <v>24670</v>
      </c>
      <c r="C8235" t="s">
        <v>24670</v>
      </c>
      <c r="D8235" t="str">
        <f>HYPERLINK("https://zfin.org/ZDB-GENE-110913-110")</f>
        <v>https://zfin.org/ZDB-GENE-110913-110</v>
      </c>
      <c r="E8235" t="s">
        <v>24671</v>
      </c>
    </row>
    <row r="8236" spans="1:5" x14ac:dyDescent="0.2">
      <c r="A8236" t="s">
        <v>24672</v>
      </c>
      <c r="B8236" t="s">
        <v>24673</v>
      </c>
      <c r="C8236" t="s">
        <v>24673</v>
      </c>
      <c r="D8236" t="str">
        <f>HYPERLINK("https://zfin.org/ZDB-GENE-040426-2498")</f>
        <v>https://zfin.org/ZDB-GENE-040426-2498</v>
      </c>
      <c r="E8236" t="s">
        <v>24674</v>
      </c>
    </row>
    <row r="8237" spans="1:5" x14ac:dyDescent="0.2">
      <c r="A8237" t="s">
        <v>24675</v>
      </c>
      <c r="B8237" t="s">
        <v>24676</v>
      </c>
      <c r="C8237" t="s">
        <v>24676</v>
      </c>
      <c r="D8237" t="str">
        <f>HYPERLINK("https://zfin.org/ZDB-GENE-110913-44")</f>
        <v>https://zfin.org/ZDB-GENE-110913-44</v>
      </c>
      <c r="E8237" t="s">
        <v>24677</v>
      </c>
    </row>
    <row r="8238" spans="1:5" x14ac:dyDescent="0.2">
      <c r="A8238" t="s">
        <v>24678</v>
      </c>
      <c r="B8238" t="s">
        <v>24679</v>
      </c>
      <c r="C8238" t="s">
        <v>24679</v>
      </c>
      <c r="D8238" t="str">
        <f>HYPERLINK("https://zfin.org/ZDB-GENE-100922-221")</f>
        <v>https://zfin.org/ZDB-GENE-100922-221</v>
      </c>
      <c r="E8238" t="s">
        <v>24680</v>
      </c>
    </row>
    <row r="8239" spans="1:5" x14ac:dyDescent="0.2">
      <c r="A8239" t="s">
        <v>24681</v>
      </c>
      <c r="B8239" t="s">
        <v>24682</v>
      </c>
      <c r="C8239" t="s">
        <v>24682</v>
      </c>
      <c r="D8239" t="str">
        <f>HYPERLINK("https://zfin.org/ZDB-GENE-100922-273")</f>
        <v>https://zfin.org/ZDB-GENE-100922-273</v>
      </c>
      <c r="E8239" t="s">
        <v>24683</v>
      </c>
    </row>
    <row r="8240" spans="1:5" x14ac:dyDescent="0.2">
      <c r="A8240" t="s">
        <v>24684</v>
      </c>
      <c r="B8240" t="s">
        <v>24685</v>
      </c>
      <c r="C8240" t="s">
        <v>24685</v>
      </c>
      <c r="D8240" t="str">
        <f>HYPERLINK("https://zfin.org/ZDB-GENE-070412-3")</f>
        <v>https://zfin.org/ZDB-GENE-070412-3</v>
      </c>
      <c r="E8240" t="s">
        <v>24686</v>
      </c>
    </row>
    <row r="8241" spans="1:5" x14ac:dyDescent="0.2">
      <c r="A8241" t="s">
        <v>24687</v>
      </c>
      <c r="B8241" t="s">
        <v>24688</v>
      </c>
      <c r="C8241" t="s">
        <v>24688</v>
      </c>
      <c r="D8241" t="str">
        <f>HYPERLINK("https://zfin.org/ZDB-GENE-030131-3167")</f>
        <v>https://zfin.org/ZDB-GENE-030131-3167</v>
      </c>
      <c r="E8241" t="s">
        <v>24689</v>
      </c>
    </row>
    <row r="8242" spans="1:5" x14ac:dyDescent="0.2">
      <c r="A8242" t="s">
        <v>24690</v>
      </c>
      <c r="B8242" t="s">
        <v>24691</v>
      </c>
      <c r="C8242" t="s">
        <v>24691</v>
      </c>
      <c r="D8242" t="str">
        <f>HYPERLINK("https://zfin.org/ZDB-GENE-030131-5290")</f>
        <v>https://zfin.org/ZDB-GENE-030131-5290</v>
      </c>
      <c r="E8242" t="s">
        <v>24692</v>
      </c>
    </row>
    <row r="8243" spans="1:5" x14ac:dyDescent="0.2">
      <c r="A8243" t="s">
        <v>24693</v>
      </c>
      <c r="B8243" t="s">
        <v>24694</v>
      </c>
      <c r="C8243" t="s">
        <v>24694</v>
      </c>
      <c r="D8243" t="str">
        <f>HYPERLINK("https://zfin.org/ZDB-GENE-040426-1520")</f>
        <v>https://zfin.org/ZDB-GENE-040426-1520</v>
      </c>
      <c r="E8243" t="s">
        <v>24695</v>
      </c>
    </row>
    <row r="8244" spans="1:5" x14ac:dyDescent="0.2">
      <c r="A8244" t="s">
        <v>24696</v>
      </c>
      <c r="B8244" t="s">
        <v>24697</v>
      </c>
      <c r="C8244" t="s">
        <v>24697</v>
      </c>
      <c r="D8244" t="str">
        <f>HYPERLINK("https://zfin.org/ZDB-GENE-070412-2")</f>
        <v>https://zfin.org/ZDB-GENE-070412-2</v>
      </c>
      <c r="E8244" t="s">
        <v>24698</v>
      </c>
    </row>
    <row r="8245" spans="1:5" x14ac:dyDescent="0.2">
      <c r="A8245" t="s">
        <v>24699</v>
      </c>
      <c r="B8245" t="s">
        <v>24700</v>
      </c>
      <c r="C8245" t="s">
        <v>24700</v>
      </c>
      <c r="D8245" t="str">
        <f>HYPERLINK("https://zfin.org/ZDB-GENE-041010-190")</f>
        <v>https://zfin.org/ZDB-GENE-041010-190</v>
      </c>
      <c r="E8245" t="s">
        <v>24701</v>
      </c>
    </row>
    <row r="8246" spans="1:5" x14ac:dyDescent="0.2">
      <c r="A8246" t="s">
        <v>24702</v>
      </c>
      <c r="B8246" t="s">
        <v>24703</v>
      </c>
      <c r="C8246" t="s">
        <v>24703</v>
      </c>
      <c r="D8246" t="str">
        <f>HYPERLINK("https://zfin.org/ZDB-GENE-040426-1367")</f>
        <v>https://zfin.org/ZDB-GENE-040426-1367</v>
      </c>
      <c r="E8246" t="s">
        <v>24704</v>
      </c>
    </row>
    <row r="8247" spans="1:5" x14ac:dyDescent="0.2">
      <c r="A8247" t="s">
        <v>24705</v>
      </c>
      <c r="B8247" t="s">
        <v>24706</v>
      </c>
      <c r="C8247" t="s">
        <v>24706</v>
      </c>
      <c r="D8247" t="str">
        <f>HYPERLINK("https://zfin.org/ZDB-GENE-061110-103")</f>
        <v>https://zfin.org/ZDB-GENE-061110-103</v>
      </c>
      <c r="E8247" t="s">
        <v>24707</v>
      </c>
    </row>
    <row r="8248" spans="1:5" x14ac:dyDescent="0.2">
      <c r="A8248" t="s">
        <v>24708</v>
      </c>
      <c r="B8248" t="s">
        <v>24709</v>
      </c>
      <c r="C8248" t="s">
        <v>24709</v>
      </c>
      <c r="D8248" t="str">
        <f>HYPERLINK("https://zfin.org/ZDB-GENE-050522-514")</f>
        <v>https://zfin.org/ZDB-GENE-050522-514</v>
      </c>
      <c r="E8248" t="s">
        <v>24710</v>
      </c>
    </row>
    <row r="8249" spans="1:5" x14ac:dyDescent="0.2">
      <c r="A8249" t="s">
        <v>24711</v>
      </c>
      <c r="B8249" t="s">
        <v>24712</v>
      </c>
      <c r="C8249" t="s">
        <v>24712</v>
      </c>
      <c r="D8249" t="str">
        <f>HYPERLINK("https://zfin.org/ZDB-GENE-091204-375")</f>
        <v>https://zfin.org/ZDB-GENE-091204-375</v>
      </c>
      <c r="E8249" t="s">
        <v>24713</v>
      </c>
    </row>
    <row r="8250" spans="1:5" x14ac:dyDescent="0.2">
      <c r="A8250" t="s">
        <v>24714</v>
      </c>
      <c r="B8250" t="s">
        <v>24715</v>
      </c>
      <c r="C8250" t="s">
        <v>24715</v>
      </c>
      <c r="D8250" t="str">
        <f>HYPERLINK("https://zfin.org/ZDB-GENE-990603-9")</f>
        <v>https://zfin.org/ZDB-GENE-990603-9</v>
      </c>
      <c r="E8250" t="s">
        <v>24716</v>
      </c>
    </row>
    <row r="8251" spans="1:5" x14ac:dyDescent="0.2">
      <c r="A8251" t="s">
        <v>24717</v>
      </c>
      <c r="B8251" t="s">
        <v>24718</v>
      </c>
      <c r="C8251" t="s">
        <v>24718</v>
      </c>
      <c r="D8251" t="str">
        <f>HYPERLINK("https://zfin.org/ZDB-GENE-030131-5529")</f>
        <v>https://zfin.org/ZDB-GENE-030131-5529</v>
      </c>
      <c r="E8251" t="s">
        <v>24719</v>
      </c>
    </row>
    <row r="8252" spans="1:5" x14ac:dyDescent="0.2">
      <c r="A8252" t="s">
        <v>24720</v>
      </c>
      <c r="B8252" t="s">
        <v>24721</v>
      </c>
      <c r="C8252" t="s">
        <v>24721</v>
      </c>
      <c r="D8252" t="str">
        <f>HYPERLINK("https://zfin.org/ZDB-GENE-050522-314")</f>
        <v>https://zfin.org/ZDB-GENE-050522-314</v>
      </c>
      <c r="E8252" t="s">
        <v>24722</v>
      </c>
    </row>
    <row r="8253" spans="1:5" x14ac:dyDescent="0.2">
      <c r="A8253" t="s">
        <v>24723</v>
      </c>
      <c r="B8253" t="s">
        <v>24724</v>
      </c>
      <c r="C8253" t="s">
        <v>24724</v>
      </c>
      <c r="D8253" t="str">
        <f>HYPERLINK("https://zfin.org/ZDB-GENE-030909-5")</f>
        <v>https://zfin.org/ZDB-GENE-030909-5</v>
      </c>
      <c r="E8253" t="s">
        <v>24725</v>
      </c>
    </row>
    <row r="8254" spans="1:5" x14ac:dyDescent="0.2">
      <c r="A8254" t="s">
        <v>24726</v>
      </c>
      <c r="B8254" t="s">
        <v>24727</v>
      </c>
      <c r="C8254" t="s">
        <v>24727</v>
      </c>
      <c r="D8254" t="str">
        <f>HYPERLINK("https://zfin.org/ZDB-GENE-041212-44")</f>
        <v>https://zfin.org/ZDB-GENE-041212-44</v>
      </c>
      <c r="E8254" t="s">
        <v>24728</v>
      </c>
    </row>
    <row r="8255" spans="1:5" x14ac:dyDescent="0.2">
      <c r="A8255" t="s">
        <v>24729</v>
      </c>
      <c r="B8255" t="s">
        <v>24730</v>
      </c>
      <c r="C8255" t="s">
        <v>24730</v>
      </c>
      <c r="D8255" t="str">
        <f>HYPERLINK("https://zfin.org/ZDB-GENE-060929-412")</f>
        <v>https://zfin.org/ZDB-GENE-060929-412</v>
      </c>
      <c r="E8255" t="s">
        <v>24731</v>
      </c>
    </row>
    <row r="8256" spans="1:5" x14ac:dyDescent="0.2">
      <c r="A8256" t="s">
        <v>24732</v>
      </c>
      <c r="B8256" t="s">
        <v>24733</v>
      </c>
      <c r="C8256" t="s">
        <v>24733</v>
      </c>
      <c r="D8256" t="str">
        <f>HYPERLINK("https://zfin.org/ZDB-GENE-030131-6059")</f>
        <v>https://zfin.org/ZDB-GENE-030131-6059</v>
      </c>
      <c r="E8256" t="s">
        <v>24734</v>
      </c>
    </row>
    <row r="8257" spans="1:5" x14ac:dyDescent="0.2">
      <c r="A8257" t="s">
        <v>24735</v>
      </c>
      <c r="B8257" t="s">
        <v>24736</v>
      </c>
      <c r="C8257" t="s">
        <v>24736</v>
      </c>
      <c r="D8257" t="str">
        <f>HYPERLINK("https://zfin.org/ZDB-GENE-041010-220")</f>
        <v>https://zfin.org/ZDB-GENE-041010-220</v>
      </c>
      <c r="E8257" t="s">
        <v>24737</v>
      </c>
    </row>
    <row r="8258" spans="1:5" x14ac:dyDescent="0.2">
      <c r="A8258" t="s">
        <v>24738</v>
      </c>
      <c r="B8258" t="s">
        <v>24739</v>
      </c>
      <c r="C8258" t="s">
        <v>24739</v>
      </c>
      <c r="D8258" t="str">
        <f>HYPERLINK("https://zfin.org/ZDB-GENE-060929-986")</f>
        <v>https://zfin.org/ZDB-GENE-060929-986</v>
      </c>
      <c r="E8258" t="s">
        <v>24740</v>
      </c>
    </row>
    <row r="8259" spans="1:5" x14ac:dyDescent="0.2">
      <c r="A8259" t="s">
        <v>24741</v>
      </c>
      <c r="B8259" t="s">
        <v>24742</v>
      </c>
      <c r="C8259" t="s">
        <v>24742</v>
      </c>
      <c r="D8259" t="str">
        <f>HYPERLINK("https://zfin.org/ZDB-GENE-030825-1")</f>
        <v>https://zfin.org/ZDB-GENE-030825-1</v>
      </c>
      <c r="E8259" t="s">
        <v>24743</v>
      </c>
    </row>
    <row r="8260" spans="1:5" x14ac:dyDescent="0.2">
      <c r="A8260" t="s">
        <v>24744</v>
      </c>
      <c r="B8260" t="s">
        <v>24745</v>
      </c>
      <c r="C8260" t="s">
        <v>24745</v>
      </c>
      <c r="D8260" t="str">
        <f>HYPERLINK("https://zfin.org/ZDB-GENE-131121-50")</f>
        <v>https://zfin.org/ZDB-GENE-131121-50</v>
      </c>
      <c r="E8260" t="s">
        <v>24746</v>
      </c>
    </row>
    <row r="8261" spans="1:5" x14ac:dyDescent="0.2">
      <c r="A8261" t="s">
        <v>24747</v>
      </c>
      <c r="B8261" t="s">
        <v>24748</v>
      </c>
      <c r="C8261" t="s">
        <v>24748</v>
      </c>
      <c r="D8261" t="str">
        <f>HYPERLINK("https://zfin.org/ZDB-GENE-110315-1")</f>
        <v>https://zfin.org/ZDB-GENE-110315-1</v>
      </c>
      <c r="E8261" t="s">
        <v>24749</v>
      </c>
    </row>
    <row r="8262" spans="1:5" x14ac:dyDescent="0.2">
      <c r="A8262" t="s">
        <v>24750</v>
      </c>
      <c r="B8262" t="s">
        <v>24751</v>
      </c>
      <c r="C8262" t="s">
        <v>24751</v>
      </c>
      <c r="D8262" t="str">
        <f>HYPERLINK("https://zfin.org/ZDB-GENE-080220-13")</f>
        <v>https://zfin.org/ZDB-GENE-080220-13</v>
      </c>
      <c r="E8262" t="s">
        <v>24752</v>
      </c>
    </row>
    <row r="8263" spans="1:5" x14ac:dyDescent="0.2">
      <c r="A8263" t="s">
        <v>24753</v>
      </c>
      <c r="B8263" t="s">
        <v>24754</v>
      </c>
      <c r="C8263" t="s">
        <v>24754</v>
      </c>
      <c r="D8263" t="str">
        <f>HYPERLINK("https://zfin.org/ZDB-GENE-030131-7664")</f>
        <v>https://zfin.org/ZDB-GENE-030131-7664</v>
      </c>
      <c r="E8263" t="s">
        <v>24755</v>
      </c>
    </row>
    <row r="8264" spans="1:5" x14ac:dyDescent="0.2">
      <c r="A8264" t="s">
        <v>24756</v>
      </c>
      <c r="B8264" t="s">
        <v>24757</v>
      </c>
      <c r="C8264" t="s">
        <v>24757</v>
      </c>
      <c r="D8264" t="str">
        <f>HYPERLINK("https://zfin.org/ZDB-GENE-050522-119")</f>
        <v>https://zfin.org/ZDB-GENE-050522-119</v>
      </c>
      <c r="E8264" t="s">
        <v>24758</v>
      </c>
    </row>
    <row r="8265" spans="1:5" x14ac:dyDescent="0.2">
      <c r="A8265" t="s">
        <v>24759</v>
      </c>
      <c r="B8265" t="s">
        <v>24760</v>
      </c>
      <c r="C8265" t="s">
        <v>24760</v>
      </c>
      <c r="D8265" t="str">
        <f>HYPERLINK("https://zfin.org/ZDB-GENE-040801-165")</f>
        <v>https://zfin.org/ZDB-GENE-040801-165</v>
      </c>
      <c r="E8265" t="s">
        <v>24761</v>
      </c>
    </row>
    <row r="8266" spans="1:5" x14ac:dyDescent="0.2">
      <c r="A8266" t="s">
        <v>24762</v>
      </c>
      <c r="B8266" t="s">
        <v>24763</v>
      </c>
      <c r="C8266" t="s">
        <v>24763</v>
      </c>
      <c r="D8266" t="str">
        <f>HYPERLINK("https://zfin.org/ZDB-GENE-091204-221")</f>
        <v>https://zfin.org/ZDB-GENE-091204-221</v>
      </c>
      <c r="E8266" t="s">
        <v>24764</v>
      </c>
    </row>
    <row r="8267" spans="1:5" x14ac:dyDescent="0.2">
      <c r="A8267" t="s">
        <v>24765</v>
      </c>
      <c r="B8267" t="s">
        <v>24766</v>
      </c>
      <c r="C8267" t="s">
        <v>24766</v>
      </c>
      <c r="D8267" t="str">
        <f>HYPERLINK("https://zfin.org/ZDB-GENE-050522-400")</f>
        <v>https://zfin.org/ZDB-GENE-050522-400</v>
      </c>
      <c r="E8267" t="s">
        <v>24767</v>
      </c>
    </row>
    <row r="8268" spans="1:5" x14ac:dyDescent="0.2">
      <c r="A8268" t="s">
        <v>24768</v>
      </c>
      <c r="B8268" t="s">
        <v>24769</v>
      </c>
      <c r="C8268" t="s">
        <v>24769</v>
      </c>
      <c r="D8268" t="str">
        <f>HYPERLINK("https://zfin.org/ZDB-GENE-030131-6401")</f>
        <v>https://zfin.org/ZDB-GENE-030131-6401</v>
      </c>
      <c r="E8268" t="s">
        <v>24770</v>
      </c>
    </row>
    <row r="8269" spans="1:5" x14ac:dyDescent="0.2">
      <c r="A8269" t="s">
        <v>24771</v>
      </c>
      <c r="B8269" t="s">
        <v>24772</v>
      </c>
      <c r="C8269" t="s">
        <v>24772</v>
      </c>
      <c r="D8269" t="str">
        <f>HYPERLINK("https://zfin.org/ZDB-GENE-030131-3178")</f>
        <v>https://zfin.org/ZDB-GENE-030131-3178</v>
      </c>
      <c r="E8269" t="s">
        <v>24773</v>
      </c>
    </row>
    <row r="8270" spans="1:5" x14ac:dyDescent="0.2">
      <c r="A8270" t="s">
        <v>24774</v>
      </c>
      <c r="B8270" t="s">
        <v>24775</v>
      </c>
      <c r="C8270" t="s">
        <v>24775</v>
      </c>
      <c r="D8270" t="str">
        <f>HYPERLINK("https://zfin.org/ZDB-GENE-030131-1529")</f>
        <v>https://zfin.org/ZDB-GENE-030131-1529</v>
      </c>
      <c r="E8270" t="s">
        <v>24776</v>
      </c>
    </row>
    <row r="8271" spans="1:5" x14ac:dyDescent="0.2">
      <c r="A8271" t="s">
        <v>24777</v>
      </c>
      <c r="B8271" t="s">
        <v>24778</v>
      </c>
      <c r="C8271" t="s">
        <v>24778</v>
      </c>
      <c r="D8271" t="str">
        <f>HYPERLINK("https://zfin.org/ZDB-GENE-030131-6550")</f>
        <v>https://zfin.org/ZDB-GENE-030131-6550</v>
      </c>
      <c r="E8271" t="s">
        <v>24779</v>
      </c>
    </row>
    <row r="8272" spans="1:5" x14ac:dyDescent="0.2">
      <c r="A8272" t="s">
        <v>24780</v>
      </c>
      <c r="B8272" t="s">
        <v>24781</v>
      </c>
      <c r="C8272" t="s">
        <v>24781</v>
      </c>
      <c r="D8272" t="str">
        <f>HYPERLINK("https://zfin.org/ZDB-GENE-030131-9762")</f>
        <v>https://zfin.org/ZDB-GENE-030131-9762</v>
      </c>
      <c r="E8272" t="s">
        <v>24782</v>
      </c>
    </row>
    <row r="8273" spans="1:5" x14ac:dyDescent="0.2">
      <c r="A8273" t="s">
        <v>24783</v>
      </c>
      <c r="B8273" t="s">
        <v>24784</v>
      </c>
      <c r="C8273" t="s">
        <v>24784</v>
      </c>
      <c r="D8273" t="str">
        <f>HYPERLINK("https://zfin.org/ZDB-GENE-060503-592")</f>
        <v>https://zfin.org/ZDB-GENE-060503-592</v>
      </c>
      <c r="E8273" t="s">
        <v>24785</v>
      </c>
    </row>
    <row r="8274" spans="1:5" x14ac:dyDescent="0.2">
      <c r="A8274" t="s">
        <v>24786</v>
      </c>
      <c r="B8274" t="s">
        <v>24787</v>
      </c>
      <c r="C8274" t="s">
        <v>24787</v>
      </c>
      <c r="D8274" t="str">
        <f>HYPERLINK("https://zfin.org/ZDB-GENE-081104-234")</f>
        <v>https://zfin.org/ZDB-GENE-081104-234</v>
      </c>
      <c r="E8274" t="s">
        <v>24788</v>
      </c>
    </row>
    <row r="8275" spans="1:5" x14ac:dyDescent="0.2">
      <c r="A8275" t="s">
        <v>24789</v>
      </c>
      <c r="B8275" t="s">
        <v>24790</v>
      </c>
      <c r="C8275" t="s">
        <v>24790</v>
      </c>
      <c r="D8275" t="str">
        <f>HYPERLINK("https://zfin.org/ZDB-GENE-131120-89")</f>
        <v>https://zfin.org/ZDB-GENE-131120-89</v>
      </c>
      <c r="E8275" t="s">
        <v>24791</v>
      </c>
    </row>
    <row r="8276" spans="1:5" x14ac:dyDescent="0.2">
      <c r="A8276" t="s">
        <v>24792</v>
      </c>
      <c r="B8276" t="s">
        <v>24793</v>
      </c>
      <c r="C8276" t="s">
        <v>24793</v>
      </c>
      <c r="D8276" t="str">
        <f>HYPERLINK("https://zfin.org/ZDB-GENE-100922-13")</f>
        <v>https://zfin.org/ZDB-GENE-100922-13</v>
      </c>
      <c r="E8276" t="s">
        <v>24794</v>
      </c>
    </row>
    <row r="8277" spans="1:5" x14ac:dyDescent="0.2">
      <c r="A8277" t="s">
        <v>24795</v>
      </c>
      <c r="B8277" t="s">
        <v>24796</v>
      </c>
      <c r="C8277" t="s">
        <v>24796</v>
      </c>
      <c r="D8277" t="str">
        <f>HYPERLINK("https://zfin.org/ZDB-GENE-090311-52")</f>
        <v>https://zfin.org/ZDB-GENE-090311-52</v>
      </c>
      <c r="E8277" t="s">
        <v>24797</v>
      </c>
    </row>
    <row r="8278" spans="1:5" x14ac:dyDescent="0.2">
      <c r="A8278" t="s">
        <v>24798</v>
      </c>
      <c r="B8278" t="s">
        <v>24799</v>
      </c>
      <c r="C8278" t="s">
        <v>24799</v>
      </c>
      <c r="D8278" t="str">
        <f>HYPERLINK("https://zfin.org/ZDB-GENE-041210-170")</f>
        <v>https://zfin.org/ZDB-GENE-041210-170</v>
      </c>
      <c r="E8278" t="s">
        <v>24800</v>
      </c>
    </row>
    <row r="8279" spans="1:5" x14ac:dyDescent="0.2">
      <c r="A8279" t="s">
        <v>24801</v>
      </c>
      <c r="B8279" t="s">
        <v>24802</v>
      </c>
      <c r="C8279" t="s">
        <v>24802</v>
      </c>
      <c r="D8279" t="str">
        <f>HYPERLINK("https://zfin.org/ZDB-GENE-050411-18")</f>
        <v>https://zfin.org/ZDB-GENE-050411-18</v>
      </c>
      <c r="E8279" t="s">
        <v>24803</v>
      </c>
    </row>
    <row r="8280" spans="1:5" x14ac:dyDescent="0.2">
      <c r="A8280" t="s">
        <v>24804</v>
      </c>
      <c r="B8280" t="s">
        <v>24805</v>
      </c>
      <c r="C8280" t="s">
        <v>24805</v>
      </c>
      <c r="D8280" t="str">
        <f>HYPERLINK("https://zfin.org/ZDB-GENE-040704-34")</f>
        <v>https://zfin.org/ZDB-GENE-040704-34</v>
      </c>
      <c r="E8280" t="s">
        <v>24806</v>
      </c>
    </row>
    <row r="8281" spans="1:5" x14ac:dyDescent="0.2">
      <c r="A8281" t="s">
        <v>24807</v>
      </c>
      <c r="B8281" t="s">
        <v>24808</v>
      </c>
      <c r="C8281" t="s">
        <v>24808</v>
      </c>
      <c r="D8281" t="str">
        <f>HYPERLINK("https://zfin.org/ZDB-GENE-040426-886")</f>
        <v>https://zfin.org/ZDB-GENE-040426-886</v>
      </c>
      <c r="E8281" t="s">
        <v>24809</v>
      </c>
    </row>
    <row r="8282" spans="1:5" x14ac:dyDescent="0.2">
      <c r="A8282" t="s">
        <v>24810</v>
      </c>
      <c r="B8282" t="s">
        <v>24811</v>
      </c>
      <c r="C8282" t="s">
        <v>24811</v>
      </c>
      <c r="D8282" t="str">
        <f>HYPERLINK("https://zfin.org/ZDB-GENE-030219-125")</f>
        <v>https://zfin.org/ZDB-GENE-030219-125</v>
      </c>
      <c r="E8282" t="s">
        <v>24812</v>
      </c>
    </row>
    <row r="8283" spans="1:5" x14ac:dyDescent="0.2">
      <c r="A8283" t="s">
        <v>24813</v>
      </c>
      <c r="B8283" t="s">
        <v>24814</v>
      </c>
      <c r="C8283" t="s">
        <v>24814</v>
      </c>
      <c r="D8283" t="str">
        <f>HYPERLINK("https://zfin.org/ZDB-GENE-090313-250")</f>
        <v>https://zfin.org/ZDB-GENE-090313-250</v>
      </c>
      <c r="E8283" t="s">
        <v>24815</v>
      </c>
    </row>
    <row r="8284" spans="1:5" x14ac:dyDescent="0.2">
      <c r="A8284" t="s">
        <v>24816</v>
      </c>
      <c r="B8284" t="s">
        <v>24817</v>
      </c>
      <c r="C8284" t="s">
        <v>24817</v>
      </c>
      <c r="D8284" t="str">
        <f>HYPERLINK("https://zfin.org/ZDB-GENE-130109-1")</f>
        <v>https://zfin.org/ZDB-GENE-130109-1</v>
      </c>
      <c r="E8284" t="s">
        <v>24818</v>
      </c>
    </row>
    <row r="8285" spans="1:5" x14ac:dyDescent="0.2">
      <c r="A8285" t="s">
        <v>24819</v>
      </c>
      <c r="B8285" t="s">
        <v>24820</v>
      </c>
      <c r="C8285" t="s">
        <v>24820</v>
      </c>
      <c r="D8285" t="str">
        <f>HYPERLINK("https://zfin.org/ZDB-GENE-030114-3")</f>
        <v>https://zfin.org/ZDB-GENE-030114-3</v>
      </c>
      <c r="E8285" t="s">
        <v>24821</v>
      </c>
    </row>
    <row r="8286" spans="1:5" x14ac:dyDescent="0.2">
      <c r="A8286" t="s">
        <v>24822</v>
      </c>
      <c r="B8286" t="s">
        <v>24823</v>
      </c>
      <c r="C8286" t="s">
        <v>24823</v>
      </c>
      <c r="D8286" t="str">
        <f>HYPERLINK("https://zfin.org/ZDB-GENE-041111-186")</f>
        <v>https://zfin.org/ZDB-GENE-041111-186</v>
      </c>
      <c r="E8286" t="s">
        <v>24824</v>
      </c>
    </row>
    <row r="8287" spans="1:5" x14ac:dyDescent="0.2">
      <c r="A8287" t="s">
        <v>24825</v>
      </c>
      <c r="B8287" t="s">
        <v>24826</v>
      </c>
      <c r="C8287" t="s">
        <v>24826</v>
      </c>
      <c r="D8287" t="str">
        <f>HYPERLINK("https://zfin.org/ZDB-GENE-081110-2")</f>
        <v>https://zfin.org/ZDB-GENE-081110-2</v>
      </c>
      <c r="E8287" t="s">
        <v>24827</v>
      </c>
    </row>
    <row r="8288" spans="1:5" x14ac:dyDescent="0.2">
      <c r="A8288" t="s">
        <v>24828</v>
      </c>
      <c r="B8288" t="s">
        <v>24829</v>
      </c>
      <c r="C8288" t="s">
        <v>24829</v>
      </c>
      <c r="D8288" t="str">
        <f>HYPERLINK("https://zfin.org/ZDB-GENE-141215-53")</f>
        <v>https://zfin.org/ZDB-GENE-141215-53</v>
      </c>
      <c r="E8288" t="s">
        <v>24830</v>
      </c>
    </row>
    <row r="8289" spans="1:5" x14ac:dyDescent="0.2">
      <c r="A8289" t="s">
        <v>24831</v>
      </c>
      <c r="B8289" t="s">
        <v>24832</v>
      </c>
      <c r="C8289" t="s">
        <v>24832</v>
      </c>
      <c r="D8289" t="str">
        <f>HYPERLINK("https://zfin.org/ZDB-GENE-050420-198")</f>
        <v>https://zfin.org/ZDB-GENE-050420-198</v>
      </c>
      <c r="E8289" t="s">
        <v>24833</v>
      </c>
    </row>
    <row r="8290" spans="1:5" x14ac:dyDescent="0.2">
      <c r="A8290" t="s">
        <v>24834</v>
      </c>
      <c r="B8290" t="s">
        <v>24835</v>
      </c>
      <c r="C8290" t="s">
        <v>24836</v>
      </c>
      <c r="D8290" t="str">
        <f>HYPERLINK("https://zfin.org/ZDB-GENE-040426-827")</f>
        <v>https://zfin.org/ZDB-GENE-040426-827</v>
      </c>
      <c r="E8290" t="s">
        <v>24837</v>
      </c>
    </row>
    <row r="8291" spans="1:5" x14ac:dyDescent="0.2">
      <c r="A8291" t="s">
        <v>24838</v>
      </c>
      <c r="B8291" t="s">
        <v>24839</v>
      </c>
      <c r="C8291" t="s">
        <v>24839</v>
      </c>
      <c r="D8291" t="str">
        <f>HYPERLINK("https://zfin.org/ZDB-GENE-041001-173")</f>
        <v>https://zfin.org/ZDB-GENE-041001-173</v>
      </c>
      <c r="E8291" t="s">
        <v>24840</v>
      </c>
    </row>
    <row r="8292" spans="1:5" x14ac:dyDescent="0.2">
      <c r="A8292" t="s">
        <v>24841</v>
      </c>
      <c r="B8292" t="s">
        <v>24842</v>
      </c>
      <c r="C8292" t="s">
        <v>24842</v>
      </c>
      <c r="D8292" t="str">
        <f>HYPERLINK("https://zfin.org/ZDB-GENE-070117-1989")</f>
        <v>https://zfin.org/ZDB-GENE-070117-1989</v>
      </c>
      <c r="E8292" t="s">
        <v>24843</v>
      </c>
    </row>
    <row r="8293" spans="1:5" x14ac:dyDescent="0.2">
      <c r="A8293" t="s">
        <v>24844</v>
      </c>
      <c r="B8293" t="s">
        <v>24845</v>
      </c>
      <c r="C8293" t="s">
        <v>24845</v>
      </c>
      <c r="D8293" t="str">
        <f>HYPERLINK("https://zfin.org/ZDB-GENE-050417-272")</f>
        <v>https://zfin.org/ZDB-GENE-050417-272</v>
      </c>
      <c r="E8293" t="s">
        <v>24846</v>
      </c>
    </row>
    <row r="8294" spans="1:5" x14ac:dyDescent="0.2">
      <c r="A8294" t="s">
        <v>24847</v>
      </c>
      <c r="B8294" t="s">
        <v>24848</v>
      </c>
      <c r="C8294" t="s">
        <v>24848</v>
      </c>
      <c r="D8294" t="str">
        <f>HYPERLINK("https://zfin.org/ZDB-GENE-030902-5")</f>
        <v>https://zfin.org/ZDB-GENE-030902-5</v>
      </c>
      <c r="E8294" t="s">
        <v>24849</v>
      </c>
    </row>
    <row r="8295" spans="1:5" x14ac:dyDescent="0.2">
      <c r="A8295" t="s">
        <v>24850</v>
      </c>
      <c r="B8295" t="s">
        <v>24851</v>
      </c>
      <c r="C8295" t="s">
        <v>24851</v>
      </c>
      <c r="D8295" t="str">
        <f>HYPERLINK("https://zfin.org/ZDB-GENE-040426-2382")</f>
        <v>https://zfin.org/ZDB-GENE-040426-2382</v>
      </c>
      <c r="E8295" t="s">
        <v>24852</v>
      </c>
    </row>
    <row r="8296" spans="1:5" x14ac:dyDescent="0.2">
      <c r="A8296" t="s">
        <v>24853</v>
      </c>
      <c r="B8296" t="s">
        <v>24854</v>
      </c>
      <c r="C8296" t="s">
        <v>24854</v>
      </c>
      <c r="D8296" t="str">
        <f>HYPERLINK("https://zfin.org/ZDB-GENE-030131-3844")</f>
        <v>https://zfin.org/ZDB-GENE-030131-3844</v>
      </c>
      <c r="E8296" t="s">
        <v>24855</v>
      </c>
    </row>
    <row r="8297" spans="1:5" x14ac:dyDescent="0.2">
      <c r="A8297" t="s">
        <v>24856</v>
      </c>
      <c r="B8297" t="s">
        <v>24857</v>
      </c>
      <c r="C8297" t="s">
        <v>24857</v>
      </c>
      <c r="D8297" t="str">
        <f>HYPERLINK("https://zfin.org/ZDB-GENE-030131-9169")</f>
        <v>https://zfin.org/ZDB-GENE-030131-9169</v>
      </c>
      <c r="E8297" t="s">
        <v>24858</v>
      </c>
    </row>
    <row r="8298" spans="1:5" x14ac:dyDescent="0.2">
      <c r="A8298" t="s">
        <v>24859</v>
      </c>
      <c r="B8298" t="s">
        <v>24860</v>
      </c>
      <c r="C8298" t="s">
        <v>24860</v>
      </c>
      <c r="D8298" t="str">
        <f>HYPERLINK("https://zfin.org/ZDB-GENE-040426-905")</f>
        <v>https://zfin.org/ZDB-GENE-040426-905</v>
      </c>
      <c r="E8298" t="s">
        <v>24861</v>
      </c>
    </row>
    <row r="8299" spans="1:5" x14ac:dyDescent="0.2">
      <c r="A8299" t="s">
        <v>24862</v>
      </c>
      <c r="B8299" t="s">
        <v>24863</v>
      </c>
      <c r="C8299" t="s">
        <v>24863</v>
      </c>
      <c r="D8299" t="str">
        <f>HYPERLINK("https://zfin.org/ZDB-GENE-040718-59")</f>
        <v>https://zfin.org/ZDB-GENE-040718-59</v>
      </c>
      <c r="E8299" t="s">
        <v>24864</v>
      </c>
    </row>
    <row r="8300" spans="1:5" x14ac:dyDescent="0.2">
      <c r="A8300" t="s">
        <v>24865</v>
      </c>
      <c r="B8300" t="s">
        <v>24866</v>
      </c>
      <c r="C8300" t="s">
        <v>24866</v>
      </c>
      <c r="D8300" t="str">
        <f>HYPERLINK("https://zfin.org/ZDB-GENE-110411-95")</f>
        <v>https://zfin.org/ZDB-GENE-110411-95</v>
      </c>
      <c r="E8300" t="s">
        <v>24867</v>
      </c>
    </row>
    <row r="8301" spans="1:5" x14ac:dyDescent="0.2">
      <c r="A8301" t="s">
        <v>24868</v>
      </c>
      <c r="B8301" t="s">
        <v>24869</v>
      </c>
      <c r="C8301" t="s">
        <v>24869</v>
      </c>
      <c r="D8301" t="str">
        <f>HYPERLINK("https://zfin.org/ZDB-GENE-030131-845")</f>
        <v>https://zfin.org/ZDB-GENE-030131-845</v>
      </c>
      <c r="E8301" t="s">
        <v>24870</v>
      </c>
    </row>
    <row r="8302" spans="1:5" x14ac:dyDescent="0.2">
      <c r="A8302" t="s">
        <v>24871</v>
      </c>
      <c r="B8302" t="s">
        <v>24872</v>
      </c>
      <c r="C8302" t="s">
        <v>24872</v>
      </c>
      <c r="D8302" t="str">
        <f>HYPERLINK("https://zfin.org/ZDB-GENE-081022-110")</f>
        <v>https://zfin.org/ZDB-GENE-081022-110</v>
      </c>
      <c r="E8302" t="s">
        <v>24873</v>
      </c>
    </row>
    <row r="8303" spans="1:5" x14ac:dyDescent="0.2">
      <c r="A8303" t="s">
        <v>24874</v>
      </c>
      <c r="B8303" t="s">
        <v>24875</v>
      </c>
      <c r="C8303" t="s">
        <v>24875</v>
      </c>
      <c r="D8303" t="str">
        <f>HYPERLINK("https://zfin.org/ZDB-GENE-121214-300")</f>
        <v>https://zfin.org/ZDB-GENE-121214-300</v>
      </c>
      <c r="E8303" t="s">
        <v>24876</v>
      </c>
    </row>
    <row r="8304" spans="1:5" x14ac:dyDescent="0.2">
      <c r="A8304" t="s">
        <v>24877</v>
      </c>
      <c r="B8304" t="s">
        <v>24878</v>
      </c>
      <c r="C8304" t="s">
        <v>24878</v>
      </c>
      <c r="D8304" t="str">
        <f>HYPERLINK("https://zfin.org/ZDB-GENE-980526-274")</f>
        <v>https://zfin.org/ZDB-GENE-980526-274</v>
      </c>
      <c r="E8304" t="s">
        <v>24879</v>
      </c>
    </row>
    <row r="8305" spans="1:5" x14ac:dyDescent="0.2">
      <c r="A8305" t="s">
        <v>24880</v>
      </c>
      <c r="B8305" t="s">
        <v>24881</v>
      </c>
      <c r="C8305" t="s">
        <v>24881</v>
      </c>
      <c r="D8305" t="str">
        <f>HYPERLINK("https://zfin.org/ZDB-GENE-030131-8594")</f>
        <v>https://zfin.org/ZDB-GENE-030131-8594</v>
      </c>
      <c r="E8305" t="s">
        <v>24882</v>
      </c>
    </row>
    <row r="8306" spans="1:5" x14ac:dyDescent="0.2">
      <c r="A8306" t="s">
        <v>24883</v>
      </c>
      <c r="B8306" t="s">
        <v>24884</v>
      </c>
      <c r="C8306" t="s">
        <v>24884</v>
      </c>
      <c r="D8306" t="str">
        <f>HYPERLINK("https://zfin.org/ZDB-GENE-030131-8877")</f>
        <v>https://zfin.org/ZDB-GENE-030131-8877</v>
      </c>
      <c r="E8306" t="s">
        <v>24885</v>
      </c>
    </row>
    <row r="8307" spans="1:5" x14ac:dyDescent="0.2">
      <c r="A8307" t="s">
        <v>24886</v>
      </c>
      <c r="B8307" t="s">
        <v>24887</v>
      </c>
      <c r="C8307" t="s">
        <v>24887</v>
      </c>
      <c r="D8307" t="str">
        <f>HYPERLINK("https://zfin.org/ZDB-GENE-071212-4")</f>
        <v>https://zfin.org/ZDB-GENE-071212-4</v>
      </c>
      <c r="E8307" t="s">
        <v>24888</v>
      </c>
    </row>
    <row r="8308" spans="1:5" x14ac:dyDescent="0.2">
      <c r="A8308" t="s">
        <v>24889</v>
      </c>
      <c r="B8308" t="s">
        <v>24890</v>
      </c>
      <c r="C8308" t="s">
        <v>24890</v>
      </c>
      <c r="D8308" t="str">
        <f>HYPERLINK("https://zfin.org/ZDB-GENE-040426-1392")</f>
        <v>https://zfin.org/ZDB-GENE-040426-1392</v>
      </c>
      <c r="E8308" t="s">
        <v>24891</v>
      </c>
    </row>
    <row r="8309" spans="1:5" x14ac:dyDescent="0.2">
      <c r="A8309" t="s">
        <v>24892</v>
      </c>
      <c r="B8309" t="s">
        <v>24893</v>
      </c>
      <c r="C8309" t="s">
        <v>24893</v>
      </c>
      <c r="D8309" t="str">
        <f>HYPERLINK("https://zfin.org/ZDB-GENE-041210-323")</f>
        <v>https://zfin.org/ZDB-GENE-041210-323</v>
      </c>
      <c r="E8309" t="s">
        <v>24894</v>
      </c>
    </row>
    <row r="8310" spans="1:5" x14ac:dyDescent="0.2">
      <c r="A8310" t="s">
        <v>24895</v>
      </c>
      <c r="B8310" t="s">
        <v>24896</v>
      </c>
      <c r="C8310" t="s">
        <v>24896</v>
      </c>
      <c r="D8310" t="str">
        <f>HYPERLINK("https://zfin.org/ZDB-GENE-120222-1")</f>
        <v>https://zfin.org/ZDB-GENE-120222-1</v>
      </c>
      <c r="E8310" t="s">
        <v>24897</v>
      </c>
    </row>
    <row r="8311" spans="1:5" x14ac:dyDescent="0.2">
      <c r="A8311" t="s">
        <v>24898</v>
      </c>
      <c r="B8311" t="s">
        <v>24899</v>
      </c>
      <c r="C8311" t="s">
        <v>24899</v>
      </c>
      <c r="D8311" t="str">
        <f>HYPERLINK("https://zfin.org/ZDB-GENE-040625-90")</f>
        <v>https://zfin.org/ZDB-GENE-040625-90</v>
      </c>
      <c r="E8311" t="s">
        <v>24900</v>
      </c>
    </row>
    <row r="8312" spans="1:5" x14ac:dyDescent="0.2">
      <c r="A8312" t="s">
        <v>24901</v>
      </c>
      <c r="B8312" t="s">
        <v>24902</v>
      </c>
      <c r="C8312" t="s">
        <v>24902</v>
      </c>
      <c r="D8312" t="str">
        <f>HYPERLINK("https://zfin.org/ZDB-GENE-041001-175")</f>
        <v>https://zfin.org/ZDB-GENE-041001-175</v>
      </c>
      <c r="E8312" t="s">
        <v>24903</v>
      </c>
    </row>
    <row r="8313" spans="1:5" x14ac:dyDescent="0.2">
      <c r="A8313" t="s">
        <v>24904</v>
      </c>
      <c r="B8313" t="s">
        <v>24905</v>
      </c>
      <c r="C8313" t="s">
        <v>24905</v>
      </c>
      <c r="D8313" t="str">
        <f>HYPERLINK("https://zfin.org/ZDB-GENE-060421-4643")</f>
        <v>https://zfin.org/ZDB-GENE-060421-4643</v>
      </c>
      <c r="E8313" t="s">
        <v>24906</v>
      </c>
    </row>
    <row r="8314" spans="1:5" x14ac:dyDescent="0.2">
      <c r="A8314" t="s">
        <v>24907</v>
      </c>
      <c r="B8314" t="s">
        <v>24908</v>
      </c>
      <c r="C8314" t="s">
        <v>24908</v>
      </c>
      <c r="D8314" t="str">
        <f>HYPERLINK("https://zfin.org/ZDB-GENE-020708-1")</f>
        <v>https://zfin.org/ZDB-GENE-020708-1</v>
      </c>
      <c r="E8314" t="s">
        <v>24909</v>
      </c>
    </row>
    <row r="8315" spans="1:5" x14ac:dyDescent="0.2">
      <c r="A8315" t="s">
        <v>24910</v>
      </c>
      <c r="B8315" t="s">
        <v>24911</v>
      </c>
      <c r="C8315" t="s">
        <v>24911</v>
      </c>
      <c r="D8315" t="str">
        <f>HYPERLINK("https://zfin.org/ZDB-GENE-030131-5808")</f>
        <v>https://zfin.org/ZDB-GENE-030131-5808</v>
      </c>
      <c r="E8315" t="s">
        <v>24912</v>
      </c>
    </row>
    <row r="8316" spans="1:5" x14ac:dyDescent="0.2">
      <c r="A8316" t="s">
        <v>24913</v>
      </c>
      <c r="B8316" t="s">
        <v>24914</v>
      </c>
      <c r="C8316" t="s">
        <v>24914</v>
      </c>
      <c r="D8316" t="str">
        <f>HYPERLINK("https://zfin.org/ZDB-GENE-120411-11")</f>
        <v>https://zfin.org/ZDB-GENE-120411-11</v>
      </c>
      <c r="E8316" t="s">
        <v>24915</v>
      </c>
    </row>
    <row r="8317" spans="1:5" x14ac:dyDescent="0.2">
      <c r="A8317" t="s">
        <v>24916</v>
      </c>
      <c r="B8317" t="s">
        <v>24917</v>
      </c>
      <c r="C8317" t="s">
        <v>24917</v>
      </c>
      <c r="D8317" t="str">
        <f>HYPERLINK("https://zfin.org/ZDB-GENE-081113-4")</f>
        <v>https://zfin.org/ZDB-GENE-081113-4</v>
      </c>
      <c r="E8317" t="s">
        <v>24918</v>
      </c>
    </row>
    <row r="8318" spans="1:5" x14ac:dyDescent="0.2">
      <c r="A8318" t="s">
        <v>24919</v>
      </c>
      <c r="B8318" t="s">
        <v>24920</v>
      </c>
      <c r="C8318" t="s">
        <v>24920</v>
      </c>
      <c r="D8318" t="str">
        <f>HYPERLINK("https://zfin.org/ZDB-GENE-020708-4")</f>
        <v>https://zfin.org/ZDB-GENE-020708-4</v>
      </c>
      <c r="E8318" t="s">
        <v>24921</v>
      </c>
    </row>
    <row r="8319" spans="1:5" x14ac:dyDescent="0.2">
      <c r="A8319" t="s">
        <v>24922</v>
      </c>
      <c r="B8319" t="s">
        <v>24923</v>
      </c>
      <c r="C8319" t="s">
        <v>24923</v>
      </c>
      <c r="D8319" t="str">
        <f>HYPERLINK("https://zfin.org/ZDB-GENE-040718-90")</f>
        <v>https://zfin.org/ZDB-GENE-040718-90</v>
      </c>
      <c r="E8319" t="s">
        <v>24924</v>
      </c>
    </row>
    <row r="8320" spans="1:5" x14ac:dyDescent="0.2">
      <c r="A8320" t="s">
        <v>24925</v>
      </c>
      <c r="B8320" t="s">
        <v>24926</v>
      </c>
      <c r="C8320" t="s">
        <v>24926</v>
      </c>
      <c r="D8320" t="str">
        <f>HYPERLINK("https://zfin.org/ZDB-GENE-050327-68")</f>
        <v>https://zfin.org/ZDB-GENE-050327-68</v>
      </c>
      <c r="E8320" t="s">
        <v>24927</v>
      </c>
    </row>
    <row r="8321" spans="1:5" x14ac:dyDescent="0.2">
      <c r="A8321" t="s">
        <v>24928</v>
      </c>
      <c r="B8321" t="s">
        <v>24929</v>
      </c>
      <c r="C8321" t="s">
        <v>24929</v>
      </c>
      <c r="D8321" t="str">
        <f>HYPERLINK("https://zfin.org/ZDB-GENE-050913-84")</f>
        <v>https://zfin.org/ZDB-GENE-050913-84</v>
      </c>
      <c r="E8321" t="s">
        <v>24930</v>
      </c>
    </row>
    <row r="8322" spans="1:5" x14ac:dyDescent="0.2">
      <c r="A8322" t="s">
        <v>24931</v>
      </c>
      <c r="B8322" t="s">
        <v>24932</v>
      </c>
      <c r="C8322" t="s">
        <v>24932</v>
      </c>
      <c r="D8322" t="str">
        <f>HYPERLINK("https://zfin.org/ZDB-GENE-040426-1290")</f>
        <v>https://zfin.org/ZDB-GENE-040426-1290</v>
      </c>
      <c r="E8322" t="s">
        <v>24933</v>
      </c>
    </row>
    <row r="8323" spans="1:5" x14ac:dyDescent="0.2">
      <c r="A8323" t="s">
        <v>24934</v>
      </c>
      <c r="B8323" t="s">
        <v>24935</v>
      </c>
      <c r="C8323" t="s">
        <v>24935</v>
      </c>
      <c r="D8323" t="str">
        <f>HYPERLINK("https://zfin.org/ZDB-GENE-010202-3")</f>
        <v>https://zfin.org/ZDB-GENE-010202-3</v>
      </c>
      <c r="E8323" t="s">
        <v>24936</v>
      </c>
    </row>
    <row r="8324" spans="1:5" x14ac:dyDescent="0.2">
      <c r="A8324" t="s">
        <v>24937</v>
      </c>
      <c r="B8324" t="s">
        <v>24938</v>
      </c>
      <c r="C8324" t="s">
        <v>24939</v>
      </c>
      <c r="D8324" t="str">
        <f>HYPERLINK("https://zfin.org/ZDB-GENE-091204-406")</f>
        <v>https://zfin.org/ZDB-GENE-091204-406</v>
      </c>
      <c r="E8324" t="s">
        <v>24940</v>
      </c>
    </row>
    <row r="8325" spans="1:5" x14ac:dyDescent="0.2">
      <c r="A8325" t="s">
        <v>24941</v>
      </c>
      <c r="B8325" t="s">
        <v>24942</v>
      </c>
      <c r="C8325" t="s">
        <v>24942</v>
      </c>
      <c r="D8325" t="str">
        <f>HYPERLINK("https://zfin.org/ZDB-GENE-040912-24")</f>
        <v>https://zfin.org/ZDB-GENE-040912-24</v>
      </c>
      <c r="E8325" t="s">
        <v>24943</v>
      </c>
    </row>
    <row r="8326" spans="1:5" x14ac:dyDescent="0.2">
      <c r="A8326" t="s">
        <v>24944</v>
      </c>
      <c r="B8326" t="s">
        <v>24945</v>
      </c>
      <c r="C8326" t="s">
        <v>24945</v>
      </c>
      <c r="D8326" t="str">
        <f>HYPERLINK("https://zfin.org/ZDB-GENE-060503-249")</f>
        <v>https://zfin.org/ZDB-GENE-060503-249</v>
      </c>
      <c r="E8326" t="s">
        <v>24946</v>
      </c>
    </row>
    <row r="8327" spans="1:5" x14ac:dyDescent="0.2">
      <c r="A8327" t="s">
        <v>24947</v>
      </c>
      <c r="B8327" t="s">
        <v>24948</v>
      </c>
      <c r="C8327" t="s">
        <v>24948</v>
      </c>
      <c r="D8327" t="str">
        <f>HYPERLINK("https://zfin.org/ZDB-GENE-060421-6887")</f>
        <v>https://zfin.org/ZDB-GENE-060421-6887</v>
      </c>
      <c r="E8327" t="s">
        <v>24949</v>
      </c>
    </row>
    <row r="8328" spans="1:5" x14ac:dyDescent="0.2">
      <c r="A8328" t="s">
        <v>24950</v>
      </c>
      <c r="B8328" t="s">
        <v>24951</v>
      </c>
      <c r="C8328" t="s">
        <v>24951</v>
      </c>
      <c r="D8328" t="str">
        <f>HYPERLINK("https://zfin.org/ZDB-GENE-040801-130")</f>
        <v>https://zfin.org/ZDB-GENE-040801-130</v>
      </c>
      <c r="E8328" t="s">
        <v>24952</v>
      </c>
    </row>
    <row r="8329" spans="1:5" x14ac:dyDescent="0.2">
      <c r="A8329" t="s">
        <v>24953</v>
      </c>
      <c r="B8329" t="s">
        <v>24954</v>
      </c>
      <c r="C8329" t="s">
        <v>24954</v>
      </c>
      <c r="D8329" t="str">
        <f>HYPERLINK("https://zfin.org/ZDB-GENE-030131-3124")</f>
        <v>https://zfin.org/ZDB-GENE-030131-3124</v>
      </c>
      <c r="E8329" t="s">
        <v>24955</v>
      </c>
    </row>
    <row r="8330" spans="1:5" x14ac:dyDescent="0.2">
      <c r="A8330" t="s">
        <v>24956</v>
      </c>
      <c r="B8330" t="s">
        <v>24957</v>
      </c>
      <c r="C8330" t="s">
        <v>24957</v>
      </c>
      <c r="D8330" t="str">
        <f>HYPERLINK("https://zfin.org/ZDB-GENE-060825-170")</f>
        <v>https://zfin.org/ZDB-GENE-060825-170</v>
      </c>
      <c r="E8330" t="s">
        <v>24958</v>
      </c>
    </row>
    <row r="8331" spans="1:5" x14ac:dyDescent="0.2">
      <c r="A8331" t="s">
        <v>24959</v>
      </c>
      <c r="B8331" t="s">
        <v>24960</v>
      </c>
      <c r="C8331" t="s">
        <v>24960</v>
      </c>
      <c r="D8331" t="str">
        <f>HYPERLINK("https://zfin.org/ZDB-GENE-040426-2686")</f>
        <v>https://zfin.org/ZDB-GENE-040426-2686</v>
      </c>
      <c r="E8331" t="s">
        <v>24961</v>
      </c>
    </row>
    <row r="8332" spans="1:5" x14ac:dyDescent="0.2">
      <c r="A8332" t="s">
        <v>24962</v>
      </c>
      <c r="B8332" t="s">
        <v>24963</v>
      </c>
      <c r="C8332" t="s">
        <v>24963</v>
      </c>
      <c r="D8332" t="str">
        <f>HYPERLINK("https://zfin.org/ZDB-GENE-040426-1831")</f>
        <v>https://zfin.org/ZDB-GENE-040426-1831</v>
      </c>
      <c r="E8332" t="s">
        <v>24964</v>
      </c>
    </row>
    <row r="8333" spans="1:5" x14ac:dyDescent="0.2">
      <c r="A8333" t="s">
        <v>24965</v>
      </c>
      <c r="B8333" t="s">
        <v>24966</v>
      </c>
      <c r="C8333" t="s">
        <v>24966</v>
      </c>
      <c r="D8333" t="str">
        <f>HYPERLINK("https://zfin.org/ZDB-GENE-070424-49")</f>
        <v>https://zfin.org/ZDB-GENE-070424-49</v>
      </c>
      <c r="E8333" t="s">
        <v>24967</v>
      </c>
    </row>
    <row r="8334" spans="1:5" x14ac:dyDescent="0.2">
      <c r="A8334" t="s">
        <v>24968</v>
      </c>
      <c r="B8334" t="s">
        <v>24969</v>
      </c>
      <c r="C8334" t="s">
        <v>24969</v>
      </c>
      <c r="D8334" t="str">
        <f>HYPERLINK("https://zfin.org/ZDB-GENE-070912-176")</f>
        <v>https://zfin.org/ZDB-GENE-070912-176</v>
      </c>
      <c r="E8334" t="s">
        <v>24970</v>
      </c>
    </row>
    <row r="8335" spans="1:5" x14ac:dyDescent="0.2">
      <c r="A8335" t="s">
        <v>24971</v>
      </c>
      <c r="B8335" t="s">
        <v>24972</v>
      </c>
      <c r="C8335" t="s">
        <v>24972</v>
      </c>
      <c r="D8335" t="str">
        <f>HYPERLINK("https://zfin.org/ZDB-GENE-090312-110")</f>
        <v>https://zfin.org/ZDB-GENE-090312-110</v>
      </c>
      <c r="E8335" t="s">
        <v>24973</v>
      </c>
    </row>
    <row r="8336" spans="1:5" x14ac:dyDescent="0.2">
      <c r="A8336" t="s">
        <v>24974</v>
      </c>
      <c r="B8336" t="s">
        <v>24975</v>
      </c>
      <c r="C8336" t="s">
        <v>24975</v>
      </c>
      <c r="D8336" t="str">
        <f>HYPERLINK("https://zfin.org/ZDB-GENE-061114-1")</f>
        <v>https://zfin.org/ZDB-GENE-061114-1</v>
      </c>
      <c r="E8336" t="s">
        <v>24976</v>
      </c>
    </row>
    <row r="8337" spans="1:5" x14ac:dyDescent="0.2">
      <c r="A8337" t="s">
        <v>24977</v>
      </c>
      <c r="B8337" t="s">
        <v>24978</v>
      </c>
      <c r="C8337" t="s">
        <v>24978</v>
      </c>
      <c r="D8337" t="str">
        <f>HYPERLINK("https://zfin.org/ZDB-GENE-030131-970")</f>
        <v>https://zfin.org/ZDB-GENE-030131-970</v>
      </c>
      <c r="E8337" t="s">
        <v>24979</v>
      </c>
    </row>
    <row r="8338" spans="1:5" x14ac:dyDescent="0.2">
      <c r="A8338" t="s">
        <v>24980</v>
      </c>
      <c r="B8338" t="s">
        <v>24981</v>
      </c>
      <c r="C8338" t="s">
        <v>24981</v>
      </c>
      <c r="D8338" t="str">
        <f>HYPERLINK("https://zfin.org/ZDB-GENE-060518-1")</f>
        <v>https://zfin.org/ZDB-GENE-060518-1</v>
      </c>
      <c r="E8338" t="s">
        <v>24982</v>
      </c>
    </row>
    <row r="8339" spans="1:5" x14ac:dyDescent="0.2">
      <c r="A8339" t="s">
        <v>24983</v>
      </c>
      <c r="B8339" t="s">
        <v>24984</v>
      </c>
      <c r="C8339" t="s">
        <v>24984</v>
      </c>
      <c r="D8339" t="str">
        <f>HYPERLINK("https://zfin.org/ZDB-GENE-030804-4")</f>
        <v>https://zfin.org/ZDB-GENE-030804-4</v>
      </c>
      <c r="E8339" t="s">
        <v>24985</v>
      </c>
    </row>
    <row r="8340" spans="1:5" x14ac:dyDescent="0.2">
      <c r="A8340" t="s">
        <v>24986</v>
      </c>
      <c r="B8340" t="s">
        <v>24987</v>
      </c>
      <c r="C8340" t="s">
        <v>24987</v>
      </c>
      <c r="D8340" t="str">
        <f>HYPERLINK("https://zfin.org/ZDB-GENE-030131-8765")</f>
        <v>https://zfin.org/ZDB-GENE-030131-8765</v>
      </c>
      <c r="E8340" t="s">
        <v>24988</v>
      </c>
    </row>
    <row r="8341" spans="1:5" x14ac:dyDescent="0.2">
      <c r="A8341" t="s">
        <v>24989</v>
      </c>
      <c r="B8341" t="s">
        <v>24990</v>
      </c>
      <c r="C8341" t="s">
        <v>24990</v>
      </c>
      <c r="D8341" t="str">
        <f>HYPERLINK("https://zfin.org/ZDB-GENE-120810-2")</f>
        <v>https://zfin.org/ZDB-GENE-120810-2</v>
      </c>
      <c r="E8341" t="s">
        <v>24991</v>
      </c>
    </row>
    <row r="8342" spans="1:5" x14ac:dyDescent="0.2">
      <c r="A8342" t="s">
        <v>24992</v>
      </c>
      <c r="B8342" t="s">
        <v>24993</v>
      </c>
      <c r="C8342" t="s">
        <v>24993</v>
      </c>
      <c r="D8342" t="str">
        <f>HYPERLINK("https://zfin.org/ZDB-GENE-070718-3")</f>
        <v>https://zfin.org/ZDB-GENE-070718-3</v>
      </c>
      <c r="E8342" t="s">
        <v>24994</v>
      </c>
    </row>
    <row r="8343" spans="1:5" x14ac:dyDescent="0.2">
      <c r="A8343" t="s">
        <v>24995</v>
      </c>
      <c r="B8343" t="s">
        <v>24996</v>
      </c>
      <c r="C8343" t="s">
        <v>24996</v>
      </c>
      <c r="D8343" t="str">
        <f>HYPERLINK("https://zfin.org/ZDB-GENE-100920-6")</f>
        <v>https://zfin.org/ZDB-GENE-100920-6</v>
      </c>
      <c r="E8343" t="s">
        <v>24997</v>
      </c>
    </row>
    <row r="8344" spans="1:5" x14ac:dyDescent="0.2">
      <c r="A8344" t="s">
        <v>24998</v>
      </c>
      <c r="B8344" t="s">
        <v>24999</v>
      </c>
      <c r="C8344" t="s">
        <v>24999</v>
      </c>
      <c r="D8344" t="str">
        <f>HYPERLINK("https://zfin.org/ZDB-GENE-050417-107")</f>
        <v>https://zfin.org/ZDB-GENE-050417-107</v>
      </c>
      <c r="E8344" t="s">
        <v>25000</v>
      </c>
    </row>
    <row r="8345" spans="1:5" x14ac:dyDescent="0.2">
      <c r="A8345" t="s">
        <v>25001</v>
      </c>
      <c r="B8345" t="s">
        <v>25002</v>
      </c>
      <c r="C8345" t="s">
        <v>25002</v>
      </c>
      <c r="D8345" t="str">
        <f>HYPERLINK("https://zfin.org/ZDB-GENE-130603-7")</f>
        <v>https://zfin.org/ZDB-GENE-130603-7</v>
      </c>
      <c r="E8345" t="s">
        <v>25003</v>
      </c>
    </row>
    <row r="8346" spans="1:5" x14ac:dyDescent="0.2">
      <c r="A8346" t="s">
        <v>25004</v>
      </c>
      <c r="B8346" t="s">
        <v>25005</v>
      </c>
      <c r="C8346" t="s">
        <v>25005</v>
      </c>
      <c r="D8346" t="str">
        <f>HYPERLINK("https://zfin.org/ZDB-GENE-030131-879")</f>
        <v>https://zfin.org/ZDB-GENE-030131-879</v>
      </c>
      <c r="E8346" t="s">
        <v>25006</v>
      </c>
    </row>
    <row r="8347" spans="1:5" x14ac:dyDescent="0.2">
      <c r="A8347" t="s">
        <v>25007</v>
      </c>
      <c r="B8347" t="s">
        <v>25008</v>
      </c>
      <c r="C8347" t="s">
        <v>25008</v>
      </c>
      <c r="D8347" t="str">
        <f>HYPERLINK("https://zfin.org/ZDB-GENE-120215-201")</f>
        <v>https://zfin.org/ZDB-GENE-120215-201</v>
      </c>
      <c r="E8347" t="s">
        <v>25009</v>
      </c>
    </row>
    <row r="8348" spans="1:5" x14ac:dyDescent="0.2">
      <c r="A8348" t="s">
        <v>25010</v>
      </c>
      <c r="B8348" t="s">
        <v>25011</v>
      </c>
      <c r="C8348" t="s">
        <v>25011</v>
      </c>
      <c r="D8348" t="str">
        <f>HYPERLINK("https://zfin.org/ZDB-GENE-130530-826")</f>
        <v>https://zfin.org/ZDB-GENE-130530-826</v>
      </c>
      <c r="E8348" t="s">
        <v>25012</v>
      </c>
    </row>
    <row r="8349" spans="1:5" x14ac:dyDescent="0.2">
      <c r="A8349" t="s">
        <v>25013</v>
      </c>
      <c r="B8349" t="s">
        <v>25014</v>
      </c>
      <c r="C8349" t="s">
        <v>25014</v>
      </c>
      <c r="D8349" t="str">
        <f>HYPERLINK("https://zfin.org/ZDB-GENE-040724-208")</f>
        <v>https://zfin.org/ZDB-GENE-040724-208</v>
      </c>
      <c r="E8349" t="s">
        <v>25015</v>
      </c>
    </row>
    <row r="8350" spans="1:5" x14ac:dyDescent="0.2">
      <c r="A8350" t="s">
        <v>25016</v>
      </c>
      <c r="B8350" t="s">
        <v>25017</v>
      </c>
      <c r="C8350" t="s">
        <v>25017</v>
      </c>
      <c r="D8350" t="str">
        <f>HYPERLINK("https://zfin.org/ZDB-GENE-100812-11")</f>
        <v>https://zfin.org/ZDB-GENE-100812-11</v>
      </c>
      <c r="E8350" t="s">
        <v>25018</v>
      </c>
    </row>
    <row r="8351" spans="1:5" x14ac:dyDescent="0.2">
      <c r="A8351" t="s">
        <v>25019</v>
      </c>
      <c r="B8351" t="s">
        <v>25020</v>
      </c>
      <c r="C8351" t="s">
        <v>25020</v>
      </c>
      <c r="D8351" t="str">
        <f>HYPERLINK("https://zfin.org/ZDB-GENE-050417-168")</f>
        <v>https://zfin.org/ZDB-GENE-050417-168</v>
      </c>
      <c r="E8351" t="s">
        <v>25021</v>
      </c>
    </row>
    <row r="8352" spans="1:5" x14ac:dyDescent="0.2">
      <c r="A8352" t="s">
        <v>25022</v>
      </c>
      <c r="B8352" t="s">
        <v>25023</v>
      </c>
      <c r="C8352" t="s">
        <v>25023</v>
      </c>
      <c r="D8352" t="str">
        <f>HYPERLINK("https://zfin.org/ZDB-GENE-040718-99")</f>
        <v>https://zfin.org/ZDB-GENE-040718-99</v>
      </c>
      <c r="E8352" t="s">
        <v>25024</v>
      </c>
    </row>
    <row r="8353" spans="1:5" x14ac:dyDescent="0.2">
      <c r="A8353" t="s">
        <v>25025</v>
      </c>
      <c r="B8353" t="s">
        <v>25026</v>
      </c>
      <c r="C8353" t="s">
        <v>25026</v>
      </c>
      <c r="D8353" t="str">
        <f>HYPERLINK("https://zfin.org/ZDB-GENE-060616-2")</f>
        <v>https://zfin.org/ZDB-GENE-060616-2</v>
      </c>
      <c r="E8353" t="s">
        <v>25027</v>
      </c>
    </row>
    <row r="8354" spans="1:5" x14ac:dyDescent="0.2">
      <c r="A8354" t="s">
        <v>25028</v>
      </c>
      <c r="B8354" t="s">
        <v>25029</v>
      </c>
      <c r="C8354" t="s">
        <v>25029</v>
      </c>
      <c r="D8354" t="str">
        <f>HYPERLINK("https://zfin.org/ZDB-GENE-030131-3271")</f>
        <v>https://zfin.org/ZDB-GENE-030131-3271</v>
      </c>
      <c r="E8354" t="s">
        <v>25030</v>
      </c>
    </row>
    <row r="8355" spans="1:5" x14ac:dyDescent="0.2">
      <c r="A8355" t="s">
        <v>25031</v>
      </c>
      <c r="B8355" t="s">
        <v>25032</v>
      </c>
      <c r="C8355" t="s">
        <v>25032</v>
      </c>
      <c r="D8355" t="str">
        <f>HYPERLINK("https://zfin.org/ZDB-GENE-100922-285")</f>
        <v>https://zfin.org/ZDB-GENE-100922-285</v>
      </c>
      <c r="E8355" t="s">
        <v>25033</v>
      </c>
    </row>
    <row r="8356" spans="1:5" x14ac:dyDescent="0.2">
      <c r="A8356" t="s">
        <v>25034</v>
      </c>
      <c r="B8356" t="s">
        <v>25035</v>
      </c>
      <c r="C8356" t="s">
        <v>25035</v>
      </c>
      <c r="D8356" t="str">
        <f>HYPERLINK("https://zfin.org/ZDB-GENE-080215-23")</f>
        <v>https://zfin.org/ZDB-GENE-080215-23</v>
      </c>
      <c r="E8356" t="s">
        <v>25036</v>
      </c>
    </row>
    <row r="8357" spans="1:5" x14ac:dyDescent="0.2">
      <c r="A8357" t="s">
        <v>25037</v>
      </c>
      <c r="B8357" t="s">
        <v>23965</v>
      </c>
      <c r="C8357" t="s">
        <v>25038</v>
      </c>
      <c r="D8357" t="str">
        <f>HYPERLINK("https://zfin.org/ZDB-GENE-070912-672")</f>
        <v>https://zfin.org/ZDB-GENE-070912-672</v>
      </c>
      <c r="E8357" t="s">
        <v>23966</v>
      </c>
    </row>
    <row r="8358" spans="1:5" x14ac:dyDescent="0.2">
      <c r="A8358" t="s">
        <v>25039</v>
      </c>
      <c r="B8358" t="s">
        <v>25040</v>
      </c>
      <c r="C8358" t="s">
        <v>25040</v>
      </c>
      <c r="D8358" t="str">
        <f>HYPERLINK("https://zfin.org/ZDB-GENE-070912-174")</f>
        <v>https://zfin.org/ZDB-GENE-070912-174</v>
      </c>
      <c r="E8358" t="s">
        <v>25041</v>
      </c>
    </row>
    <row r="8359" spans="1:5" x14ac:dyDescent="0.2">
      <c r="A8359" t="s">
        <v>25042</v>
      </c>
      <c r="B8359" t="s">
        <v>25043</v>
      </c>
      <c r="C8359" t="s">
        <v>25043</v>
      </c>
      <c r="D8359" t="str">
        <f>HYPERLINK("https://zfin.org/ZDB-GENE-050626-61")</f>
        <v>https://zfin.org/ZDB-GENE-050626-61</v>
      </c>
      <c r="E8359" t="s">
        <v>25044</v>
      </c>
    </row>
    <row r="8360" spans="1:5" x14ac:dyDescent="0.2">
      <c r="A8360" t="s">
        <v>25045</v>
      </c>
      <c r="B8360" t="s">
        <v>25046</v>
      </c>
      <c r="C8360" t="s">
        <v>25046</v>
      </c>
      <c r="D8360" t="str">
        <f>HYPERLINK("https://zfin.org/ZDB-GENE-980526-481")</f>
        <v>https://zfin.org/ZDB-GENE-980526-481</v>
      </c>
      <c r="E8360" t="s">
        <v>25047</v>
      </c>
    </row>
    <row r="8361" spans="1:5" x14ac:dyDescent="0.2">
      <c r="A8361" t="s">
        <v>25048</v>
      </c>
      <c r="B8361" t="s">
        <v>25049</v>
      </c>
      <c r="C8361" t="s">
        <v>25049</v>
      </c>
      <c r="D8361" t="str">
        <f>HYPERLINK("https://zfin.org/ZDB-GENE-040912-14")</f>
        <v>https://zfin.org/ZDB-GENE-040912-14</v>
      </c>
      <c r="E8361" t="s">
        <v>25050</v>
      </c>
    </row>
    <row r="8362" spans="1:5" x14ac:dyDescent="0.2">
      <c r="A8362" t="s">
        <v>25051</v>
      </c>
      <c r="B8362" t="s">
        <v>25052</v>
      </c>
      <c r="C8362" t="s">
        <v>25052</v>
      </c>
      <c r="D8362" t="str">
        <f>HYPERLINK("https://zfin.org/ZDB-GENE-141212-174")</f>
        <v>https://zfin.org/ZDB-GENE-141212-174</v>
      </c>
      <c r="E8362" t="s">
        <v>25053</v>
      </c>
    </row>
    <row r="8363" spans="1:5" x14ac:dyDescent="0.2">
      <c r="A8363" t="s">
        <v>25054</v>
      </c>
      <c r="B8363" t="s">
        <v>25055</v>
      </c>
      <c r="C8363" t="s">
        <v>25055</v>
      </c>
      <c r="D8363" t="str">
        <f>HYPERLINK("https://zfin.org/ZDB-GENE-091204-262")</f>
        <v>https://zfin.org/ZDB-GENE-091204-262</v>
      </c>
      <c r="E8363" t="s">
        <v>25056</v>
      </c>
    </row>
    <row r="8364" spans="1:5" x14ac:dyDescent="0.2">
      <c r="A8364" t="s">
        <v>25057</v>
      </c>
      <c r="B8364" t="s">
        <v>25058</v>
      </c>
      <c r="C8364" t="s">
        <v>25058</v>
      </c>
      <c r="D8364" t="str">
        <f>HYPERLINK("https://zfin.org/ZDB-GENE-040426-913")</f>
        <v>https://zfin.org/ZDB-GENE-040426-913</v>
      </c>
      <c r="E8364" t="s">
        <v>25059</v>
      </c>
    </row>
    <row r="8365" spans="1:5" x14ac:dyDescent="0.2">
      <c r="A8365" t="s">
        <v>25060</v>
      </c>
      <c r="B8365" t="s">
        <v>25061</v>
      </c>
      <c r="C8365" t="s">
        <v>25061</v>
      </c>
      <c r="D8365" t="str">
        <f>HYPERLINK("https://zfin.org/ZDB-GENE-050320-119")</f>
        <v>https://zfin.org/ZDB-GENE-050320-119</v>
      </c>
      <c r="E8365" t="s">
        <v>25062</v>
      </c>
    </row>
    <row r="8366" spans="1:5" x14ac:dyDescent="0.2">
      <c r="A8366" t="s">
        <v>25063</v>
      </c>
      <c r="B8366" t="s">
        <v>25064</v>
      </c>
      <c r="C8366" t="s">
        <v>25064</v>
      </c>
      <c r="D8366" t="str">
        <f>HYPERLINK("https://zfin.org/ZDB-GENE-081104-62")</f>
        <v>https://zfin.org/ZDB-GENE-081104-62</v>
      </c>
      <c r="E8366" t="s">
        <v>25065</v>
      </c>
    </row>
    <row r="8367" spans="1:5" x14ac:dyDescent="0.2">
      <c r="A8367" t="s">
        <v>25066</v>
      </c>
      <c r="B8367" t="s">
        <v>25067</v>
      </c>
      <c r="C8367" t="s">
        <v>25067</v>
      </c>
      <c r="D8367" t="str">
        <f>HYPERLINK("https://zfin.org/ZDB-GENE-041210-90")</f>
        <v>https://zfin.org/ZDB-GENE-041210-90</v>
      </c>
      <c r="E8367" t="s">
        <v>25068</v>
      </c>
    </row>
    <row r="8368" spans="1:5" x14ac:dyDescent="0.2">
      <c r="A8368" t="s">
        <v>25069</v>
      </c>
      <c r="B8368" t="s">
        <v>25070</v>
      </c>
      <c r="C8368" t="s">
        <v>25070</v>
      </c>
      <c r="D8368" t="str">
        <f>HYPERLINK("https://zfin.org/ZDB-GENE-050208-795")</f>
        <v>https://zfin.org/ZDB-GENE-050208-795</v>
      </c>
      <c r="E8368" t="s">
        <v>25071</v>
      </c>
    </row>
    <row r="8369" spans="1:5" x14ac:dyDescent="0.2">
      <c r="A8369" t="s">
        <v>25072</v>
      </c>
      <c r="B8369" t="s">
        <v>25073</v>
      </c>
      <c r="C8369" t="s">
        <v>25073</v>
      </c>
      <c r="D8369" t="str">
        <f>HYPERLINK("https://zfin.org/ZDB-GENE-080930-1")</f>
        <v>https://zfin.org/ZDB-GENE-080930-1</v>
      </c>
      <c r="E8369" t="s">
        <v>25074</v>
      </c>
    </row>
    <row r="8370" spans="1:5" x14ac:dyDescent="0.2">
      <c r="A8370" t="s">
        <v>25075</v>
      </c>
      <c r="B8370" t="s">
        <v>25076</v>
      </c>
      <c r="C8370" t="s">
        <v>25076</v>
      </c>
      <c r="D8370" t="str">
        <f>HYPERLINK("https://zfin.org/ZDB-GENE-041210-235")</f>
        <v>https://zfin.org/ZDB-GENE-041210-235</v>
      </c>
      <c r="E8370" t="s">
        <v>25077</v>
      </c>
    </row>
    <row r="8371" spans="1:5" x14ac:dyDescent="0.2">
      <c r="A8371" t="s">
        <v>25078</v>
      </c>
      <c r="B8371" t="s">
        <v>25079</v>
      </c>
      <c r="C8371" t="s">
        <v>25079</v>
      </c>
      <c r="D8371" t="str">
        <f>HYPERLINK("https://zfin.org/ZDB-GENE-990603-12")</f>
        <v>https://zfin.org/ZDB-GENE-990603-12</v>
      </c>
      <c r="E8371" t="s">
        <v>25080</v>
      </c>
    </row>
    <row r="8372" spans="1:5" x14ac:dyDescent="0.2">
      <c r="A8372" t="s">
        <v>25081</v>
      </c>
      <c r="B8372" t="s">
        <v>25082</v>
      </c>
      <c r="C8372" t="s">
        <v>25082</v>
      </c>
      <c r="D8372" t="str">
        <f>HYPERLINK("https://zfin.org/ZDB-GENE-050522-268")</f>
        <v>https://zfin.org/ZDB-GENE-050522-268</v>
      </c>
      <c r="E8372" t="s">
        <v>25083</v>
      </c>
    </row>
    <row r="8373" spans="1:5" x14ac:dyDescent="0.2">
      <c r="A8373" t="s">
        <v>25084</v>
      </c>
      <c r="B8373" t="s">
        <v>25085</v>
      </c>
      <c r="C8373" t="s">
        <v>25085</v>
      </c>
      <c r="D8373" t="str">
        <f>HYPERLINK("https://zfin.org/ZDB-GENE-091204-299")</f>
        <v>https://zfin.org/ZDB-GENE-091204-299</v>
      </c>
      <c r="E8373" t="s">
        <v>25086</v>
      </c>
    </row>
    <row r="8374" spans="1:5" x14ac:dyDescent="0.2">
      <c r="A8374" t="s">
        <v>25087</v>
      </c>
      <c r="B8374" t="s">
        <v>25088</v>
      </c>
      <c r="C8374" t="s">
        <v>25088</v>
      </c>
      <c r="D8374" t="str">
        <f>HYPERLINK("https://zfin.org/ZDB-GENE-050506-81")</f>
        <v>https://zfin.org/ZDB-GENE-050506-81</v>
      </c>
      <c r="E8374" t="s">
        <v>25089</v>
      </c>
    </row>
    <row r="8375" spans="1:5" x14ac:dyDescent="0.2">
      <c r="A8375" t="s">
        <v>25090</v>
      </c>
      <c r="B8375" t="s">
        <v>25091</v>
      </c>
      <c r="C8375" t="s">
        <v>25091</v>
      </c>
      <c r="D8375" t="str">
        <f>HYPERLINK("https://zfin.org/ZDB-GENE-040426-1162")</f>
        <v>https://zfin.org/ZDB-GENE-040426-1162</v>
      </c>
      <c r="E8375" t="s">
        <v>25092</v>
      </c>
    </row>
    <row r="8376" spans="1:5" x14ac:dyDescent="0.2">
      <c r="A8376" t="s">
        <v>25093</v>
      </c>
      <c r="B8376" t="s">
        <v>25094</v>
      </c>
      <c r="C8376" t="s">
        <v>25094</v>
      </c>
      <c r="D8376" t="str">
        <f>HYPERLINK("https://zfin.org/ZDB-GENE-060331-57")</f>
        <v>https://zfin.org/ZDB-GENE-060331-57</v>
      </c>
      <c r="E8376" t="s">
        <v>25095</v>
      </c>
    </row>
    <row r="8377" spans="1:5" x14ac:dyDescent="0.2">
      <c r="A8377" t="s">
        <v>25096</v>
      </c>
      <c r="B8377" t="s">
        <v>25097</v>
      </c>
      <c r="C8377" t="s">
        <v>25097</v>
      </c>
      <c r="D8377" t="str">
        <f>HYPERLINK("https://zfin.org/ZDB-GENE-081104-416")</f>
        <v>https://zfin.org/ZDB-GENE-081104-416</v>
      </c>
      <c r="E8377" t="s">
        <v>25098</v>
      </c>
    </row>
    <row r="8378" spans="1:5" x14ac:dyDescent="0.2">
      <c r="A8378" t="s">
        <v>25099</v>
      </c>
      <c r="B8378" t="s">
        <v>25100</v>
      </c>
      <c r="C8378" t="s">
        <v>25100</v>
      </c>
      <c r="D8378" t="str">
        <f>HYPERLINK("https://zfin.org/ZDB-GENE-040426-846")</f>
        <v>https://zfin.org/ZDB-GENE-040426-846</v>
      </c>
      <c r="E8378" t="s">
        <v>25101</v>
      </c>
    </row>
    <row r="8379" spans="1:5" x14ac:dyDescent="0.2">
      <c r="A8379" t="s">
        <v>25102</v>
      </c>
      <c r="B8379" t="s">
        <v>25103</v>
      </c>
      <c r="C8379" t="s">
        <v>25103</v>
      </c>
      <c r="D8379" t="str">
        <f>HYPERLINK("https://zfin.org/ZDB-GENE-111213-1")</f>
        <v>https://zfin.org/ZDB-GENE-111213-1</v>
      </c>
      <c r="E8379" t="s">
        <v>25104</v>
      </c>
    </row>
    <row r="8380" spans="1:5" x14ac:dyDescent="0.2">
      <c r="A8380" t="s">
        <v>25105</v>
      </c>
      <c r="B8380" t="s">
        <v>25106</v>
      </c>
      <c r="C8380" t="s">
        <v>25106</v>
      </c>
      <c r="D8380" t="str">
        <f>HYPERLINK("https://zfin.org/ZDB-GENE-041210-268")</f>
        <v>https://zfin.org/ZDB-GENE-041210-268</v>
      </c>
      <c r="E8380" t="s">
        <v>25107</v>
      </c>
    </row>
    <row r="8381" spans="1:5" x14ac:dyDescent="0.2">
      <c r="A8381" t="s">
        <v>25108</v>
      </c>
      <c r="B8381" t="s">
        <v>25109</v>
      </c>
      <c r="C8381" t="s">
        <v>25109</v>
      </c>
      <c r="D8381" t="str">
        <f>HYPERLINK("https://zfin.org/ZDB-GENE-030516-6")</f>
        <v>https://zfin.org/ZDB-GENE-030516-6</v>
      </c>
      <c r="E8381" t="s">
        <v>25110</v>
      </c>
    </row>
    <row r="8382" spans="1:5" x14ac:dyDescent="0.2">
      <c r="A8382" t="s">
        <v>25111</v>
      </c>
      <c r="B8382" t="s">
        <v>25112</v>
      </c>
      <c r="C8382" t="s">
        <v>25112</v>
      </c>
      <c r="D8382" t="str">
        <f>HYPERLINK("https://zfin.org/ZDB-GENE-160114-33")</f>
        <v>https://zfin.org/ZDB-GENE-160114-33</v>
      </c>
      <c r="E8382" t="s">
        <v>25113</v>
      </c>
    </row>
    <row r="8383" spans="1:5" x14ac:dyDescent="0.2">
      <c r="A8383" t="s">
        <v>25114</v>
      </c>
      <c r="B8383" t="s">
        <v>25115</v>
      </c>
      <c r="C8383" t="s">
        <v>25115</v>
      </c>
      <c r="D8383" t="str">
        <f>HYPERLINK("https://zfin.org/ZDB-GENE-070112-362")</f>
        <v>https://zfin.org/ZDB-GENE-070112-362</v>
      </c>
      <c r="E8383" t="s">
        <v>25116</v>
      </c>
    </row>
    <row r="8384" spans="1:5" x14ac:dyDescent="0.2">
      <c r="A8384" t="s">
        <v>25117</v>
      </c>
      <c r="B8384" t="s">
        <v>25118</v>
      </c>
      <c r="C8384" t="s">
        <v>25118</v>
      </c>
      <c r="D8384" t="str">
        <f>HYPERLINK("https://zfin.org/ZDB-GENE-120214-30")</f>
        <v>https://zfin.org/ZDB-GENE-120214-30</v>
      </c>
      <c r="E8384" t="s">
        <v>25119</v>
      </c>
    </row>
    <row r="8385" spans="1:5" x14ac:dyDescent="0.2">
      <c r="A8385" t="s">
        <v>25120</v>
      </c>
      <c r="B8385" t="s">
        <v>25121</v>
      </c>
      <c r="C8385" t="s">
        <v>25121</v>
      </c>
      <c r="D8385" t="str">
        <f>HYPERLINK("https://zfin.org/ZDB-GENE-070912-699")</f>
        <v>https://zfin.org/ZDB-GENE-070912-699</v>
      </c>
      <c r="E8385" t="s">
        <v>25122</v>
      </c>
    </row>
    <row r="8386" spans="1:5" x14ac:dyDescent="0.2">
      <c r="A8386" t="s">
        <v>25123</v>
      </c>
      <c r="B8386" t="s">
        <v>25124</v>
      </c>
      <c r="C8386" t="s">
        <v>25124</v>
      </c>
      <c r="D8386" t="str">
        <f>HYPERLINK("https://zfin.org/ZDB-GENE-080208-7")</f>
        <v>https://zfin.org/ZDB-GENE-080208-7</v>
      </c>
      <c r="E8386" t="s">
        <v>25125</v>
      </c>
    </row>
    <row r="8387" spans="1:5" x14ac:dyDescent="0.2">
      <c r="A8387" t="s">
        <v>25126</v>
      </c>
      <c r="B8387" t="s">
        <v>25127</v>
      </c>
      <c r="C8387" t="s">
        <v>25127</v>
      </c>
      <c r="D8387" t="str">
        <f>HYPERLINK("https://zfin.org/ZDB-GENE-040625-164")</f>
        <v>https://zfin.org/ZDB-GENE-040625-164</v>
      </c>
      <c r="E8387" t="s">
        <v>25128</v>
      </c>
    </row>
    <row r="8388" spans="1:5" x14ac:dyDescent="0.2">
      <c r="A8388" t="s">
        <v>25129</v>
      </c>
      <c r="B8388" t="s">
        <v>25130</v>
      </c>
      <c r="C8388" t="s">
        <v>25130</v>
      </c>
      <c r="D8388" t="str">
        <f>HYPERLINK("https://zfin.org/ZDB-GENE-041210-91")</f>
        <v>https://zfin.org/ZDB-GENE-041210-91</v>
      </c>
      <c r="E8388" t="s">
        <v>25131</v>
      </c>
    </row>
    <row r="8389" spans="1:5" x14ac:dyDescent="0.2">
      <c r="A8389" t="s">
        <v>25132</v>
      </c>
      <c r="B8389" t="s">
        <v>25133</v>
      </c>
      <c r="C8389" t="s">
        <v>25133</v>
      </c>
      <c r="D8389" t="str">
        <f>HYPERLINK("https://zfin.org/ZDB-GENE-060526-6")</f>
        <v>https://zfin.org/ZDB-GENE-060526-6</v>
      </c>
      <c r="E8389" t="s">
        <v>25134</v>
      </c>
    </row>
    <row r="8390" spans="1:5" x14ac:dyDescent="0.2">
      <c r="A8390" t="s">
        <v>25135</v>
      </c>
      <c r="B8390" t="s">
        <v>25136</v>
      </c>
      <c r="C8390" t="s">
        <v>25136</v>
      </c>
      <c r="D8390" t="str">
        <f>HYPERLINK("https://zfin.org/ZDB-GENE-990621-7")</f>
        <v>https://zfin.org/ZDB-GENE-990621-7</v>
      </c>
      <c r="E8390" t="s">
        <v>25137</v>
      </c>
    </row>
    <row r="8391" spans="1:5" x14ac:dyDescent="0.2">
      <c r="A8391" t="s">
        <v>25138</v>
      </c>
      <c r="B8391" t="s">
        <v>25139</v>
      </c>
      <c r="C8391" t="s">
        <v>25139</v>
      </c>
      <c r="D8391" t="str">
        <f>HYPERLINK("https://zfin.org/ZDB-GENE-081028-55")</f>
        <v>https://zfin.org/ZDB-GENE-081028-55</v>
      </c>
      <c r="E8391" t="s">
        <v>25140</v>
      </c>
    </row>
    <row r="8392" spans="1:5" x14ac:dyDescent="0.2">
      <c r="A8392" t="s">
        <v>25141</v>
      </c>
      <c r="B8392" t="s">
        <v>25142</v>
      </c>
      <c r="C8392" t="s">
        <v>25142</v>
      </c>
      <c r="D8392" t="str">
        <f>HYPERLINK("https://zfin.org/ZDB-GENE-030131-7447")</f>
        <v>https://zfin.org/ZDB-GENE-030131-7447</v>
      </c>
      <c r="E8392" t="s">
        <v>25143</v>
      </c>
    </row>
    <row r="8393" spans="1:5" x14ac:dyDescent="0.2">
      <c r="A8393" t="s">
        <v>25144</v>
      </c>
      <c r="B8393" t="s">
        <v>25145</v>
      </c>
      <c r="C8393" t="s">
        <v>25145</v>
      </c>
      <c r="D8393" t="str">
        <f>HYPERLINK("https://zfin.org/ZDB-GENE-060823-1")</f>
        <v>https://zfin.org/ZDB-GENE-060823-1</v>
      </c>
      <c r="E8393" t="s">
        <v>25146</v>
      </c>
    </row>
    <row r="8394" spans="1:5" x14ac:dyDescent="0.2">
      <c r="A8394" t="s">
        <v>25147</v>
      </c>
      <c r="B8394" t="s">
        <v>25148</v>
      </c>
      <c r="C8394" t="s">
        <v>25148</v>
      </c>
      <c r="D8394" t="str">
        <f>HYPERLINK("https://zfin.org/ZDB-GENE-001212-5")</f>
        <v>https://zfin.org/ZDB-GENE-001212-5</v>
      </c>
      <c r="E8394" t="s">
        <v>25149</v>
      </c>
    </row>
    <row r="8395" spans="1:5" x14ac:dyDescent="0.2">
      <c r="A8395" t="s">
        <v>25150</v>
      </c>
      <c r="B8395" t="s">
        <v>25151</v>
      </c>
      <c r="C8395" t="s">
        <v>25151</v>
      </c>
      <c r="D8395" t="str">
        <f>HYPERLINK("https://zfin.org/ZDB-GENE-081022-28")</f>
        <v>https://zfin.org/ZDB-GENE-081022-28</v>
      </c>
      <c r="E8395" t="s">
        <v>25152</v>
      </c>
    </row>
    <row r="8396" spans="1:5" x14ac:dyDescent="0.2">
      <c r="A8396" t="s">
        <v>25153</v>
      </c>
      <c r="B8396" t="s">
        <v>25154</v>
      </c>
      <c r="C8396" t="s">
        <v>25154</v>
      </c>
      <c r="D8396" t="str">
        <f>HYPERLINK("https://zfin.org/ZDB-GENE-041010-198")</f>
        <v>https://zfin.org/ZDB-GENE-041010-198</v>
      </c>
      <c r="E8396" t="s">
        <v>25155</v>
      </c>
    </row>
    <row r="8397" spans="1:5" x14ac:dyDescent="0.2">
      <c r="A8397" t="s">
        <v>25156</v>
      </c>
      <c r="B8397" t="s">
        <v>25157</v>
      </c>
      <c r="C8397" t="s">
        <v>25157</v>
      </c>
      <c r="D8397" t="str">
        <f>HYPERLINK("https://zfin.org/ZDB-GENE-050320-49")</f>
        <v>https://zfin.org/ZDB-GENE-050320-49</v>
      </c>
      <c r="E8397" t="s">
        <v>25158</v>
      </c>
    </row>
    <row r="8398" spans="1:5" x14ac:dyDescent="0.2">
      <c r="A8398" t="s">
        <v>25159</v>
      </c>
      <c r="B8398" t="s">
        <v>25160</v>
      </c>
      <c r="C8398" t="s">
        <v>25160</v>
      </c>
      <c r="D8398" t="str">
        <f>HYPERLINK("https://zfin.org/ZDB-GENE-040426-2434")</f>
        <v>https://zfin.org/ZDB-GENE-040426-2434</v>
      </c>
      <c r="E8398" t="s">
        <v>25161</v>
      </c>
    </row>
    <row r="8399" spans="1:5" x14ac:dyDescent="0.2">
      <c r="A8399" t="s">
        <v>25162</v>
      </c>
      <c r="B8399" t="s">
        <v>25163</v>
      </c>
      <c r="C8399" t="s">
        <v>25163</v>
      </c>
      <c r="D8399" t="str">
        <f>HYPERLINK("https://zfin.org/ZDB-GENE-040718-162")</f>
        <v>https://zfin.org/ZDB-GENE-040718-162</v>
      </c>
      <c r="E8399" t="s">
        <v>25164</v>
      </c>
    </row>
    <row r="8400" spans="1:5" x14ac:dyDescent="0.2">
      <c r="A8400" t="s">
        <v>25165</v>
      </c>
      <c r="B8400" t="s">
        <v>25166</v>
      </c>
      <c r="C8400" t="s">
        <v>25166</v>
      </c>
      <c r="D8400" t="str">
        <f>HYPERLINK("https://zfin.org/ZDB-GENE-060712-1")</f>
        <v>https://zfin.org/ZDB-GENE-060712-1</v>
      </c>
      <c r="E8400" t="s">
        <v>25167</v>
      </c>
    </row>
    <row r="8401" spans="1:5" x14ac:dyDescent="0.2">
      <c r="A8401" t="s">
        <v>25168</v>
      </c>
      <c r="B8401" t="s">
        <v>25169</v>
      </c>
      <c r="C8401" t="s">
        <v>25169</v>
      </c>
      <c r="D8401" t="str">
        <f>HYPERLINK("https://zfin.org/ZDB-GENE-100504-2")</f>
        <v>https://zfin.org/ZDB-GENE-100504-2</v>
      </c>
      <c r="E8401" t="s">
        <v>25170</v>
      </c>
    </row>
    <row r="8402" spans="1:5" x14ac:dyDescent="0.2">
      <c r="A8402" t="s">
        <v>25171</v>
      </c>
      <c r="B8402" t="s">
        <v>25172</v>
      </c>
      <c r="C8402" t="s">
        <v>25172</v>
      </c>
      <c r="D8402" t="str">
        <f>HYPERLINK("https://zfin.org/ZDB-GENE-141216-297")</f>
        <v>https://zfin.org/ZDB-GENE-141216-297</v>
      </c>
      <c r="E8402" t="s">
        <v>25173</v>
      </c>
    </row>
    <row r="8403" spans="1:5" x14ac:dyDescent="0.2">
      <c r="A8403" t="s">
        <v>25174</v>
      </c>
      <c r="B8403" t="s">
        <v>25175</v>
      </c>
      <c r="C8403" t="s">
        <v>25175</v>
      </c>
      <c r="D8403" t="str">
        <f>HYPERLINK("https://zfin.org/ZDB-GENE-090313-90")</f>
        <v>https://zfin.org/ZDB-GENE-090313-90</v>
      </c>
      <c r="E8403" t="s">
        <v>25176</v>
      </c>
    </row>
    <row r="8404" spans="1:5" x14ac:dyDescent="0.2">
      <c r="A8404" t="s">
        <v>25177</v>
      </c>
      <c r="B8404" t="s">
        <v>25178</v>
      </c>
      <c r="C8404" t="s">
        <v>25178</v>
      </c>
      <c r="D8404" t="str">
        <f>HYPERLINK("https://zfin.org/ZDB-GENE-050809-125")</f>
        <v>https://zfin.org/ZDB-GENE-050809-125</v>
      </c>
      <c r="E8404" t="s">
        <v>25179</v>
      </c>
    </row>
    <row r="8405" spans="1:5" x14ac:dyDescent="0.2">
      <c r="A8405" t="s">
        <v>25180</v>
      </c>
      <c r="B8405" t="s">
        <v>25181</v>
      </c>
      <c r="C8405" t="s">
        <v>25181</v>
      </c>
      <c r="D8405" t="str">
        <f>HYPERLINK("https://zfin.org/ZDB-GENE-050913-59")</f>
        <v>https://zfin.org/ZDB-GENE-050913-59</v>
      </c>
      <c r="E8405" t="s">
        <v>25182</v>
      </c>
    </row>
    <row r="8406" spans="1:5" x14ac:dyDescent="0.2">
      <c r="A8406" t="s">
        <v>25183</v>
      </c>
      <c r="B8406" t="s">
        <v>25184</v>
      </c>
      <c r="C8406" t="s">
        <v>25185</v>
      </c>
      <c r="D8406" t="str">
        <f>HYPERLINK("https://zfin.org/ZDB-GENE-060526-128")</f>
        <v>https://zfin.org/ZDB-GENE-060526-128</v>
      </c>
      <c r="E8406" t="s">
        <v>25186</v>
      </c>
    </row>
    <row r="8407" spans="1:5" x14ac:dyDescent="0.2">
      <c r="A8407" t="s">
        <v>25187</v>
      </c>
      <c r="B8407" t="s">
        <v>25188</v>
      </c>
      <c r="C8407" t="s">
        <v>25188</v>
      </c>
      <c r="D8407" t="str">
        <f>HYPERLINK("https://zfin.org/ZDB-GENE-060825-271")</f>
        <v>https://zfin.org/ZDB-GENE-060825-271</v>
      </c>
      <c r="E8407" t="s">
        <v>25189</v>
      </c>
    </row>
    <row r="8408" spans="1:5" x14ac:dyDescent="0.2">
      <c r="A8408" t="s">
        <v>25190</v>
      </c>
      <c r="B8408" t="s">
        <v>25191</v>
      </c>
      <c r="C8408" t="s">
        <v>25191</v>
      </c>
      <c r="D8408" t="str">
        <f>HYPERLINK("https://zfin.org/ZDB-GENE-070627-1")</f>
        <v>https://zfin.org/ZDB-GENE-070627-1</v>
      </c>
      <c r="E8408" t="s">
        <v>25192</v>
      </c>
    </row>
    <row r="8409" spans="1:5" x14ac:dyDescent="0.2">
      <c r="A8409" t="s">
        <v>25193</v>
      </c>
      <c r="B8409" t="s">
        <v>25194</v>
      </c>
      <c r="C8409" t="s">
        <v>25194</v>
      </c>
      <c r="D8409" t="str">
        <f>HYPERLINK("https://zfin.org/ZDB-GENE-060526-124")</f>
        <v>https://zfin.org/ZDB-GENE-060526-124</v>
      </c>
      <c r="E8409" t="s">
        <v>25195</v>
      </c>
    </row>
    <row r="8410" spans="1:5" x14ac:dyDescent="0.2">
      <c r="A8410" t="s">
        <v>25196</v>
      </c>
      <c r="B8410" t="s">
        <v>25197</v>
      </c>
      <c r="C8410" t="s">
        <v>25197</v>
      </c>
      <c r="D8410" t="str">
        <f>HYPERLINK("https://zfin.org/ZDB-GENE-071004-46")</f>
        <v>https://zfin.org/ZDB-GENE-071004-46</v>
      </c>
      <c r="E8410" t="s">
        <v>25198</v>
      </c>
    </row>
    <row r="8411" spans="1:5" x14ac:dyDescent="0.2">
      <c r="A8411" t="s">
        <v>25199</v>
      </c>
      <c r="B8411" t="s">
        <v>25200</v>
      </c>
      <c r="C8411" t="s">
        <v>25200</v>
      </c>
      <c r="D8411" t="str">
        <f>HYPERLINK("https://zfin.org/ZDB-GENE-120215-183")</f>
        <v>https://zfin.org/ZDB-GENE-120215-183</v>
      </c>
      <c r="E8411" t="s">
        <v>25201</v>
      </c>
    </row>
    <row r="8412" spans="1:5" x14ac:dyDescent="0.2">
      <c r="A8412" t="s">
        <v>25202</v>
      </c>
      <c r="B8412" t="s">
        <v>25203</v>
      </c>
      <c r="C8412" t="s">
        <v>25203</v>
      </c>
      <c r="D8412" t="str">
        <f>HYPERLINK("https://zfin.org/ZDB-GENE-030707-2")</f>
        <v>https://zfin.org/ZDB-GENE-030707-2</v>
      </c>
      <c r="E8412" t="s">
        <v>25204</v>
      </c>
    </row>
    <row r="8413" spans="1:5" x14ac:dyDescent="0.2">
      <c r="A8413" t="s">
        <v>25205</v>
      </c>
      <c r="B8413" t="s">
        <v>25206</v>
      </c>
      <c r="C8413" t="s">
        <v>25206</v>
      </c>
      <c r="D8413" t="str">
        <f>HYPERLINK("https://zfin.org/ZDB-GENE-050522-545")</f>
        <v>https://zfin.org/ZDB-GENE-050522-545</v>
      </c>
      <c r="E8413" t="s">
        <v>25207</v>
      </c>
    </row>
    <row r="8414" spans="1:5" x14ac:dyDescent="0.2">
      <c r="A8414" t="s">
        <v>25208</v>
      </c>
      <c r="B8414" t="s">
        <v>25209</v>
      </c>
      <c r="C8414" t="s">
        <v>25209</v>
      </c>
      <c r="D8414" t="str">
        <f>HYPERLINK("https://zfin.org/ZDB-GENE-141216-263")</f>
        <v>https://zfin.org/ZDB-GENE-141216-263</v>
      </c>
      <c r="E8414" t="s">
        <v>25210</v>
      </c>
    </row>
    <row r="8415" spans="1:5" x14ac:dyDescent="0.2">
      <c r="A8415" t="s">
        <v>25211</v>
      </c>
      <c r="B8415" t="s">
        <v>25212</v>
      </c>
      <c r="C8415" t="s">
        <v>25212</v>
      </c>
      <c r="D8415" t="str">
        <f>HYPERLINK("https://zfin.org/ZDB-GENE-021204-1")</f>
        <v>https://zfin.org/ZDB-GENE-021204-1</v>
      </c>
      <c r="E8415" t="s">
        <v>25213</v>
      </c>
    </row>
    <row r="8416" spans="1:5" x14ac:dyDescent="0.2">
      <c r="A8416" t="s">
        <v>25214</v>
      </c>
      <c r="B8416" t="s">
        <v>25215</v>
      </c>
      <c r="C8416" t="s">
        <v>25215</v>
      </c>
      <c r="D8416" t="str">
        <f>HYPERLINK("https://zfin.org/ZDB-GENE-070705-180")</f>
        <v>https://zfin.org/ZDB-GENE-070705-180</v>
      </c>
      <c r="E8416" t="s">
        <v>25216</v>
      </c>
    </row>
    <row r="8417" spans="1:5" x14ac:dyDescent="0.2">
      <c r="A8417" t="s">
        <v>25217</v>
      </c>
      <c r="B8417" t="s">
        <v>25218</v>
      </c>
      <c r="C8417" t="s">
        <v>25218</v>
      </c>
      <c r="D8417" t="str">
        <f>HYPERLINK("https://zfin.org/ZDB-GENE-030131-5354")</f>
        <v>https://zfin.org/ZDB-GENE-030131-5354</v>
      </c>
      <c r="E8417" t="s">
        <v>25219</v>
      </c>
    </row>
    <row r="8418" spans="1:5" x14ac:dyDescent="0.2">
      <c r="A8418" t="s">
        <v>25220</v>
      </c>
      <c r="B8418" t="s">
        <v>25221</v>
      </c>
      <c r="C8418" t="s">
        <v>25221</v>
      </c>
      <c r="D8418" t="str">
        <f>HYPERLINK("https://zfin.org/ZDB-GENE-050417-313")</f>
        <v>https://zfin.org/ZDB-GENE-050417-313</v>
      </c>
      <c r="E8418" t="s">
        <v>25222</v>
      </c>
    </row>
    <row r="8419" spans="1:5" x14ac:dyDescent="0.2">
      <c r="A8419" t="s">
        <v>25223</v>
      </c>
      <c r="B8419" t="s">
        <v>25224</v>
      </c>
      <c r="C8419" t="s">
        <v>25224</v>
      </c>
      <c r="D8419" t="str">
        <f>HYPERLINK("https://zfin.org/ZDB-GENE-040718-48")</f>
        <v>https://zfin.org/ZDB-GENE-040718-48</v>
      </c>
      <c r="E8419" t="s">
        <v>25225</v>
      </c>
    </row>
    <row r="8420" spans="1:5" x14ac:dyDescent="0.2">
      <c r="A8420" t="s">
        <v>25226</v>
      </c>
      <c r="B8420" t="s">
        <v>25227</v>
      </c>
      <c r="C8420" t="s">
        <v>25227</v>
      </c>
      <c r="D8420" t="str">
        <f>HYPERLINK("https://zfin.org/ZDB-GENE-050417-361")</f>
        <v>https://zfin.org/ZDB-GENE-050417-361</v>
      </c>
      <c r="E8420" t="s">
        <v>25228</v>
      </c>
    </row>
    <row r="8421" spans="1:5" x14ac:dyDescent="0.2">
      <c r="A8421" t="s">
        <v>25229</v>
      </c>
      <c r="B8421" t="s">
        <v>25230</v>
      </c>
      <c r="C8421" t="s">
        <v>25230</v>
      </c>
      <c r="D8421" t="str">
        <f>HYPERLINK("https://zfin.org/ZDB-GENE-031006-12")</f>
        <v>https://zfin.org/ZDB-GENE-031006-12</v>
      </c>
      <c r="E8421" t="s">
        <v>25231</v>
      </c>
    </row>
    <row r="8422" spans="1:5" x14ac:dyDescent="0.2">
      <c r="A8422" t="s">
        <v>25232</v>
      </c>
      <c r="B8422" t="s">
        <v>25233</v>
      </c>
      <c r="C8422" t="s">
        <v>25233</v>
      </c>
      <c r="D8422" t="str">
        <f>HYPERLINK("https://zfin.org/ZDB-GENE-070424-92")</f>
        <v>https://zfin.org/ZDB-GENE-070424-92</v>
      </c>
      <c r="E8422" t="s">
        <v>25234</v>
      </c>
    </row>
    <row r="8423" spans="1:5" x14ac:dyDescent="0.2">
      <c r="A8423" t="s">
        <v>25235</v>
      </c>
      <c r="B8423" t="s">
        <v>25236</v>
      </c>
      <c r="C8423" t="s">
        <v>25236</v>
      </c>
      <c r="D8423" t="str">
        <f>HYPERLINK("https://zfin.org/ZDB-GENE-010130-1")</f>
        <v>https://zfin.org/ZDB-GENE-010130-1</v>
      </c>
      <c r="E8423" t="s">
        <v>25237</v>
      </c>
    </row>
    <row r="8424" spans="1:5" x14ac:dyDescent="0.2">
      <c r="A8424" t="s">
        <v>25238</v>
      </c>
      <c r="B8424" t="s">
        <v>25239</v>
      </c>
      <c r="C8424" t="s">
        <v>25239</v>
      </c>
      <c r="D8424" t="str">
        <f>HYPERLINK("https://zfin.org/ZDB-GENE-050522-148")</f>
        <v>https://zfin.org/ZDB-GENE-050522-148</v>
      </c>
      <c r="E8424" t="s">
        <v>25240</v>
      </c>
    </row>
    <row r="8425" spans="1:5" x14ac:dyDescent="0.2">
      <c r="A8425" t="s">
        <v>25241</v>
      </c>
      <c r="B8425" t="s">
        <v>25242</v>
      </c>
      <c r="C8425" t="s">
        <v>25242</v>
      </c>
      <c r="D8425" t="str">
        <f>HYPERLINK("https://zfin.org/ZDB-GENE-030131-9732")</f>
        <v>https://zfin.org/ZDB-GENE-030131-9732</v>
      </c>
      <c r="E8425" t="s">
        <v>25243</v>
      </c>
    </row>
    <row r="8426" spans="1:5" x14ac:dyDescent="0.2">
      <c r="A8426" t="s">
        <v>25244</v>
      </c>
      <c r="B8426" t="s">
        <v>25245</v>
      </c>
      <c r="C8426" t="s">
        <v>25245</v>
      </c>
      <c r="D8426" t="str">
        <f>HYPERLINK("https://zfin.org/ZDB-GENE-061103-553")</f>
        <v>https://zfin.org/ZDB-GENE-061103-553</v>
      </c>
      <c r="E8426" t="s">
        <v>25246</v>
      </c>
    </row>
    <row r="8427" spans="1:5" x14ac:dyDescent="0.2">
      <c r="A8427" t="s">
        <v>25247</v>
      </c>
      <c r="B8427" t="s">
        <v>25248</v>
      </c>
      <c r="C8427" t="s">
        <v>25248</v>
      </c>
      <c r="D8427" t="str">
        <f>HYPERLINK("https://zfin.org/ZDB-GENE-081104-49")</f>
        <v>https://zfin.org/ZDB-GENE-081104-49</v>
      </c>
      <c r="E8427" t="s">
        <v>25249</v>
      </c>
    </row>
    <row r="8428" spans="1:5" x14ac:dyDescent="0.2">
      <c r="A8428" t="s">
        <v>25250</v>
      </c>
      <c r="B8428" t="s">
        <v>25251</v>
      </c>
      <c r="C8428" t="s">
        <v>25251</v>
      </c>
      <c r="D8428" t="str">
        <f>HYPERLINK("https://zfin.org/ZDB-GENE-141216-156")</f>
        <v>https://zfin.org/ZDB-GENE-141216-156</v>
      </c>
      <c r="E8428" t="s">
        <v>25252</v>
      </c>
    </row>
    <row r="8429" spans="1:5" x14ac:dyDescent="0.2">
      <c r="A8429" t="s">
        <v>25253</v>
      </c>
      <c r="B8429" t="s">
        <v>25254</v>
      </c>
      <c r="C8429" t="s">
        <v>25254</v>
      </c>
      <c r="D8429" t="str">
        <f>HYPERLINK("https://zfin.org/ZDB-GENE-060503-321")</f>
        <v>https://zfin.org/ZDB-GENE-060503-321</v>
      </c>
      <c r="E8429" t="s">
        <v>25255</v>
      </c>
    </row>
    <row r="8430" spans="1:5" x14ac:dyDescent="0.2">
      <c r="A8430" t="s">
        <v>25256</v>
      </c>
      <c r="B8430" t="s">
        <v>25257</v>
      </c>
      <c r="C8430" t="s">
        <v>25257</v>
      </c>
      <c r="D8430" t="str">
        <f>HYPERLINK("https://zfin.org/ZDB-GENE-030903-1")</f>
        <v>https://zfin.org/ZDB-GENE-030903-1</v>
      </c>
      <c r="E8430" t="s">
        <v>25258</v>
      </c>
    </row>
    <row r="8431" spans="1:5" x14ac:dyDescent="0.2">
      <c r="A8431" t="s">
        <v>25259</v>
      </c>
      <c r="B8431" t="s">
        <v>25260</v>
      </c>
      <c r="C8431" t="s">
        <v>25260</v>
      </c>
      <c r="D8431" t="str">
        <f>HYPERLINK("https://zfin.org/ZDB-GENE-040426-2042")</f>
        <v>https://zfin.org/ZDB-GENE-040426-2042</v>
      </c>
      <c r="E8431" t="s">
        <v>25261</v>
      </c>
    </row>
    <row r="8432" spans="1:5" x14ac:dyDescent="0.2">
      <c r="A8432" t="s">
        <v>25262</v>
      </c>
      <c r="B8432" t="s">
        <v>25263</v>
      </c>
      <c r="C8432" t="s">
        <v>25263</v>
      </c>
      <c r="D8432" t="str">
        <f>HYPERLINK("https://zfin.org/ZDB-GENE-040426-997")</f>
        <v>https://zfin.org/ZDB-GENE-040426-997</v>
      </c>
      <c r="E8432" t="s">
        <v>25264</v>
      </c>
    </row>
    <row r="8433" spans="1:5" x14ac:dyDescent="0.2">
      <c r="A8433" t="s">
        <v>25265</v>
      </c>
      <c r="B8433" t="s">
        <v>25266</v>
      </c>
      <c r="C8433" t="s">
        <v>25266</v>
      </c>
      <c r="D8433" t="str">
        <f>HYPERLINK("https://zfin.org/ZDB-GENE-030131-9112")</f>
        <v>https://zfin.org/ZDB-GENE-030131-9112</v>
      </c>
      <c r="E8433" t="s">
        <v>25267</v>
      </c>
    </row>
    <row r="8434" spans="1:5" x14ac:dyDescent="0.2">
      <c r="A8434" t="s">
        <v>25268</v>
      </c>
      <c r="B8434" t="s">
        <v>25269</v>
      </c>
      <c r="C8434" t="s">
        <v>25269</v>
      </c>
      <c r="D8434" t="str">
        <f>HYPERLINK("https://zfin.org/ZDB-GENE-040724-118")</f>
        <v>https://zfin.org/ZDB-GENE-040724-118</v>
      </c>
      <c r="E8434" t="s">
        <v>25270</v>
      </c>
    </row>
    <row r="8435" spans="1:5" x14ac:dyDescent="0.2">
      <c r="A8435" t="s">
        <v>25271</v>
      </c>
      <c r="B8435" t="s">
        <v>25272</v>
      </c>
      <c r="C8435" t="s">
        <v>25272</v>
      </c>
      <c r="D8435" t="str">
        <f>HYPERLINK("https://zfin.org/ZDB-GENE-070112-1282")</f>
        <v>https://zfin.org/ZDB-GENE-070112-1282</v>
      </c>
      <c r="E8435" t="s">
        <v>25273</v>
      </c>
    </row>
    <row r="8436" spans="1:5" x14ac:dyDescent="0.2">
      <c r="A8436" t="s">
        <v>25274</v>
      </c>
      <c r="B8436" t="s">
        <v>25275</v>
      </c>
      <c r="C8436" t="s">
        <v>25275</v>
      </c>
      <c r="D8436" t="str">
        <f>HYPERLINK("https://zfin.org/ZDB-GENE-040308-2")</f>
        <v>https://zfin.org/ZDB-GENE-040308-2</v>
      </c>
      <c r="E8436" t="s">
        <v>25276</v>
      </c>
    </row>
    <row r="8437" spans="1:5" x14ac:dyDescent="0.2">
      <c r="A8437" t="s">
        <v>25277</v>
      </c>
      <c r="B8437" t="s">
        <v>25278</v>
      </c>
      <c r="C8437" t="s">
        <v>25278</v>
      </c>
      <c r="D8437" t="str">
        <f>HYPERLINK("https://zfin.org/ZDB-GENE-030131-867")</f>
        <v>https://zfin.org/ZDB-GENE-030131-867</v>
      </c>
      <c r="E8437" t="s">
        <v>25279</v>
      </c>
    </row>
    <row r="8438" spans="1:5" x14ac:dyDescent="0.2">
      <c r="A8438" t="s">
        <v>25280</v>
      </c>
      <c r="B8438" t="s">
        <v>25281</v>
      </c>
      <c r="C8438" t="s">
        <v>25281</v>
      </c>
      <c r="D8438" t="str">
        <f>HYPERLINK("https://zfin.org/ZDB-GENE-090206-2")</f>
        <v>https://zfin.org/ZDB-GENE-090206-2</v>
      </c>
      <c r="E8438" t="s">
        <v>25282</v>
      </c>
    </row>
    <row r="8439" spans="1:5" x14ac:dyDescent="0.2">
      <c r="A8439" t="s">
        <v>25283</v>
      </c>
      <c r="B8439" t="s">
        <v>25284</v>
      </c>
      <c r="C8439" t="s">
        <v>25284</v>
      </c>
      <c r="D8439" t="str">
        <f>HYPERLINK("https://zfin.org/ZDB-GENE-040426-1242")</f>
        <v>https://zfin.org/ZDB-GENE-040426-1242</v>
      </c>
      <c r="E8439" t="s">
        <v>25285</v>
      </c>
    </row>
    <row r="8440" spans="1:5" x14ac:dyDescent="0.2">
      <c r="A8440" t="s">
        <v>25286</v>
      </c>
      <c r="B8440" t="s">
        <v>25287</v>
      </c>
      <c r="C8440" t="s">
        <v>25287</v>
      </c>
      <c r="D8440" t="str">
        <f>HYPERLINK("https://zfin.org/ZDB-GENE-040718-451")</f>
        <v>https://zfin.org/ZDB-GENE-040718-451</v>
      </c>
      <c r="E8440" t="s">
        <v>25288</v>
      </c>
    </row>
    <row r="8441" spans="1:5" x14ac:dyDescent="0.2">
      <c r="A8441" t="s">
        <v>25289</v>
      </c>
      <c r="B8441" t="s">
        <v>25290</v>
      </c>
      <c r="C8441" t="s">
        <v>25290</v>
      </c>
      <c r="D8441" t="str">
        <f>HYPERLINK("https://zfin.org/ZDB-GENE-040426-1868")</f>
        <v>https://zfin.org/ZDB-GENE-040426-1868</v>
      </c>
      <c r="E8441" t="s">
        <v>25291</v>
      </c>
    </row>
    <row r="8442" spans="1:5" x14ac:dyDescent="0.2">
      <c r="A8442" t="s">
        <v>25292</v>
      </c>
      <c r="B8442" t="s">
        <v>25293</v>
      </c>
      <c r="C8442" t="s">
        <v>25293</v>
      </c>
      <c r="D8442" t="str">
        <f>HYPERLINK("https://zfin.org/ZDB-GENE-060825-27")</f>
        <v>https://zfin.org/ZDB-GENE-060825-27</v>
      </c>
      <c r="E8442" t="s">
        <v>25294</v>
      </c>
    </row>
    <row r="8443" spans="1:5" x14ac:dyDescent="0.2">
      <c r="A8443" t="s">
        <v>25295</v>
      </c>
      <c r="B8443" t="s">
        <v>25296</v>
      </c>
      <c r="C8443" t="s">
        <v>25296</v>
      </c>
      <c r="D8443" t="str">
        <f>HYPERLINK("https://zfin.org/ZDB-GENE-050522-538")</f>
        <v>https://zfin.org/ZDB-GENE-050522-538</v>
      </c>
      <c r="E8443" t="s">
        <v>25297</v>
      </c>
    </row>
    <row r="8444" spans="1:5" x14ac:dyDescent="0.2">
      <c r="A8444" t="s">
        <v>25298</v>
      </c>
      <c r="B8444" t="s">
        <v>25299</v>
      </c>
      <c r="C8444" t="s">
        <v>25299</v>
      </c>
      <c r="D8444" t="str">
        <f>HYPERLINK("https://zfin.org/ZDB-GENE-040801-235")</f>
        <v>https://zfin.org/ZDB-GENE-040801-235</v>
      </c>
      <c r="E8444" t="s">
        <v>25300</v>
      </c>
    </row>
    <row r="8445" spans="1:5" x14ac:dyDescent="0.2">
      <c r="A8445" t="s">
        <v>25301</v>
      </c>
      <c r="B8445" t="s">
        <v>25302</v>
      </c>
      <c r="C8445" t="s">
        <v>25302</v>
      </c>
      <c r="D8445" t="str">
        <f>HYPERLINK("https://zfin.org/ZDB-GENE-040426-868")</f>
        <v>https://zfin.org/ZDB-GENE-040426-868</v>
      </c>
      <c r="E8445" t="s">
        <v>25303</v>
      </c>
    </row>
    <row r="8446" spans="1:5" x14ac:dyDescent="0.2">
      <c r="A8446" t="s">
        <v>25304</v>
      </c>
      <c r="B8446" t="s">
        <v>25305</v>
      </c>
      <c r="C8446" t="s">
        <v>25305</v>
      </c>
      <c r="D8446" t="str">
        <f>HYPERLINK("https://zfin.org/ZDB-GENE-030131-2974")</f>
        <v>https://zfin.org/ZDB-GENE-030131-2974</v>
      </c>
      <c r="E8446" t="s">
        <v>25306</v>
      </c>
    </row>
    <row r="8447" spans="1:5" x14ac:dyDescent="0.2">
      <c r="A8447" t="s">
        <v>25307</v>
      </c>
      <c r="B8447" t="s">
        <v>25308</v>
      </c>
      <c r="C8447" t="s">
        <v>25308</v>
      </c>
      <c r="D8447" t="str">
        <f>HYPERLINK("https://zfin.org/ZDB-GENE-050417-1")</f>
        <v>https://zfin.org/ZDB-GENE-050417-1</v>
      </c>
      <c r="E8447" t="s">
        <v>25309</v>
      </c>
    </row>
    <row r="8448" spans="1:5" x14ac:dyDescent="0.2">
      <c r="A8448" t="s">
        <v>25310</v>
      </c>
      <c r="B8448" t="s">
        <v>25311</v>
      </c>
      <c r="C8448" t="s">
        <v>25311</v>
      </c>
      <c r="D8448" t="str">
        <f>HYPERLINK("https://zfin.org/ZDB-GENE-060503-79")</f>
        <v>https://zfin.org/ZDB-GENE-060503-79</v>
      </c>
      <c r="E8448" t="s">
        <v>25312</v>
      </c>
    </row>
    <row r="8449" spans="1:5" x14ac:dyDescent="0.2">
      <c r="A8449" t="s">
        <v>25313</v>
      </c>
      <c r="B8449" t="s">
        <v>25314</v>
      </c>
      <c r="C8449" t="s">
        <v>25314</v>
      </c>
      <c r="D8449" t="str">
        <f>HYPERLINK("https://zfin.org/ZDB-GENE-100119-2")</f>
        <v>https://zfin.org/ZDB-GENE-100119-2</v>
      </c>
      <c r="E8449" t="s">
        <v>25315</v>
      </c>
    </row>
    <row r="8450" spans="1:5" x14ac:dyDescent="0.2">
      <c r="A8450" t="s">
        <v>25316</v>
      </c>
      <c r="B8450" t="s">
        <v>25317</v>
      </c>
      <c r="C8450" t="s">
        <v>25317</v>
      </c>
      <c r="D8450" t="str">
        <f>HYPERLINK("https://zfin.org/ZDB-GENE-040727-4")</f>
        <v>https://zfin.org/ZDB-GENE-040727-4</v>
      </c>
      <c r="E8450" t="s">
        <v>25318</v>
      </c>
    </row>
    <row r="8451" spans="1:5" x14ac:dyDescent="0.2">
      <c r="A8451" t="s">
        <v>25319</v>
      </c>
      <c r="B8451" t="s">
        <v>25320</v>
      </c>
      <c r="C8451" t="s">
        <v>25320</v>
      </c>
      <c r="D8451" t="str">
        <f>HYPERLINK("https://zfin.org/ZDB-GENE-030131-9532")</f>
        <v>https://zfin.org/ZDB-GENE-030131-9532</v>
      </c>
      <c r="E8451" t="s">
        <v>25321</v>
      </c>
    </row>
    <row r="8452" spans="1:5" x14ac:dyDescent="0.2">
      <c r="A8452" t="s">
        <v>25322</v>
      </c>
      <c r="B8452" t="s">
        <v>25323</v>
      </c>
      <c r="C8452" t="s">
        <v>25323</v>
      </c>
      <c r="D8452" t="str">
        <f>HYPERLINK("https://zfin.org/ZDB-GENE-030131-3196")</f>
        <v>https://zfin.org/ZDB-GENE-030131-3196</v>
      </c>
      <c r="E8452" t="s">
        <v>25324</v>
      </c>
    </row>
    <row r="8453" spans="1:5" x14ac:dyDescent="0.2">
      <c r="A8453" t="s">
        <v>25325</v>
      </c>
      <c r="B8453" t="s">
        <v>25326</v>
      </c>
      <c r="C8453" t="s">
        <v>25326</v>
      </c>
      <c r="D8453" t="str">
        <f>HYPERLINK("https://zfin.org/ZDB-GENE-040426-763")</f>
        <v>https://zfin.org/ZDB-GENE-040426-763</v>
      </c>
      <c r="E8453" t="s">
        <v>25327</v>
      </c>
    </row>
    <row r="8454" spans="1:5" x14ac:dyDescent="0.2">
      <c r="A8454" t="s">
        <v>25328</v>
      </c>
      <c r="B8454" t="s">
        <v>25329</v>
      </c>
      <c r="C8454" t="s">
        <v>25329</v>
      </c>
      <c r="D8454" t="str">
        <f>HYPERLINK("https://zfin.org/ZDB-GENE-051127-47")</f>
        <v>https://zfin.org/ZDB-GENE-051127-47</v>
      </c>
      <c r="E8454" t="s">
        <v>25330</v>
      </c>
    </row>
    <row r="8455" spans="1:5" x14ac:dyDescent="0.2">
      <c r="A8455" t="s">
        <v>25331</v>
      </c>
      <c r="B8455" t="s">
        <v>25332</v>
      </c>
      <c r="C8455" t="s">
        <v>25332</v>
      </c>
      <c r="D8455" t="str">
        <f>HYPERLINK("https://zfin.org/ZDB-GENE-030822-1")</f>
        <v>https://zfin.org/ZDB-GENE-030822-1</v>
      </c>
      <c r="E8455" t="s">
        <v>25333</v>
      </c>
    </row>
    <row r="8456" spans="1:5" x14ac:dyDescent="0.2">
      <c r="A8456" t="s">
        <v>25334</v>
      </c>
      <c r="B8456" t="s">
        <v>25335</v>
      </c>
      <c r="C8456" t="s">
        <v>25335</v>
      </c>
      <c r="D8456" t="str">
        <f>HYPERLINK("https://zfin.org/ZDB-GENE-060526-367")</f>
        <v>https://zfin.org/ZDB-GENE-060526-367</v>
      </c>
      <c r="E8456" t="s">
        <v>25336</v>
      </c>
    </row>
    <row r="8457" spans="1:5" x14ac:dyDescent="0.2">
      <c r="A8457" t="s">
        <v>25337</v>
      </c>
      <c r="B8457" t="s">
        <v>25338</v>
      </c>
      <c r="C8457" t="s">
        <v>25338</v>
      </c>
      <c r="D8457" t="str">
        <f>HYPERLINK("https://zfin.org/ZDB-GENE-050114-7")</f>
        <v>https://zfin.org/ZDB-GENE-050114-7</v>
      </c>
      <c r="E8457" t="s">
        <v>25339</v>
      </c>
    </row>
    <row r="8458" spans="1:5" x14ac:dyDescent="0.2">
      <c r="A8458" t="s">
        <v>25340</v>
      </c>
      <c r="B8458" t="s">
        <v>25341</v>
      </c>
      <c r="C8458" t="s">
        <v>25341</v>
      </c>
      <c r="D8458" t="str">
        <f>HYPERLINK("https://zfin.org/ZDB-GENE-991110-19")</f>
        <v>https://zfin.org/ZDB-GENE-991110-19</v>
      </c>
      <c r="E8458" t="s">
        <v>25342</v>
      </c>
    </row>
    <row r="8459" spans="1:5" x14ac:dyDescent="0.2">
      <c r="A8459" t="s">
        <v>25343</v>
      </c>
      <c r="B8459" t="s">
        <v>25344</v>
      </c>
      <c r="C8459" t="s">
        <v>25344</v>
      </c>
      <c r="D8459" t="str">
        <f>HYPERLINK("https://zfin.org/ZDB-GENE-070912-670")</f>
        <v>https://zfin.org/ZDB-GENE-070912-670</v>
      </c>
      <c r="E8459" t="s">
        <v>25345</v>
      </c>
    </row>
    <row r="8460" spans="1:5" x14ac:dyDescent="0.2">
      <c r="A8460" t="s">
        <v>25346</v>
      </c>
      <c r="B8460" t="s">
        <v>25347</v>
      </c>
      <c r="C8460" t="s">
        <v>25347</v>
      </c>
      <c r="D8460" t="str">
        <f>HYPERLINK("https://zfin.org/ZDB-GENE-111209-1")</f>
        <v>https://zfin.org/ZDB-GENE-111209-1</v>
      </c>
      <c r="E8460" t="s">
        <v>25348</v>
      </c>
    </row>
    <row r="8461" spans="1:5" x14ac:dyDescent="0.2">
      <c r="A8461" t="s">
        <v>25349</v>
      </c>
      <c r="B8461" t="s">
        <v>25350</v>
      </c>
      <c r="C8461" t="s">
        <v>25350</v>
      </c>
      <c r="D8461" t="str">
        <f>HYPERLINK("https://zfin.org/ZDB-GENE-040426-1998")</f>
        <v>https://zfin.org/ZDB-GENE-040426-1998</v>
      </c>
      <c r="E8461" t="s">
        <v>25351</v>
      </c>
    </row>
    <row r="8462" spans="1:5" x14ac:dyDescent="0.2">
      <c r="A8462" t="s">
        <v>25352</v>
      </c>
      <c r="B8462" t="s">
        <v>25353</v>
      </c>
      <c r="C8462" t="s">
        <v>25353</v>
      </c>
      <c r="D8462" t="str">
        <f>HYPERLINK("https://zfin.org/ZDB-GENE-040426-813")</f>
        <v>https://zfin.org/ZDB-GENE-040426-813</v>
      </c>
      <c r="E8462" t="s">
        <v>25354</v>
      </c>
    </row>
    <row r="8463" spans="1:5" x14ac:dyDescent="0.2">
      <c r="A8463" t="s">
        <v>25355</v>
      </c>
      <c r="B8463" t="s">
        <v>25356</v>
      </c>
      <c r="C8463" t="s">
        <v>25356</v>
      </c>
      <c r="D8463" t="str">
        <f>HYPERLINK("https://zfin.org/ZDB-GENE-040412-1")</f>
        <v>https://zfin.org/ZDB-GENE-040412-1</v>
      </c>
      <c r="E8463" t="s">
        <v>25357</v>
      </c>
    </row>
    <row r="8464" spans="1:5" x14ac:dyDescent="0.2">
      <c r="A8464" t="s">
        <v>25358</v>
      </c>
      <c r="B8464" t="s">
        <v>25359</v>
      </c>
      <c r="C8464" t="s">
        <v>25359</v>
      </c>
      <c r="D8464" t="str">
        <f>HYPERLINK("https://zfin.org/ZDB-GENE-030131-7425")</f>
        <v>https://zfin.org/ZDB-GENE-030131-7425</v>
      </c>
      <c r="E8464" t="s">
        <v>25360</v>
      </c>
    </row>
    <row r="8465" spans="1:5" x14ac:dyDescent="0.2">
      <c r="A8465" t="s">
        <v>25361</v>
      </c>
      <c r="B8465" t="s">
        <v>25362</v>
      </c>
      <c r="C8465" t="s">
        <v>25362</v>
      </c>
      <c r="D8465" t="str">
        <f>HYPERLINK("https://zfin.org/ZDB-GENE-030131-2415")</f>
        <v>https://zfin.org/ZDB-GENE-030131-2415</v>
      </c>
      <c r="E8465" t="s">
        <v>25363</v>
      </c>
    </row>
    <row r="8466" spans="1:5" x14ac:dyDescent="0.2">
      <c r="A8466" t="s">
        <v>25364</v>
      </c>
      <c r="B8466" t="s">
        <v>25365</v>
      </c>
      <c r="C8466" t="s">
        <v>25365</v>
      </c>
      <c r="D8466" t="str">
        <f>HYPERLINK("https://zfin.org/ZDB-GENE-030131-4155")</f>
        <v>https://zfin.org/ZDB-GENE-030131-4155</v>
      </c>
      <c r="E8466" t="s">
        <v>25366</v>
      </c>
    </row>
    <row r="8467" spans="1:5" x14ac:dyDescent="0.2">
      <c r="A8467" t="s">
        <v>25367</v>
      </c>
      <c r="B8467" t="s">
        <v>25368</v>
      </c>
      <c r="C8467" t="s">
        <v>25368</v>
      </c>
      <c r="D8467" t="str">
        <f>HYPERLINK("https://zfin.org/ZDB-GENE-040426-839")</f>
        <v>https://zfin.org/ZDB-GENE-040426-839</v>
      </c>
      <c r="E8467" t="s">
        <v>25369</v>
      </c>
    </row>
    <row r="8468" spans="1:5" x14ac:dyDescent="0.2">
      <c r="A8468" t="s">
        <v>25370</v>
      </c>
      <c r="B8468" t="s">
        <v>25371</v>
      </c>
      <c r="C8468" t="s">
        <v>25371</v>
      </c>
      <c r="D8468" t="str">
        <f>HYPERLINK("https://zfin.org/ZDB-GENE-080812-2")</f>
        <v>https://zfin.org/ZDB-GENE-080812-2</v>
      </c>
      <c r="E8468" t="s">
        <v>25372</v>
      </c>
    </row>
    <row r="8469" spans="1:5" x14ac:dyDescent="0.2">
      <c r="A8469" t="s">
        <v>25373</v>
      </c>
      <c r="B8469" t="s">
        <v>25374</v>
      </c>
      <c r="C8469" t="s">
        <v>25374</v>
      </c>
      <c r="D8469" t="str">
        <f>HYPERLINK("https://zfin.org/ZDB-GENE-091204-12")</f>
        <v>https://zfin.org/ZDB-GENE-091204-12</v>
      </c>
      <c r="E8469" t="s">
        <v>25375</v>
      </c>
    </row>
    <row r="8470" spans="1:5" x14ac:dyDescent="0.2">
      <c r="A8470" t="s">
        <v>25376</v>
      </c>
      <c r="B8470" t="s">
        <v>25377</v>
      </c>
      <c r="C8470" t="s">
        <v>25377</v>
      </c>
      <c r="D8470" t="str">
        <f>HYPERLINK("https://zfin.org/ZDB-GENE-980526-285")</f>
        <v>https://zfin.org/ZDB-GENE-980526-285</v>
      </c>
      <c r="E8470" t="s">
        <v>25378</v>
      </c>
    </row>
    <row r="8471" spans="1:5" x14ac:dyDescent="0.2">
      <c r="A8471" t="s">
        <v>25379</v>
      </c>
      <c r="B8471" t="s">
        <v>25380</v>
      </c>
      <c r="C8471" t="s">
        <v>25380</v>
      </c>
      <c r="D8471" t="str">
        <f>HYPERLINK("https://zfin.org/ZDB-GENE-040426-1513")</f>
        <v>https://zfin.org/ZDB-GENE-040426-1513</v>
      </c>
      <c r="E8471" t="s">
        <v>25381</v>
      </c>
    </row>
    <row r="8472" spans="1:5" x14ac:dyDescent="0.2">
      <c r="A8472" t="s">
        <v>25382</v>
      </c>
      <c r="B8472" t="s">
        <v>25383</v>
      </c>
      <c r="C8472" t="s">
        <v>25383</v>
      </c>
      <c r="D8472" t="str">
        <f>HYPERLINK("https://zfin.org/ZDB-GENE-030131-1175")</f>
        <v>https://zfin.org/ZDB-GENE-030131-1175</v>
      </c>
      <c r="E8472" t="s">
        <v>25384</v>
      </c>
    </row>
    <row r="8473" spans="1:5" x14ac:dyDescent="0.2">
      <c r="A8473" t="s">
        <v>25385</v>
      </c>
      <c r="B8473" t="s">
        <v>25386</v>
      </c>
      <c r="C8473" t="s">
        <v>25386</v>
      </c>
      <c r="D8473" t="str">
        <f>HYPERLINK("https://zfin.org/ZDB-GENE-010509-2")</f>
        <v>https://zfin.org/ZDB-GENE-010509-2</v>
      </c>
      <c r="E8473" t="s">
        <v>25387</v>
      </c>
    </row>
    <row r="8474" spans="1:5" x14ac:dyDescent="0.2">
      <c r="A8474" t="s">
        <v>25388</v>
      </c>
      <c r="B8474" t="s">
        <v>25389</v>
      </c>
      <c r="C8474" t="s">
        <v>25389</v>
      </c>
      <c r="D8474" t="str">
        <f>HYPERLINK("https://zfin.org/ZDB-GENE-141014-1")</f>
        <v>https://zfin.org/ZDB-GENE-141014-1</v>
      </c>
      <c r="E8474" t="s">
        <v>25390</v>
      </c>
    </row>
    <row r="8475" spans="1:5" x14ac:dyDescent="0.2">
      <c r="A8475" t="s">
        <v>25391</v>
      </c>
      <c r="B8475" t="s">
        <v>25392</v>
      </c>
      <c r="C8475" t="s">
        <v>25392</v>
      </c>
      <c r="D8475" t="str">
        <f>HYPERLINK("https://zfin.org/ZDB-GENE-050309-70")</f>
        <v>https://zfin.org/ZDB-GENE-050309-70</v>
      </c>
      <c r="E8475" t="s">
        <v>25393</v>
      </c>
    </row>
    <row r="8476" spans="1:5" x14ac:dyDescent="0.2">
      <c r="A8476" t="s">
        <v>25394</v>
      </c>
      <c r="B8476" t="s">
        <v>25395</v>
      </c>
      <c r="C8476" t="s">
        <v>25395</v>
      </c>
      <c r="D8476" t="str">
        <f>HYPERLINK("https://zfin.org/ZDB-GENE-120717-1")</f>
        <v>https://zfin.org/ZDB-GENE-120717-1</v>
      </c>
      <c r="E8476" t="s">
        <v>25396</v>
      </c>
    </row>
    <row r="8477" spans="1:5" x14ac:dyDescent="0.2">
      <c r="A8477" t="s">
        <v>25397</v>
      </c>
      <c r="B8477" t="s">
        <v>25398</v>
      </c>
      <c r="C8477" t="s">
        <v>25398</v>
      </c>
      <c r="D8477" t="str">
        <f>HYPERLINK("https://zfin.org/ZDB-GENE-080403-5")</f>
        <v>https://zfin.org/ZDB-GENE-080403-5</v>
      </c>
      <c r="E8477" t="s">
        <v>25399</v>
      </c>
    </row>
    <row r="8478" spans="1:5" x14ac:dyDescent="0.2">
      <c r="A8478" t="s">
        <v>25400</v>
      </c>
      <c r="B8478" t="s">
        <v>25401</v>
      </c>
      <c r="C8478" t="s">
        <v>25401</v>
      </c>
      <c r="D8478" t="str">
        <f>HYPERLINK("https://zfin.org/ZDB-GENE-040724-72")</f>
        <v>https://zfin.org/ZDB-GENE-040724-72</v>
      </c>
      <c r="E8478" t="s">
        <v>25402</v>
      </c>
    </row>
    <row r="8479" spans="1:5" x14ac:dyDescent="0.2">
      <c r="A8479" t="s">
        <v>25403</v>
      </c>
      <c r="B8479" t="s">
        <v>25404</v>
      </c>
      <c r="C8479" t="s">
        <v>25404</v>
      </c>
      <c r="D8479" t="str">
        <f>HYPERLINK("https://zfin.org/ZDB-GENE-090122-1")</f>
        <v>https://zfin.org/ZDB-GENE-090122-1</v>
      </c>
      <c r="E8479" t="s">
        <v>25405</v>
      </c>
    </row>
    <row r="8480" spans="1:5" x14ac:dyDescent="0.2">
      <c r="A8480" t="s">
        <v>25406</v>
      </c>
      <c r="B8480" t="s">
        <v>25407</v>
      </c>
      <c r="C8480" t="s">
        <v>25407</v>
      </c>
      <c r="D8480" t="str">
        <f>HYPERLINK("https://zfin.org/ZDB-GENE-040426-2133")</f>
        <v>https://zfin.org/ZDB-GENE-040426-2133</v>
      </c>
      <c r="E8480" t="s">
        <v>25408</v>
      </c>
    </row>
    <row r="8481" spans="1:5" x14ac:dyDescent="0.2">
      <c r="A8481" t="s">
        <v>25409</v>
      </c>
      <c r="B8481" t="s">
        <v>25410</v>
      </c>
      <c r="C8481" t="s">
        <v>25410</v>
      </c>
      <c r="D8481" t="str">
        <f>HYPERLINK("https://zfin.org/ZDB-GENE-990415-171")</f>
        <v>https://zfin.org/ZDB-GENE-990415-171</v>
      </c>
      <c r="E8481" t="s">
        <v>25411</v>
      </c>
    </row>
    <row r="8482" spans="1:5" x14ac:dyDescent="0.2">
      <c r="A8482" t="s">
        <v>25412</v>
      </c>
      <c r="B8482" t="s">
        <v>25413</v>
      </c>
      <c r="C8482" t="s">
        <v>25413</v>
      </c>
      <c r="D8482" t="str">
        <f>HYPERLINK("https://zfin.org/ZDB-GENE-130603-96")</f>
        <v>https://zfin.org/ZDB-GENE-130603-96</v>
      </c>
      <c r="E8482" t="s">
        <v>25414</v>
      </c>
    </row>
    <row r="8483" spans="1:5" x14ac:dyDescent="0.2">
      <c r="A8483" t="s">
        <v>25415</v>
      </c>
      <c r="B8483" t="s">
        <v>25416</v>
      </c>
      <c r="C8483" t="s">
        <v>25416</v>
      </c>
      <c r="D8483" t="str">
        <f>HYPERLINK("https://zfin.org/ZDB-GENE-160114-2")</f>
        <v>https://zfin.org/ZDB-GENE-160114-2</v>
      </c>
      <c r="E8483" t="s">
        <v>25417</v>
      </c>
    </row>
    <row r="8484" spans="1:5" x14ac:dyDescent="0.2">
      <c r="A8484" t="s">
        <v>25418</v>
      </c>
      <c r="B8484" t="s">
        <v>25419</v>
      </c>
      <c r="C8484" t="s">
        <v>25419</v>
      </c>
      <c r="D8484" t="str">
        <f>HYPERLINK("https://zfin.org/ZDB-GENE-030131-3790")</f>
        <v>https://zfin.org/ZDB-GENE-030131-3790</v>
      </c>
      <c r="E8484" t="s">
        <v>25420</v>
      </c>
    </row>
    <row r="8485" spans="1:5" x14ac:dyDescent="0.2">
      <c r="A8485" t="s">
        <v>25421</v>
      </c>
      <c r="B8485" t="s">
        <v>25422</v>
      </c>
      <c r="C8485" t="s">
        <v>25422</v>
      </c>
      <c r="D8485" t="str">
        <f>HYPERLINK("https://zfin.org/ZDB-GENE-120214-27")</f>
        <v>https://zfin.org/ZDB-GENE-120214-27</v>
      </c>
      <c r="E8485" t="s">
        <v>25423</v>
      </c>
    </row>
    <row r="8486" spans="1:5" x14ac:dyDescent="0.2">
      <c r="A8486" t="s">
        <v>25424</v>
      </c>
      <c r="B8486" t="s">
        <v>25425</v>
      </c>
      <c r="C8486" t="s">
        <v>25425</v>
      </c>
      <c r="D8486" t="str">
        <f>HYPERLINK("https://zfin.org/ZDB-GENE-030408-2")</f>
        <v>https://zfin.org/ZDB-GENE-030408-2</v>
      </c>
      <c r="E8486" t="s">
        <v>25426</v>
      </c>
    </row>
    <row r="8487" spans="1:5" x14ac:dyDescent="0.2">
      <c r="A8487" t="s">
        <v>25427</v>
      </c>
      <c r="B8487" t="s">
        <v>25428</v>
      </c>
      <c r="C8487" t="s">
        <v>25428</v>
      </c>
      <c r="D8487" t="str">
        <f>HYPERLINK("https://zfin.org/ZDB-GENE-050522-506")</f>
        <v>https://zfin.org/ZDB-GENE-050522-506</v>
      </c>
      <c r="E8487" t="s">
        <v>25429</v>
      </c>
    </row>
    <row r="8488" spans="1:5" x14ac:dyDescent="0.2">
      <c r="A8488" t="s">
        <v>25430</v>
      </c>
      <c r="B8488" t="s">
        <v>25431</v>
      </c>
      <c r="C8488" t="s">
        <v>25431</v>
      </c>
      <c r="D8488" t="str">
        <f>HYPERLINK("https://zfin.org/ZDB-GENE-040718-245")</f>
        <v>https://zfin.org/ZDB-GENE-040718-245</v>
      </c>
      <c r="E8488" t="s">
        <v>25432</v>
      </c>
    </row>
    <row r="8489" spans="1:5" x14ac:dyDescent="0.2">
      <c r="A8489" t="s">
        <v>25433</v>
      </c>
      <c r="B8489" t="s">
        <v>25434</v>
      </c>
      <c r="C8489" t="s">
        <v>25434</v>
      </c>
      <c r="D8489" t="str">
        <f>HYPERLINK("https://zfin.org/ZDB-GENE-070912-637")</f>
        <v>https://zfin.org/ZDB-GENE-070912-637</v>
      </c>
      <c r="E8489" t="s">
        <v>25435</v>
      </c>
    </row>
    <row r="8490" spans="1:5" x14ac:dyDescent="0.2">
      <c r="A8490" t="s">
        <v>25436</v>
      </c>
      <c r="B8490" t="s">
        <v>25437</v>
      </c>
      <c r="C8490" t="s">
        <v>25437</v>
      </c>
      <c r="D8490" t="str">
        <f>HYPERLINK("https://zfin.org/ZDB-GENE-131127-194")</f>
        <v>https://zfin.org/ZDB-GENE-131127-194</v>
      </c>
      <c r="E8490" t="s">
        <v>25438</v>
      </c>
    </row>
    <row r="8491" spans="1:5" x14ac:dyDescent="0.2">
      <c r="A8491" t="s">
        <v>25439</v>
      </c>
      <c r="B8491" t="s">
        <v>25440</v>
      </c>
      <c r="C8491" t="s">
        <v>25440</v>
      </c>
      <c r="D8491" t="str">
        <f>HYPERLINK("https://zfin.org/ZDB-GENE-040625-39")</f>
        <v>https://zfin.org/ZDB-GENE-040625-39</v>
      </c>
      <c r="E8491" t="s">
        <v>25441</v>
      </c>
    </row>
    <row r="8492" spans="1:5" x14ac:dyDescent="0.2">
      <c r="A8492" t="s">
        <v>25442</v>
      </c>
      <c r="B8492" t="s">
        <v>25443</v>
      </c>
      <c r="C8492" t="s">
        <v>25443</v>
      </c>
      <c r="D8492" t="str">
        <f>HYPERLINK("https://zfin.org/ZDB-GENE-030131-6605")</f>
        <v>https://zfin.org/ZDB-GENE-030131-6605</v>
      </c>
      <c r="E8492" t="s">
        <v>25444</v>
      </c>
    </row>
    <row r="8493" spans="1:5" x14ac:dyDescent="0.2">
      <c r="A8493" t="s">
        <v>25445</v>
      </c>
      <c r="B8493" t="s">
        <v>25446</v>
      </c>
      <c r="C8493" t="s">
        <v>25446</v>
      </c>
      <c r="D8493" t="str">
        <f>HYPERLINK("https://zfin.org/ZDB-GENE-031010-36")</f>
        <v>https://zfin.org/ZDB-GENE-031010-36</v>
      </c>
      <c r="E8493" t="s">
        <v>25447</v>
      </c>
    </row>
    <row r="8494" spans="1:5" x14ac:dyDescent="0.2">
      <c r="A8494" t="s">
        <v>25448</v>
      </c>
      <c r="B8494" t="s">
        <v>25449</v>
      </c>
      <c r="C8494" t="s">
        <v>25449</v>
      </c>
      <c r="D8494" t="str">
        <f>HYPERLINK("https://zfin.org/ZDB-GENE-040912-38")</f>
        <v>https://zfin.org/ZDB-GENE-040912-38</v>
      </c>
      <c r="E8494" t="s">
        <v>25450</v>
      </c>
    </row>
    <row r="8495" spans="1:5" x14ac:dyDescent="0.2">
      <c r="A8495" t="s">
        <v>25451</v>
      </c>
      <c r="B8495" t="s">
        <v>25452</v>
      </c>
      <c r="C8495" t="s">
        <v>25452</v>
      </c>
      <c r="D8495" t="str">
        <f>HYPERLINK("https://zfin.org/ZDB-GENE-061109-1")</f>
        <v>https://zfin.org/ZDB-GENE-061109-1</v>
      </c>
      <c r="E8495" t="s">
        <v>25453</v>
      </c>
    </row>
    <row r="8496" spans="1:5" x14ac:dyDescent="0.2">
      <c r="A8496" t="s">
        <v>25454</v>
      </c>
      <c r="B8496" t="s">
        <v>25455</v>
      </c>
      <c r="C8496" t="s">
        <v>25455</v>
      </c>
      <c r="D8496" t="str">
        <f>HYPERLINK("https://zfin.org/ZDB-GENE-050417-457")</f>
        <v>https://zfin.org/ZDB-GENE-050417-457</v>
      </c>
      <c r="E8496" t="s">
        <v>25456</v>
      </c>
    </row>
    <row r="8497" spans="1:5" x14ac:dyDescent="0.2">
      <c r="A8497" t="s">
        <v>25457</v>
      </c>
      <c r="B8497" t="s">
        <v>25458</v>
      </c>
      <c r="C8497" t="s">
        <v>25458</v>
      </c>
      <c r="D8497" t="str">
        <f>HYPERLINK("https://zfin.org/ZDB-GENE-090507-4")</f>
        <v>https://zfin.org/ZDB-GENE-090507-4</v>
      </c>
      <c r="E8497" t="s">
        <v>25459</v>
      </c>
    </row>
    <row r="8498" spans="1:5" x14ac:dyDescent="0.2">
      <c r="A8498" t="s">
        <v>25460</v>
      </c>
      <c r="B8498" t="s">
        <v>25461</v>
      </c>
      <c r="C8498" t="s">
        <v>25461</v>
      </c>
      <c r="D8498" t="str">
        <f>HYPERLINK("https://zfin.org/ZDB-GENE-040426-2262")</f>
        <v>https://zfin.org/ZDB-GENE-040426-2262</v>
      </c>
      <c r="E8498" t="s">
        <v>25462</v>
      </c>
    </row>
    <row r="8499" spans="1:5" x14ac:dyDescent="0.2">
      <c r="A8499" t="s">
        <v>25463</v>
      </c>
      <c r="B8499" t="s">
        <v>25464</v>
      </c>
      <c r="C8499" t="s">
        <v>25464</v>
      </c>
      <c r="D8499" t="str">
        <f>HYPERLINK("https://zfin.org/ZDB-GENE-050411-27")</f>
        <v>https://zfin.org/ZDB-GENE-050411-27</v>
      </c>
      <c r="E8499" t="s">
        <v>25465</v>
      </c>
    </row>
    <row r="8500" spans="1:5" x14ac:dyDescent="0.2">
      <c r="A8500" t="s">
        <v>25466</v>
      </c>
      <c r="B8500" t="s">
        <v>25467</v>
      </c>
      <c r="C8500" t="s">
        <v>25467</v>
      </c>
      <c r="D8500" t="str">
        <f>HYPERLINK("https://zfin.org/ZDB-GENE-060929-894")</f>
        <v>https://zfin.org/ZDB-GENE-060929-894</v>
      </c>
      <c r="E8500" t="s">
        <v>25468</v>
      </c>
    </row>
    <row r="8501" spans="1:5" x14ac:dyDescent="0.2">
      <c r="A8501" t="s">
        <v>25469</v>
      </c>
      <c r="B8501" t="s">
        <v>25470</v>
      </c>
      <c r="C8501" t="s">
        <v>25470</v>
      </c>
      <c r="D8501" t="str">
        <f>HYPERLINK("https://zfin.org/ZDB-GENE-060531-39")</f>
        <v>https://zfin.org/ZDB-GENE-060531-39</v>
      </c>
      <c r="E8501" t="s">
        <v>25471</v>
      </c>
    </row>
    <row r="8502" spans="1:5" x14ac:dyDescent="0.2">
      <c r="A8502" t="s">
        <v>25472</v>
      </c>
      <c r="B8502" t="s">
        <v>25473</v>
      </c>
      <c r="C8502" t="s">
        <v>25473</v>
      </c>
      <c r="D8502" t="str">
        <f>HYPERLINK("https://zfin.org/ZDB-GENE-040718-160")</f>
        <v>https://zfin.org/ZDB-GENE-040718-160</v>
      </c>
      <c r="E8502" t="s">
        <v>25474</v>
      </c>
    </row>
    <row r="8503" spans="1:5" x14ac:dyDescent="0.2">
      <c r="A8503" t="s">
        <v>25475</v>
      </c>
      <c r="B8503" t="s">
        <v>25476</v>
      </c>
      <c r="C8503" t="s">
        <v>25476</v>
      </c>
      <c r="D8503" t="str">
        <f>HYPERLINK("https://zfin.org/ZDB-GENE-070112-1002")</f>
        <v>https://zfin.org/ZDB-GENE-070112-1002</v>
      </c>
      <c r="E8503" t="s">
        <v>25477</v>
      </c>
    </row>
    <row r="8504" spans="1:5" x14ac:dyDescent="0.2">
      <c r="A8504" t="s">
        <v>25478</v>
      </c>
      <c r="B8504" t="s">
        <v>25479</v>
      </c>
      <c r="C8504" t="s">
        <v>25479</v>
      </c>
      <c r="D8504" t="str">
        <f>HYPERLINK("https://zfin.org/ZDB-GENE-030131-6202")</f>
        <v>https://zfin.org/ZDB-GENE-030131-6202</v>
      </c>
      <c r="E8504" t="s">
        <v>25480</v>
      </c>
    </row>
    <row r="8505" spans="1:5" x14ac:dyDescent="0.2">
      <c r="A8505" t="s">
        <v>25481</v>
      </c>
      <c r="B8505" t="s">
        <v>25482</v>
      </c>
      <c r="C8505" t="s">
        <v>25482</v>
      </c>
      <c r="D8505" t="str">
        <f>HYPERLINK("https://zfin.org/ZDB-GENE-040718-468")</f>
        <v>https://zfin.org/ZDB-GENE-040718-468</v>
      </c>
      <c r="E8505" t="s">
        <v>25483</v>
      </c>
    </row>
    <row r="8506" spans="1:5" x14ac:dyDescent="0.2">
      <c r="A8506" t="s">
        <v>25484</v>
      </c>
      <c r="B8506" t="s">
        <v>25485</v>
      </c>
      <c r="C8506" t="s">
        <v>25485</v>
      </c>
      <c r="D8506" t="str">
        <f>HYPERLINK("https://zfin.org/ZDB-GENE-061220-11")</f>
        <v>https://zfin.org/ZDB-GENE-061220-11</v>
      </c>
      <c r="E8506" t="s">
        <v>25486</v>
      </c>
    </row>
    <row r="8507" spans="1:5" x14ac:dyDescent="0.2">
      <c r="A8507" t="s">
        <v>25487</v>
      </c>
      <c r="B8507" t="s">
        <v>25488</v>
      </c>
      <c r="C8507" t="s">
        <v>25488</v>
      </c>
      <c r="D8507" t="str">
        <f>HYPERLINK("https://zfin.org/ZDB-GENE-120214-29")</f>
        <v>https://zfin.org/ZDB-GENE-120214-29</v>
      </c>
      <c r="E8507" t="s">
        <v>25489</v>
      </c>
    </row>
    <row r="8508" spans="1:5" x14ac:dyDescent="0.2">
      <c r="A8508" t="s">
        <v>25490</v>
      </c>
      <c r="B8508" t="s">
        <v>25491</v>
      </c>
      <c r="C8508" t="s">
        <v>25491</v>
      </c>
      <c r="D8508" t="str">
        <f>HYPERLINK("https://zfin.org/ZDB-GENE-050721-2")</f>
        <v>https://zfin.org/ZDB-GENE-050721-2</v>
      </c>
      <c r="E8508" t="s">
        <v>25492</v>
      </c>
    </row>
    <row r="8509" spans="1:5" x14ac:dyDescent="0.2">
      <c r="A8509" t="s">
        <v>25493</v>
      </c>
      <c r="B8509" t="s">
        <v>25494</v>
      </c>
      <c r="C8509" t="s">
        <v>25494</v>
      </c>
      <c r="D8509" t="str">
        <f>HYPERLINK("https://zfin.org/ZDB-GENE-980526-284")</f>
        <v>https://zfin.org/ZDB-GENE-980526-284</v>
      </c>
      <c r="E8509" t="s">
        <v>25495</v>
      </c>
    </row>
    <row r="8510" spans="1:5" x14ac:dyDescent="0.2">
      <c r="A8510" t="s">
        <v>25496</v>
      </c>
      <c r="B8510" t="s">
        <v>25497</v>
      </c>
      <c r="C8510" t="s">
        <v>25497</v>
      </c>
      <c r="D8510" t="str">
        <f>HYPERLINK("https://zfin.org/ZDB-GENE-040116-2")</f>
        <v>https://zfin.org/ZDB-GENE-040116-2</v>
      </c>
      <c r="E8510" t="s">
        <v>25498</v>
      </c>
    </row>
    <row r="8511" spans="1:5" x14ac:dyDescent="0.2">
      <c r="A8511" t="s">
        <v>25499</v>
      </c>
      <c r="B8511" t="s">
        <v>25500</v>
      </c>
      <c r="C8511" t="s">
        <v>25500</v>
      </c>
      <c r="D8511" t="str">
        <f>HYPERLINK("https://zfin.org/ZDB-GENE-030131-3906")</f>
        <v>https://zfin.org/ZDB-GENE-030131-3906</v>
      </c>
      <c r="E8511" t="s">
        <v>25501</v>
      </c>
    </row>
    <row r="8512" spans="1:5" x14ac:dyDescent="0.2">
      <c r="A8512" t="s">
        <v>25502</v>
      </c>
      <c r="B8512" t="s">
        <v>25503</v>
      </c>
      <c r="C8512" t="s">
        <v>25503</v>
      </c>
      <c r="D8512" t="str">
        <f>HYPERLINK("https://zfin.org/ZDB-GENE-030131-9076")</f>
        <v>https://zfin.org/ZDB-GENE-030131-9076</v>
      </c>
      <c r="E8512" t="s">
        <v>25504</v>
      </c>
    </row>
    <row r="8513" spans="1:5" x14ac:dyDescent="0.2">
      <c r="A8513" t="s">
        <v>25505</v>
      </c>
      <c r="B8513" t="s">
        <v>25506</v>
      </c>
      <c r="C8513" t="s">
        <v>25506</v>
      </c>
      <c r="D8513" t="str">
        <f>HYPERLINK("https://zfin.org/ZDB-GENE-030616-182")</f>
        <v>https://zfin.org/ZDB-GENE-030616-182</v>
      </c>
      <c r="E8513" t="s">
        <v>25507</v>
      </c>
    </row>
    <row r="8514" spans="1:5" x14ac:dyDescent="0.2">
      <c r="A8514" t="s">
        <v>25508</v>
      </c>
      <c r="B8514" t="s">
        <v>25509</v>
      </c>
      <c r="C8514" t="s">
        <v>25509</v>
      </c>
      <c r="D8514" t="str">
        <f>HYPERLINK("https://zfin.org/ZDB-GENE-141216-110")</f>
        <v>https://zfin.org/ZDB-GENE-141216-110</v>
      </c>
      <c r="E8514" t="s">
        <v>25510</v>
      </c>
    </row>
    <row r="8515" spans="1:5" x14ac:dyDescent="0.2">
      <c r="A8515" t="s">
        <v>25511</v>
      </c>
      <c r="B8515" t="s">
        <v>25512</v>
      </c>
      <c r="C8515" t="s">
        <v>25512</v>
      </c>
      <c r="D8515" t="str">
        <f>HYPERLINK("https://zfin.org/ZDB-GENE-040625-50")</f>
        <v>https://zfin.org/ZDB-GENE-040625-50</v>
      </c>
      <c r="E8515" t="s">
        <v>25513</v>
      </c>
    </row>
    <row r="8516" spans="1:5" x14ac:dyDescent="0.2">
      <c r="A8516" t="s">
        <v>25514</v>
      </c>
      <c r="B8516" t="s">
        <v>25515</v>
      </c>
      <c r="C8516" t="s">
        <v>25515</v>
      </c>
      <c r="D8516" t="str">
        <f>HYPERLINK("https://zfin.org/ZDB-GENE-060526-31")</f>
        <v>https://zfin.org/ZDB-GENE-060526-31</v>
      </c>
      <c r="E8516" t="s">
        <v>25516</v>
      </c>
    </row>
    <row r="8517" spans="1:5" x14ac:dyDescent="0.2">
      <c r="A8517" t="s">
        <v>25517</v>
      </c>
      <c r="B8517" t="s">
        <v>25518</v>
      </c>
      <c r="C8517" t="s">
        <v>25518</v>
      </c>
      <c r="D8517" t="str">
        <f>HYPERLINK("https://zfin.org/ZDB-GENE-030219-132")</f>
        <v>https://zfin.org/ZDB-GENE-030219-132</v>
      </c>
      <c r="E8517" t="s">
        <v>25519</v>
      </c>
    </row>
    <row r="8518" spans="1:5" x14ac:dyDescent="0.2">
      <c r="A8518" t="s">
        <v>25520</v>
      </c>
      <c r="B8518" t="s">
        <v>25521</v>
      </c>
      <c r="C8518" t="s">
        <v>25521</v>
      </c>
      <c r="D8518" t="str">
        <f>HYPERLINK("https://zfin.org/ZDB-GENE-061110-22")</f>
        <v>https://zfin.org/ZDB-GENE-061110-22</v>
      </c>
      <c r="E8518" t="s">
        <v>25522</v>
      </c>
    </row>
    <row r="8519" spans="1:5" x14ac:dyDescent="0.2">
      <c r="A8519" t="s">
        <v>25523</v>
      </c>
      <c r="B8519" t="s">
        <v>25524</v>
      </c>
      <c r="C8519" t="s">
        <v>25524</v>
      </c>
      <c r="D8519" t="str">
        <f>HYPERLINK("https://zfin.org/ZDB-GENE-050208-580")</f>
        <v>https://zfin.org/ZDB-GENE-050208-580</v>
      </c>
      <c r="E8519" t="s">
        <v>25525</v>
      </c>
    </row>
    <row r="8520" spans="1:5" x14ac:dyDescent="0.2">
      <c r="A8520" t="s">
        <v>25526</v>
      </c>
      <c r="B8520" t="s">
        <v>25527</v>
      </c>
      <c r="C8520" t="s">
        <v>25527</v>
      </c>
      <c r="D8520" t="str">
        <f>HYPERLINK("https://zfin.org/ZDB-GENE-061020-1")</f>
        <v>https://zfin.org/ZDB-GENE-061020-1</v>
      </c>
      <c r="E8520" t="s">
        <v>25528</v>
      </c>
    </row>
    <row r="8521" spans="1:5" x14ac:dyDescent="0.2">
      <c r="A8521" t="s">
        <v>25529</v>
      </c>
      <c r="B8521" t="s">
        <v>25530</v>
      </c>
      <c r="C8521" t="s">
        <v>25530</v>
      </c>
      <c r="D8521" t="str">
        <f>HYPERLINK("https://zfin.org/ZDB-GENE-030131-5086")</f>
        <v>https://zfin.org/ZDB-GENE-030131-5086</v>
      </c>
      <c r="E8521" t="s">
        <v>25531</v>
      </c>
    </row>
    <row r="8522" spans="1:5" x14ac:dyDescent="0.2">
      <c r="A8522" t="s">
        <v>25532</v>
      </c>
      <c r="B8522" t="s">
        <v>25533</v>
      </c>
      <c r="C8522" t="s">
        <v>25533</v>
      </c>
      <c r="D8522" t="str">
        <f>HYPERLINK("https://zfin.org/ZDB-GENE-040426-1666")</f>
        <v>https://zfin.org/ZDB-GENE-040426-1666</v>
      </c>
      <c r="E8522" t="s">
        <v>25534</v>
      </c>
    </row>
    <row r="8523" spans="1:5" x14ac:dyDescent="0.2">
      <c r="A8523" t="s">
        <v>25535</v>
      </c>
      <c r="B8523" t="s">
        <v>25536</v>
      </c>
      <c r="C8523" t="s">
        <v>25537</v>
      </c>
      <c r="D8523" t="str">
        <f>HYPERLINK("https://zfin.org/ZDB-GENE-061207-67")</f>
        <v>https://zfin.org/ZDB-GENE-061207-67</v>
      </c>
      <c r="E8523" t="s">
        <v>25538</v>
      </c>
    </row>
    <row r="8524" spans="1:5" x14ac:dyDescent="0.2">
      <c r="A8524" t="s">
        <v>25539</v>
      </c>
      <c r="B8524" t="s">
        <v>25540</v>
      </c>
      <c r="C8524" t="s">
        <v>25540</v>
      </c>
      <c r="D8524" t="str">
        <f>HYPERLINK("https://zfin.org/ZDB-GENE-040426-706")</f>
        <v>https://zfin.org/ZDB-GENE-040426-706</v>
      </c>
      <c r="E8524" t="s">
        <v>25541</v>
      </c>
    </row>
    <row r="8525" spans="1:5" x14ac:dyDescent="0.2">
      <c r="A8525" t="s">
        <v>25542</v>
      </c>
      <c r="B8525" t="s">
        <v>25543</v>
      </c>
      <c r="C8525" t="s">
        <v>25543</v>
      </c>
      <c r="D8525" t="str">
        <f>HYPERLINK("https://zfin.org/ZDB-GENE-040426-2385")</f>
        <v>https://zfin.org/ZDB-GENE-040426-2385</v>
      </c>
      <c r="E8525" t="s">
        <v>25544</v>
      </c>
    </row>
    <row r="8526" spans="1:5" x14ac:dyDescent="0.2">
      <c r="A8526" t="s">
        <v>25545</v>
      </c>
      <c r="B8526" t="s">
        <v>25546</v>
      </c>
      <c r="C8526" t="s">
        <v>25546</v>
      </c>
      <c r="D8526" t="str">
        <f>HYPERLINK("https://zfin.org/ZDB-GENE-040930-1")</f>
        <v>https://zfin.org/ZDB-GENE-040930-1</v>
      </c>
      <c r="E8526" t="s">
        <v>25547</v>
      </c>
    </row>
    <row r="8527" spans="1:5" x14ac:dyDescent="0.2">
      <c r="A8527" t="s">
        <v>25548</v>
      </c>
      <c r="B8527" t="s">
        <v>25549</v>
      </c>
      <c r="C8527" t="s">
        <v>25549</v>
      </c>
      <c r="D8527" t="str">
        <f>HYPERLINK("https://zfin.org/ZDB-GENE-040426-976")</f>
        <v>https://zfin.org/ZDB-GENE-040426-976</v>
      </c>
      <c r="E8527" t="s">
        <v>25550</v>
      </c>
    </row>
    <row r="8528" spans="1:5" x14ac:dyDescent="0.2">
      <c r="A8528" t="s">
        <v>25551</v>
      </c>
      <c r="B8528" t="s">
        <v>25552</v>
      </c>
      <c r="C8528" t="s">
        <v>25552</v>
      </c>
      <c r="D8528" t="str">
        <f>HYPERLINK("https://zfin.org/ZDB-GENE-040426-2372")</f>
        <v>https://zfin.org/ZDB-GENE-040426-2372</v>
      </c>
      <c r="E8528" t="s">
        <v>25553</v>
      </c>
    </row>
    <row r="8529" spans="1:5" x14ac:dyDescent="0.2">
      <c r="A8529" t="s">
        <v>25554</v>
      </c>
      <c r="B8529" t="s">
        <v>25555</v>
      </c>
      <c r="C8529" t="s">
        <v>25555</v>
      </c>
      <c r="D8529" t="str">
        <f>HYPERLINK("https://zfin.org/ZDB-GENE-051030-24")</f>
        <v>https://zfin.org/ZDB-GENE-051030-24</v>
      </c>
      <c r="E8529" t="s">
        <v>25556</v>
      </c>
    </row>
    <row r="8530" spans="1:5" x14ac:dyDescent="0.2">
      <c r="A8530" t="s">
        <v>25557</v>
      </c>
      <c r="B8530" t="s">
        <v>25558</v>
      </c>
      <c r="C8530" t="s">
        <v>25558</v>
      </c>
      <c r="D8530" t="str">
        <f>HYPERLINK("https://zfin.org/ZDB-GENE-120703-9")</f>
        <v>https://zfin.org/ZDB-GENE-120703-9</v>
      </c>
      <c r="E8530" t="s">
        <v>25559</v>
      </c>
    </row>
    <row r="8531" spans="1:5" x14ac:dyDescent="0.2">
      <c r="A8531" t="s">
        <v>25560</v>
      </c>
      <c r="B8531" t="s">
        <v>25561</v>
      </c>
      <c r="C8531" t="s">
        <v>25561</v>
      </c>
      <c r="D8531" t="str">
        <f>HYPERLINK("https://zfin.org/ZDB-GENE-980526-527")</f>
        <v>https://zfin.org/ZDB-GENE-980526-527</v>
      </c>
      <c r="E8531" t="s">
        <v>25562</v>
      </c>
    </row>
    <row r="8532" spans="1:5" x14ac:dyDescent="0.2">
      <c r="A8532" t="s">
        <v>25563</v>
      </c>
      <c r="B8532" t="s">
        <v>25564</v>
      </c>
      <c r="C8532" t="s">
        <v>25564</v>
      </c>
      <c r="D8532" t="str">
        <f>HYPERLINK("https://zfin.org/ZDB-GENE-141216-226")</f>
        <v>https://zfin.org/ZDB-GENE-141216-226</v>
      </c>
      <c r="E8532" t="s">
        <v>25565</v>
      </c>
    </row>
    <row r="8533" spans="1:5" x14ac:dyDescent="0.2">
      <c r="A8533" t="s">
        <v>25566</v>
      </c>
      <c r="B8533" t="s">
        <v>25567</v>
      </c>
      <c r="C8533" t="s">
        <v>25567</v>
      </c>
      <c r="D8533" t="str">
        <f>HYPERLINK("https://zfin.org/ZDB-GENE-080204-8")</f>
        <v>https://zfin.org/ZDB-GENE-080204-8</v>
      </c>
      <c r="E8533" t="s">
        <v>25568</v>
      </c>
    </row>
    <row r="8534" spans="1:5" x14ac:dyDescent="0.2">
      <c r="A8534" t="s">
        <v>25569</v>
      </c>
      <c r="B8534" t="s">
        <v>25570</v>
      </c>
      <c r="C8534" t="s">
        <v>25570</v>
      </c>
      <c r="D8534" t="str">
        <f>HYPERLINK("https://zfin.org/ZDB-GENE-050913-46")</f>
        <v>https://zfin.org/ZDB-GENE-050913-46</v>
      </c>
      <c r="E8534" t="s">
        <v>25571</v>
      </c>
    </row>
    <row r="8535" spans="1:5" x14ac:dyDescent="0.2">
      <c r="A8535" t="s">
        <v>25572</v>
      </c>
      <c r="B8535" t="s">
        <v>25573</v>
      </c>
      <c r="C8535" t="s">
        <v>25573</v>
      </c>
      <c r="D8535" t="str">
        <f>HYPERLINK("https://zfin.org/ZDB-GENE-030131-9642")</f>
        <v>https://zfin.org/ZDB-GENE-030131-9642</v>
      </c>
      <c r="E8535" t="s">
        <v>25574</v>
      </c>
    </row>
    <row r="8536" spans="1:5" x14ac:dyDescent="0.2">
      <c r="A8536" t="s">
        <v>25575</v>
      </c>
      <c r="B8536" t="s">
        <v>25576</v>
      </c>
      <c r="C8536" t="s">
        <v>25576</v>
      </c>
      <c r="D8536" t="str">
        <f>HYPERLINK("https://zfin.org/ZDB-GENE-050419-110")</f>
        <v>https://zfin.org/ZDB-GENE-050419-110</v>
      </c>
      <c r="E8536" t="s">
        <v>25577</v>
      </c>
    </row>
    <row r="8537" spans="1:5" x14ac:dyDescent="0.2">
      <c r="A8537" t="s">
        <v>25578</v>
      </c>
      <c r="B8537" t="s">
        <v>25579</v>
      </c>
      <c r="C8537" t="s">
        <v>25579</v>
      </c>
      <c r="D8537" t="str">
        <f>HYPERLINK("https://zfin.org/ZDB-GENE-040426-1008")</f>
        <v>https://zfin.org/ZDB-GENE-040426-1008</v>
      </c>
      <c r="E8537" t="s">
        <v>25580</v>
      </c>
    </row>
    <row r="8538" spans="1:5" x14ac:dyDescent="0.2">
      <c r="A8538" t="s">
        <v>25581</v>
      </c>
      <c r="B8538" t="s">
        <v>25582</v>
      </c>
      <c r="C8538" t="s">
        <v>25582</v>
      </c>
      <c r="D8538" t="str">
        <f>HYPERLINK("https://zfin.org/ZDB-GENE-081002-4")</f>
        <v>https://zfin.org/ZDB-GENE-081002-4</v>
      </c>
      <c r="E8538" t="s">
        <v>25583</v>
      </c>
    </row>
    <row r="8539" spans="1:5" x14ac:dyDescent="0.2">
      <c r="A8539" t="s">
        <v>25584</v>
      </c>
      <c r="B8539" t="s">
        <v>25585</v>
      </c>
      <c r="C8539" t="s">
        <v>25585</v>
      </c>
      <c r="D8539" t="str">
        <f>HYPERLINK("https://zfin.org/ZDB-GENE-141212-368")</f>
        <v>https://zfin.org/ZDB-GENE-141212-368</v>
      </c>
      <c r="E8539" t="s">
        <v>25586</v>
      </c>
    </row>
    <row r="8540" spans="1:5" x14ac:dyDescent="0.2">
      <c r="A8540" t="s">
        <v>25587</v>
      </c>
      <c r="B8540" t="s">
        <v>25588</v>
      </c>
      <c r="C8540" t="s">
        <v>25588</v>
      </c>
      <c r="D8540" t="str">
        <f>HYPERLINK("https://zfin.org/ZDB-GENE-040115-5")</f>
        <v>https://zfin.org/ZDB-GENE-040115-5</v>
      </c>
      <c r="E8540" t="s">
        <v>25589</v>
      </c>
    </row>
    <row r="8541" spans="1:5" x14ac:dyDescent="0.2">
      <c r="A8541" t="s">
        <v>25590</v>
      </c>
      <c r="B8541" t="s">
        <v>25591</v>
      </c>
      <c r="C8541" t="s">
        <v>25591</v>
      </c>
      <c r="D8541" t="str">
        <f>HYPERLINK("https://zfin.org/ZDB-GENE-040426-2253")</f>
        <v>https://zfin.org/ZDB-GENE-040426-2253</v>
      </c>
      <c r="E8541" t="s">
        <v>25592</v>
      </c>
    </row>
    <row r="8542" spans="1:5" x14ac:dyDescent="0.2">
      <c r="A8542" t="s">
        <v>25593</v>
      </c>
      <c r="B8542" t="s">
        <v>25594</v>
      </c>
      <c r="C8542" t="s">
        <v>25594</v>
      </c>
      <c r="D8542" t="str">
        <f>HYPERLINK("https://zfin.org/ZDB-GENE-121214-39")</f>
        <v>https://zfin.org/ZDB-GENE-121214-39</v>
      </c>
      <c r="E8542" t="s">
        <v>25595</v>
      </c>
    </row>
    <row r="8543" spans="1:5" x14ac:dyDescent="0.2">
      <c r="A8543" t="s">
        <v>25596</v>
      </c>
      <c r="B8543" t="s">
        <v>25597</v>
      </c>
      <c r="C8543" t="s">
        <v>25597</v>
      </c>
      <c r="D8543" t="str">
        <f>HYPERLINK("https://zfin.org/ZDB-GENE-040426-2612")</f>
        <v>https://zfin.org/ZDB-GENE-040426-2612</v>
      </c>
      <c r="E8543" t="s">
        <v>25598</v>
      </c>
    </row>
    <row r="8544" spans="1:5" x14ac:dyDescent="0.2">
      <c r="A8544" t="s">
        <v>25599</v>
      </c>
      <c r="B8544" t="s">
        <v>25600</v>
      </c>
      <c r="C8544" t="s">
        <v>25600</v>
      </c>
      <c r="D8544" t="str">
        <f>HYPERLINK("https://zfin.org/ZDB-GENE-060224-1")</f>
        <v>https://zfin.org/ZDB-GENE-060224-1</v>
      </c>
      <c r="E8544" t="s">
        <v>25601</v>
      </c>
    </row>
    <row r="8545" spans="1:5" x14ac:dyDescent="0.2">
      <c r="A8545" t="s">
        <v>25602</v>
      </c>
      <c r="B8545" t="s">
        <v>25603</v>
      </c>
      <c r="C8545" t="s">
        <v>25603</v>
      </c>
      <c r="D8545" t="str">
        <f>HYPERLINK("https://zfin.org/ZDB-GENE-110601-1")</f>
        <v>https://zfin.org/ZDB-GENE-110601-1</v>
      </c>
      <c r="E8545" t="s">
        <v>25604</v>
      </c>
    </row>
    <row r="8546" spans="1:5" x14ac:dyDescent="0.2">
      <c r="A8546" t="s">
        <v>25605</v>
      </c>
      <c r="B8546" t="s">
        <v>25606</v>
      </c>
      <c r="C8546" t="s">
        <v>25606</v>
      </c>
      <c r="D8546" t="str">
        <f>HYPERLINK("https://zfin.org/ZDB-GENE-050417-309")</f>
        <v>https://zfin.org/ZDB-GENE-050417-309</v>
      </c>
      <c r="E8546" t="s">
        <v>25607</v>
      </c>
    </row>
    <row r="8547" spans="1:5" x14ac:dyDescent="0.2">
      <c r="A8547" t="s">
        <v>25608</v>
      </c>
      <c r="B8547" t="s">
        <v>25609</v>
      </c>
      <c r="C8547" t="s">
        <v>25609</v>
      </c>
      <c r="D8547" t="str">
        <f>HYPERLINK("https://zfin.org/ZDB-GENE-070424-36")</f>
        <v>https://zfin.org/ZDB-GENE-070424-36</v>
      </c>
      <c r="E8547" t="s">
        <v>25610</v>
      </c>
    </row>
    <row r="8548" spans="1:5" x14ac:dyDescent="0.2">
      <c r="A8548" t="s">
        <v>25611</v>
      </c>
      <c r="B8548" t="s">
        <v>25612</v>
      </c>
      <c r="C8548" t="s">
        <v>25612</v>
      </c>
      <c r="D8548" t="str">
        <f>HYPERLINK("https://zfin.org/ZDB-GENE-091204-33")</f>
        <v>https://zfin.org/ZDB-GENE-091204-33</v>
      </c>
      <c r="E8548" t="s">
        <v>25613</v>
      </c>
    </row>
    <row r="8549" spans="1:5" x14ac:dyDescent="0.2">
      <c r="A8549" t="s">
        <v>25614</v>
      </c>
      <c r="B8549" t="s">
        <v>25615</v>
      </c>
      <c r="C8549" t="s">
        <v>25615</v>
      </c>
      <c r="D8549" t="str">
        <f>HYPERLINK("https://zfin.org/ZDB-GENE-030131-1820")</f>
        <v>https://zfin.org/ZDB-GENE-030131-1820</v>
      </c>
      <c r="E8549" t="s">
        <v>25616</v>
      </c>
    </row>
    <row r="8550" spans="1:5" x14ac:dyDescent="0.2">
      <c r="A8550" t="s">
        <v>25617</v>
      </c>
      <c r="B8550" t="s">
        <v>25618</v>
      </c>
      <c r="C8550" t="s">
        <v>25618</v>
      </c>
      <c r="D8550" t="str">
        <f>HYPERLINK("https://zfin.org/ZDB-GENE-060417-1")</f>
        <v>https://zfin.org/ZDB-GENE-060417-1</v>
      </c>
      <c r="E8550" t="s">
        <v>25619</v>
      </c>
    </row>
    <row r="8551" spans="1:5" x14ac:dyDescent="0.2">
      <c r="A8551" t="s">
        <v>25620</v>
      </c>
      <c r="B8551" t="s">
        <v>25621</v>
      </c>
      <c r="C8551" t="s">
        <v>25621</v>
      </c>
      <c r="D8551" t="str">
        <f>HYPERLINK("https://zfin.org/ZDB-GENE-100921-13")</f>
        <v>https://zfin.org/ZDB-GENE-100921-13</v>
      </c>
      <c r="E8551" t="s">
        <v>25622</v>
      </c>
    </row>
    <row r="8552" spans="1:5" x14ac:dyDescent="0.2">
      <c r="A8552" t="s">
        <v>25623</v>
      </c>
      <c r="B8552" t="s">
        <v>25624</v>
      </c>
      <c r="C8552" t="s">
        <v>25624</v>
      </c>
      <c r="D8552" t="str">
        <f>HYPERLINK("https://zfin.org/ZDB-GENE-030131-1768")</f>
        <v>https://zfin.org/ZDB-GENE-030131-1768</v>
      </c>
      <c r="E8552" t="s">
        <v>25625</v>
      </c>
    </row>
    <row r="8553" spans="1:5" x14ac:dyDescent="0.2">
      <c r="A8553" t="s">
        <v>25626</v>
      </c>
      <c r="B8553" t="s">
        <v>25627</v>
      </c>
      <c r="C8553" t="s">
        <v>25627</v>
      </c>
      <c r="D8553" t="str">
        <f>HYPERLINK("https://zfin.org/ZDB-GENE-070928-7")</f>
        <v>https://zfin.org/ZDB-GENE-070928-7</v>
      </c>
      <c r="E8553" t="s">
        <v>25628</v>
      </c>
    </row>
    <row r="8554" spans="1:5" x14ac:dyDescent="0.2">
      <c r="A8554" t="s">
        <v>25629</v>
      </c>
      <c r="B8554" t="s">
        <v>25630</v>
      </c>
      <c r="C8554" t="s">
        <v>25630</v>
      </c>
      <c r="D8554" t="str">
        <f>HYPERLINK("https://zfin.org/ZDB-GENE-131121-487")</f>
        <v>https://zfin.org/ZDB-GENE-131121-487</v>
      </c>
      <c r="E8554" t="s">
        <v>25631</v>
      </c>
    </row>
    <row r="8555" spans="1:5" x14ac:dyDescent="0.2">
      <c r="A8555" t="s">
        <v>25632</v>
      </c>
      <c r="B8555" t="s">
        <v>25633</v>
      </c>
      <c r="C8555" t="s">
        <v>25633</v>
      </c>
      <c r="D8555" t="str">
        <f>HYPERLINK("https://zfin.org/ZDB-GENE-040426-1430")</f>
        <v>https://zfin.org/ZDB-GENE-040426-1430</v>
      </c>
      <c r="E8555" t="s">
        <v>25634</v>
      </c>
    </row>
    <row r="8556" spans="1:5" x14ac:dyDescent="0.2">
      <c r="A8556" t="s">
        <v>25635</v>
      </c>
      <c r="B8556" t="s">
        <v>25636</v>
      </c>
      <c r="C8556" t="s">
        <v>25636</v>
      </c>
      <c r="D8556" t="str">
        <f>HYPERLINK("https://zfin.org/ZDB-GENE-100412-1")</f>
        <v>https://zfin.org/ZDB-GENE-100412-1</v>
      </c>
      <c r="E8556" t="s">
        <v>25637</v>
      </c>
    </row>
    <row r="8557" spans="1:5" x14ac:dyDescent="0.2">
      <c r="A8557" t="s">
        <v>25638</v>
      </c>
      <c r="B8557" t="s">
        <v>25639</v>
      </c>
      <c r="C8557" t="s">
        <v>25639</v>
      </c>
      <c r="D8557" t="str">
        <f>HYPERLINK("https://zfin.org/ZDB-GENE-060222-1")</f>
        <v>https://zfin.org/ZDB-GENE-060222-1</v>
      </c>
      <c r="E8557" t="s">
        <v>25640</v>
      </c>
    </row>
    <row r="8558" spans="1:5" x14ac:dyDescent="0.2">
      <c r="A8558" t="s">
        <v>25641</v>
      </c>
      <c r="B8558" t="s">
        <v>25642</v>
      </c>
      <c r="C8558" t="s">
        <v>25642</v>
      </c>
      <c r="D8558" t="str">
        <f>HYPERLINK("https://zfin.org/ZDB-GENE-070615-6")</f>
        <v>https://zfin.org/ZDB-GENE-070615-6</v>
      </c>
      <c r="E8558" t="s">
        <v>25643</v>
      </c>
    </row>
    <row r="8559" spans="1:5" x14ac:dyDescent="0.2">
      <c r="A8559" t="s">
        <v>25644</v>
      </c>
      <c r="B8559" t="s">
        <v>25645</v>
      </c>
      <c r="C8559" t="s">
        <v>25645</v>
      </c>
      <c r="D8559" t="str">
        <f>HYPERLINK("https://zfin.org/ZDB-GENE-030131-6269")</f>
        <v>https://zfin.org/ZDB-GENE-030131-6269</v>
      </c>
      <c r="E8559" t="s">
        <v>25646</v>
      </c>
    </row>
    <row r="8560" spans="1:5" x14ac:dyDescent="0.2">
      <c r="A8560" t="s">
        <v>25647</v>
      </c>
      <c r="B8560" t="s">
        <v>25648</v>
      </c>
      <c r="C8560" t="s">
        <v>25648</v>
      </c>
      <c r="D8560" t="str">
        <f>HYPERLINK("https://zfin.org/ZDB-GENE-030131-6232")</f>
        <v>https://zfin.org/ZDB-GENE-030131-6232</v>
      </c>
      <c r="E8560" t="s">
        <v>25649</v>
      </c>
    </row>
    <row r="8561" spans="1:5" x14ac:dyDescent="0.2">
      <c r="A8561" t="s">
        <v>25650</v>
      </c>
      <c r="B8561" t="s">
        <v>25651</v>
      </c>
      <c r="C8561" t="s">
        <v>25651</v>
      </c>
      <c r="D8561" t="str">
        <f>HYPERLINK("https://zfin.org/ZDB-GENE-040426-1012")</f>
        <v>https://zfin.org/ZDB-GENE-040426-1012</v>
      </c>
      <c r="E8561" t="s">
        <v>25652</v>
      </c>
    </row>
    <row r="8562" spans="1:5" x14ac:dyDescent="0.2">
      <c r="A8562" t="s">
        <v>25653</v>
      </c>
      <c r="B8562" t="s">
        <v>25654</v>
      </c>
      <c r="C8562" t="s">
        <v>25654</v>
      </c>
      <c r="D8562" t="str">
        <f>HYPERLINK("https://zfin.org/ZDB-GENE-061013-1")</f>
        <v>https://zfin.org/ZDB-GENE-061013-1</v>
      </c>
      <c r="E8562" t="s">
        <v>25655</v>
      </c>
    </row>
    <row r="8563" spans="1:5" x14ac:dyDescent="0.2">
      <c r="A8563" t="s">
        <v>25656</v>
      </c>
      <c r="B8563" t="s">
        <v>25657</v>
      </c>
      <c r="C8563" t="s">
        <v>25657</v>
      </c>
      <c r="D8563" t="str">
        <f>HYPERLINK("https://zfin.org/ZDB-GENE-130412-1")</f>
        <v>https://zfin.org/ZDB-GENE-130412-1</v>
      </c>
      <c r="E8563" t="s">
        <v>25658</v>
      </c>
    </row>
    <row r="8564" spans="1:5" x14ac:dyDescent="0.2">
      <c r="A8564" t="s">
        <v>25659</v>
      </c>
      <c r="B8564" t="s">
        <v>25660</v>
      </c>
      <c r="C8564" t="s">
        <v>25660</v>
      </c>
      <c r="D8564" t="str">
        <f>HYPERLINK("https://zfin.org/ZDB-GENE-041014-234")</f>
        <v>https://zfin.org/ZDB-GENE-041014-234</v>
      </c>
      <c r="E8564" t="s">
        <v>25661</v>
      </c>
    </row>
    <row r="8565" spans="1:5" x14ac:dyDescent="0.2">
      <c r="A8565" t="s">
        <v>25662</v>
      </c>
      <c r="B8565" t="s">
        <v>25663</v>
      </c>
      <c r="C8565" t="s">
        <v>25663</v>
      </c>
      <c r="D8565" t="str">
        <f>HYPERLINK("https://zfin.org/ZDB-GENE-080204-79")</f>
        <v>https://zfin.org/ZDB-GENE-080204-79</v>
      </c>
      <c r="E8565" t="s">
        <v>25664</v>
      </c>
    </row>
    <row r="8566" spans="1:5" x14ac:dyDescent="0.2">
      <c r="A8566" t="s">
        <v>25665</v>
      </c>
      <c r="B8566" t="s">
        <v>25666</v>
      </c>
      <c r="C8566" t="s">
        <v>25666</v>
      </c>
      <c r="D8566" t="str">
        <f>HYPERLINK("https://zfin.org/ZDB-GENE-040426-2441")</f>
        <v>https://zfin.org/ZDB-GENE-040426-2441</v>
      </c>
      <c r="E8566" t="s">
        <v>25667</v>
      </c>
    </row>
    <row r="8567" spans="1:5" x14ac:dyDescent="0.2">
      <c r="A8567" t="s">
        <v>25668</v>
      </c>
      <c r="B8567" t="s">
        <v>25669</v>
      </c>
      <c r="C8567" t="s">
        <v>25669</v>
      </c>
      <c r="D8567" t="str">
        <f>HYPERLINK("https://zfin.org/ZDB-GENE-121214-115")</f>
        <v>https://zfin.org/ZDB-GENE-121214-115</v>
      </c>
      <c r="E8567" t="s">
        <v>25670</v>
      </c>
    </row>
    <row r="8568" spans="1:5" x14ac:dyDescent="0.2">
      <c r="A8568" t="s">
        <v>25671</v>
      </c>
      <c r="B8568" t="s">
        <v>25672</v>
      </c>
      <c r="C8568" t="s">
        <v>25672</v>
      </c>
      <c r="D8568" t="str">
        <f>HYPERLINK("https://zfin.org/ZDB-GENE-091113-23")</f>
        <v>https://zfin.org/ZDB-GENE-091113-23</v>
      </c>
      <c r="E8568" t="s">
        <v>25673</v>
      </c>
    </row>
    <row r="8569" spans="1:5" x14ac:dyDescent="0.2">
      <c r="A8569" t="s">
        <v>25674</v>
      </c>
      <c r="B8569" t="s">
        <v>25675</v>
      </c>
      <c r="C8569" t="s">
        <v>25675</v>
      </c>
      <c r="D8569" t="str">
        <f>HYPERLINK("https://zfin.org/ZDB-GENE-040718-403")</f>
        <v>https://zfin.org/ZDB-GENE-040718-403</v>
      </c>
      <c r="E8569" t="s">
        <v>25676</v>
      </c>
    </row>
    <row r="8570" spans="1:5" x14ac:dyDescent="0.2">
      <c r="A8570" t="s">
        <v>25677</v>
      </c>
      <c r="B8570" t="s">
        <v>25678</v>
      </c>
      <c r="C8570" t="s">
        <v>25678</v>
      </c>
      <c r="D8570" t="str">
        <f>HYPERLINK("https://zfin.org/ZDB-GENE-030114-7")</f>
        <v>https://zfin.org/ZDB-GENE-030114-7</v>
      </c>
      <c r="E8570" t="s">
        <v>25679</v>
      </c>
    </row>
    <row r="8571" spans="1:5" x14ac:dyDescent="0.2">
      <c r="A8571" t="s">
        <v>25680</v>
      </c>
      <c r="B8571" t="s">
        <v>25681</v>
      </c>
      <c r="C8571" t="s">
        <v>25681</v>
      </c>
      <c r="D8571" t="str">
        <f>HYPERLINK("https://zfin.org/ZDB-GENE-030909-14")</f>
        <v>https://zfin.org/ZDB-GENE-030909-14</v>
      </c>
      <c r="E8571" t="s">
        <v>25682</v>
      </c>
    </row>
    <row r="8572" spans="1:5" x14ac:dyDescent="0.2">
      <c r="A8572" t="s">
        <v>25683</v>
      </c>
      <c r="B8572" t="s">
        <v>25684</v>
      </c>
      <c r="C8572" t="s">
        <v>25684</v>
      </c>
      <c r="D8572" t="str">
        <f>HYPERLINK("https://zfin.org/ZDB-GENE-120214-31")</f>
        <v>https://zfin.org/ZDB-GENE-120214-31</v>
      </c>
      <c r="E8572" t="s">
        <v>25685</v>
      </c>
    </row>
    <row r="8573" spans="1:5" x14ac:dyDescent="0.2">
      <c r="A8573" t="s">
        <v>25686</v>
      </c>
      <c r="B8573" t="s">
        <v>25687</v>
      </c>
      <c r="C8573" t="s">
        <v>25687</v>
      </c>
      <c r="D8573" t="str">
        <f>HYPERLINK("https://zfin.org/ZDB-GENE-070410-54")</f>
        <v>https://zfin.org/ZDB-GENE-070410-54</v>
      </c>
      <c r="E8573" t="s">
        <v>25688</v>
      </c>
    </row>
    <row r="8574" spans="1:5" x14ac:dyDescent="0.2">
      <c r="A8574" t="s">
        <v>25689</v>
      </c>
      <c r="B8574" t="s">
        <v>25690</v>
      </c>
      <c r="C8574" t="s">
        <v>25690</v>
      </c>
      <c r="D8574" t="str">
        <f>HYPERLINK("https://zfin.org/ZDB-GENE-031113-9")</f>
        <v>https://zfin.org/ZDB-GENE-031113-9</v>
      </c>
      <c r="E8574" t="s">
        <v>25691</v>
      </c>
    </row>
    <row r="8575" spans="1:5" x14ac:dyDescent="0.2">
      <c r="A8575" t="s">
        <v>25692</v>
      </c>
      <c r="B8575" t="s">
        <v>25693</v>
      </c>
      <c r="C8575" t="s">
        <v>25693</v>
      </c>
      <c r="D8575" t="str">
        <f>HYPERLINK("https://zfin.org/ZDB-GENE-070912-70")</f>
        <v>https://zfin.org/ZDB-GENE-070912-70</v>
      </c>
      <c r="E8575" t="s">
        <v>25694</v>
      </c>
    </row>
    <row r="8576" spans="1:5" x14ac:dyDescent="0.2">
      <c r="A8576" t="s">
        <v>25695</v>
      </c>
      <c r="B8576" t="s">
        <v>25696</v>
      </c>
      <c r="C8576" t="s">
        <v>25696</v>
      </c>
      <c r="D8576" t="str">
        <f>HYPERLINK("https://zfin.org/ZDB-GENE-040930-5")</f>
        <v>https://zfin.org/ZDB-GENE-040930-5</v>
      </c>
      <c r="E8576" t="s">
        <v>25697</v>
      </c>
    </row>
    <row r="8577" spans="1:5" x14ac:dyDescent="0.2">
      <c r="A8577" t="s">
        <v>25698</v>
      </c>
      <c r="B8577" t="s">
        <v>25699</v>
      </c>
      <c r="C8577" t="s">
        <v>25699</v>
      </c>
      <c r="D8577" t="str">
        <f>HYPERLINK("https://zfin.org/ZDB-GENE-070912-542")</f>
        <v>https://zfin.org/ZDB-GENE-070912-542</v>
      </c>
      <c r="E8577" t="s">
        <v>25700</v>
      </c>
    </row>
    <row r="8578" spans="1:5" x14ac:dyDescent="0.2">
      <c r="A8578" t="s">
        <v>25701</v>
      </c>
      <c r="B8578" t="s">
        <v>25702</v>
      </c>
      <c r="C8578" t="s">
        <v>25702</v>
      </c>
      <c r="D8578" t="str">
        <f>HYPERLINK("https://zfin.org/ZDB-GENE-041008-5")</f>
        <v>https://zfin.org/ZDB-GENE-041008-5</v>
      </c>
      <c r="E8578" t="s">
        <v>25703</v>
      </c>
    </row>
    <row r="8579" spans="1:5" x14ac:dyDescent="0.2">
      <c r="A8579" t="s">
        <v>25704</v>
      </c>
      <c r="B8579" t="s">
        <v>25705</v>
      </c>
      <c r="C8579" t="s">
        <v>25705</v>
      </c>
      <c r="D8579" t="str">
        <f>HYPERLINK("https://zfin.org/ZDB-GENE-040426-2928")</f>
        <v>https://zfin.org/ZDB-GENE-040426-2928</v>
      </c>
      <c r="E8579" t="s">
        <v>25706</v>
      </c>
    </row>
    <row r="8580" spans="1:5" x14ac:dyDescent="0.2">
      <c r="A8580" t="s">
        <v>25707</v>
      </c>
      <c r="B8580" t="s">
        <v>25708</v>
      </c>
      <c r="C8580" t="s">
        <v>25708</v>
      </c>
      <c r="D8580" t="str">
        <f>HYPERLINK("https://zfin.org/ZDB-GENE-081104-280")</f>
        <v>https://zfin.org/ZDB-GENE-081104-280</v>
      </c>
      <c r="E8580" t="s">
        <v>25709</v>
      </c>
    </row>
    <row r="8581" spans="1:5" x14ac:dyDescent="0.2">
      <c r="A8581" t="s">
        <v>25710</v>
      </c>
      <c r="B8581" t="s">
        <v>25711</v>
      </c>
      <c r="C8581" t="s">
        <v>25711</v>
      </c>
      <c r="D8581" t="str">
        <f>HYPERLINK("https://zfin.org/ZDB-GENE-040622-5")</f>
        <v>https://zfin.org/ZDB-GENE-040622-5</v>
      </c>
      <c r="E8581" t="s">
        <v>25712</v>
      </c>
    </row>
    <row r="8582" spans="1:5" x14ac:dyDescent="0.2">
      <c r="A8582" t="s">
        <v>25713</v>
      </c>
      <c r="B8582" t="s">
        <v>25714</v>
      </c>
      <c r="C8582" t="s">
        <v>25714</v>
      </c>
      <c r="D8582" t="str">
        <f>HYPERLINK("https://zfin.org/")</f>
        <v>https://zfin.org/</v>
      </c>
    </row>
    <row r="8583" spans="1:5" x14ac:dyDescent="0.2">
      <c r="A8583" t="s">
        <v>25715</v>
      </c>
      <c r="B8583" t="s">
        <v>25716</v>
      </c>
      <c r="C8583" t="s">
        <v>25716</v>
      </c>
      <c r="D8583" t="str">
        <f>HYPERLINK("https://zfin.org/ZDB-GENE-070912-46")</f>
        <v>https://zfin.org/ZDB-GENE-070912-46</v>
      </c>
      <c r="E8583" t="s">
        <v>25717</v>
      </c>
    </row>
    <row r="8584" spans="1:5" x14ac:dyDescent="0.2">
      <c r="A8584" t="s">
        <v>25718</v>
      </c>
      <c r="B8584" t="s">
        <v>25719</v>
      </c>
      <c r="C8584" t="s">
        <v>25719</v>
      </c>
      <c r="D8584" t="str">
        <f>HYPERLINK("https://zfin.org/ZDB-GENE-060503-114")</f>
        <v>https://zfin.org/ZDB-GENE-060503-114</v>
      </c>
      <c r="E8584" t="s">
        <v>25720</v>
      </c>
    </row>
    <row r="8585" spans="1:5" x14ac:dyDescent="0.2">
      <c r="A8585" t="s">
        <v>25721</v>
      </c>
      <c r="B8585" t="s">
        <v>25714</v>
      </c>
      <c r="C8585" t="s">
        <v>25722</v>
      </c>
      <c r="D8585" t="str">
        <f>HYPERLINK("https://zfin.org/ZDB-GENE-040426-2476")</f>
        <v>https://zfin.org/ZDB-GENE-040426-2476</v>
      </c>
      <c r="E8585" t="s">
        <v>25723</v>
      </c>
    </row>
    <row r="8586" spans="1:5" x14ac:dyDescent="0.2">
      <c r="A8586" t="s">
        <v>25724</v>
      </c>
      <c r="B8586" t="s">
        <v>25725</v>
      </c>
      <c r="C8586" t="s">
        <v>25725</v>
      </c>
      <c r="D8586" t="str">
        <f>HYPERLINK("https://zfin.org/ZDB-GENE-031204-4")</f>
        <v>https://zfin.org/ZDB-GENE-031204-4</v>
      </c>
      <c r="E8586" t="s">
        <v>25726</v>
      </c>
    </row>
    <row r="8587" spans="1:5" x14ac:dyDescent="0.2">
      <c r="A8587" t="s">
        <v>25727</v>
      </c>
      <c r="B8587" t="s">
        <v>25728</v>
      </c>
      <c r="C8587" t="s">
        <v>25728</v>
      </c>
      <c r="D8587" t="str">
        <f>HYPERLINK("https://zfin.org/ZDB-GENE-091112-8")</f>
        <v>https://zfin.org/ZDB-GENE-091112-8</v>
      </c>
      <c r="E8587" t="s">
        <v>25729</v>
      </c>
    </row>
    <row r="8588" spans="1:5" x14ac:dyDescent="0.2">
      <c r="A8588" t="s">
        <v>25730</v>
      </c>
      <c r="B8588" t="s">
        <v>25731</v>
      </c>
      <c r="C8588" t="s">
        <v>25731</v>
      </c>
      <c r="D8588" t="str">
        <f>HYPERLINK("https://zfin.org/ZDB-GENE-090804-1")</f>
        <v>https://zfin.org/ZDB-GENE-090804-1</v>
      </c>
      <c r="E8588" t="s">
        <v>25732</v>
      </c>
    </row>
    <row r="8589" spans="1:5" x14ac:dyDescent="0.2">
      <c r="A8589" t="s">
        <v>25733</v>
      </c>
      <c r="B8589" t="s">
        <v>25734</v>
      </c>
      <c r="C8589" t="s">
        <v>25734</v>
      </c>
      <c r="D8589" t="str">
        <f>HYPERLINK("https://zfin.org/ZDB-GENE-060512-98")</f>
        <v>https://zfin.org/ZDB-GENE-060512-98</v>
      </c>
      <c r="E8589" t="s">
        <v>25735</v>
      </c>
    </row>
    <row r="8590" spans="1:5" x14ac:dyDescent="0.2">
      <c r="A8590" t="s">
        <v>25736</v>
      </c>
      <c r="B8590" t="s">
        <v>25737</v>
      </c>
      <c r="C8590" t="s">
        <v>25737</v>
      </c>
      <c r="D8590" t="str">
        <f>HYPERLINK("https://zfin.org/ZDB-GENE-050410-16")</f>
        <v>https://zfin.org/ZDB-GENE-050410-16</v>
      </c>
      <c r="E8590" t="s">
        <v>25738</v>
      </c>
    </row>
    <row r="8591" spans="1:5" x14ac:dyDescent="0.2">
      <c r="A8591" t="s">
        <v>25739</v>
      </c>
      <c r="B8591" t="s">
        <v>25740</v>
      </c>
      <c r="C8591" t="s">
        <v>25740</v>
      </c>
      <c r="D8591" t="str">
        <f>HYPERLINK("https://zfin.org/ZDB-GENE-121214-115")</f>
        <v>https://zfin.org/ZDB-GENE-121214-115</v>
      </c>
      <c r="E8591" t="s">
        <v>25670</v>
      </c>
    </row>
    <row r="8592" spans="1:5" x14ac:dyDescent="0.2">
      <c r="A8592" t="s">
        <v>25741</v>
      </c>
      <c r="B8592" t="s">
        <v>25742</v>
      </c>
      <c r="C8592" t="s">
        <v>25742</v>
      </c>
      <c r="D8592" t="str">
        <f>HYPERLINK("https://zfin.org/ZDB-GENE-040426-2913")</f>
        <v>https://zfin.org/ZDB-GENE-040426-2913</v>
      </c>
      <c r="E8592" t="s">
        <v>25743</v>
      </c>
    </row>
    <row r="8593" spans="1:5" x14ac:dyDescent="0.2">
      <c r="A8593" t="s">
        <v>25744</v>
      </c>
      <c r="B8593" t="s">
        <v>25745</v>
      </c>
      <c r="C8593" t="s">
        <v>25745</v>
      </c>
      <c r="D8593" t="str">
        <f>HYPERLINK("https://zfin.org/ZDB-GENE-060503-80")</f>
        <v>https://zfin.org/ZDB-GENE-060503-80</v>
      </c>
      <c r="E8593" t="s">
        <v>25746</v>
      </c>
    </row>
    <row r="8594" spans="1:5" x14ac:dyDescent="0.2">
      <c r="A8594" t="s">
        <v>25747</v>
      </c>
      <c r="B8594" t="s">
        <v>25748</v>
      </c>
      <c r="C8594" t="s">
        <v>25748</v>
      </c>
      <c r="D8594" t="str">
        <f>HYPERLINK("https://zfin.org/ZDB-GENE-030131-5487")</f>
        <v>https://zfin.org/ZDB-GENE-030131-5487</v>
      </c>
      <c r="E8594" t="s">
        <v>25749</v>
      </c>
    </row>
    <row r="8595" spans="1:5" x14ac:dyDescent="0.2">
      <c r="A8595" t="s">
        <v>25750</v>
      </c>
      <c r="B8595" t="s">
        <v>25751</v>
      </c>
      <c r="C8595" t="s">
        <v>25751</v>
      </c>
      <c r="D8595" t="str">
        <f>HYPERLINK("https://zfin.org/ZDB-GENE-040426-768")</f>
        <v>https://zfin.org/ZDB-GENE-040426-768</v>
      </c>
      <c r="E8595" t="s">
        <v>25752</v>
      </c>
    </row>
    <row r="8596" spans="1:5" x14ac:dyDescent="0.2">
      <c r="A8596" t="s">
        <v>25753</v>
      </c>
      <c r="B8596" t="s">
        <v>25754</v>
      </c>
      <c r="C8596" t="s">
        <v>25754</v>
      </c>
      <c r="D8596" t="str">
        <f>HYPERLINK("https://zfin.org/ZDB-GENE-021231-1")</f>
        <v>https://zfin.org/ZDB-GENE-021231-1</v>
      </c>
      <c r="E8596" t="s">
        <v>25755</v>
      </c>
    </row>
    <row r="8597" spans="1:5" x14ac:dyDescent="0.2">
      <c r="A8597" t="s">
        <v>25756</v>
      </c>
      <c r="B8597" t="s">
        <v>25757</v>
      </c>
      <c r="C8597" t="s">
        <v>25757</v>
      </c>
      <c r="D8597" t="str">
        <f>HYPERLINK("https://zfin.org/ZDB-GENE-091204-303")</f>
        <v>https://zfin.org/ZDB-GENE-091204-303</v>
      </c>
      <c r="E8597" t="s">
        <v>25758</v>
      </c>
    </row>
    <row r="8598" spans="1:5" x14ac:dyDescent="0.2">
      <c r="A8598" t="s">
        <v>25759</v>
      </c>
      <c r="B8598" t="s">
        <v>25760</v>
      </c>
      <c r="C8598" t="s">
        <v>25760</v>
      </c>
      <c r="D8598" t="str">
        <f>HYPERLINK("https://zfin.org/ZDB-GENE-040801-138")</f>
        <v>https://zfin.org/ZDB-GENE-040801-138</v>
      </c>
      <c r="E8598" t="s">
        <v>25761</v>
      </c>
    </row>
    <row r="8599" spans="1:5" x14ac:dyDescent="0.2">
      <c r="A8599" t="s">
        <v>25762</v>
      </c>
      <c r="B8599" t="s">
        <v>25763</v>
      </c>
      <c r="C8599" t="s">
        <v>25763</v>
      </c>
      <c r="D8599" t="str">
        <f>HYPERLINK("https://zfin.org/ZDB-GENE-030616-152")</f>
        <v>https://zfin.org/ZDB-GENE-030616-152</v>
      </c>
      <c r="E8599" t="s">
        <v>25764</v>
      </c>
    </row>
    <row r="8600" spans="1:5" x14ac:dyDescent="0.2">
      <c r="A8600" t="s">
        <v>25765</v>
      </c>
      <c r="B8600" t="s">
        <v>25766</v>
      </c>
      <c r="C8600" t="s">
        <v>25766</v>
      </c>
      <c r="D8600" t="str">
        <f>HYPERLINK("https://zfin.org/ZDB-GENE-030131-6210")</f>
        <v>https://zfin.org/ZDB-GENE-030131-6210</v>
      </c>
      <c r="E8600" t="s">
        <v>25767</v>
      </c>
    </row>
    <row r="8601" spans="1:5" x14ac:dyDescent="0.2">
      <c r="A8601" t="s">
        <v>25768</v>
      </c>
      <c r="B8601" t="s">
        <v>25769</v>
      </c>
      <c r="C8601" t="s">
        <v>25769</v>
      </c>
      <c r="D8601" t="str">
        <f>HYPERLINK("https://zfin.org/ZDB-GENE-060312-7")</f>
        <v>https://zfin.org/ZDB-GENE-060312-7</v>
      </c>
      <c r="E8601" t="s">
        <v>25770</v>
      </c>
    </row>
    <row r="8602" spans="1:5" x14ac:dyDescent="0.2">
      <c r="A8602" t="s">
        <v>25771</v>
      </c>
      <c r="B8602" t="s">
        <v>25772</v>
      </c>
      <c r="C8602" t="s">
        <v>25772</v>
      </c>
      <c r="D8602" t="str">
        <f>HYPERLINK("https://zfin.org/ZDB-GENE-110614-1")</f>
        <v>https://zfin.org/ZDB-GENE-110614-1</v>
      </c>
      <c r="E8602" t="s">
        <v>25773</v>
      </c>
    </row>
    <row r="8603" spans="1:5" x14ac:dyDescent="0.2">
      <c r="A8603" t="s">
        <v>25774</v>
      </c>
      <c r="B8603" t="s">
        <v>25775</v>
      </c>
      <c r="C8603" t="s">
        <v>25775</v>
      </c>
      <c r="D8603" t="str">
        <f>HYPERLINK("https://zfin.org/ZDB-GENE-141215-38")</f>
        <v>https://zfin.org/ZDB-GENE-141215-38</v>
      </c>
      <c r="E8603" t="s">
        <v>25776</v>
      </c>
    </row>
    <row r="8604" spans="1:5" x14ac:dyDescent="0.2">
      <c r="A8604" t="s">
        <v>25777</v>
      </c>
      <c r="B8604" t="s">
        <v>25778</v>
      </c>
      <c r="C8604" t="s">
        <v>25778</v>
      </c>
      <c r="D8604" t="str">
        <f>HYPERLINK("https://zfin.org/ZDB-GENE-070705-471")</f>
        <v>https://zfin.org/ZDB-GENE-070705-471</v>
      </c>
      <c r="E8604" t="s">
        <v>25779</v>
      </c>
    </row>
    <row r="8605" spans="1:5" x14ac:dyDescent="0.2">
      <c r="A8605" t="s">
        <v>25780</v>
      </c>
      <c r="B8605" t="s">
        <v>25781</v>
      </c>
      <c r="C8605" t="s">
        <v>25781</v>
      </c>
      <c r="D8605" t="str">
        <f>HYPERLINK("https://zfin.org/ZDB-GENE-030131-6154")</f>
        <v>https://zfin.org/ZDB-GENE-030131-6154</v>
      </c>
      <c r="E8605" t="s">
        <v>25782</v>
      </c>
    </row>
    <row r="8606" spans="1:5" x14ac:dyDescent="0.2">
      <c r="A8606" t="s">
        <v>25783</v>
      </c>
      <c r="B8606" t="s">
        <v>25784</v>
      </c>
      <c r="C8606" t="s">
        <v>25784</v>
      </c>
      <c r="D8606" t="str">
        <f>HYPERLINK("https://zfin.org/ZDB-GENE-040718-183")</f>
        <v>https://zfin.org/ZDB-GENE-040718-183</v>
      </c>
      <c r="E8606" t="s">
        <v>25785</v>
      </c>
    </row>
    <row r="8607" spans="1:5" x14ac:dyDescent="0.2">
      <c r="A8607" t="s">
        <v>25786</v>
      </c>
      <c r="B8607" t="s">
        <v>25787</v>
      </c>
      <c r="C8607" t="s">
        <v>25787</v>
      </c>
      <c r="D8607" t="str">
        <f>HYPERLINK("https://zfin.org/ZDB-GENE-030131-1980")</f>
        <v>https://zfin.org/ZDB-GENE-030131-1980</v>
      </c>
      <c r="E8607" t="s">
        <v>25788</v>
      </c>
    </row>
    <row r="8608" spans="1:5" x14ac:dyDescent="0.2">
      <c r="A8608" t="s">
        <v>25789</v>
      </c>
      <c r="B8608" t="s">
        <v>25790</v>
      </c>
      <c r="C8608" t="s">
        <v>25790</v>
      </c>
      <c r="D8608" t="str">
        <f>HYPERLINK("https://zfin.org/ZDB-GENE-040426-1558")</f>
        <v>https://zfin.org/ZDB-GENE-040426-1558</v>
      </c>
      <c r="E8608" t="s">
        <v>25791</v>
      </c>
    </row>
    <row r="8609" spans="1:5" x14ac:dyDescent="0.2">
      <c r="A8609" t="s">
        <v>25792</v>
      </c>
      <c r="B8609" t="s">
        <v>25793</v>
      </c>
      <c r="C8609" t="s">
        <v>25793</v>
      </c>
      <c r="D8609" t="str">
        <f>HYPERLINK("https://zfin.org/ZDB-GENE-030131-3759")</f>
        <v>https://zfin.org/ZDB-GENE-030131-3759</v>
      </c>
      <c r="E8609" t="s">
        <v>25794</v>
      </c>
    </row>
    <row r="8610" spans="1:5" x14ac:dyDescent="0.2">
      <c r="A8610" t="s">
        <v>25795</v>
      </c>
      <c r="B8610" t="s">
        <v>25796</v>
      </c>
      <c r="C8610" t="s">
        <v>25796</v>
      </c>
      <c r="D8610" t="str">
        <f>HYPERLINK("https://zfin.org/ZDB-GENE-040720-1")</f>
        <v>https://zfin.org/ZDB-GENE-040720-1</v>
      </c>
      <c r="E8610" t="s">
        <v>25797</v>
      </c>
    </row>
    <row r="8611" spans="1:5" x14ac:dyDescent="0.2">
      <c r="A8611" t="s">
        <v>25798</v>
      </c>
      <c r="B8611" t="s">
        <v>25799</v>
      </c>
      <c r="C8611" t="s">
        <v>25799</v>
      </c>
      <c r="D8611" t="str">
        <f>HYPERLINK("https://zfin.org/ZDB-GENE-030131-1989")</f>
        <v>https://zfin.org/ZDB-GENE-030131-1989</v>
      </c>
      <c r="E8611" t="s">
        <v>25800</v>
      </c>
    </row>
    <row r="8612" spans="1:5" x14ac:dyDescent="0.2">
      <c r="A8612" t="s">
        <v>25801</v>
      </c>
      <c r="B8612" t="s">
        <v>25802</v>
      </c>
      <c r="C8612" t="s">
        <v>25802</v>
      </c>
      <c r="D8612" t="str">
        <f>HYPERLINK("https://zfin.org/ZDB-GENE-040426-929")</f>
        <v>https://zfin.org/ZDB-GENE-040426-929</v>
      </c>
      <c r="E8612" t="s">
        <v>25803</v>
      </c>
    </row>
    <row r="8613" spans="1:5" x14ac:dyDescent="0.2">
      <c r="A8613" t="s">
        <v>25804</v>
      </c>
      <c r="B8613" t="s">
        <v>25805</v>
      </c>
      <c r="C8613" t="s">
        <v>25805</v>
      </c>
      <c r="D8613" t="str">
        <f>HYPERLINK("https://zfin.org/ZDB-GENE-081104-239")</f>
        <v>https://zfin.org/ZDB-GENE-081104-239</v>
      </c>
      <c r="E8613" t="s">
        <v>25806</v>
      </c>
    </row>
    <row r="8614" spans="1:5" x14ac:dyDescent="0.2">
      <c r="A8614" t="s">
        <v>25807</v>
      </c>
      <c r="B8614" t="s">
        <v>25808</v>
      </c>
      <c r="C8614" t="s">
        <v>25808</v>
      </c>
      <c r="D8614" t="str">
        <f>HYPERLINK("https://zfin.org/ZDB-GENE-040426-2134")</f>
        <v>https://zfin.org/ZDB-GENE-040426-2134</v>
      </c>
      <c r="E8614" t="s">
        <v>25809</v>
      </c>
    </row>
    <row r="8615" spans="1:5" x14ac:dyDescent="0.2">
      <c r="A8615" t="s">
        <v>25810</v>
      </c>
      <c r="B8615" t="s">
        <v>25811</v>
      </c>
      <c r="C8615" t="s">
        <v>25811</v>
      </c>
      <c r="D8615" t="str">
        <f>HYPERLINK("https://zfin.org/ZDB-GENE-050417-184")</f>
        <v>https://zfin.org/ZDB-GENE-050417-184</v>
      </c>
      <c r="E8615" t="s">
        <v>25812</v>
      </c>
    </row>
    <row r="8616" spans="1:5" x14ac:dyDescent="0.2">
      <c r="A8616" t="s">
        <v>25813</v>
      </c>
      <c r="B8616" t="s">
        <v>25814</v>
      </c>
      <c r="C8616" t="s">
        <v>25814</v>
      </c>
      <c r="D8616" t="str">
        <f>HYPERLINK("https://zfin.org/ZDB-GENE-040426-2941")</f>
        <v>https://zfin.org/ZDB-GENE-040426-2941</v>
      </c>
      <c r="E8616" t="s">
        <v>25815</v>
      </c>
    </row>
    <row r="8617" spans="1:5" x14ac:dyDescent="0.2">
      <c r="A8617" t="s">
        <v>25816</v>
      </c>
      <c r="B8617" t="s">
        <v>25817</v>
      </c>
      <c r="C8617" t="s">
        <v>25817</v>
      </c>
      <c r="D8617" t="str">
        <f>HYPERLINK("https://zfin.org/ZDB-GENE-060503-932")</f>
        <v>https://zfin.org/ZDB-GENE-060503-932</v>
      </c>
      <c r="E8617" t="s">
        <v>25818</v>
      </c>
    </row>
    <row r="8618" spans="1:5" x14ac:dyDescent="0.2">
      <c r="A8618" t="s">
        <v>25819</v>
      </c>
      <c r="B8618" t="s">
        <v>25820</v>
      </c>
      <c r="C8618" t="s">
        <v>25820</v>
      </c>
      <c r="D8618" t="str">
        <f>HYPERLINK("https://zfin.org/ZDB-GENE-060526-102")</f>
        <v>https://zfin.org/ZDB-GENE-060526-102</v>
      </c>
      <c r="E8618" t="s">
        <v>25821</v>
      </c>
    </row>
    <row r="8619" spans="1:5" x14ac:dyDescent="0.2">
      <c r="A8619" t="s">
        <v>25822</v>
      </c>
      <c r="B8619" t="s">
        <v>25823</v>
      </c>
      <c r="C8619" t="s">
        <v>25823</v>
      </c>
      <c r="D8619" t="str">
        <f>HYPERLINK("https://zfin.org/ZDB-GENE-060906-3")</f>
        <v>https://zfin.org/ZDB-GENE-060906-3</v>
      </c>
      <c r="E8619" t="s">
        <v>25824</v>
      </c>
    </row>
    <row r="8620" spans="1:5" x14ac:dyDescent="0.2">
      <c r="A8620" t="s">
        <v>25825</v>
      </c>
      <c r="B8620" t="s">
        <v>25826</v>
      </c>
      <c r="C8620" t="s">
        <v>25826</v>
      </c>
      <c r="D8620" t="str">
        <f>HYPERLINK("https://zfin.org/ZDB-GENE-080218-17")</f>
        <v>https://zfin.org/ZDB-GENE-080218-17</v>
      </c>
      <c r="E8620" t="s">
        <v>25827</v>
      </c>
    </row>
    <row r="8621" spans="1:5" x14ac:dyDescent="0.2">
      <c r="A8621" t="s">
        <v>25828</v>
      </c>
      <c r="B8621" t="s">
        <v>25829</v>
      </c>
      <c r="C8621" t="s">
        <v>25829</v>
      </c>
      <c r="D8621" t="str">
        <f>HYPERLINK("https://zfin.org/ZDB-GENE-051118-2")</f>
        <v>https://zfin.org/ZDB-GENE-051118-2</v>
      </c>
      <c r="E8621" t="s">
        <v>25830</v>
      </c>
    </row>
    <row r="8622" spans="1:5" x14ac:dyDescent="0.2">
      <c r="A8622" t="s">
        <v>25831</v>
      </c>
      <c r="B8622" t="s">
        <v>25832</v>
      </c>
      <c r="C8622" t="s">
        <v>25832</v>
      </c>
      <c r="D8622" t="str">
        <f>HYPERLINK("https://zfin.org/ZDB-GENE-041114-16")</f>
        <v>https://zfin.org/ZDB-GENE-041114-16</v>
      </c>
      <c r="E8622" t="s">
        <v>25833</v>
      </c>
    </row>
    <row r="8623" spans="1:5" x14ac:dyDescent="0.2">
      <c r="A8623" t="s">
        <v>25834</v>
      </c>
      <c r="B8623" t="s">
        <v>25835</v>
      </c>
      <c r="C8623" t="s">
        <v>25835</v>
      </c>
      <c r="D8623" t="str">
        <f>HYPERLINK("https://zfin.org/ZDB-GENE-041210-195")</f>
        <v>https://zfin.org/ZDB-GENE-041210-195</v>
      </c>
      <c r="E8623" t="s">
        <v>25836</v>
      </c>
    </row>
    <row r="8624" spans="1:5" x14ac:dyDescent="0.2">
      <c r="A8624" t="s">
        <v>25837</v>
      </c>
      <c r="B8624" t="s">
        <v>25838</v>
      </c>
      <c r="C8624" t="s">
        <v>25838</v>
      </c>
      <c r="D8624" t="str">
        <f>HYPERLINK("https://zfin.org/ZDB-GENE-040426-739")</f>
        <v>https://zfin.org/ZDB-GENE-040426-739</v>
      </c>
      <c r="E8624" t="s">
        <v>25839</v>
      </c>
    </row>
    <row r="8625" spans="1:5" x14ac:dyDescent="0.2">
      <c r="A8625" t="s">
        <v>25840</v>
      </c>
      <c r="B8625" t="s">
        <v>25841</v>
      </c>
      <c r="C8625" t="s">
        <v>25841</v>
      </c>
      <c r="D8625" t="str">
        <f>HYPERLINK("https://zfin.org/ZDB-GENE-050208-725")</f>
        <v>https://zfin.org/ZDB-GENE-050208-725</v>
      </c>
      <c r="E8625" t="s">
        <v>25842</v>
      </c>
    </row>
    <row r="8626" spans="1:5" x14ac:dyDescent="0.2">
      <c r="A8626" t="s">
        <v>25843</v>
      </c>
      <c r="B8626" t="s">
        <v>25844</v>
      </c>
      <c r="C8626" t="s">
        <v>25844</v>
      </c>
      <c r="D8626" t="str">
        <f>HYPERLINK("https://zfin.org/ZDB-GENE-050411-52")</f>
        <v>https://zfin.org/ZDB-GENE-050411-52</v>
      </c>
      <c r="E8626" t="s">
        <v>25845</v>
      </c>
    </row>
    <row r="8627" spans="1:5" x14ac:dyDescent="0.2">
      <c r="A8627" t="s">
        <v>25846</v>
      </c>
      <c r="B8627" t="s">
        <v>21001</v>
      </c>
      <c r="C8627" t="s">
        <v>25847</v>
      </c>
      <c r="D8627" t="str">
        <f>HYPERLINK("https://zfin.org/ZDB-GENE-061103-70")</f>
        <v>https://zfin.org/ZDB-GENE-061103-70</v>
      </c>
      <c r="E8627" t="s">
        <v>21002</v>
      </c>
    </row>
    <row r="8628" spans="1:5" x14ac:dyDescent="0.2">
      <c r="A8628" t="s">
        <v>25848</v>
      </c>
      <c r="B8628" t="s">
        <v>25849</v>
      </c>
      <c r="C8628" t="s">
        <v>25849</v>
      </c>
      <c r="D8628" t="str">
        <f>HYPERLINK("https://zfin.org/ZDB-GENE-041001-122")</f>
        <v>https://zfin.org/ZDB-GENE-041001-122</v>
      </c>
      <c r="E8628" t="s">
        <v>25850</v>
      </c>
    </row>
    <row r="8629" spans="1:5" x14ac:dyDescent="0.2">
      <c r="A8629" t="s">
        <v>25851</v>
      </c>
      <c r="B8629" t="s">
        <v>25852</v>
      </c>
      <c r="C8629" t="s">
        <v>25852</v>
      </c>
      <c r="D8629" t="str">
        <f>HYPERLINK("https://zfin.org/ZDB-GENE-030131-7119")</f>
        <v>https://zfin.org/ZDB-GENE-030131-7119</v>
      </c>
      <c r="E8629" t="s">
        <v>25853</v>
      </c>
    </row>
    <row r="8630" spans="1:5" x14ac:dyDescent="0.2">
      <c r="A8630" t="s">
        <v>25854</v>
      </c>
      <c r="B8630" t="s">
        <v>25855</v>
      </c>
      <c r="C8630" t="s">
        <v>25855</v>
      </c>
      <c r="D8630" t="str">
        <f>HYPERLINK("https://zfin.org/ZDB-GENE-091218-3")</f>
        <v>https://zfin.org/ZDB-GENE-091218-3</v>
      </c>
      <c r="E8630" t="s">
        <v>25856</v>
      </c>
    </row>
    <row r="8631" spans="1:5" x14ac:dyDescent="0.2">
      <c r="A8631" t="s">
        <v>25857</v>
      </c>
      <c r="B8631" t="s">
        <v>25858</v>
      </c>
      <c r="C8631" t="s">
        <v>25858</v>
      </c>
      <c r="D8631" t="str">
        <f>HYPERLINK("https://zfin.org/ZDB-GENE-040426-781")</f>
        <v>https://zfin.org/ZDB-GENE-040426-781</v>
      </c>
      <c r="E8631" t="s">
        <v>25859</v>
      </c>
    </row>
    <row r="8632" spans="1:5" x14ac:dyDescent="0.2">
      <c r="A8632" t="s">
        <v>25860</v>
      </c>
      <c r="B8632" t="s">
        <v>25861</v>
      </c>
      <c r="C8632" t="s">
        <v>25861</v>
      </c>
      <c r="D8632" t="str">
        <f>HYPERLINK("https://zfin.org/ZDB-GENE-030131-8422")</f>
        <v>https://zfin.org/ZDB-GENE-030131-8422</v>
      </c>
      <c r="E8632" t="s">
        <v>25862</v>
      </c>
    </row>
    <row r="8633" spans="1:5" x14ac:dyDescent="0.2">
      <c r="A8633" t="s">
        <v>25863</v>
      </c>
      <c r="B8633" t="s">
        <v>25864</v>
      </c>
      <c r="C8633" t="s">
        <v>25864</v>
      </c>
      <c r="D8633" t="str">
        <f>HYPERLINK("https://zfin.org/ZDB-GENE-141215-71")</f>
        <v>https://zfin.org/ZDB-GENE-141215-71</v>
      </c>
      <c r="E8633" t="s">
        <v>25865</v>
      </c>
    </row>
    <row r="8634" spans="1:5" x14ac:dyDescent="0.2">
      <c r="A8634" t="s">
        <v>25866</v>
      </c>
      <c r="B8634" t="s">
        <v>25867</v>
      </c>
      <c r="C8634" t="s">
        <v>25867</v>
      </c>
      <c r="D8634" t="str">
        <f>HYPERLINK("https://zfin.org/ZDB-GENE-081003-1")</f>
        <v>https://zfin.org/ZDB-GENE-081003-1</v>
      </c>
      <c r="E8634" t="s">
        <v>25868</v>
      </c>
    </row>
    <row r="8635" spans="1:5" x14ac:dyDescent="0.2">
      <c r="A8635" t="s">
        <v>25869</v>
      </c>
      <c r="B8635" t="s">
        <v>25870</v>
      </c>
      <c r="C8635" t="s">
        <v>25870</v>
      </c>
      <c r="D8635" t="str">
        <f>HYPERLINK("https://zfin.org/ZDB-GENE-141216-284")</f>
        <v>https://zfin.org/ZDB-GENE-141216-284</v>
      </c>
      <c r="E8635" t="s">
        <v>25871</v>
      </c>
    </row>
    <row r="8636" spans="1:5" x14ac:dyDescent="0.2">
      <c r="A8636" t="s">
        <v>25872</v>
      </c>
      <c r="B8636" t="s">
        <v>25873</v>
      </c>
      <c r="C8636" t="s">
        <v>25873</v>
      </c>
      <c r="D8636" t="str">
        <f>HYPERLINK("https://zfin.org/ZDB-GENE-030131-7685")</f>
        <v>https://zfin.org/ZDB-GENE-030131-7685</v>
      </c>
      <c r="E8636" t="s">
        <v>25874</v>
      </c>
    </row>
    <row r="8637" spans="1:5" x14ac:dyDescent="0.2">
      <c r="A8637" t="s">
        <v>25875</v>
      </c>
      <c r="B8637" t="s">
        <v>25876</v>
      </c>
      <c r="C8637" t="s">
        <v>25876</v>
      </c>
      <c r="D8637" t="str">
        <f>HYPERLINK("https://zfin.org/ZDB-GENE-041212-46")</f>
        <v>https://zfin.org/ZDB-GENE-041212-46</v>
      </c>
      <c r="E8637" t="s">
        <v>25877</v>
      </c>
    </row>
    <row r="8638" spans="1:5" x14ac:dyDescent="0.2">
      <c r="A8638" t="s">
        <v>25878</v>
      </c>
      <c r="B8638" t="s">
        <v>25879</v>
      </c>
      <c r="C8638" t="s">
        <v>25879</v>
      </c>
      <c r="D8638" t="str">
        <f>HYPERLINK("https://zfin.org/ZDB-GENE-070112-1812")</f>
        <v>https://zfin.org/ZDB-GENE-070112-1812</v>
      </c>
      <c r="E8638" t="s">
        <v>25880</v>
      </c>
    </row>
    <row r="8639" spans="1:5" x14ac:dyDescent="0.2">
      <c r="A8639" t="s">
        <v>25881</v>
      </c>
      <c r="B8639" t="s">
        <v>25882</v>
      </c>
      <c r="C8639" t="s">
        <v>25882</v>
      </c>
      <c r="D8639" t="str">
        <f>HYPERLINK("https://zfin.org/ZDB-GENE-070410-95")</f>
        <v>https://zfin.org/ZDB-GENE-070410-95</v>
      </c>
      <c r="E8639" t="s">
        <v>25883</v>
      </c>
    </row>
    <row r="8640" spans="1:5" x14ac:dyDescent="0.2">
      <c r="A8640" t="s">
        <v>25884</v>
      </c>
      <c r="B8640" t="s">
        <v>25885</v>
      </c>
      <c r="C8640" t="s">
        <v>25885</v>
      </c>
      <c r="D8640" t="str">
        <f>HYPERLINK("https://zfin.org/ZDB-GENE-080401-5")</f>
        <v>https://zfin.org/ZDB-GENE-080401-5</v>
      </c>
      <c r="E8640" t="s">
        <v>25886</v>
      </c>
    </row>
    <row r="8641" spans="1:5" x14ac:dyDescent="0.2">
      <c r="A8641" t="s">
        <v>25887</v>
      </c>
      <c r="B8641" t="s">
        <v>25888</v>
      </c>
      <c r="C8641" t="s">
        <v>25888</v>
      </c>
      <c r="D8641" t="str">
        <f>HYPERLINK("https://zfin.org/ZDB-GENE-040426-2252")</f>
        <v>https://zfin.org/ZDB-GENE-040426-2252</v>
      </c>
      <c r="E8641" t="s">
        <v>25889</v>
      </c>
    </row>
    <row r="8642" spans="1:5" x14ac:dyDescent="0.2">
      <c r="A8642" t="s">
        <v>25890</v>
      </c>
      <c r="B8642" t="s">
        <v>25891</v>
      </c>
      <c r="C8642" t="s">
        <v>25891</v>
      </c>
      <c r="D8642" t="str">
        <f>HYPERLINK("https://zfin.org/ZDB-GENE-040801-144")</f>
        <v>https://zfin.org/ZDB-GENE-040801-144</v>
      </c>
      <c r="E8642" t="s">
        <v>25892</v>
      </c>
    </row>
    <row r="8643" spans="1:5" x14ac:dyDescent="0.2">
      <c r="A8643" t="s">
        <v>25893</v>
      </c>
      <c r="B8643" t="s">
        <v>25894</v>
      </c>
      <c r="C8643" t="s">
        <v>25894</v>
      </c>
      <c r="D8643" t="str">
        <f>HYPERLINK("https://zfin.org/ZDB-GENE-130530-730")</f>
        <v>https://zfin.org/ZDB-GENE-130530-730</v>
      </c>
      <c r="E8643" t="s">
        <v>25895</v>
      </c>
    </row>
    <row r="8644" spans="1:5" x14ac:dyDescent="0.2">
      <c r="A8644" t="s">
        <v>25896</v>
      </c>
      <c r="B8644" t="s">
        <v>25897</v>
      </c>
      <c r="C8644" t="s">
        <v>25897</v>
      </c>
      <c r="D8644" t="str">
        <f>HYPERLINK("https://zfin.org/ZDB-GENE-040801-115")</f>
        <v>https://zfin.org/ZDB-GENE-040801-115</v>
      </c>
      <c r="E8644" t="s">
        <v>25898</v>
      </c>
    </row>
    <row r="8645" spans="1:5" x14ac:dyDescent="0.2">
      <c r="A8645" t="s">
        <v>25899</v>
      </c>
      <c r="B8645" t="s">
        <v>25900</v>
      </c>
      <c r="C8645" t="s">
        <v>25900</v>
      </c>
      <c r="D8645" t="str">
        <f>HYPERLINK("https://zfin.org/ZDB-GENE-040808-39")</f>
        <v>https://zfin.org/ZDB-GENE-040808-39</v>
      </c>
      <c r="E8645" t="s">
        <v>25901</v>
      </c>
    </row>
    <row r="8646" spans="1:5" x14ac:dyDescent="0.2">
      <c r="A8646" t="s">
        <v>25902</v>
      </c>
      <c r="B8646" t="s">
        <v>25903</v>
      </c>
      <c r="C8646" t="s">
        <v>25903</v>
      </c>
      <c r="D8646" t="str">
        <f>HYPERLINK("https://zfin.org/ZDB-GENE-040426-1622")</f>
        <v>https://zfin.org/ZDB-GENE-040426-1622</v>
      </c>
      <c r="E8646" t="s">
        <v>25904</v>
      </c>
    </row>
    <row r="8647" spans="1:5" x14ac:dyDescent="0.2">
      <c r="A8647" t="s">
        <v>25905</v>
      </c>
      <c r="B8647" t="s">
        <v>25906</v>
      </c>
      <c r="C8647" t="s">
        <v>25906</v>
      </c>
      <c r="D8647" t="str">
        <f>HYPERLINK("https://zfin.org/ZDB-GENE-070209-274")</f>
        <v>https://zfin.org/ZDB-GENE-070209-274</v>
      </c>
      <c r="E8647" t="s">
        <v>25907</v>
      </c>
    </row>
    <row r="8648" spans="1:5" x14ac:dyDescent="0.2">
      <c r="A8648" t="s">
        <v>25908</v>
      </c>
      <c r="B8648" t="s">
        <v>25909</v>
      </c>
      <c r="C8648" t="s">
        <v>25909</v>
      </c>
      <c r="D8648" t="str">
        <f>HYPERLINK("https://zfin.org/ZDB-GENE-141216-96")</f>
        <v>https://zfin.org/ZDB-GENE-141216-96</v>
      </c>
      <c r="E8648" t="s">
        <v>25910</v>
      </c>
    </row>
    <row r="8649" spans="1:5" x14ac:dyDescent="0.2">
      <c r="A8649" t="s">
        <v>25911</v>
      </c>
      <c r="B8649" t="s">
        <v>25912</v>
      </c>
      <c r="C8649" t="s">
        <v>25912</v>
      </c>
      <c r="D8649" t="str">
        <f>HYPERLINK("https://zfin.org/ZDB-GENE-050522-423")</f>
        <v>https://zfin.org/ZDB-GENE-050522-423</v>
      </c>
      <c r="E8649" t="s">
        <v>25913</v>
      </c>
    </row>
    <row r="8650" spans="1:5" x14ac:dyDescent="0.2">
      <c r="A8650" t="s">
        <v>25914</v>
      </c>
      <c r="B8650" t="s">
        <v>25915</v>
      </c>
      <c r="C8650" t="s">
        <v>25915</v>
      </c>
      <c r="D8650" t="str">
        <f>HYPERLINK("https://zfin.org/ZDB-GENE-060810-80")</f>
        <v>https://zfin.org/ZDB-GENE-060810-80</v>
      </c>
      <c r="E8650" t="s">
        <v>25916</v>
      </c>
    </row>
    <row r="8651" spans="1:5" x14ac:dyDescent="0.2">
      <c r="A8651" t="s">
        <v>25917</v>
      </c>
      <c r="B8651" t="s">
        <v>25918</v>
      </c>
      <c r="C8651" t="s">
        <v>25918</v>
      </c>
      <c r="D8651" t="str">
        <f>HYPERLINK("https://zfin.org/ZDB-GENE-050419-80")</f>
        <v>https://zfin.org/ZDB-GENE-050419-80</v>
      </c>
      <c r="E8651" t="s">
        <v>25919</v>
      </c>
    </row>
    <row r="8652" spans="1:5" x14ac:dyDescent="0.2">
      <c r="A8652" t="s">
        <v>25920</v>
      </c>
      <c r="B8652" t="s">
        <v>25921</v>
      </c>
      <c r="C8652" t="s">
        <v>25921</v>
      </c>
      <c r="D8652" t="str">
        <f>HYPERLINK("https://zfin.org/ZDB-GENE-030131-5475")</f>
        <v>https://zfin.org/ZDB-GENE-030131-5475</v>
      </c>
      <c r="E8652" t="s">
        <v>25922</v>
      </c>
    </row>
    <row r="8653" spans="1:5" x14ac:dyDescent="0.2">
      <c r="A8653" t="s">
        <v>25923</v>
      </c>
      <c r="B8653" t="s">
        <v>25924</v>
      </c>
      <c r="C8653" t="s">
        <v>25924</v>
      </c>
      <c r="D8653" t="str">
        <f>HYPERLINK("https://zfin.org/ZDB-GENE-050208-532")</f>
        <v>https://zfin.org/ZDB-GENE-050208-532</v>
      </c>
      <c r="E8653" t="s">
        <v>25925</v>
      </c>
    </row>
    <row r="8654" spans="1:5" x14ac:dyDescent="0.2">
      <c r="A8654" t="s">
        <v>25926</v>
      </c>
      <c r="B8654" t="s">
        <v>25927</v>
      </c>
      <c r="C8654" t="s">
        <v>25927</v>
      </c>
      <c r="D8654" t="str">
        <f>HYPERLINK("https://zfin.org/ZDB-GENE-040426-826")</f>
        <v>https://zfin.org/ZDB-GENE-040426-826</v>
      </c>
      <c r="E8654" t="s">
        <v>25928</v>
      </c>
    </row>
    <row r="8655" spans="1:5" x14ac:dyDescent="0.2">
      <c r="A8655" t="s">
        <v>25929</v>
      </c>
      <c r="B8655" t="s">
        <v>25930</v>
      </c>
      <c r="C8655" t="s">
        <v>25930</v>
      </c>
      <c r="D8655" t="str">
        <f>HYPERLINK("https://zfin.org/ZDB-GENE-030131-9311")</f>
        <v>https://zfin.org/ZDB-GENE-030131-9311</v>
      </c>
      <c r="E8655" t="s">
        <v>25931</v>
      </c>
    </row>
    <row r="8656" spans="1:5" x14ac:dyDescent="0.2">
      <c r="A8656" t="s">
        <v>25932</v>
      </c>
      <c r="B8656" t="s">
        <v>25933</v>
      </c>
      <c r="C8656" t="s">
        <v>25933</v>
      </c>
      <c r="D8656" t="str">
        <f>HYPERLINK("https://zfin.org/ZDB-GENE-040426-2574")</f>
        <v>https://zfin.org/ZDB-GENE-040426-2574</v>
      </c>
      <c r="E8656" t="s">
        <v>25934</v>
      </c>
    </row>
    <row r="8657" spans="1:5" x14ac:dyDescent="0.2">
      <c r="A8657" t="s">
        <v>25935</v>
      </c>
      <c r="B8657" t="s">
        <v>25936</v>
      </c>
      <c r="C8657" t="s">
        <v>25936</v>
      </c>
      <c r="D8657" t="str">
        <f>HYPERLINK("https://zfin.org/ZDB-GENE-131121-594")</f>
        <v>https://zfin.org/ZDB-GENE-131121-594</v>
      </c>
      <c r="E8657" t="s">
        <v>25937</v>
      </c>
    </row>
    <row r="8658" spans="1:5" x14ac:dyDescent="0.2">
      <c r="A8658" t="s">
        <v>25938</v>
      </c>
      <c r="B8658" t="s">
        <v>25939</v>
      </c>
      <c r="C8658" t="s">
        <v>25939</v>
      </c>
      <c r="D8658" t="str">
        <f>HYPERLINK("https://zfin.org/ZDB-GENE-040426-899")</f>
        <v>https://zfin.org/ZDB-GENE-040426-899</v>
      </c>
      <c r="E8658" t="s">
        <v>25940</v>
      </c>
    </row>
    <row r="8659" spans="1:5" x14ac:dyDescent="0.2">
      <c r="A8659" t="s">
        <v>25941</v>
      </c>
      <c r="B8659" t="s">
        <v>25942</v>
      </c>
      <c r="C8659" t="s">
        <v>25942</v>
      </c>
      <c r="D8659" t="str">
        <f>HYPERLINK("https://zfin.org/ZDB-GENE-160114-3")</f>
        <v>https://zfin.org/ZDB-GENE-160114-3</v>
      </c>
      <c r="E8659" t="s">
        <v>25943</v>
      </c>
    </row>
    <row r="8660" spans="1:5" x14ac:dyDescent="0.2">
      <c r="A8660" t="s">
        <v>25944</v>
      </c>
      <c r="B8660" t="s">
        <v>25945</v>
      </c>
      <c r="C8660" t="s">
        <v>25945</v>
      </c>
      <c r="D8660" t="str">
        <f>HYPERLINK("https://zfin.org/ZDB-GENE-040704-41")</f>
        <v>https://zfin.org/ZDB-GENE-040704-41</v>
      </c>
      <c r="E8660" t="s">
        <v>25946</v>
      </c>
    </row>
    <row r="8661" spans="1:5" x14ac:dyDescent="0.2">
      <c r="A8661" t="s">
        <v>25947</v>
      </c>
      <c r="B8661" t="s">
        <v>25948</v>
      </c>
      <c r="C8661" t="s">
        <v>25948</v>
      </c>
      <c r="D8661" t="str">
        <f>HYPERLINK("https://zfin.org/ZDB-GENE-040724-75")</f>
        <v>https://zfin.org/ZDB-GENE-040724-75</v>
      </c>
      <c r="E8661" t="s">
        <v>25949</v>
      </c>
    </row>
    <row r="8662" spans="1:5" x14ac:dyDescent="0.2">
      <c r="A8662" t="s">
        <v>25950</v>
      </c>
      <c r="B8662" t="s">
        <v>25951</v>
      </c>
      <c r="C8662" t="s">
        <v>25951</v>
      </c>
      <c r="D8662" t="str">
        <f>HYPERLINK("https://zfin.org/ZDB-GENE-120215-165")</f>
        <v>https://zfin.org/ZDB-GENE-120215-165</v>
      </c>
      <c r="E8662" t="s">
        <v>25952</v>
      </c>
    </row>
    <row r="8663" spans="1:5" x14ac:dyDescent="0.2">
      <c r="A8663" t="s">
        <v>25953</v>
      </c>
      <c r="B8663" t="s">
        <v>25954</v>
      </c>
      <c r="C8663" t="s">
        <v>25954</v>
      </c>
      <c r="D8663" t="str">
        <f>HYPERLINK("https://zfin.org/ZDB-GENE-020419-14")</f>
        <v>https://zfin.org/ZDB-GENE-020419-14</v>
      </c>
      <c r="E8663" t="s">
        <v>25955</v>
      </c>
    </row>
    <row r="8664" spans="1:5" x14ac:dyDescent="0.2">
      <c r="A8664" t="s">
        <v>25956</v>
      </c>
      <c r="B8664" t="s">
        <v>25957</v>
      </c>
      <c r="C8664" t="s">
        <v>25957</v>
      </c>
      <c r="D8664" t="str">
        <f>HYPERLINK("https://zfin.org/ZDB-GENE-030131-618")</f>
        <v>https://zfin.org/ZDB-GENE-030131-618</v>
      </c>
      <c r="E8664" t="s">
        <v>25958</v>
      </c>
    </row>
    <row r="8665" spans="1:5" x14ac:dyDescent="0.2">
      <c r="A8665" t="s">
        <v>25959</v>
      </c>
      <c r="B8665" t="s">
        <v>25960</v>
      </c>
      <c r="C8665" t="s">
        <v>25960</v>
      </c>
      <c r="D8665" t="str">
        <f>HYPERLINK("https://zfin.org/ZDB-GENE-141222-20")</f>
        <v>https://zfin.org/ZDB-GENE-141222-20</v>
      </c>
      <c r="E8665" t="s">
        <v>25961</v>
      </c>
    </row>
    <row r="8666" spans="1:5" x14ac:dyDescent="0.2">
      <c r="A8666" t="s">
        <v>25962</v>
      </c>
      <c r="B8666" t="s">
        <v>25963</v>
      </c>
      <c r="C8666" t="s">
        <v>25963</v>
      </c>
      <c r="D8666" t="str">
        <f>HYPERLINK("https://zfin.org/ZDB-GENE-040426-1045")</f>
        <v>https://zfin.org/ZDB-GENE-040426-1045</v>
      </c>
      <c r="E8666" t="s">
        <v>25964</v>
      </c>
    </row>
    <row r="8667" spans="1:5" x14ac:dyDescent="0.2">
      <c r="A8667" t="s">
        <v>25965</v>
      </c>
      <c r="B8667" t="s">
        <v>25966</v>
      </c>
      <c r="C8667" t="s">
        <v>25966</v>
      </c>
      <c r="D8667" t="str">
        <f>HYPERLINK("https://zfin.org/ZDB-GENE-041014-1")</f>
        <v>https://zfin.org/ZDB-GENE-041014-1</v>
      </c>
      <c r="E8667" t="s">
        <v>25967</v>
      </c>
    </row>
    <row r="8668" spans="1:5" x14ac:dyDescent="0.2">
      <c r="A8668" t="s">
        <v>25968</v>
      </c>
      <c r="B8668" t="s">
        <v>25969</v>
      </c>
      <c r="C8668" t="s">
        <v>25969</v>
      </c>
      <c r="D8668" t="str">
        <f>HYPERLINK("https://zfin.org/ZDB-GENE-041008-205")</f>
        <v>https://zfin.org/ZDB-GENE-041008-205</v>
      </c>
      <c r="E8668" t="s">
        <v>25970</v>
      </c>
    </row>
    <row r="8669" spans="1:5" x14ac:dyDescent="0.2">
      <c r="A8669" t="s">
        <v>25971</v>
      </c>
      <c r="B8669" t="s">
        <v>25972</v>
      </c>
      <c r="C8669" t="s">
        <v>25972</v>
      </c>
      <c r="D8669" t="str">
        <f>HYPERLINK("https://zfin.org/ZDB-GENE-061215-17")</f>
        <v>https://zfin.org/ZDB-GENE-061215-17</v>
      </c>
      <c r="E8669" t="s">
        <v>25973</v>
      </c>
    </row>
    <row r="8670" spans="1:5" x14ac:dyDescent="0.2">
      <c r="A8670" t="s">
        <v>25974</v>
      </c>
      <c r="B8670" t="s">
        <v>25975</v>
      </c>
      <c r="C8670" t="s">
        <v>25975</v>
      </c>
      <c r="D8670" t="str">
        <f>HYPERLINK("https://zfin.org/ZDB-GENE-040426-1029")</f>
        <v>https://zfin.org/ZDB-GENE-040426-1029</v>
      </c>
      <c r="E8670" t="s">
        <v>25976</v>
      </c>
    </row>
    <row r="8671" spans="1:5" x14ac:dyDescent="0.2">
      <c r="A8671" t="s">
        <v>25977</v>
      </c>
      <c r="B8671" t="s">
        <v>25978</v>
      </c>
      <c r="C8671" t="s">
        <v>25978</v>
      </c>
      <c r="D8671" t="str">
        <f>HYPERLINK("https://zfin.org/ZDB-GENE-020430-1")</f>
        <v>https://zfin.org/ZDB-GENE-020430-1</v>
      </c>
      <c r="E8671" t="s">
        <v>25979</v>
      </c>
    </row>
    <row r="8672" spans="1:5" x14ac:dyDescent="0.2">
      <c r="A8672" t="s">
        <v>25980</v>
      </c>
      <c r="B8672" t="s">
        <v>25981</v>
      </c>
      <c r="C8672" t="s">
        <v>25981</v>
      </c>
      <c r="D8672" t="str">
        <f>HYPERLINK("https://zfin.org/ZDB-GENE-030317-1")</f>
        <v>https://zfin.org/ZDB-GENE-030317-1</v>
      </c>
      <c r="E8672" t="s">
        <v>25982</v>
      </c>
    </row>
    <row r="8673" spans="1:5" x14ac:dyDescent="0.2">
      <c r="A8673" t="s">
        <v>25983</v>
      </c>
      <c r="B8673" t="s">
        <v>25984</v>
      </c>
      <c r="C8673" t="s">
        <v>25984</v>
      </c>
      <c r="D8673" t="str">
        <f>HYPERLINK("https://zfin.org/ZDB-GENE-030131-7647")</f>
        <v>https://zfin.org/ZDB-GENE-030131-7647</v>
      </c>
      <c r="E8673" t="s">
        <v>25985</v>
      </c>
    </row>
    <row r="8674" spans="1:5" x14ac:dyDescent="0.2">
      <c r="A8674" t="s">
        <v>25986</v>
      </c>
      <c r="B8674" t="s">
        <v>25987</v>
      </c>
      <c r="C8674" t="s">
        <v>25987</v>
      </c>
      <c r="D8674" t="str">
        <f>HYPERLINK("https://zfin.org/ZDB-GENE-041212-80")</f>
        <v>https://zfin.org/ZDB-GENE-041212-80</v>
      </c>
      <c r="E8674" t="s">
        <v>25988</v>
      </c>
    </row>
    <row r="8675" spans="1:5" x14ac:dyDescent="0.2">
      <c r="A8675" t="s">
        <v>25989</v>
      </c>
      <c r="B8675" t="s">
        <v>25990</v>
      </c>
      <c r="C8675" t="s">
        <v>25990</v>
      </c>
      <c r="D8675" t="str">
        <f>HYPERLINK("https://zfin.org/ZDB-GENE-040426-2178")</f>
        <v>https://zfin.org/ZDB-GENE-040426-2178</v>
      </c>
      <c r="E8675" t="s">
        <v>25991</v>
      </c>
    </row>
    <row r="8676" spans="1:5" x14ac:dyDescent="0.2">
      <c r="A8676" t="s">
        <v>25992</v>
      </c>
      <c r="B8676" t="s">
        <v>25993</v>
      </c>
      <c r="C8676" t="s">
        <v>25993</v>
      </c>
      <c r="D8676" t="str">
        <f>HYPERLINK("https://zfin.org/ZDB-GENE-080218-3")</f>
        <v>https://zfin.org/ZDB-GENE-080218-3</v>
      </c>
      <c r="E8676" t="s">
        <v>25994</v>
      </c>
    </row>
    <row r="8677" spans="1:5" x14ac:dyDescent="0.2">
      <c r="A8677" t="s">
        <v>25995</v>
      </c>
      <c r="B8677" t="s">
        <v>25996</v>
      </c>
      <c r="C8677" t="s">
        <v>25996</v>
      </c>
      <c r="D8677" t="str">
        <f>HYPERLINK("https://zfin.org/ZDB-GENE-040426-1652")</f>
        <v>https://zfin.org/ZDB-GENE-040426-1652</v>
      </c>
      <c r="E8677" t="s">
        <v>25997</v>
      </c>
    </row>
    <row r="8678" spans="1:5" x14ac:dyDescent="0.2">
      <c r="A8678" t="s">
        <v>25998</v>
      </c>
      <c r="B8678" t="s">
        <v>25999</v>
      </c>
      <c r="C8678" t="s">
        <v>25999</v>
      </c>
      <c r="D8678" t="str">
        <f>HYPERLINK("https://zfin.org/ZDB-GENE-141216-329")</f>
        <v>https://zfin.org/ZDB-GENE-141216-329</v>
      </c>
      <c r="E8678" t="s">
        <v>26000</v>
      </c>
    </row>
    <row r="8679" spans="1:5" x14ac:dyDescent="0.2">
      <c r="A8679" t="s">
        <v>26001</v>
      </c>
      <c r="B8679" t="s">
        <v>26002</v>
      </c>
      <c r="C8679" t="s">
        <v>26002</v>
      </c>
      <c r="D8679" t="str">
        <f>HYPERLINK("https://zfin.org/ZDB-GENE-050913-152")</f>
        <v>https://zfin.org/ZDB-GENE-050913-152</v>
      </c>
      <c r="E8679" t="s">
        <v>26003</v>
      </c>
    </row>
    <row r="8680" spans="1:5" x14ac:dyDescent="0.2">
      <c r="A8680" t="s">
        <v>26004</v>
      </c>
      <c r="B8680" t="s">
        <v>26005</v>
      </c>
      <c r="C8680" t="s">
        <v>26005</v>
      </c>
      <c r="D8680" t="str">
        <f>HYPERLINK("https://zfin.org/ZDB-GENE-071009-3")</f>
        <v>https://zfin.org/ZDB-GENE-071009-3</v>
      </c>
      <c r="E8680" t="s">
        <v>26006</v>
      </c>
    </row>
    <row r="8681" spans="1:5" x14ac:dyDescent="0.2">
      <c r="A8681" t="s">
        <v>26007</v>
      </c>
      <c r="B8681" t="s">
        <v>26008</v>
      </c>
      <c r="C8681" t="s">
        <v>26008</v>
      </c>
      <c r="D8681" t="str">
        <f>HYPERLINK("https://zfin.org/ZDB-GENE-030827-3")</f>
        <v>https://zfin.org/ZDB-GENE-030827-3</v>
      </c>
      <c r="E8681" t="s">
        <v>26009</v>
      </c>
    </row>
    <row r="8682" spans="1:5" x14ac:dyDescent="0.2">
      <c r="A8682" t="s">
        <v>26010</v>
      </c>
      <c r="B8682" t="s">
        <v>26011</v>
      </c>
      <c r="C8682" t="s">
        <v>26011</v>
      </c>
      <c r="D8682" t="str">
        <f>HYPERLINK("https://zfin.org/ZDB-GENE-030131-7809")</f>
        <v>https://zfin.org/ZDB-GENE-030131-7809</v>
      </c>
      <c r="E8682" t="s">
        <v>26012</v>
      </c>
    </row>
    <row r="8683" spans="1:5" x14ac:dyDescent="0.2">
      <c r="A8683" t="s">
        <v>26013</v>
      </c>
      <c r="B8683" t="s">
        <v>26014</v>
      </c>
      <c r="C8683" t="s">
        <v>26014</v>
      </c>
      <c r="D8683" t="str">
        <f>HYPERLINK("https://zfin.org/ZDB-GENE-050522-75")</f>
        <v>https://zfin.org/ZDB-GENE-050522-75</v>
      </c>
      <c r="E8683" t="s">
        <v>26015</v>
      </c>
    </row>
    <row r="8684" spans="1:5" x14ac:dyDescent="0.2">
      <c r="A8684" t="s">
        <v>26016</v>
      </c>
      <c r="B8684" t="s">
        <v>26017</v>
      </c>
      <c r="C8684" t="s">
        <v>26017</v>
      </c>
      <c r="D8684" t="str">
        <f>HYPERLINK("https://zfin.org/ZDB-GENE-111005-1")</f>
        <v>https://zfin.org/ZDB-GENE-111005-1</v>
      </c>
      <c r="E8684" t="s">
        <v>26018</v>
      </c>
    </row>
    <row r="8685" spans="1:5" x14ac:dyDescent="0.2">
      <c r="A8685" t="s">
        <v>26019</v>
      </c>
      <c r="B8685" t="s">
        <v>26020</v>
      </c>
      <c r="C8685" t="s">
        <v>26020</v>
      </c>
      <c r="D8685" t="str">
        <f>HYPERLINK("https://zfin.org/ZDB-GENE-030131-2964")</f>
        <v>https://zfin.org/ZDB-GENE-030131-2964</v>
      </c>
      <c r="E8685" t="s">
        <v>26021</v>
      </c>
    </row>
    <row r="8686" spans="1:5" x14ac:dyDescent="0.2">
      <c r="A8686" t="s">
        <v>26022</v>
      </c>
      <c r="B8686" t="s">
        <v>26023</v>
      </c>
      <c r="C8686" t="s">
        <v>26023</v>
      </c>
      <c r="D8686" t="str">
        <f>HYPERLINK("https://zfin.org/ZDB-GENE-141216-230")</f>
        <v>https://zfin.org/ZDB-GENE-141216-230</v>
      </c>
      <c r="E8686" t="s">
        <v>26024</v>
      </c>
    </row>
    <row r="8687" spans="1:5" x14ac:dyDescent="0.2">
      <c r="A8687" t="s">
        <v>26025</v>
      </c>
      <c r="B8687" t="s">
        <v>26026</v>
      </c>
      <c r="C8687" t="s">
        <v>26026</v>
      </c>
      <c r="D8687" t="str">
        <f>HYPERLINK("https://zfin.org/ZDB-GENE-041114-127")</f>
        <v>https://zfin.org/ZDB-GENE-041114-127</v>
      </c>
      <c r="E8687" t="s">
        <v>26027</v>
      </c>
    </row>
    <row r="8688" spans="1:5" x14ac:dyDescent="0.2">
      <c r="A8688" t="s">
        <v>26028</v>
      </c>
      <c r="B8688" t="s">
        <v>26029</v>
      </c>
      <c r="C8688" t="s">
        <v>26029</v>
      </c>
      <c r="D8688" t="str">
        <f>HYPERLINK("https://zfin.org/ZDB-GENE-100917-1")</f>
        <v>https://zfin.org/ZDB-GENE-100917-1</v>
      </c>
      <c r="E8688" t="s">
        <v>26030</v>
      </c>
    </row>
    <row r="8689" spans="1:5" x14ac:dyDescent="0.2">
      <c r="A8689" t="s">
        <v>26031</v>
      </c>
      <c r="B8689" t="s">
        <v>26032</v>
      </c>
      <c r="C8689" t="s">
        <v>26032</v>
      </c>
      <c r="D8689" t="str">
        <f>HYPERLINK("https://zfin.org/ZDB-GENE-070112-1292")</f>
        <v>https://zfin.org/ZDB-GENE-070112-1292</v>
      </c>
      <c r="E8689" t="s">
        <v>26033</v>
      </c>
    </row>
    <row r="8690" spans="1:5" x14ac:dyDescent="0.2">
      <c r="A8690" t="s">
        <v>26034</v>
      </c>
      <c r="B8690" t="s">
        <v>26035</v>
      </c>
      <c r="C8690" t="s">
        <v>26035</v>
      </c>
      <c r="D8690" t="str">
        <f>HYPERLINK("https://zfin.org/ZDB-GENE-040406-4")</f>
        <v>https://zfin.org/ZDB-GENE-040406-4</v>
      </c>
      <c r="E8690" t="s">
        <v>26036</v>
      </c>
    </row>
    <row r="8691" spans="1:5" x14ac:dyDescent="0.2">
      <c r="A8691" t="s">
        <v>26037</v>
      </c>
      <c r="B8691" t="s">
        <v>26038</v>
      </c>
      <c r="C8691" t="s">
        <v>26038</v>
      </c>
      <c r="D8691" t="str">
        <f>HYPERLINK("https://zfin.org/ZDB-GENE-070912-548")</f>
        <v>https://zfin.org/ZDB-GENE-070912-548</v>
      </c>
      <c r="E8691" t="s">
        <v>26039</v>
      </c>
    </row>
    <row r="8692" spans="1:5" x14ac:dyDescent="0.2">
      <c r="A8692" t="s">
        <v>26040</v>
      </c>
      <c r="B8692" t="s">
        <v>26041</v>
      </c>
      <c r="C8692" t="s">
        <v>26041</v>
      </c>
      <c r="D8692" t="str">
        <f>HYPERLINK("https://zfin.org/ZDB-GENE-090312-134")</f>
        <v>https://zfin.org/ZDB-GENE-090312-134</v>
      </c>
      <c r="E8692" t="s">
        <v>26042</v>
      </c>
    </row>
    <row r="8693" spans="1:5" x14ac:dyDescent="0.2">
      <c r="A8693" t="s">
        <v>26043</v>
      </c>
      <c r="B8693" t="s">
        <v>26044</v>
      </c>
      <c r="C8693" t="s">
        <v>26044</v>
      </c>
      <c r="D8693" t="str">
        <f>HYPERLINK("https://zfin.org/ZDB-GENE-030826-6")</f>
        <v>https://zfin.org/ZDB-GENE-030826-6</v>
      </c>
      <c r="E8693" t="s">
        <v>26045</v>
      </c>
    </row>
    <row r="8694" spans="1:5" x14ac:dyDescent="0.2">
      <c r="A8694" t="s">
        <v>26046</v>
      </c>
      <c r="B8694" t="s">
        <v>26047</v>
      </c>
      <c r="C8694" t="s">
        <v>26047</v>
      </c>
      <c r="D8694" t="str">
        <f>HYPERLINK("https://zfin.org/ZDB-GENE-070521-7")</f>
        <v>https://zfin.org/ZDB-GENE-070521-7</v>
      </c>
      <c r="E8694" t="s">
        <v>26048</v>
      </c>
    </row>
    <row r="8695" spans="1:5" x14ac:dyDescent="0.2">
      <c r="A8695" t="s">
        <v>26049</v>
      </c>
      <c r="B8695" t="s">
        <v>26050</v>
      </c>
      <c r="C8695" t="s">
        <v>26050</v>
      </c>
      <c r="D8695" t="str">
        <f>HYPERLINK("https://zfin.org/ZDB-GENE-091204-408")</f>
        <v>https://zfin.org/ZDB-GENE-091204-408</v>
      </c>
      <c r="E8695" t="s">
        <v>26051</v>
      </c>
    </row>
    <row r="8696" spans="1:5" x14ac:dyDescent="0.2">
      <c r="A8696" t="s">
        <v>26052</v>
      </c>
      <c r="B8696" t="s">
        <v>26053</v>
      </c>
      <c r="C8696" t="s">
        <v>26053</v>
      </c>
      <c r="D8696" t="str">
        <f>HYPERLINK("https://zfin.org/ZDB-GENE-040426-1046")</f>
        <v>https://zfin.org/ZDB-GENE-040426-1046</v>
      </c>
      <c r="E8696" t="s">
        <v>26054</v>
      </c>
    </row>
    <row r="8697" spans="1:5" x14ac:dyDescent="0.2">
      <c r="A8697" t="s">
        <v>26055</v>
      </c>
      <c r="B8697" t="s">
        <v>2859</v>
      </c>
      <c r="C8697" t="s">
        <v>26056</v>
      </c>
      <c r="D8697" t="str">
        <f>HYPERLINK("https://zfin.org/ZDB-GENE-081103-51")</f>
        <v>https://zfin.org/ZDB-GENE-081103-51</v>
      </c>
      <c r="E8697" t="s">
        <v>26057</v>
      </c>
    </row>
    <row r="8698" spans="1:5" x14ac:dyDescent="0.2">
      <c r="A8698" t="s">
        <v>26058</v>
      </c>
      <c r="B8698" t="s">
        <v>26059</v>
      </c>
      <c r="C8698" t="s">
        <v>26059</v>
      </c>
      <c r="D8698" t="str">
        <f>HYPERLINK("https://zfin.org/ZDB-GENE-060503-404")</f>
        <v>https://zfin.org/ZDB-GENE-060503-404</v>
      </c>
      <c r="E8698" t="s">
        <v>26060</v>
      </c>
    </row>
    <row r="8699" spans="1:5" x14ac:dyDescent="0.2">
      <c r="A8699" t="s">
        <v>26061</v>
      </c>
      <c r="B8699" t="s">
        <v>26062</v>
      </c>
      <c r="C8699" t="s">
        <v>26062</v>
      </c>
      <c r="D8699" t="str">
        <f>HYPERLINK("https://zfin.org/ZDB-GENE-030131-73")</f>
        <v>https://zfin.org/ZDB-GENE-030131-73</v>
      </c>
      <c r="E8699" t="s">
        <v>26063</v>
      </c>
    </row>
    <row r="8700" spans="1:5" x14ac:dyDescent="0.2">
      <c r="A8700" t="s">
        <v>26064</v>
      </c>
      <c r="B8700" t="s">
        <v>26065</v>
      </c>
      <c r="C8700" t="s">
        <v>26065</v>
      </c>
      <c r="D8700" t="str">
        <f>HYPERLINK("https://zfin.org/ZDB-GENE-050309-265")</f>
        <v>https://zfin.org/ZDB-GENE-050309-265</v>
      </c>
      <c r="E8700" t="s">
        <v>26066</v>
      </c>
    </row>
    <row r="8701" spans="1:5" x14ac:dyDescent="0.2">
      <c r="A8701" t="s">
        <v>26067</v>
      </c>
      <c r="B8701" t="s">
        <v>26068</v>
      </c>
      <c r="C8701" t="s">
        <v>26068</v>
      </c>
      <c r="D8701" t="str">
        <f>HYPERLINK("https://zfin.org/ZDB-GENE-021015-3")</f>
        <v>https://zfin.org/ZDB-GENE-021015-3</v>
      </c>
      <c r="E8701" t="s">
        <v>26069</v>
      </c>
    </row>
    <row r="8702" spans="1:5" x14ac:dyDescent="0.2">
      <c r="A8702" t="s">
        <v>26070</v>
      </c>
      <c r="B8702" t="s">
        <v>20523</v>
      </c>
      <c r="C8702" t="s">
        <v>26071</v>
      </c>
      <c r="D8702" t="str">
        <f>HYPERLINK("https://zfin.org/ZDB-GENE-110914-127")</f>
        <v>https://zfin.org/ZDB-GENE-110914-127</v>
      </c>
      <c r="E8702" t="s">
        <v>20525</v>
      </c>
    </row>
    <row r="8703" spans="1:5" x14ac:dyDescent="0.2">
      <c r="A8703" t="s">
        <v>26072</v>
      </c>
      <c r="B8703" t="s">
        <v>26073</v>
      </c>
      <c r="C8703" t="s">
        <v>26073</v>
      </c>
      <c r="D8703" t="str">
        <f>HYPERLINK("https://zfin.org/ZDB-GENE-041210-42")</f>
        <v>https://zfin.org/ZDB-GENE-041210-42</v>
      </c>
      <c r="E8703" t="s">
        <v>26074</v>
      </c>
    </row>
    <row r="8704" spans="1:5" x14ac:dyDescent="0.2">
      <c r="A8704" t="s">
        <v>26075</v>
      </c>
      <c r="B8704" t="s">
        <v>26076</v>
      </c>
      <c r="C8704" t="s">
        <v>26076</v>
      </c>
      <c r="D8704" t="str">
        <f>HYPERLINK("https://zfin.org/ZDB-GENE-040822-45")</f>
        <v>https://zfin.org/ZDB-GENE-040822-45</v>
      </c>
      <c r="E8704" t="s">
        <v>26077</v>
      </c>
    </row>
    <row r="8705" spans="1:5" x14ac:dyDescent="0.2">
      <c r="A8705" t="s">
        <v>26078</v>
      </c>
      <c r="B8705" t="s">
        <v>26079</v>
      </c>
      <c r="C8705" t="s">
        <v>26079</v>
      </c>
      <c r="D8705" t="str">
        <f>HYPERLINK("https://zfin.org/ZDB-GENE-090313-149")</f>
        <v>https://zfin.org/ZDB-GENE-090313-149</v>
      </c>
      <c r="E8705" t="s">
        <v>26080</v>
      </c>
    </row>
    <row r="8706" spans="1:5" x14ac:dyDescent="0.2">
      <c r="A8706" t="s">
        <v>26081</v>
      </c>
      <c r="B8706" t="s">
        <v>26082</v>
      </c>
      <c r="C8706" t="s">
        <v>26082</v>
      </c>
      <c r="D8706" t="str">
        <f>HYPERLINK("https://zfin.org/ZDB-GENE-041010-115")</f>
        <v>https://zfin.org/ZDB-GENE-041010-115</v>
      </c>
      <c r="E8706" t="s">
        <v>26083</v>
      </c>
    </row>
    <row r="8707" spans="1:5" x14ac:dyDescent="0.2">
      <c r="A8707" t="s">
        <v>26084</v>
      </c>
      <c r="B8707" t="s">
        <v>26085</v>
      </c>
      <c r="C8707" t="s">
        <v>26085</v>
      </c>
      <c r="D8707" t="str">
        <f>HYPERLINK("https://zfin.org/ZDB-GENE-040426-1598")</f>
        <v>https://zfin.org/ZDB-GENE-040426-1598</v>
      </c>
      <c r="E8707" t="s">
        <v>26086</v>
      </c>
    </row>
    <row r="8708" spans="1:5" x14ac:dyDescent="0.2">
      <c r="A8708" t="s">
        <v>26087</v>
      </c>
      <c r="B8708" t="s">
        <v>26088</v>
      </c>
      <c r="C8708" t="s">
        <v>26088</v>
      </c>
      <c r="D8708" t="str">
        <f>HYPERLINK("https://zfin.org/ZDB-GENE-010430-5")</f>
        <v>https://zfin.org/ZDB-GENE-010430-5</v>
      </c>
      <c r="E8708" t="s">
        <v>26089</v>
      </c>
    </row>
    <row r="8709" spans="1:5" x14ac:dyDescent="0.2">
      <c r="A8709" t="s">
        <v>26090</v>
      </c>
      <c r="B8709" t="s">
        <v>26091</v>
      </c>
      <c r="C8709" t="s">
        <v>26091</v>
      </c>
      <c r="D8709" t="str">
        <f>HYPERLINK("https://zfin.org/ZDB-GENE-101025-2")</f>
        <v>https://zfin.org/ZDB-GENE-101025-2</v>
      </c>
      <c r="E8709" t="s">
        <v>26092</v>
      </c>
    </row>
    <row r="8710" spans="1:5" x14ac:dyDescent="0.2">
      <c r="A8710" t="s">
        <v>26093</v>
      </c>
      <c r="B8710" t="s">
        <v>26094</v>
      </c>
      <c r="C8710" t="s">
        <v>26094</v>
      </c>
      <c r="D8710" t="str">
        <f>HYPERLINK("https://zfin.org/ZDB-GENE-040718-140")</f>
        <v>https://zfin.org/ZDB-GENE-040718-140</v>
      </c>
      <c r="E8710" t="s">
        <v>26095</v>
      </c>
    </row>
    <row r="8711" spans="1:5" x14ac:dyDescent="0.2">
      <c r="A8711" t="s">
        <v>26096</v>
      </c>
      <c r="B8711" t="s">
        <v>26097</v>
      </c>
      <c r="C8711" t="s">
        <v>26097</v>
      </c>
      <c r="D8711" t="str">
        <f>HYPERLINK("https://zfin.org/ZDB-GENE-080215-5")</f>
        <v>https://zfin.org/ZDB-GENE-080215-5</v>
      </c>
      <c r="E8711" t="s">
        <v>26098</v>
      </c>
    </row>
    <row r="8712" spans="1:5" x14ac:dyDescent="0.2">
      <c r="A8712" t="s">
        <v>26099</v>
      </c>
      <c r="B8712" t="s">
        <v>26100</v>
      </c>
      <c r="C8712" t="s">
        <v>26100</v>
      </c>
      <c r="D8712" t="str">
        <f>HYPERLINK("https://zfin.org/ZDB-GENE-080204-123")</f>
        <v>https://zfin.org/ZDB-GENE-080204-123</v>
      </c>
      <c r="E8712" t="s">
        <v>26101</v>
      </c>
    </row>
    <row r="8713" spans="1:5" x14ac:dyDescent="0.2">
      <c r="A8713" t="s">
        <v>26102</v>
      </c>
      <c r="B8713" t="s">
        <v>26103</v>
      </c>
      <c r="C8713" t="s">
        <v>26103</v>
      </c>
      <c r="D8713" t="str">
        <f>HYPERLINK("https://zfin.org/ZDB-GENE-040704-73")</f>
        <v>https://zfin.org/ZDB-GENE-040704-73</v>
      </c>
      <c r="E8713" t="s">
        <v>26104</v>
      </c>
    </row>
    <row r="8714" spans="1:5" x14ac:dyDescent="0.2">
      <c r="A8714" t="s">
        <v>26105</v>
      </c>
      <c r="B8714" t="s">
        <v>26106</v>
      </c>
      <c r="C8714" t="s">
        <v>26106</v>
      </c>
      <c r="D8714" t="str">
        <f>HYPERLINK("https://zfin.org/ZDB-GENE-071004-78")</f>
        <v>https://zfin.org/ZDB-GENE-071004-78</v>
      </c>
      <c r="E8714" t="s">
        <v>26107</v>
      </c>
    </row>
    <row r="8715" spans="1:5" x14ac:dyDescent="0.2">
      <c r="A8715" t="s">
        <v>26108</v>
      </c>
      <c r="B8715" t="s">
        <v>26109</v>
      </c>
      <c r="C8715" t="s">
        <v>26109</v>
      </c>
      <c r="D8715" t="str">
        <f>HYPERLINK("https://zfin.org/ZDB-GENE-030131-1599")</f>
        <v>https://zfin.org/ZDB-GENE-030131-1599</v>
      </c>
      <c r="E8715" t="s">
        <v>26110</v>
      </c>
    </row>
    <row r="8716" spans="1:5" x14ac:dyDescent="0.2">
      <c r="A8716" t="s">
        <v>26111</v>
      </c>
      <c r="B8716" t="s">
        <v>26112</v>
      </c>
      <c r="C8716" t="s">
        <v>26112</v>
      </c>
      <c r="D8716" t="str">
        <f>HYPERLINK("https://zfin.org/ZDB-GENE-030131-6619")</f>
        <v>https://zfin.org/ZDB-GENE-030131-6619</v>
      </c>
      <c r="E8716" t="s">
        <v>26113</v>
      </c>
    </row>
    <row r="8717" spans="1:5" x14ac:dyDescent="0.2">
      <c r="A8717" t="s">
        <v>26114</v>
      </c>
      <c r="B8717" t="s">
        <v>26115</v>
      </c>
      <c r="C8717" t="s">
        <v>26115</v>
      </c>
      <c r="D8717" t="str">
        <f>HYPERLINK("https://zfin.org/ZDB-GENE-040801-216")</f>
        <v>https://zfin.org/ZDB-GENE-040801-216</v>
      </c>
      <c r="E8717" t="s">
        <v>26116</v>
      </c>
    </row>
    <row r="8718" spans="1:5" x14ac:dyDescent="0.2">
      <c r="A8718" t="s">
        <v>26117</v>
      </c>
      <c r="B8718" t="s">
        <v>26118</v>
      </c>
      <c r="C8718" t="s">
        <v>26118</v>
      </c>
      <c r="D8718" t="str">
        <f>HYPERLINK("https://zfin.org/ZDB-GENE-030131-9659")</f>
        <v>https://zfin.org/ZDB-GENE-030131-9659</v>
      </c>
      <c r="E8718" t="s">
        <v>26119</v>
      </c>
    </row>
    <row r="8719" spans="1:5" x14ac:dyDescent="0.2">
      <c r="A8719" t="s">
        <v>26120</v>
      </c>
      <c r="B8719" t="s">
        <v>26121</v>
      </c>
      <c r="C8719" t="s">
        <v>26121</v>
      </c>
      <c r="D8719" t="str">
        <f>HYPERLINK("https://zfin.org/ZDB-GENE-110913-160")</f>
        <v>https://zfin.org/ZDB-GENE-110913-160</v>
      </c>
      <c r="E8719" t="s">
        <v>26122</v>
      </c>
    </row>
    <row r="8720" spans="1:5" x14ac:dyDescent="0.2">
      <c r="A8720" t="s">
        <v>26123</v>
      </c>
      <c r="B8720" t="s">
        <v>26124</v>
      </c>
      <c r="C8720" t="s">
        <v>26124</v>
      </c>
      <c r="D8720" t="str">
        <f>HYPERLINK("https://zfin.org/ZDB-GENE-040426-1505")</f>
        <v>https://zfin.org/ZDB-GENE-040426-1505</v>
      </c>
      <c r="E8720" t="s">
        <v>26125</v>
      </c>
    </row>
    <row r="8721" spans="1:5" x14ac:dyDescent="0.2">
      <c r="A8721" t="s">
        <v>26126</v>
      </c>
      <c r="B8721" t="s">
        <v>26127</v>
      </c>
      <c r="C8721" t="s">
        <v>26127</v>
      </c>
      <c r="D8721" t="str">
        <f>HYPERLINK("https://zfin.org/ZDB-GENE-070912-638")</f>
        <v>https://zfin.org/ZDB-GENE-070912-638</v>
      </c>
      <c r="E8721" t="s">
        <v>26128</v>
      </c>
    </row>
    <row r="8722" spans="1:5" x14ac:dyDescent="0.2">
      <c r="A8722" t="s">
        <v>26129</v>
      </c>
      <c r="B8722" t="s">
        <v>26130</v>
      </c>
      <c r="C8722" t="s">
        <v>26130</v>
      </c>
      <c r="D8722" t="str">
        <f>HYPERLINK("https://zfin.org/ZDB-GENE-040426-2432")</f>
        <v>https://zfin.org/ZDB-GENE-040426-2432</v>
      </c>
      <c r="E8722" t="s">
        <v>26131</v>
      </c>
    </row>
    <row r="8723" spans="1:5" x14ac:dyDescent="0.2">
      <c r="A8723" t="s">
        <v>26132</v>
      </c>
      <c r="B8723" t="s">
        <v>26133</v>
      </c>
      <c r="C8723" t="s">
        <v>26133</v>
      </c>
      <c r="D8723" t="str">
        <f>HYPERLINK("https://zfin.org/ZDB-GENE-030131-4546")</f>
        <v>https://zfin.org/ZDB-GENE-030131-4546</v>
      </c>
      <c r="E8723" t="s">
        <v>26134</v>
      </c>
    </row>
    <row r="8724" spans="1:5" x14ac:dyDescent="0.2">
      <c r="A8724" t="s">
        <v>26135</v>
      </c>
      <c r="B8724" t="s">
        <v>26136</v>
      </c>
      <c r="C8724" t="s">
        <v>26136</v>
      </c>
      <c r="D8724" t="str">
        <f>HYPERLINK("https://zfin.org/ZDB-GENE-040426-1118")</f>
        <v>https://zfin.org/ZDB-GENE-040426-1118</v>
      </c>
      <c r="E8724" t="s">
        <v>26137</v>
      </c>
    </row>
    <row r="8725" spans="1:5" x14ac:dyDescent="0.2">
      <c r="A8725" t="s">
        <v>26138</v>
      </c>
      <c r="B8725" t="s">
        <v>26139</v>
      </c>
      <c r="C8725" t="s">
        <v>26139</v>
      </c>
      <c r="D8725" t="str">
        <f>HYPERLINK("https://zfin.org/ZDB-GENE-041010-131")</f>
        <v>https://zfin.org/ZDB-GENE-041010-131</v>
      </c>
      <c r="E8725" t="s">
        <v>26140</v>
      </c>
    </row>
    <row r="8726" spans="1:5" x14ac:dyDescent="0.2">
      <c r="A8726" t="s">
        <v>26141</v>
      </c>
      <c r="B8726" t="s">
        <v>26142</v>
      </c>
      <c r="C8726" t="s">
        <v>26142</v>
      </c>
      <c r="D8726" t="str">
        <f>HYPERLINK("https://zfin.org/ZDB-GENE-060503-173")</f>
        <v>https://zfin.org/ZDB-GENE-060503-173</v>
      </c>
      <c r="E8726" t="s">
        <v>26143</v>
      </c>
    </row>
    <row r="8727" spans="1:5" x14ac:dyDescent="0.2">
      <c r="A8727" t="s">
        <v>26144</v>
      </c>
      <c r="B8727" t="s">
        <v>26145</v>
      </c>
      <c r="C8727" t="s">
        <v>26145</v>
      </c>
      <c r="D8727" t="str">
        <f>HYPERLINK("https://zfin.org/ZDB-GENE-050809-2")</f>
        <v>https://zfin.org/ZDB-GENE-050809-2</v>
      </c>
      <c r="E8727" t="s">
        <v>26146</v>
      </c>
    </row>
    <row r="8728" spans="1:5" x14ac:dyDescent="0.2">
      <c r="A8728" t="s">
        <v>26147</v>
      </c>
      <c r="B8728" t="s">
        <v>26148</v>
      </c>
      <c r="C8728" t="s">
        <v>26148</v>
      </c>
      <c r="D8728" t="str">
        <f>HYPERLINK("https://zfin.org/ZDB-GENE-120215-87")</f>
        <v>https://zfin.org/ZDB-GENE-120215-87</v>
      </c>
      <c r="E8728" t="s">
        <v>26149</v>
      </c>
    </row>
    <row r="8729" spans="1:5" x14ac:dyDescent="0.2">
      <c r="A8729" t="s">
        <v>26150</v>
      </c>
      <c r="B8729" t="s">
        <v>26151</v>
      </c>
      <c r="C8729" t="s">
        <v>26151</v>
      </c>
      <c r="D8729" t="str">
        <f>HYPERLINK("https://zfin.org/ZDB-GENE-081104-172")</f>
        <v>https://zfin.org/ZDB-GENE-081104-172</v>
      </c>
      <c r="E8729" t="s">
        <v>26152</v>
      </c>
    </row>
    <row r="8730" spans="1:5" x14ac:dyDescent="0.2">
      <c r="A8730" t="s">
        <v>26153</v>
      </c>
      <c r="B8730" t="s">
        <v>26154</v>
      </c>
      <c r="C8730" t="s">
        <v>26154</v>
      </c>
      <c r="D8730" t="str">
        <f>HYPERLINK("https://zfin.org/ZDB-GENE-110324-2")</f>
        <v>https://zfin.org/ZDB-GENE-110324-2</v>
      </c>
      <c r="E8730" t="s">
        <v>26155</v>
      </c>
    </row>
    <row r="8731" spans="1:5" x14ac:dyDescent="0.2">
      <c r="A8731" t="s">
        <v>26156</v>
      </c>
      <c r="B8731" t="s">
        <v>26157</v>
      </c>
      <c r="C8731" t="s">
        <v>26157</v>
      </c>
      <c r="D8731" t="str">
        <f>HYPERLINK("https://zfin.org/ZDB-GENE-080204-64")</f>
        <v>https://zfin.org/ZDB-GENE-080204-64</v>
      </c>
      <c r="E8731" t="s">
        <v>26158</v>
      </c>
    </row>
    <row r="8732" spans="1:5" x14ac:dyDescent="0.2">
      <c r="A8732" t="s">
        <v>26159</v>
      </c>
      <c r="B8732" t="s">
        <v>26160</v>
      </c>
      <c r="C8732" t="s">
        <v>26160</v>
      </c>
      <c r="D8732" t="str">
        <f>HYPERLINK("https://zfin.org/ZDB-GENE-040426-1701")</f>
        <v>https://zfin.org/ZDB-GENE-040426-1701</v>
      </c>
      <c r="E8732" t="s">
        <v>26161</v>
      </c>
    </row>
    <row r="8733" spans="1:5" x14ac:dyDescent="0.2">
      <c r="A8733" t="s">
        <v>26162</v>
      </c>
      <c r="B8733" t="s">
        <v>26163</v>
      </c>
      <c r="C8733" t="s">
        <v>26163</v>
      </c>
      <c r="D8733" t="str">
        <f>HYPERLINK("https://zfin.org/ZDB-GENE-030131-505")</f>
        <v>https://zfin.org/ZDB-GENE-030131-505</v>
      </c>
      <c r="E8733" t="s">
        <v>26164</v>
      </c>
    </row>
    <row r="8734" spans="1:5" x14ac:dyDescent="0.2">
      <c r="A8734" t="s">
        <v>26165</v>
      </c>
      <c r="B8734" t="s">
        <v>26166</v>
      </c>
      <c r="C8734" t="s">
        <v>26166</v>
      </c>
      <c r="D8734" t="str">
        <f>HYPERLINK("https://zfin.org/ZDB-GENE-030131-9100")</f>
        <v>https://zfin.org/ZDB-GENE-030131-9100</v>
      </c>
      <c r="E8734" t="s">
        <v>26167</v>
      </c>
    </row>
    <row r="8735" spans="1:5" x14ac:dyDescent="0.2">
      <c r="A8735" t="s">
        <v>26168</v>
      </c>
      <c r="B8735" t="s">
        <v>26169</v>
      </c>
      <c r="C8735" t="s">
        <v>26169</v>
      </c>
      <c r="D8735" t="str">
        <f>HYPERLINK("https://zfin.org/ZDB-GENE-051023-3")</f>
        <v>https://zfin.org/ZDB-GENE-051023-3</v>
      </c>
      <c r="E8735" t="s">
        <v>26170</v>
      </c>
    </row>
    <row r="8736" spans="1:5" x14ac:dyDescent="0.2">
      <c r="A8736" t="s">
        <v>26171</v>
      </c>
      <c r="B8736" t="s">
        <v>26172</v>
      </c>
      <c r="C8736" t="s">
        <v>26172</v>
      </c>
      <c r="D8736" t="str">
        <f>HYPERLINK("https://zfin.org/ZDB-GENE-060526-337")</f>
        <v>https://zfin.org/ZDB-GENE-060526-337</v>
      </c>
      <c r="E8736" t="s">
        <v>26173</v>
      </c>
    </row>
    <row r="8737" spans="1:5" x14ac:dyDescent="0.2">
      <c r="A8737" t="s">
        <v>26174</v>
      </c>
      <c r="B8737" t="s">
        <v>26175</v>
      </c>
      <c r="C8737" t="s">
        <v>26175</v>
      </c>
      <c r="D8737" t="str">
        <f>HYPERLINK("https://zfin.org/ZDB-GENE-041001-170")</f>
        <v>https://zfin.org/ZDB-GENE-041001-170</v>
      </c>
      <c r="E8737" t="s">
        <v>26176</v>
      </c>
    </row>
    <row r="8738" spans="1:5" x14ac:dyDescent="0.2">
      <c r="A8738" t="s">
        <v>26177</v>
      </c>
      <c r="B8738" t="s">
        <v>26178</v>
      </c>
      <c r="C8738" t="s">
        <v>26178</v>
      </c>
      <c r="D8738" t="str">
        <f>HYPERLINK("https://zfin.org/ZDB-GENE-040426-2150")</f>
        <v>https://zfin.org/ZDB-GENE-040426-2150</v>
      </c>
      <c r="E8738" t="s">
        <v>26179</v>
      </c>
    </row>
    <row r="8739" spans="1:5" x14ac:dyDescent="0.2">
      <c r="A8739" t="s">
        <v>26180</v>
      </c>
      <c r="B8739" t="s">
        <v>26181</v>
      </c>
      <c r="C8739" t="s">
        <v>26181</v>
      </c>
      <c r="D8739" t="str">
        <f>HYPERLINK("https://zfin.org/ZDB-GENE-070209-41")</f>
        <v>https://zfin.org/ZDB-GENE-070209-41</v>
      </c>
      <c r="E8739" t="s">
        <v>26182</v>
      </c>
    </row>
    <row r="8740" spans="1:5" x14ac:dyDescent="0.2">
      <c r="A8740" t="s">
        <v>26183</v>
      </c>
      <c r="B8740" t="s">
        <v>26184</v>
      </c>
      <c r="C8740" t="s">
        <v>26184</v>
      </c>
      <c r="D8740" t="str">
        <f>HYPERLINK("https://zfin.org/ZDB-GENE-040718-69")</f>
        <v>https://zfin.org/ZDB-GENE-040718-69</v>
      </c>
      <c r="E8740" t="s">
        <v>26185</v>
      </c>
    </row>
    <row r="8741" spans="1:5" x14ac:dyDescent="0.2">
      <c r="A8741" t="s">
        <v>26186</v>
      </c>
      <c r="B8741" t="s">
        <v>26187</v>
      </c>
      <c r="C8741" t="s">
        <v>26187</v>
      </c>
      <c r="D8741" t="str">
        <f>HYPERLINK("https://zfin.org/ZDB-GENE-030219-74")</f>
        <v>https://zfin.org/ZDB-GENE-030219-74</v>
      </c>
      <c r="E8741" t="s">
        <v>26188</v>
      </c>
    </row>
    <row r="8742" spans="1:5" x14ac:dyDescent="0.2">
      <c r="A8742" t="s">
        <v>26189</v>
      </c>
      <c r="B8742" t="s">
        <v>26190</v>
      </c>
      <c r="C8742" t="s">
        <v>26190</v>
      </c>
      <c r="D8742" t="str">
        <f>HYPERLINK("https://zfin.org/ZDB-GENE-100922-51")</f>
        <v>https://zfin.org/ZDB-GENE-100922-51</v>
      </c>
      <c r="E8742" t="s">
        <v>26191</v>
      </c>
    </row>
    <row r="8743" spans="1:5" x14ac:dyDescent="0.2">
      <c r="A8743" t="s">
        <v>26192</v>
      </c>
      <c r="B8743" t="s">
        <v>26193</v>
      </c>
      <c r="C8743" t="s">
        <v>26193</v>
      </c>
      <c r="D8743" t="str">
        <f>HYPERLINK("https://zfin.org/ZDB-GENE-070730-1")</f>
        <v>https://zfin.org/ZDB-GENE-070730-1</v>
      </c>
      <c r="E8743" t="s">
        <v>26194</v>
      </c>
    </row>
    <row r="8744" spans="1:5" x14ac:dyDescent="0.2">
      <c r="A8744" t="s">
        <v>26195</v>
      </c>
      <c r="B8744" t="s">
        <v>26196</v>
      </c>
      <c r="C8744" t="s">
        <v>26196</v>
      </c>
      <c r="D8744" t="str">
        <f>HYPERLINK("https://zfin.org/ZDB-GENE-061013-637")</f>
        <v>https://zfin.org/ZDB-GENE-061013-637</v>
      </c>
      <c r="E8744" t="s">
        <v>26197</v>
      </c>
    </row>
    <row r="8745" spans="1:5" x14ac:dyDescent="0.2">
      <c r="A8745" t="s">
        <v>26198</v>
      </c>
      <c r="B8745" t="s">
        <v>26199</v>
      </c>
      <c r="C8745" t="s">
        <v>26199</v>
      </c>
      <c r="D8745" t="str">
        <f>HYPERLINK("https://zfin.org/ZDB-GENE-030131-5736")</f>
        <v>https://zfin.org/ZDB-GENE-030131-5736</v>
      </c>
      <c r="E8745" t="s">
        <v>26200</v>
      </c>
    </row>
    <row r="8746" spans="1:5" x14ac:dyDescent="0.2">
      <c r="A8746" t="s">
        <v>26201</v>
      </c>
      <c r="B8746" t="s">
        <v>26202</v>
      </c>
      <c r="C8746" t="s">
        <v>26202</v>
      </c>
      <c r="D8746" t="str">
        <f>HYPERLINK("https://zfin.org/ZDB-GENE-080220-20")</f>
        <v>https://zfin.org/ZDB-GENE-080220-20</v>
      </c>
      <c r="E8746" t="s">
        <v>26203</v>
      </c>
    </row>
    <row r="8747" spans="1:5" x14ac:dyDescent="0.2">
      <c r="A8747" t="s">
        <v>26204</v>
      </c>
      <c r="B8747" t="s">
        <v>26205</v>
      </c>
      <c r="C8747" t="s">
        <v>26205</v>
      </c>
      <c r="D8747" t="str">
        <f>HYPERLINK("https://zfin.org/ZDB-GENE-070209-185")</f>
        <v>https://zfin.org/ZDB-GENE-070209-185</v>
      </c>
      <c r="E8747" t="s">
        <v>26206</v>
      </c>
    </row>
    <row r="8748" spans="1:5" x14ac:dyDescent="0.2">
      <c r="A8748" t="s">
        <v>26207</v>
      </c>
      <c r="B8748" t="s">
        <v>26208</v>
      </c>
      <c r="C8748" t="s">
        <v>26208</v>
      </c>
      <c r="D8748" t="str">
        <f>HYPERLINK("https://zfin.org/ZDB-GENE-060531-19")</f>
        <v>https://zfin.org/ZDB-GENE-060531-19</v>
      </c>
      <c r="E8748" t="s">
        <v>26209</v>
      </c>
    </row>
    <row r="8749" spans="1:5" x14ac:dyDescent="0.2">
      <c r="A8749" t="s">
        <v>26210</v>
      </c>
      <c r="B8749" t="s">
        <v>26211</v>
      </c>
      <c r="C8749" t="s">
        <v>26211</v>
      </c>
      <c r="D8749" t="str">
        <f>HYPERLINK("https://zfin.org/ZDB-GENE-040625-71")</f>
        <v>https://zfin.org/ZDB-GENE-040625-71</v>
      </c>
      <c r="E8749" t="s">
        <v>26212</v>
      </c>
    </row>
    <row r="8750" spans="1:5" x14ac:dyDescent="0.2">
      <c r="A8750" t="s">
        <v>26213</v>
      </c>
      <c r="B8750" t="s">
        <v>26214</v>
      </c>
      <c r="C8750" t="s">
        <v>26214</v>
      </c>
      <c r="D8750" t="str">
        <f>HYPERLINK("https://zfin.org/ZDB-GENE-030131-8168")</f>
        <v>https://zfin.org/ZDB-GENE-030131-8168</v>
      </c>
      <c r="E8750" t="s">
        <v>26215</v>
      </c>
    </row>
    <row r="8751" spans="1:5" x14ac:dyDescent="0.2">
      <c r="A8751" t="s">
        <v>26216</v>
      </c>
      <c r="B8751" t="s">
        <v>26217</v>
      </c>
      <c r="C8751" t="s">
        <v>26217</v>
      </c>
      <c r="D8751" t="str">
        <f>HYPERLINK("https://zfin.org/ZDB-GENE-061220-8")</f>
        <v>https://zfin.org/ZDB-GENE-061220-8</v>
      </c>
      <c r="E8751" t="s">
        <v>26218</v>
      </c>
    </row>
    <row r="8752" spans="1:5" x14ac:dyDescent="0.2">
      <c r="A8752" t="s">
        <v>26219</v>
      </c>
      <c r="B8752" t="s">
        <v>26220</v>
      </c>
      <c r="C8752" t="s">
        <v>26220</v>
      </c>
      <c r="D8752" t="str">
        <f>HYPERLINK("https://zfin.org/ZDB-GENE-100922-284")</f>
        <v>https://zfin.org/ZDB-GENE-100922-284</v>
      </c>
      <c r="E8752" t="s">
        <v>26221</v>
      </c>
    </row>
    <row r="8753" spans="1:5" x14ac:dyDescent="0.2">
      <c r="A8753" t="s">
        <v>26222</v>
      </c>
      <c r="B8753" t="s">
        <v>26223</v>
      </c>
      <c r="C8753" t="s">
        <v>26223</v>
      </c>
      <c r="D8753" t="str">
        <f>HYPERLINK("https://zfin.org/ZDB-GENE-040311-1")</f>
        <v>https://zfin.org/ZDB-GENE-040311-1</v>
      </c>
      <c r="E8753" t="s">
        <v>26224</v>
      </c>
    </row>
    <row r="8754" spans="1:5" x14ac:dyDescent="0.2">
      <c r="A8754" t="s">
        <v>26225</v>
      </c>
      <c r="B8754" t="s">
        <v>26226</v>
      </c>
      <c r="C8754" t="s">
        <v>26226</v>
      </c>
      <c r="D8754" t="str">
        <f>HYPERLINK("https://zfin.org/ZDB-GENE-100812-12")</f>
        <v>https://zfin.org/ZDB-GENE-100812-12</v>
      </c>
      <c r="E8754" t="s">
        <v>26227</v>
      </c>
    </row>
    <row r="8755" spans="1:5" x14ac:dyDescent="0.2">
      <c r="A8755" t="s">
        <v>26228</v>
      </c>
      <c r="B8755" t="s">
        <v>26229</v>
      </c>
      <c r="C8755" t="s">
        <v>26229</v>
      </c>
      <c r="D8755" t="str">
        <f>HYPERLINK("https://zfin.org/ZDB-GENE-100922-86")</f>
        <v>https://zfin.org/ZDB-GENE-100922-86</v>
      </c>
      <c r="E8755" t="s">
        <v>26230</v>
      </c>
    </row>
    <row r="8756" spans="1:5" x14ac:dyDescent="0.2">
      <c r="A8756" t="s">
        <v>26231</v>
      </c>
      <c r="B8756" t="s">
        <v>26232</v>
      </c>
      <c r="C8756" t="s">
        <v>26232</v>
      </c>
      <c r="D8756" t="str">
        <f>HYPERLINK("https://zfin.org/ZDB-GENE-040426-1616")</f>
        <v>https://zfin.org/ZDB-GENE-040426-1616</v>
      </c>
      <c r="E8756" t="s">
        <v>26233</v>
      </c>
    </row>
    <row r="8757" spans="1:5" x14ac:dyDescent="0.2">
      <c r="A8757" t="s">
        <v>26234</v>
      </c>
      <c r="B8757" t="s">
        <v>26235</v>
      </c>
      <c r="C8757" t="s">
        <v>26235</v>
      </c>
      <c r="D8757" t="str">
        <f>HYPERLINK("https://zfin.org/ZDB-GENE-050208-308")</f>
        <v>https://zfin.org/ZDB-GENE-050208-308</v>
      </c>
      <c r="E8757" t="s">
        <v>26236</v>
      </c>
    </row>
    <row r="8758" spans="1:5" x14ac:dyDescent="0.2">
      <c r="A8758" t="s">
        <v>26237</v>
      </c>
      <c r="B8758" t="s">
        <v>26238</v>
      </c>
      <c r="C8758" t="s">
        <v>26238</v>
      </c>
      <c r="D8758" t="str">
        <f>HYPERLINK("https://zfin.org/ZDB-GENE-030131-6031")</f>
        <v>https://zfin.org/ZDB-GENE-030131-6031</v>
      </c>
      <c r="E8758" t="s">
        <v>26239</v>
      </c>
    </row>
    <row r="8759" spans="1:5" x14ac:dyDescent="0.2">
      <c r="A8759" t="s">
        <v>26240</v>
      </c>
      <c r="B8759" t="s">
        <v>26241</v>
      </c>
      <c r="C8759" t="s">
        <v>26241</v>
      </c>
      <c r="D8759" t="str">
        <f>HYPERLINK("https://zfin.org/ZDB-GENE-040801-23")</f>
        <v>https://zfin.org/ZDB-GENE-040801-23</v>
      </c>
      <c r="E8759" t="s">
        <v>26242</v>
      </c>
    </row>
    <row r="8760" spans="1:5" x14ac:dyDescent="0.2">
      <c r="A8760" t="s">
        <v>26243</v>
      </c>
      <c r="B8760" t="s">
        <v>26244</v>
      </c>
      <c r="C8760" t="s">
        <v>26244</v>
      </c>
      <c r="D8760" t="str">
        <f>HYPERLINK("https://zfin.org/ZDB-GENE-040420-1")</f>
        <v>https://zfin.org/ZDB-GENE-040420-1</v>
      </c>
      <c r="E8760" t="s">
        <v>26245</v>
      </c>
    </row>
    <row r="8761" spans="1:5" x14ac:dyDescent="0.2">
      <c r="A8761" t="s">
        <v>26246</v>
      </c>
      <c r="B8761" t="s">
        <v>26247</v>
      </c>
      <c r="C8761" t="s">
        <v>26247</v>
      </c>
      <c r="D8761" t="str">
        <f>HYPERLINK("https://zfin.org/ZDB-GENE-040718-267")</f>
        <v>https://zfin.org/ZDB-GENE-040718-267</v>
      </c>
      <c r="E8761" t="s">
        <v>26248</v>
      </c>
    </row>
    <row r="8762" spans="1:5" x14ac:dyDescent="0.2">
      <c r="A8762" t="s">
        <v>26249</v>
      </c>
      <c r="B8762" t="s">
        <v>26250</v>
      </c>
      <c r="C8762" t="s">
        <v>26250</v>
      </c>
      <c r="D8762" t="str">
        <f>HYPERLINK("https://zfin.org/ZDB-GENE-040426-917")</f>
        <v>https://zfin.org/ZDB-GENE-040426-917</v>
      </c>
      <c r="E8762" t="s">
        <v>26251</v>
      </c>
    </row>
    <row r="8763" spans="1:5" x14ac:dyDescent="0.2">
      <c r="A8763" t="s">
        <v>26252</v>
      </c>
      <c r="B8763" t="s">
        <v>26253</v>
      </c>
      <c r="C8763" t="s">
        <v>26253</v>
      </c>
      <c r="D8763" t="str">
        <f>HYPERLINK("https://zfin.org/ZDB-GENE-131127-65")</f>
        <v>https://zfin.org/ZDB-GENE-131127-65</v>
      </c>
      <c r="E8763" t="s">
        <v>26254</v>
      </c>
    </row>
    <row r="8764" spans="1:5" x14ac:dyDescent="0.2">
      <c r="A8764" t="s">
        <v>26255</v>
      </c>
      <c r="B8764" t="s">
        <v>26256</v>
      </c>
      <c r="C8764" t="s">
        <v>26256</v>
      </c>
      <c r="D8764" t="str">
        <f>HYPERLINK("https://zfin.org/ZDB-GENE-040426-1033")</f>
        <v>https://zfin.org/ZDB-GENE-040426-1033</v>
      </c>
      <c r="E8764" t="s">
        <v>26257</v>
      </c>
    </row>
    <row r="8765" spans="1:5" x14ac:dyDescent="0.2">
      <c r="A8765" t="s">
        <v>26258</v>
      </c>
      <c r="B8765" t="s">
        <v>26259</v>
      </c>
      <c r="C8765" t="s">
        <v>26259</v>
      </c>
      <c r="D8765" t="str">
        <f>HYPERLINK("https://zfin.org/ZDB-GENE-010426-8")</f>
        <v>https://zfin.org/ZDB-GENE-010426-8</v>
      </c>
      <c r="E8765" t="s">
        <v>26260</v>
      </c>
    </row>
    <row r="8766" spans="1:5" x14ac:dyDescent="0.2">
      <c r="A8766" t="s">
        <v>26261</v>
      </c>
      <c r="B8766" t="s">
        <v>26262</v>
      </c>
      <c r="C8766" t="s">
        <v>26262</v>
      </c>
      <c r="D8766" t="str">
        <f>HYPERLINK("https://zfin.org/ZDB-GENE-040426-1218")</f>
        <v>https://zfin.org/ZDB-GENE-040426-1218</v>
      </c>
      <c r="E8766" t="s">
        <v>26263</v>
      </c>
    </row>
    <row r="8767" spans="1:5" x14ac:dyDescent="0.2">
      <c r="A8767" t="s">
        <v>26264</v>
      </c>
      <c r="B8767" t="s">
        <v>26265</v>
      </c>
      <c r="C8767" t="s">
        <v>26265</v>
      </c>
      <c r="D8767" t="str">
        <f>HYPERLINK("https://zfin.org/ZDB-GENE-060526-9")</f>
        <v>https://zfin.org/ZDB-GENE-060526-9</v>
      </c>
      <c r="E8767" t="s">
        <v>26266</v>
      </c>
    </row>
    <row r="8768" spans="1:5" x14ac:dyDescent="0.2">
      <c r="A8768" t="s">
        <v>26267</v>
      </c>
      <c r="B8768" t="s">
        <v>26268</v>
      </c>
      <c r="C8768" t="s">
        <v>26268</v>
      </c>
      <c r="D8768" t="str">
        <f>HYPERLINK("https://zfin.org/ZDB-GENE-131127-254")</f>
        <v>https://zfin.org/ZDB-GENE-131127-254</v>
      </c>
      <c r="E8768" t="s">
        <v>26269</v>
      </c>
    </row>
    <row r="8769" spans="1:5" x14ac:dyDescent="0.2">
      <c r="A8769" t="s">
        <v>26270</v>
      </c>
      <c r="B8769" t="s">
        <v>26271</v>
      </c>
      <c r="C8769" t="s">
        <v>26271</v>
      </c>
      <c r="D8769" t="str">
        <f>HYPERLINK("https://zfin.org/ZDB-GENE-980526-214")</f>
        <v>https://zfin.org/ZDB-GENE-980526-214</v>
      </c>
      <c r="E8769" t="s">
        <v>26272</v>
      </c>
    </row>
    <row r="8770" spans="1:5" x14ac:dyDescent="0.2">
      <c r="A8770" t="s">
        <v>26273</v>
      </c>
      <c r="B8770" t="s">
        <v>26274</v>
      </c>
      <c r="C8770" t="s">
        <v>26274</v>
      </c>
      <c r="D8770" t="str">
        <f>HYPERLINK("https://zfin.org/ZDB-GENE-120612-2")</f>
        <v>https://zfin.org/ZDB-GENE-120612-2</v>
      </c>
      <c r="E8770" t="s">
        <v>26275</v>
      </c>
    </row>
    <row r="8771" spans="1:5" x14ac:dyDescent="0.2">
      <c r="A8771" t="s">
        <v>26276</v>
      </c>
      <c r="B8771" t="s">
        <v>26277</v>
      </c>
      <c r="C8771" t="s">
        <v>26277</v>
      </c>
      <c r="D8771" t="str">
        <f>HYPERLINK("https://zfin.org/ZDB-GENE-110913-124")</f>
        <v>https://zfin.org/ZDB-GENE-110913-124</v>
      </c>
      <c r="E8771" t="s">
        <v>26278</v>
      </c>
    </row>
    <row r="8772" spans="1:5" x14ac:dyDescent="0.2">
      <c r="A8772" t="s">
        <v>26279</v>
      </c>
      <c r="B8772" t="s">
        <v>26280</v>
      </c>
      <c r="C8772" t="s">
        <v>26280</v>
      </c>
      <c r="D8772" t="str">
        <f>HYPERLINK("https://zfin.org/ZDB-GENE-050320-39")</f>
        <v>https://zfin.org/ZDB-GENE-050320-39</v>
      </c>
      <c r="E8772" t="s">
        <v>26281</v>
      </c>
    </row>
    <row r="8773" spans="1:5" x14ac:dyDescent="0.2">
      <c r="A8773" t="s">
        <v>26282</v>
      </c>
      <c r="B8773" t="s">
        <v>26283</v>
      </c>
      <c r="C8773" t="s">
        <v>26283</v>
      </c>
      <c r="D8773" t="str">
        <f>HYPERLINK("https://zfin.org/ZDB-GENE-030131-6223")</f>
        <v>https://zfin.org/ZDB-GENE-030131-6223</v>
      </c>
      <c r="E8773" t="s">
        <v>26284</v>
      </c>
    </row>
    <row r="8774" spans="1:5" x14ac:dyDescent="0.2">
      <c r="A8774" t="s">
        <v>26285</v>
      </c>
      <c r="B8774" t="s">
        <v>26286</v>
      </c>
      <c r="C8774" t="s">
        <v>26286</v>
      </c>
      <c r="D8774" t="str">
        <f>HYPERLINK("https://zfin.org/ZDB-GENE-030326-2")</f>
        <v>https://zfin.org/ZDB-GENE-030326-2</v>
      </c>
      <c r="E8774" t="s">
        <v>26287</v>
      </c>
    </row>
    <row r="8775" spans="1:5" x14ac:dyDescent="0.2">
      <c r="A8775" t="s">
        <v>26288</v>
      </c>
      <c r="B8775" t="s">
        <v>26289</v>
      </c>
      <c r="C8775" t="s">
        <v>26289</v>
      </c>
      <c r="D8775" t="str">
        <f>HYPERLINK("https://zfin.org/ZDB-GENE-990415-120")</f>
        <v>https://zfin.org/ZDB-GENE-990415-120</v>
      </c>
      <c r="E8775" t="s">
        <v>26290</v>
      </c>
    </row>
    <row r="8776" spans="1:5" x14ac:dyDescent="0.2">
      <c r="A8776" t="s">
        <v>26291</v>
      </c>
      <c r="B8776" t="s">
        <v>26292</v>
      </c>
      <c r="C8776" t="s">
        <v>26292</v>
      </c>
      <c r="D8776" t="str">
        <f>HYPERLINK("https://zfin.org/ZDB-GENE-100922-46")</f>
        <v>https://zfin.org/ZDB-GENE-100922-46</v>
      </c>
      <c r="E8776" t="s">
        <v>26293</v>
      </c>
    </row>
    <row r="8777" spans="1:5" x14ac:dyDescent="0.2">
      <c r="A8777" t="s">
        <v>26294</v>
      </c>
      <c r="B8777" t="s">
        <v>26295</v>
      </c>
      <c r="C8777" t="s">
        <v>26295</v>
      </c>
      <c r="D8777" t="str">
        <f>HYPERLINK("https://zfin.org/ZDB-GENE-041212-33")</f>
        <v>https://zfin.org/ZDB-GENE-041212-33</v>
      </c>
      <c r="E8777" t="s">
        <v>26296</v>
      </c>
    </row>
    <row r="8778" spans="1:5" x14ac:dyDescent="0.2">
      <c r="A8778" t="s">
        <v>26297</v>
      </c>
      <c r="B8778" t="s">
        <v>26298</v>
      </c>
      <c r="C8778" t="s">
        <v>26298</v>
      </c>
      <c r="D8778" t="str">
        <f>HYPERLINK("https://zfin.org/ZDB-GENE-030131-2281")</f>
        <v>https://zfin.org/ZDB-GENE-030131-2281</v>
      </c>
      <c r="E8778" t="s">
        <v>26299</v>
      </c>
    </row>
    <row r="8779" spans="1:5" x14ac:dyDescent="0.2">
      <c r="A8779" t="s">
        <v>26300</v>
      </c>
      <c r="B8779" t="s">
        <v>26301</v>
      </c>
      <c r="C8779" t="s">
        <v>26301</v>
      </c>
      <c r="D8779" t="str">
        <f>HYPERLINK("https://zfin.org/ZDB-GENE-040426-1749")</f>
        <v>https://zfin.org/ZDB-GENE-040426-1749</v>
      </c>
      <c r="E8779" t="s">
        <v>26302</v>
      </c>
    </row>
    <row r="8780" spans="1:5" x14ac:dyDescent="0.2">
      <c r="A8780" t="s">
        <v>26303</v>
      </c>
      <c r="B8780" t="s">
        <v>26304</v>
      </c>
      <c r="C8780" t="s">
        <v>26304</v>
      </c>
      <c r="D8780" t="str">
        <f>HYPERLINK("https://zfin.org/ZDB-GENE-040625-142")</f>
        <v>https://zfin.org/ZDB-GENE-040625-142</v>
      </c>
      <c r="E8780" t="s">
        <v>26305</v>
      </c>
    </row>
    <row r="8781" spans="1:5" x14ac:dyDescent="0.2">
      <c r="A8781" t="s">
        <v>26306</v>
      </c>
      <c r="B8781" t="s">
        <v>26307</v>
      </c>
      <c r="C8781" t="s">
        <v>26307</v>
      </c>
      <c r="D8781" t="str">
        <f>HYPERLINK("https://zfin.org/ZDB-GENE-060503-439")</f>
        <v>https://zfin.org/ZDB-GENE-060503-439</v>
      </c>
      <c r="E8781" t="s">
        <v>26308</v>
      </c>
    </row>
    <row r="8782" spans="1:5" x14ac:dyDescent="0.2">
      <c r="A8782" t="s">
        <v>26309</v>
      </c>
      <c r="B8782" t="s">
        <v>26310</v>
      </c>
      <c r="C8782" t="s">
        <v>26310</v>
      </c>
      <c r="D8782" t="str">
        <f>HYPERLINK("https://zfin.org/ZDB-GENE-030729-30")</f>
        <v>https://zfin.org/ZDB-GENE-030729-30</v>
      </c>
      <c r="E8782" t="s">
        <v>26311</v>
      </c>
    </row>
    <row r="8783" spans="1:5" x14ac:dyDescent="0.2">
      <c r="A8783" t="s">
        <v>26312</v>
      </c>
      <c r="B8783" t="s">
        <v>26313</v>
      </c>
      <c r="C8783" t="s">
        <v>26313</v>
      </c>
      <c r="D8783" t="str">
        <f>HYPERLINK("https://zfin.org/ZDB-GENE-100330-1")</f>
        <v>https://zfin.org/ZDB-GENE-100330-1</v>
      </c>
      <c r="E8783" t="s">
        <v>26314</v>
      </c>
    </row>
    <row r="8784" spans="1:5" x14ac:dyDescent="0.2">
      <c r="A8784" t="s">
        <v>26315</v>
      </c>
      <c r="B8784" t="s">
        <v>26316</v>
      </c>
      <c r="C8784" t="s">
        <v>26316</v>
      </c>
      <c r="D8784" t="str">
        <f>HYPERLINK("https://zfin.org/ZDB-GENE-030616-605")</f>
        <v>https://zfin.org/ZDB-GENE-030616-605</v>
      </c>
      <c r="E8784" t="s">
        <v>26317</v>
      </c>
    </row>
    <row r="8785" spans="1:5" x14ac:dyDescent="0.2">
      <c r="A8785" t="s">
        <v>26318</v>
      </c>
      <c r="B8785" t="s">
        <v>26319</v>
      </c>
      <c r="C8785" t="s">
        <v>26319</v>
      </c>
      <c r="D8785" t="str">
        <f>HYPERLINK("https://zfin.org/ZDB-GENE-090313-168")</f>
        <v>https://zfin.org/ZDB-GENE-090313-168</v>
      </c>
      <c r="E8785" t="s">
        <v>26320</v>
      </c>
    </row>
    <row r="8786" spans="1:5" x14ac:dyDescent="0.2">
      <c r="A8786" t="s">
        <v>26321</v>
      </c>
      <c r="B8786" t="s">
        <v>26322</v>
      </c>
      <c r="C8786" t="s">
        <v>26322</v>
      </c>
      <c r="D8786" t="str">
        <f>HYPERLINK("https://zfin.org/ZDB-GENE-040426-2020")</f>
        <v>https://zfin.org/ZDB-GENE-040426-2020</v>
      </c>
      <c r="E8786" t="s">
        <v>26323</v>
      </c>
    </row>
    <row r="8787" spans="1:5" x14ac:dyDescent="0.2">
      <c r="A8787" t="s">
        <v>26324</v>
      </c>
      <c r="B8787" t="s">
        <v>26325</v>
      </c>
      <c r="C8787" t="s">
        <v>26325</v>
      </c>
      <c r="D8787" t="str">
        <f>HYPERLINK("https://zfin.org/ZDB-GENE-030131-3956")</f>
        <v>https://zfin.org/ZDB-GENE-030131-3956</v>
      </c>
      <c r="E8787" t="s">
        <v>26326</v>
      </c>
    </row>
    <row r="8788" spans="1:5" x14ac:dyDescent="0.2">
      <c r="A8788" t="s">
        <v>26327</v>
      </c>
      <c r="B8788" t="s">
        <v>26328</v>
      </c>
      <c r="C8788" t="s">
        <v>26328</v>
      </c>
      <c r="D8788" t="str">
        <f>HYPERLINK("https://zfin.org/ZDB-GENE-030131-8567")</f>
        <v>https://zfin.org/ZDB-GENE-030131-8567</v>
      </c>
      <c r="E8788" t="s">
        <v>26329</v>
      </c>
    </row>
    <row r="8789" spans="1:5" x14ac:dyDescent="0.2">
      <c r="A8789" t="s">
        <v>26330</v>
      </c>
      <c r="B8789" t="s">
        <v>26331</v>
      </c>
      <c r="C8789" t="s">
        <v>26331</v>
      </c>
      <c r="D8789" t="str">
        <f>HYPERLINK("https://zfin.org/ZDB-GENE-011119-1")</f>
        <v>https://zfin.org/ZDB-GENE-011119-1</v>
      </c>
      <c r="E8789" t="s">
        <v>26332</v>
      </c>
    </row>
    <row r="8790" spans="1:5" x14ac:dyDescent="0.2">
      <c r="A8790" t="s">
        <v>26333</v>
      </c>
      <c r="B8790" t="s">
        <v>26334</v>
      </c>
      <c r="C8790" t="s">
        <v>26334</v>
      </c>
      <c r="D8790" t="str">
        <f>HYPERLINK("https://zfin.org/ZDB-GENE-090311-38")</f>
        <v>https://zfin.org/ZDB-GENE-090311-38</v>
      </c>
      <c r="E8790" t="s">
        <v>26335</v>
      </c>
    </row>
    <row r="8791" spans="1:5" x14ac:dyDescent="0.2">
      <c r="A8791" t="s">
        <v>26336</v>
      </c>
      <c r="B8791" t="s">
        <v>26337</v>
      </c>
      <c r="C8791" t="s">
        <v>26337</v>
      </c>
      <c r="D8791" t="str">
        <f>HYPERLINK("https://zfin.org/ZDB-GENE-130613-6")</f>
        <v>https://zfin.org/ZDB-GENE-130613-6</v>
      </c>
      <c r="E8791" t="s">
        <v>26338</v>
      </c>
    </row>
    <row r="8792" spans="1:5" x14ac:dyDescent="0.2">
      <c r="A8792" t="s">
        <v>26339</v>
      </c>
      <c r="B8792" t="s">
        <v>26340</v>
      </c>
      <c r="C8792" t="s">
        <v>26340</v>
      </c>
      <c r="D8792" t="str">
        <f>HYPERLINK("https://zfin.org/ZDB-GENE-080425-5")</f>
        <v>https://zfin.org/ZDB-GENE-080425-5</v>
      </c>
      <c r="E8792" t="s">
        <v>26341</v>
      </c>
    </row>
    <row r="8793" spans="1:5" x14ac:dyDescent="0.2">
      <c r="A8793" t="s">
        <v>26342</v>
      </c>
      <c r="B8793" t="s">
        <v>26343</v>
      </c>
      <c r="C8793" t="s">
        <v>26343</v>
      </c>
      <c r="D8793" t="str">
        <f>HYPERLINK("https://zfin.org/ZDB-GENE-040801-193")</f>
        <v>https://zfin.org/ZDB-GENE-040801-193</v>
      </c>
      <c r="E8793" t="s">
        <v>26344</v>
      </c>
    </row>
    <row r="8794" spans="1:5" x14ac:dyDescent="0.2">
      <c r="A8794" t="s">
        <v>26345</v>
      </c>
      <c r="B8794" t="s">
        <v>26346</v>
      </c>
      <c r="C8794" t="s">
        <v>26346</v>
      </c>
      <c r="D8794" t="str">
        <f>HYPERLINK("https://zfin.org/ZDB-GENE-041111-262")</f>
        <v>https://zfin.org/ZDB-GENE-041111-262</v>
      </c>
      <c r="E8794" t="s">
        <v>26347</v>
      </c>
    </row>
    <row r="8795" spans="1:5" x14ac:dyDescent="0.2">
      <c r="A8795" t="s">
        <v>26348</v>
      </c>
      <c r="B8795" t="s">
        <v>26349</v>
      </c>
      <c r="C8795" t="s">
        <v>26349</v>
      </c>
      <c r="D8795" t="str">
        <f>HYPERLINK("https://zfin.org/ZDB-GENE-010319-40")</f>
        <v>https://zfin.org/ZDB-GENE-010319-40</v>
      </c>
      <c r="E8795" t="s">
        <v>26350</v>
      </c>
    </row>
    <row r="8796" spans="1:5" x14ac:dyDescent="0.2">
      <c r="A8796" t="s">
        <v>26351</v>
      </c>
      <c r="B8796" t="s">
        <v>26352</v>
      </c>
      <c r="C8796" t="s">
        <v>26352</v>
      </c>
      <c r="D8796" t="str">
        <f>HYPERLINK("https://zfin.org/ZDB-GENE-080303-16")</f>
        <v>https://zfin.org/ZDB-GENE-080303-16</v>
      </c>
      <c r="E8796" t="s">
        <v>26353</v>
      </c>
    </row>
    <row r="8797" spans="1:5" x14ac:dyDescent="0.2">
      <c r="A8797" t="s">
        <v>26354</v>
      </c>
      <c r="B8797" t="s">
        <v>26355</v>
      </c>
      <c r="C8797" t="s">
        <v>26355</v>
      </c>
      <c r="D8797" t="str">
        <f>HYPERLINK("https://zfin.org/ZDB-GENE-110407-11")</f>
        <v>https://zfin.org/ZDB-GENE-110407-11</v>
      </c>
      <c r="E8797" t="s">
        <v>26356</v>
      </c>
    </row>
    <row r="8798" spans="1:5" x14ac:dyDescent="0.2">
      <c r="A8798" t="s">
        <v>26357</v>
      </c>
      <c r="B8798" t="s">
        <v>26358</v>
      </c>
      <c r="C8798" t="s">
        <v>26358</v>
      </c>
      <c r="D8798" t="str">
        <f>HYPERLINK("https://zfin.org/ZDB-GENE-041114-57")</f>
        <v>https://zfin.org/ZDB-GENE-041114-57</v>
      </c>
      <c r="E8798" t="s">
        <v>26359</v>
      </c>
    </row>
    <row r="8799" spans="1:5" x14ac:dyDescent="0.2">
      <c r="A8799" t="s">
        <v>26360</v>
      </c>
      <c r="B8799" t="s">
        <v>26361</v>
      </c>
      <c r="C8799" t="s">
        <v>26361</v>
      </c>
      <c r="D8799" t="str">
        <f>HYPERLINK("https://zfin.org/ZDB-GENE-050220-13")</f>
        <v>https://zfin.org/ZDB-GENE-050220-13</v>
      </c>
      <c r="E8799" t="s">
        <v>26362</v>
      </c>
    </row>
    <row r="8800" spans="1:5" x14ac:dyDescent="0.2">
      <c r="A8800" t="s">
        <v>26363</v>
      </c>
      <c r="B8800" t="s">
        <v>26364</v>
      </c>
      <c r="C8800" t="s">
        <v>26364</v>
      </c>
      <c r="D8800" t="str">
        <f>HYPERLINK("https://zfin.org/ZDB-GENE-131127-325")</f>
        <v>https://zfin.org/ZDB-GENE-131127-325</v>
      </c>
      <c r="E8800" t="s">
        <v>26365</v>
      </c>
    </row>
    <row r="8801" spans="1:5" x14ac:dyDescent="0.2">
      <c r="A8801" t="s">
        <v>26366</v>
      </c>
      <c r="B8801" t="s">
        <v>26367</v>
      </c>
      <c r="C8801" t="s">
        <v>26367</v>
      </c>
      <c r="D8801" t="str">
        <f>HYPERLINK("https://zfin.org/ZDB-GENE-120319-2")</f>
        <v>https://zfin.org/ZDB-GENE-120319-2</v>
      </c>
      <c r="E8801" t="s">
        <v>26368</v>
      </c>
    </row>
    <row r="8802" spans="1:5" x14ac:dyDescent="0.2">
      <c r="A8802" t="s">
        <v>26369</v>
      </c>
      <c r="B8802" t="s">
        <v>26370</v>
      </c>
      <c r="C8802" t="s">
        <v>26370</v>
      </c>
      <c r="D8802" t="str">
        <f>HYPERLINK("https://zfin.org/ZDB-GENE-061110-100")</f>
        <v>https://zfin.org/ZDB-GENE-061110-100</v>
      </c>
      <c r="E8802" t="s">
        <v>26371</v>
      </c>
    </row>
    <row r="8803" spans="1:5" x14ac:dyDescent="0.2">
      <c r="A8803" t="s">
        <v>26372</v>
      </c>
      <c r="B8803" t="s">
        <v>26373</v>
      </c>
      <c r="C8803" t="s">
        <v>26373</v>
      </c>
      <c r="D8803" t="str">
        <f>HYPERLINK("https://zfin.org/ZDB-GENE-070410-68")</f>
        <v>https://zfin.org/ZDB-GENE-070410-68</v>
      </c>
      <c r="E8803" t="s">
        <v>26374</v>
      </c>
    </row>
    <row r="8804" spans="1:5" x14ac:dyDescent="0.2">
      <c r="A8804" t="s">
        <v>26375</v>
      </c>
      <c r="B8804" t="s">
        <v>26376</v>
      </c>
      <c r="C8804" t="s">
        <v>26376</v>
      </c>
      <c r="D8804" t="str">
        <f>HYPERLINK("https://zfin.org/ZDB-GENE-090312-209")</f>
        <v>https://zfin.org/ZDB-GENE-090312-209</v>
      </c>
      <c r="E8804" t="s">
        <v>26377</v>
      </c>
    </row>
    <row r="8805" spans="1:5" x14ac:dyDescent="0.2">
      <c r="A8805" t="s">
        <v>26378</v>
      </c>
      <c r="B8805" t="s">
        <v>26379</v>
      </c>
      <c r="C8805" t="s">
        <v>26379</v>
      </c>
      <c r="D8805" t="str">
        <f>HYPERLINK("https://zfin.org/ZDB-GENE-060503-344")</f>
        <v>https://zfin.org/ZDB-GENE-060503-344</v>
      </c>
      <c r="E8805" t="s">
        <v>26380</v>
      </c>
    </row>
    <row r="8806" spans="1:5" x14ac:dyDescent="0.2">
      <c r="A8806" t="s">
        <v>26381</v>
      </c>
      <c r="B8806" t="s">
        <v>26382</v>
      </c>
      <c r="C8806" t="s">
        <v>26382</v>
      </c>
      <c r="D8806" t="str">
        <f>HYPERLINK("https://zfin.org/ZDB-GENE-040927-18")</f>
        <v>https://zfin.org/ZDB-GENE-040927-18</v>
      </c>
      <c r="E8806" t="s">
        <v>26383</v>
      </c>
    </row>
    <row r="8807" spans="1:5" x14ac:dyDescent="0.2">
      <c r="A8807" t="s">
        <v>26384</v>
      </c>
      <c r="B8807" t="s">
        <v>26385</v>
      </c>
      <c r="C8807" t="s">
        <v>26385</v>
      </c>
      <c r="D8807" t="str">
        <f>HYPERLINK("https://zfin.org/ZDB-GENE-030131-3606")</f>
        <v>https://zfin.org/ZDB-GENE-030131-3606</v>
      </c>
      <c r="E8807" t="s">
        <v>26386</v>
      </c>
    </row>
    <row r="8808" spans="1:5" x14ac:dyDescent="0.2">
      <c r="A8808" t="s">
        <v>26387</v>
      </c>
      <c r="B8808" t="s">
        <v>26388</v>
      </c>
      <c r="C8808" t="s">
        <v>26388</v>
      </c>
      <c r="D8808" t="str">
        <f>HYPERLINK("https://zfin.org/ZDB-GENE-030616-538")</f>
        <v>https://zfin.org/ZDB-GENE-030616-538</v>
      </c>
      <c r="E8808" t="s">
        <v>26389</v>
      </c>
    </row>
    <row r="8809" spans="1:5" x14ac:dyDescent="0.2">
      <c r="A8809" t="s">
        <v>26390</v>
      </c>
      <c r="B8809" t="s">
        <v>26292</v>
      </c>
      <c r="C8809" t="s">
        <v>26391</v>
      </c>
      <c r="D8809" t="str">
        <f>HYPERLINK("https://zfin.org/ZDB-GENE-041008-214")</f>
        <v>https://zfin.org/ZDB-GENE-041008-214</v>
      </c>
      <c r="E8809" t="s">
        <v>26392</v>
      </c>
    </row>
    <row r="8810" spans="1:5" x14ac:dyDescent="0.2">
      <c r="A8810" t="s">
        <v>26393</v>
      </c>
      <c r="B8810" t="s">
        <v>26394</v>
      </c>
      <c r="C8810" t="s">
        <v>26394</v>
      </c>
      <c r="D8810" t="str">
        <f>HYPERLINK("https://zfin.org/ZDB-GENE-061013-418")</f>
        <v>https://zfin.org/ZDB-GENE-061013-418</v>
      </c>
      <c r="E8810" t="s">
        <v>26395</v>
      </c>
    </row>
    <row r="8811" spans="1:5" x14ac:dyDescent="0.2">
      <c r="A8811" t="s">
        <v>26396</v>
      </c>
      <c r="B8811" t="s">
        <v>26397</v>
      </c>
      <c r="C8811" t="s">
        <v>26397</v>
      </c>
      <c r="D8811" t="str">
        <f>HYPERLINK("https://zfin.org/ZDB-GENE-040426-1510")</f>
        <v>https://zfin.org/ZDB-GENE-040426-1510</v>
      </c>
      <c r="E8811" t="s">
        <v>26398</v>
      </c>
    </row>
    <row r="8812" spans="1:5" x14ac:dyDescent="0.2">
      <c r="A8812" t="s">
        <v>26399</v>
      </c>
      <c r="B8812" t="s">
        <v>26400</v>
      </c>
      <c r="C8812" t="s">
        <v>26400</v>
      </c>
      <c r="D8812" t="str">
        <f>HYPERLINK("https://zfin.org/ZDB-GENE-061103-184")</f>
        <v>https://zfin.org/ZDB-GENE-061103-184</v>
      </c>
      <c r="E8812" t="s">
        <v>26401</v>
      </c>
    </row>
    <row r="8813" spans="1:5" x14ac:dyDescent="0.2">
      <c r="A8813" t="s">
        <v>26402</v>
      </c>
      <c r="B8813" t="s">
        <v>26403</v>
      </c>
      <c r="C8813" t="s">
        <v>26403</v>
      </c>
      <c r="D8813" t="str">
        <f>HYPERLINK("https://zfin.org/ZDB-GENE-090406-3")</f>
        <v>https://zfin.org/ZDB-GENE-090406-3</v>
      </c>
      <c r="E8813" t="s">
        <v>26404</v>
      </c>
    </row>
    <row r="8814" spans="1:5" x14ac:dyDescent="0.2">
      <c r="A8814" t="s">
        <v>26405</v>
      </c>
      <c r="B8814" t="s">
        <v>26406</v>
      </c>
      <c r="C8814" t="s">
        <v>26406</v>
      </c>
      <c r="D8814" t="str">
        <f>HYPERLINK("https://zfin.org/ZDB-GENE-040801-63")</f>
        <v>https://zfin.org/ZDB-GENE-040801-63</v>
      </c>
      <c r="E8814" t="s">
        <v>26407</v>
      </c>
    </row>
    <row r="8815" spans="1:5" x14ac:dyDescent="0.2">
      <c r="A8815" t="s">
        <v>26408</v>
      </c>
      <c r="B8815" t="s">
        <v>26409</v>
      </c>
      <c r="C8815" t="s">
        <v>26409</v>
      </c>
      <c r="D8815" t="str">
        <f>HYPERLINK("https://zfin.org/ZDB-GENE-030131-6577")</f>
        <v>https://zfin.org/ZDB-GENE-030131-6577</v>
      </c>
      <c r="E8815" t="s">
        <v>26410</v>
      </c>
    </row>
    <row r="8816" spans="1:5" x14ac:dyDescent="0.2">
      <c r="A8816" t="s">
        <v>26411</v>
      </c>
      <c r="B8816" t="s">
        <v>26412</v>
      </c>
      <c r="C8816" t="s">
        <v>26412</v>
      </c>
      <c r="D8816" t="str">
        <f>HYPERLINK("https://zfin.org/ZDB-GENE-051212-3")</f>
        <v>https://zfin.org/ZDB-GENE-051212-3</v>
      </c>
      <c r="E8816" t="s">
        <v>26413</v>
      </c>
    </row>
    <row r="8817" spans="1:5" x14ac:dyDescent="0.2">
      <c r="A8817" t="s">
        <v>26414</v>
      </c>
      <c r="B8817" t="s">
        <v>26415</v>
      </c>
      <c r="C8817" t="s">
        <v>26415</v>
      </c>
      <c r="D8817" t="str">
        <f>HYPERLINK("https://zfin.org/ZDB-GENE-030804-1")</f>
        <v>https://zfin.org/ZDB-GENE-030804-1</v>
      </c>
      <c r="E8817" t="s">
        <v>26416</v>
      </c>
    </row>
    <row r="8818" spans="1:5" x14ac:dyDescent="0.2">
      <c r="A8818" t="s">
        <v>26417</v>
      </c>
      <c r="B8818" t="s">
        <v>26418</v>
      </c>
      <c r="C8818" t="s">
        <v>26418</v>
      </c>
      <c r="D8818" t="str">
        <f>HYPERLINK("https://zfin.org/ZDB-GENE-040426-935")</f>
        <v>https://zfin.org/ZDB-GENE-040426-935</v>
      </c>
      <c r="E8818" t="s">
        <v>26419</v>
      </c>
    </row>
    <row r="8819" spans="1:5" x14ac:dyDescent="0.2">
      <c r="A8819" t="s">
        <v>26420</v>
      </c>
      <c r="B8819" t="s">
        <v>26421</v>
      </c>
      <c r="C8819" t="s">
        <v>26421</v>
      </c>
      <c r="D8819" t="str">
        <f>HYPERLINK("https://zfin.org/ZDB-GENE-050208-501")</f>
        <v>https://zfin.org/ZDB-GENE-050208-501</v>
      </c>
      <c r="E8819" t="s">
        <v>26422</v>
      </c>
    </row>
    <row r="8820" spans="1:5" x14ac:dyDescent="0.2">
      <c r="A8820" t="s">
        <v>26423</v>
      </c>
      <c r="B8820" t="s">
        <v>26424</v>
      </c>
      <c r="C8820" t="s">
        <v>26424</v>
      </c>
      <c r="D8820" t="str">
        <f>HYPERLINK("https://zfin.org/ZDB-GENE-140106-14")</f>
        <v>https://zfin.org/ZDB-GENE-140106-14</v>
      </c>
      <c r="E8820" t="s">
        <v>26425</v>
      </c>
    </row>
    <row r="8821" spans="1:5" x14ac:dyDescent="0.2">
      <c r="A8821" t="s">
        <v>26426</v>
      </c>
      <c r="B8821" t="s">
        <v>26427</v>
      </c>
      <c r="C8821" t="s">
        <v>26427</v>
      </c>
      <c r="D8821" t="str">
        <f>HYPERLINK("https://zfin.org/ZDB-GENE-060503-916")</f>
        <v>https://zfin.org/ZDB-GENE-060503-916</v>
      </c>
      <c r="E8821" t="s">
        <v>26428</v>
      </c>
    </row>
    <row r="8822" spans="1:5" x14ac:dyDescent="0.2">
      <c r="A8822" t="s">
        <v>26429</v>
      </c>
      <c r="B8822" t="s">
        <v>26430</v>
      </c>
      <c r="C8822" t="s">
        <v>26430</v>
      </c>
      <c r="D8822" t="str">
        <f>HYPERLINK("https://zfin.org/ZDB-GENE-050208-414")</f>
        <v>https://zfin.org/ZDB-GENE-050208-414</v>
      </c>
      <c r="E8822" t="s">
        <v>26431</v>
      </c>
    </row>
    <row r="8823" spans="1:5" x14ac:dyDescent="0.2">
      <c r="A8823" t="s">
        <v>26432</v>
      </c>
      <c r="B8823" t="s">
        <v>26433</v>
      </c>
      <c r="C8823" t="s">
        <v>26433</v>
      </c>
      <c r="D8823" t="str">
        <f>HYPERLINK("https://zfin.org/ZDB-GENE-021028-1")</f>
        <v>https://zfin.org/ZDB-GENE-021028-1</v>
      </c>
      <c r="E8823" t="s">
        <v>26434</v>
      </c>
    </row>
    <row r="8824" spans="1:5" x14ac:dyDescent="0.2">
      <c r="A8824" t="s">
        <v>26435</v>
      </c>
      <c r="B8824" t="s">
        <v>26436</v>
      </c>
      <c r="C8824" t="s">
        <v>26436</v>
      </c>
      <c r="D8824" t="str">
        <f>HYPERLINK("https://zfin.org/ZDB-GENE-080215-1")</f>
        <v>https://zfin.org/ZDB-GENE-080215-1</v>
      </c>
      <c r="E8824" t="s">
        <v>26437</v>
      </c>
    </row>
    <row r="8825" spans="1:5" x14ac:dyDescent="0.2">
      <c r="A8825" t="s">
        <v>26438</v>
      </c>
      <c r="B8825" t="s">
        <v>26439</v>
      </c>
      <c r="C8825" t="s">
        <v>26439</v>
      </c>
      <c r="D8825" t="str">
        <f>HYPERLINK("https://zfin.org/ZDB-GENE-041114-58")</f>
        <v>https://zfin.org/ZDB-GENE-041114-58</v>
      </c>
      <c r="E8825" t="s">
        <v>26440</v>
      </c>
    </row>
    <row r="8826" spans="1:5" x14ac:dyDescent="0.2">
      <c r="A8826" t="s">
        <v>26441</v>
      </c>
      <c r="B8826" t="s">
        <v>26442</v>
      </c>
      <c r="C8826" t="s">
        <v>26442</v>
      </c>
      <c r="D8826" t="str">
        <f>HYPERLINK("https://zfin.org/ZDB-GENE-060825-218")</f>
        <v>https://zfin.org/ZDB-GENE-060825-218</v>
      </c>
      <c r="E8826" t="s">
        <v>26443</v>
      </c>
    </row>
    <row r="8827" spans="1:5" x14ac:dyDescent="0.2">
      <c r="A8827" t="s">
        <v>26444</v>
      </c>
      <c r="B8827" t="s">
        <v>26445</v>
      </c>
      <c r="C8827" t="s">
        <v>26445</v>
      </c>
      <c r="D8827" t="str">
        <f>HYPERLINK("https://zfin.org/ZDB-GENE-070705-105")</f>
        <v>https://zfin.org/ZDB-GENE-070705-105</v>
      </c>
      <c r="E8827" t="s">
        <v>26446</v>
      </c>
    </row>
    <row r="8828" spans="1:5" x14ac:dyDescent="0.2">
      <c r="A8828" t="s">
        <v>26447</v>
      </c>
      <c r="B8828" t="s">
        <v>26448</v>
      </c>
      <c r="C8828" t="s">
        <v>26448</v>
      </c>
      <c r="D8828" t="str">
        <f>HYPERLINK("https://zfin.org/ZDB-GENE-040426-1976")</f>
        <v>https://zfin.org/ZDB-GENE-040426-1976</v>
      </c>
      <c r="E8828" t="s">
        <v>26449</v>
      </c>
    </row>
    <row r="8829" spans="1:5" x14ac:dyDescent="0.2">
      <c r="A8829" t="s">
        <v>26450</v>
      </c>
      <c r="B8829" t="s">
        <v>26451</v>
      </c>
      <c r="C8829" t="s">
        <v>26451</v>
      </c>
      <c r="D8829" t="str">
        <f>HYPERLINK("https://zfin.org/ZDB-GENE-010406-5")</f>
        <v>https://zfin.org/ZDB-GENE-010406-5</v>
      </c>
      <c r="E8829" t="s">
        <v>26452</v>
      </c>
    </row>
    <row r="8830" spans="1:5" x14ac:dyDescent="0.2">
      <c r="A8830" t="s">
        <v>26453</v>
      </c>
      <c r="B8830" t="s">
        <v>26454</v>
      </c>
      <c r="C8830" t="s">
        <v>26454</v>
      </c>
      <c r="D8830" t="str">
        <f>HYPERLINK("https://zfin.org/ZDB-GENE-050522-448")</f>
        <v>https://zfin.org/ZDB-GENE-050522-448</v>
      </c>
      <c r="E8830" t="s">
        <v>26455</v>
      </c>
    </row>
    <row r="8831" spans="1:5" x14ac:dyDescent="0.2">
      <c r="A8831" t="s">
        <v>26456</v>
      </c>
      <c r="B8831" t="s">
        <v>26457</v>
      </c>
      <c r="C8831" t="s">
        <v>26457</v>
      </c>
      <c r="D8831" t="str">
        <f>HYPERLINK("https://zfin.org/ZDB-GENE-030131-5056")</f>
        <v>https://zfin.org/ZDB-GENE-030131-5056</v>
      </c>
      <c r="E8831" t="s">
        <v>26458</v>
      </c>
    </row>
    <row r="8832" spans="1:5" x14ac:dyDescent="0.2">
      <c r="A8832" t="s">
        <v>26459</v>
      </c>
      <c r="B8832" t="s">
        <v>26460</v>
      </c>
      <c r="C8832" t="s">
        <v>26460</v>
      </c>
      <c r="D8832" t="str">
        <f>HYPERLINK("https://zfin.org/ZDB-GENE-050506-22")</f>
        <v>https://zfin.org/ZDB-GENE-050506-22</v>
      </c>
      <c r="E8832" t="s">
        <v>26461</v>
      </c>
    </row>
    <row r="8833" spans="1:5" x14ac:dyDescent="0.2">
      <c r="A8833" t="s">
        <v>26462</v>
      </c>
      <c r="B8833" t="s">
        <v>26463</v>
      </c>
      <c r="C8833" t="s">
        <v>26463</v>
      </c>
      <c r="D8833" t="str">
        <f>HYPERLINK("https://zfin.org/ZDB-GENE-030131-3876")</f>
        <v>https://zfin.org/ZDB-GENE-030131-3876</v>
      </c>
      <c r="E8833" t="s">
        <v>26464</v>
      </c>
    </row>
    <row r="8834" spans="1:5" x14ac:dyDescent="0.2">
      <c r="A8834" t="s">
        <v>26465</v>
      </c>
      <c r="B8834" t="s">
        <v>26466</v>
      </c>
      <c r="C8834" t="s">
        <v>26466</v>
      </c>
      <c r="D8834" t="str">
        <f>HYPERLINK("https://zfin.org/ZDB-GENE-130530-729")</f>
        <v>https://zfin.org/ZDB-GENE-130530-729</v>
      </c>
      <c r="E8834" t="s">
        <v>26467</v>
      </c>
    </row>
    <row r="8835" spans="1:5" x14ac:dyDescent="0.2">
      <c r="A8835" t="s">
        <v>26468</v>
      </c>
      <c r="B8835" t="s">
        <v>26469</v>
      </c>
      <c r="C8835" t="s">
        <v>26469</v>
      </c>
      <c r="D8835" t="str">
        <f>HYPERLINK("https://zfin.org/ZDB-GENE-130404-2")</f>
        <v>https://zfin.org/ZDB-GENE-130404-2</v>
      </c>
      <c r="E8835" t="s">
        <v>26470</v>
      </c>
    </row>
    <row r="8836" spans="1:5" x14ac:dyDescent="0.2">
      <c r="A8836" t="s">
        <v>26471</v>
      </c>
      <c r="B8836" t="s">
        <v>26472</v>
      </c>
      <c r="C8836" t="s">
        <v>26472</v>
      </c>
      <c r="D8836" t="str">
        <f>HYPERLINK("https://zfin.org/ZDB-GENE-030131-9834")</f>
        <v>https://zfin.org/ZDB-GENE-030131-9834</v>
      </c>
      <c r="E8836" t="s">
        <v>26473</v>
      </c>
    </row>
    <row r="8837" spans="1:5" x14ac:dyDescent="0.2">
      <c r="A8837" t="s">
        <v>26474</v>
      </c>
      <c r="B8837" t="s">
        <v>26475</v>
      </c>
      <c r="C8837" t="s">
        <v>26475</v>
      </c>
      <c r="D8837" t="str">
        <f>HYPERLINK("https://zfin.org/ZDB-GENE-050321-1")</f>
        <v>https://zfin.org/ZDB-GENE-050321-1</v>
      </c>
      <c r="E8837" t="s">
        <v>26476</v>
      </c>
    </row>
    <row r="8838" spans="1:5" x14ac:dyDescent="0.2">
      <c r="A8838" t="s">
        <v>26477</v>
      </c>
      <c r="B8838" t="s">
        <v>26478</v>
      </c>
      <c r="C8838" t="s">
        <v>26478</v>
      </c>
      <c r="D8838" t="str">
        <f>HYPERLINK("https://zfin.org/ZDB-GENE-061103-403")</f>
        <v>https://zfin.org/ZDB-GENE-061103-403</v>
      </c>
      <c r="E8838" t="s">
        <v>26479</v>
      </c>
    </row>
    <row r="8839" spans="1:5" x14ac:dyDescent="0.2">
      <c r="A8839" t="s">
        <v>26480</v>
      </c>
      <c r="B8839" t="s">
        <v>26481</v>
      </c>
      <c r="C8839" t="s">
        <v>26481</v>
      </c>
      <c r="D8839" t="str">
        <f>HYPERLINK("https://zfin.org/ZDB-GENE-040426-1903")</f>
        <v>https://zfin.org/ZDB-GENE-040426-1903</v>
      </c>
      <c r="E8839" t="s">
        <v>26482</v>
      </c>
    </row>
    <row r="8840" spans="1:5" x14ac:dyDescent="0.2">
      <c r="A8840" t="s">
        <v>26483</v>
      </c>
      <c r="B8840" t="s">
        <v>26484</v>
      </c>
      <c r="C8840" t="s">
        <v>26484</v>
      </c>
      <c r="D8840" t="str">
        <f>HYPERLINK("https://zfin.org/ZDB-GENE-141216-189")</f>
        <v>https://zfin.org/ZDB-GENE-141216-189</v>
      </c>
      <c r="E8840" t="s">
        <v>26485</v>
      </c>
    </row>
    <row r="8841" spans="1:5" x14ac:dyDescent="0.2">
      <c r="A8841" t="s">
        <v>26486</v>
      </c>
      <c r="B8841" t="s">
        <v>26487</v>
      </c>
      <c r="C8841" t="s">
        <v>26487</v>
      </c>
      <c r="D8841" t="str">
        <f>HYPERLINK("https://zfin.org/ZDB-GENE-070801-5")</f>
        <v>https://zfin.org/ZDB-GENE-070801-5</v>
      </c>
      <c r="E8841" t="s">
        <v>26488</v>
      </c>
    </row>
    <row r="8842" spans="1:5" x14ac:dyDescent="0.2">
      <c r="A8842" t="s">
        <v>26489</v>
      </c>
      <c r="B8842" t="s">
        <v>26490</v>
      </c>
      <c r="C8842" t="s">
        <v>26490</v>
      </c>
      <c r="D8842" t="str">
        <f>HYPERLINK("https://zfin.org/ZDB-GENE-090112-5")</f>
        <v>https://zfin.org/ZDB-GENE-090112-5</v>
      </c>
      <c r="E8842" t="s">
        <v>26491</v>
      </c>
    </row>
    <row r="8843" spans="1:5" x14ac:dyDescent="0.2">
      <c r="A8843" t="s">
        <v>26492</v>
      </c>
      <c r="B8843" t="s">
        <v>26493</v>
      </c>
      <c r="C8843" t="s">
        <v>26493</v>
      </c>
      <c r="D8843" t="str">
        <f>HYPERLINK("https://zfin.org/ZDB-GENE-040912-54")</f>
        <v>https://zfin.org/ZDB-GENE-040912-54</v>
      </c>
      <c r="E8843" t="s">
        <v>26494</v>
      </c>
    </row>
    <row r="8844" spans="1:5" x14ac:dyDescent="0.2">
      <c r="A8844" t="s">
        <v>26495</v>
      </c>
      <c r="B8844" t="s">
        <v>26496</v>
      </c>
      <c r="C8844" t="s">
        <v>26496</v>
      </c>
      <c r="D8844" t="str">
        <f>HYPERLINK("https://zfin.org/ZDB-GENE-141216-244")</f>
        <v>https://zfin.org/ZDB-GENE-141216-244</v>
      </c>
      <c r="E8844" t="s">
        <v>26497</v>
      </c>
    </row>
    <row r="8845" spans="1:5" x14ac:dyDescent="0.2">
      <c r="A8845" t="s">
        <v>26498</v>
      </c>
      <c r="B8845" t="s">
        <v>26499</v>
      </c>
      <c r="C8845" t="s">
        <v>26499</v>
      </c>
      <c r="D8845" t="str">
        <f>HYPERLINK("https://zfin.org/ZDB-GENE-050913-77")</f>
        <v>https://zfin.org/ZDB-GENE-050913-77</v>
      </c>
      <c r="E8845" t="s">
        <v>26500</v>
      </c>
    </row>
    <row r="8846" spans="1:5" x14ac:dyDescent="0.2">
      <c r="A8846" t="s">
        <v>26501</v>
      </c>
      <c r="B8846" t="s">
        <v>26502</v>
      </c>
      <c r="C8846" t="s">
        <v>26502</v>
      </c>
      <c r="D8846" t="str">
        <f>HYPERLINK("https://zfin.org/ZDB-GENE-091204-455")</f>
        <v>https://zfin.org/ZDB-GENE-091204-455</v>
      </c>
      <c r="E8846" t="s">
        <v>26503</v>
      </c>
    </row>
    <row r="8847" spans="1:5" x14ac:dyDescent="0.2">
      <c r="A8847" t="s">
        <v>26504</v>
      </c>
      <c r="B8847" t="s">
        <v>26505</v>
      </c>
      <c r="C8847" t="s">
        <v>26505</v>
      </c>
      <c r="D8847" t="str">
        <f>HYPERLINK("https://zfin.org/ZDB-GENE-040912-88")</f>
        <v>https://zfin.org/ZDB-GENE-040912-88</v>
      </c>
      <c r="E8847" t="s">
        <v>26506</v>
      </c>
    </row>
    <row r="8848" spans="1:5" x14ac:dyDescent="0.2">
      <c r="A8848" t="s">
        <v>26507</v>
      </c>
      <c r="B8848" t="s">
        <v>26508</v>
      </c>
      <c r="C8848" t="s">
        <v>26508</v>
      </c>
      <c r="D8848" t="str">
        <f>HYPERLINK("https://zfin.org/ZDB-GENE-141216-18")</f>
        <v>https://zfin.org/ZDB-GENE-141216-18</v>
      </c>
      <c r="E8848" t="s">
        <v>26509</v>
      </c>
    </row>
    <row r="8849" spans="1:5" x14ac:dyDescent="0.2">
      <c r="A8849" t="s">
        <v>26510</v>
      </c>
      <c r="B8849" t="s">
        <v>26511</v>
      </c>
      <c r="C8849" t="s">
        <v>26511</v>
      </c>
      <c r="D8849" t="str">
        <f>HYPERLINK("https://zfin.org/ZDB-GENE-040625-21")</f>
        <v>https://zfin.org/ZDB-GENE-040625-21</v>
      </c>
      <c r="E8849" t="s">
        <v>26512</v>
      </c>
    </row>
    <row r="8850" spans="1:5" x14ac:dyDescent="0.2">
      <c r="A8850" t="s">
        <v>26513</v>
      </c>
      <c r="B8850" t="s">
        <v>26514</v>
      </c>
      <c r="C8850" t="s">
        <v>26514</v>
      </c>
      <c r="D8850" t="str">
        <f>HYPERLINK("https://zfin.org/ZDB-GENE-040718-398")</f>
        <v>https://zfin.org/ZDB-GENE-040718-398</v>
      </c>
      <c r="E8850" t="s">
        <v>26515</v>
      </c>
    </row>
    <row r="8851" spans="1:5" x14ac:dyDescent="0.2">
      <c r="A8851" t="s">
        <v>26516</v>
      </c>
      <c r="B8851" t="s">
        <v>26517</v>
      </c>
      <c r="C8851" t="s">
        <v>26517</v>
      </c>
      <c r="D8851" t="str">
        <f>HYPERLINK("https://zfin.org/ZDB-GENE-080721-18")</f>
        <v>https://zfin.org/ZDB-GENE-080721-18</v>
      </c>
      <c r="E8851" t="s">
        <v>26518</v>
      </c>
    </row>
    <row r="8852" spans="1:5" x14ac:dyDescent="0.2">
      <c r="A8852" t="s">
        <v>26519</v>
      </c>
      <c r="B8852" t="s">
        <v>26520</v>
      </c>
      <c r="C8852" t="s">
        <v>26520</v>
      </c>
      <c r="D8852" t="str">
        <f>HYPERLINK("https://zfin.org/ZDB-GENE-051030-96")</f>
        <v>https://zfin.org/ZDB-GENE-051030-96</v>
      </c>
      <c r="E8852" t="s">
        <v>26521</v>
      </c>
    </row>
    <row r="8853" spans="1:5" x14ac:dyDescent="0.2">
      <c r="A8853" t="s">
        <v>26522</v>
      </c>
      <c r="B8853" t="s">
        <v>26523</v>
      </c>
      <c r="C8853" t="s">
        <v>26523</v>
      </c>
      <c r="D8853" t="str">
        <f>HYPERLINK("https://zfin.org/ZDB-GENE-050522-55")</f>
        <v>https://zfin.org/ZDB-GENE-050522-55</v>
      </c>
      <c r="E8853" t="s">
        <v>26524</v>
      </c>
    </row>
    <row r="8854" spans="1:5" x14ac:dyDescent="0.2">
      <c r="A8854" t="s">
        <v>26525</v>
      </c>
      <c r="B8854" t="s">
        <v>26526</v>
      </c>
      <c r="C8854" t="s">
        <v>26526</v>
      </c>
      <c r="D8854" t="str">
        <f>HYPERLINK("https://zfin.org/ZDB-GENE-030131-5074")</f>
        <v>https://zfin.org/ZDB-GENE-030131-5074</v>
      </c>
      <c r="E8854" t="s">
        <v>26527</v>
      </c>
    </row>
    <row r="8855" spans="1:5" x14ac:dyDescent="0.2">
      <c r="A8855" t="s">
        <v>26528</v>
      </c>
      <c r="B8855" t="s">
        <v>26529</v>
      </c>
      <c r="C8855" t="s">
        <v>26529</v>
      </c>
      <c r="D8855" t="str">
        <f>HYPERLINK("https://zfin.org/ZDB-GENE-030131-139")</f>
        <v>https://zfin.org/ZDB-GENE-030131-139</v>
      </c>
      <c r="E8855" t="s">
        <v>26530</v>
      </c>
    </row>
    <row r="8856" spans="1:5" x14ac:dyDescent="0.2">
      <c r="A8856" t="s">
        <v>26531</v>
      </c>
      <c r="B8856" t="s">
        <v>26532</v>
      </c>
      <c r="C8856" t="s">
        <v>26532</v>
      </c>
      <c r="D8856" t="str">
        <f>HYPERLINK("https://zfin.org/ZDB-GENE-030131-2860")</f>
        <v>https://zfin.org/ZDB-GENE-030131-2860</v>
      </c>
      <c r="E8856" t="s">
        <v>26533</v>
      </c>
    </row>
    <row r="8857" spans="1:5" x14ac:dyDescent="0.2">
      <c r="A8857" t="s">
        <v>26534</v>
      </c>
      <c r="B8857" t="s">
        <v>26535</v>
      </c>
      <c r="C8857" t="s">
        <v>26535</v>
      </c>
      <c r="D8857" t="str">
        <f>HYPERLINK("https://zfin.org/ZDB-GENE-050525-2")</f>
        <v>https://zfin.org/ZDB-GENE-050525-2</v>
      </c>
      <c r="E8857" t="s">
        <v>26536</v>
      </c>
    </row>
    <row r="8858" spans="1:5" x14ac:dyDescent="0.2">
      <c r="A8858" t="s">
        <v>26537</v>
      </c>
      <c r="B8858" t="s">
        <v>26538</v>
      </c>
      <c r="C8858" t="s">
        <v>26538</v>
      </c>
      <c r="D8858" t="str">
        <f>HYPERLINK("https://zfin.org/ZDB-GENE-040714-3")</f>
        <v>https://zfin.org/ZDB-GENE-040714-3</v>
      </c>
      <c r="E8858" t="s">
        <v>26539</v>
      </c>
    </row>
    <row r="8859" spans="1:5" x14ac:dyDescent="0.2">
      <c r="A8859" t="s">
        <v>26540</v>
      </c>
      <c r="B8859" t="s">
        <v>26541</v>
      </c>
      <c r="C8859" t="s">
        <v>26541</v>
      </c>
      <c r="D8859" t="str">
        <f>HYPERLINK("https://zfin.org/ZDB-GENE-010426-5")</f>
        <v>https://zfin.org/ZDB-GENE-010426-5</v>
      </c>
      <c r="E8859" t="s">
        <v>26542</v>
      </c>
    </row>
    <row r="8860" spans="1:5" x14ac:dyDescent="0.2">
      <c r="A8860" t="s">
        <v>26543</v>
      </c>
      <c r="B8860" t="s">
        <v>26544</v>
      </c>
      <c r="C8860" t="s">
        <v>26544</v>
      </c>
      <c r="D8860" t="str">
        <f>HYPERLINK("https://zfin.org/ZDB-GENE-050320-20")</f>
        <v>https://zfin.org/ZDB-GENE-050320-20</v>
      </c>
      <c r="E8860" t="s">
        <v>26545</v>
      </c>
    </row>
    <row r="8861" spans="1:5" x14ac:dyDescent="0.2">
      <c r="A8861" t="s">
        <v>26546</v>
      </c>
      <c r="B8861" t="s">
        <v>26547</v>
      </c>
      <c r="C8861" t="s">
        <v>26547</v>
      </c>
      <c r="D8861" t="str">
        <f>HYPERLINK("https://zfin.org/ZDB-GENE-060306-3")</f>
        <v>https://zfin.org/ZDB-GENE-060306-3</v>
      </c>
      <c r="E8861" t="s">
        <v>26548</v>
      </c>
    </row>
    <row r="8862" spans="1:5" x14ac:dyDescent="0.2">
      <c r="A8862" t="s">
        <v>26549</v>
      </c>
      <c r="B8862" t="s">
        <v>26550</v>
      </c>
      <c r="C8862" t="s">
        <v>26550</v>
      </c>
      <c r="D8862" t="str">
        <f>HYPERLINK("https://zfin.org/ZDB-GENE-090312-102")</f>
        <v>https://zfin.org/ZDB-GENE-090312-102</v>
      </c>
      <c r="E8862" t="s">
        <v>26551</v>
      </c>
    </row>
    <row r="8863" spans="1:5" x14ac:dyDescent="0.2">
      <c r="A8863" t="s">
        <v>26552</v>
      </c>
      <c r="B8863" t="s">
        <v>26553</v>
      </c>
      <c r="C8863" t="s">
        <v>26553</v>
      </c>
      <c r="D8863" t="str">
        <f>HYPERLINK("https://zfin.org/ZDB-GENE-060825-21")</f>
        <v>https://zfin.org/ZDB-GENE-060825-21</v>
      </c>
      <c r="E8863" t="s">
        <v>26554</v>
      </c>
    </row>
    <row r="8864" spans="1:5" x14ac:dyDescent="0.2">
      <c r="A8864" t="s">
        <v>26555</v>
      </c>
      <c r="B8864" t="s">
        <v>26556</v>
      </c>
      <c r="C8864" t="s">
        <v>26556</v>
      </c>
      <c r="D8864" t="str">
        <f>HYPERLINK("https://zfin.org/ZDB-GENE-040718-349")</f>
        <v>https://zfin.org/ZDB-GENE-040718-349</v>
      </c>
      <c r="E8864" t="s">
        <v>26557</v>
      </c>
    </row>
    <row r="8865" spans="1:5" x14ac:dyDescent="0.2">
      <c r="A8865" t="s">
        <v>26558</v>
      </c>
      <c r="B8865" t="s">
        <v>26559</v>
      </c>
      <c r="C8865" t="s">
        <v>26559</v>
      </c>
      <c r="D8865" t="str">
        <f>HYPERLINK("https://zfin.org/ZDB-GENE-040426-2172")</f>
        <v>https://zfin.org/ZDB-GENE-040426-2172</v>
      </c>
      <c r="E8865" t="s">
        <v>26560</v>
      </c>
    </row>
    <row r="8866" spans="1:5" x14ac:dyDescent="0.2">
      <c r="A8866" t="s">
        <v>26561</v>
      </c>
      <c r="B8866" t="s">
        <v>26562</v>
      </c>
      <c r="C8866" t="s">
        <v>26562</v>
      </c>
      <c r="D8866" t="str">
        <f>HYPERLINK("https://zfin.org/ZDB-GENE-020228-2")</f>
        <v>https://zfin.org/ZDB-GENE-020228-2</v>
      </c>
      <c r="E8866" t="s">
        <v>26563</v>
      </c>
    </row>
    <row r="8867" spans="1:5" x14ac:dyDescent="0.2">
      <c r="A8867" t="s">
        <v>26564</v>
      </c>
      <c r="B8867" t="s">
        <v>26565</v>
      </c>
      <c r="C8867" t="s">
        <v>26565</v>
      </c>
      <c r="D8867" t="str">
        <f>HYPERLINK("https://zfin.org/ZDB-GENE-110411-76")</f>
        <v>https://zfin.org/ZDB-GENE-110411-76</v>
      </c>
      <c r="E8867" t="s">
        <v>26566</v>
      </c>
    </row>
    <row r="8868" spans="1:5" x14ac:dyDescent="0.2">
      <c r="A8868" t="s">
        <v>26567</v>
      </c>
      <c r="B8868" t="s">
        <v>26568</v>
      </c>
      <c r="C8868" t="s">
        <v>26568</v>
      </c>
      <c r="D8868" t="str">
        <f>HYPERLINK("https://zfin.org/ZDB-GENE-050522-97")</f>
        <v>https://zfin.org/ZDB-GENE-050522-97</v>
      </c>
      <c r="E8868" t="s">
        <v>26569</v>
      </c>
    </row>
    <row r="8869" spans="1:5" x14ac:dyDescent="0.2">
      <c r="A8869" t="s">
        <v>26570</v>
      </c>
      <c r="B8869" t="s">
        <v>26571</v>
      </c>
      <c r="C8869" t="s">
        <v>26571</v>
      </c>
      <c r="D8869" t="str">
        <f>HYPERLINK("https://zfin.org/ZDB-GENE-060503-705")</f>
        <v>https://zfin.org/ZDB-GENE-060503-705</v>
      </c>
      <c r="E8869" t="s">
        <v>26572</v>
      </c>
    </row>
    <row r="8870" spans="1:5" x14ac:dyDescent="0.2">
      <c r="A8870" t="s">
        <v>26573</v>
      </c>
      <c r="B8870" t="s">
        <v>26574</v>
      </c>
      <c r="C8870" t="s">
        <v>26574</v>
      </c>
      <c r="D8870" t="str">
        <f>HYPERLINK("https://zfin.org/ZDB-GENE-041010-196")</f>
        <v>https://zfin.org/ZDB-GENE-041010-196</v>
      </c>
      <c r="E8870" t="s">
        <v>26575</v>
      </c>
    </row>
    <row r="8871" spans="1:5" x14ac:dyDescent="0.2">
      <c r="A8871" t="s">
        <v>26576</v>
      </c>
      <c r="B8871" t="s">
        <v>26577</v>
      </c>
      <c r="C8871" t="s">
        <v>26577</v>
      </c>
      <c r="D8871" t="str">
        <f>HYPERLINK("https://zfin.org/ZDB-GENE-050522-391")</f>
        <v>https://zfin.org/ZDB-GENE-050522-391</v>
      </c>
      <c r="E8871" t="s">
        <v>26578</v>
      </c>
    </row>
    <row r="8872" spans="1:5" x14ac:dyDescent="0.2">
      <c r="A8872" t="s">
        <v>26579</v>
      </c>
      <c r="B8872" t="s">
        <v>26580</v>
      </c>
      <c r="C8872" t="s">
        <v>26580</v>
      </c>
      <c r="D8872" t="str">
        <f>HYPERLINK("https://zfin.org/ZDB-GENE-030131-6385")</f>
        <v>https://zfin.org/ZDB-GENE-030131-6385</v>
      </c>
      <c r="E8872" t="s">
        <v>26581</v>
      </c>
    </row>
    <row r="8873" spans="1:5" x14ac:dyDescent="0.2">
      <c r="A8873" t="s">
        <v>26582</v>
      </c>
      <c r="B8873" t="s">
        <v>26583</v>
      </c>
      <c r="C8873" t="s">
        <v>26583</v>
      </c>
      <c r="D8873" t="str">
        <f>HYPERLINK("https://zfin.org/ZDB-GENE-050208-516")</f>
        <v>https://zfin.org/ZDB-GENE-050208-516</v>
      </c>
      <c r="E8873" t="s">
        <v>26584</v>
      </c>
    </row>
    <row r="8874" spans="1:5" x14ac:dyDescent="0.2">
      <c r="A8874" t="s">
        <v>26585</v>
      </c>
      <c r="B8874" t="s">
        <v>26586</v>
      </c>
      <c r="C8874" t="s">
        <v>26586</v>
      </c>
      <c r="D8874" t="str">
        <f>HYPERLINK("https://zfin.org/ZDB-GENE-030131-2826")</f>
        <v>https://zfin.org/ZDB-GENE-030131-2826</v>
      </c>
      <c r="E8874" t="s">
        <v>26587</v>
      </c>
    </row>
    <row r="8875" spans="1:5" x14ac:dyDescent="0.2">
      <c r="A8875" t="s">
        <v>26588</v>
      </c>
      <c r="B8875" t="s">
        <v>26589</v>
      </c>
      <c r="C8875" t="s">
        <v>26589</v>
      </c>
      <c r="D8875" t="str">
        <f>HYPERLINK("https://zfin.org/ZDB-GENE-040426-2315")</f>
        <v>https://zfin.org/ZDB-GENE-040426-2315</v>
      </c>
      <c r="E8875" t="s">
        <v>26590</v>
      </c>
    </row>
    <row r="8876" spans="1:5" x14ac:dyDescent="0.2">
      <c r="A8876" t="s">
        <v>26591</v>
      </c>
      <c r="B8876" t="s">
        <v>26592</v>
      </c>
      <c r="C8876" t="s">
        <v>26592</v>
      </c>
      <c r="D8876" t="str">
        <f>HYPERLINK("https://zfin.org/ZDB-GENE-060526-72")</f>
        <v>https://zfin.org/ZDB-GENE-060526-72</v>
      </c>
      <c r="E8876" t="s">
        <v>26593</v>
      </c>
    </row>
    <row r="8877" spans="1:5" x14ac:dyDescent="0.2">
      <c r="A8877" t="s">
        <v>26594</v>
      </c>
      <c r="B8877" t="s">
        <v>26595</v>
      </c>
      <c r="C8877" t="s">
        <v>26595</v>
      </c>
      <c r="D8877" t="str">
        <f>HYPERLINK("https://zfin.org/ZDB-GENE-091118-102")</f>
        <v>https://zfin.org/ZDB-GENE-091118-102</v>
      </c>
      <c r="E8877" t="s">
        <v>26596</v>
      </c>
    </row>
    <row r="8878" spans="1:5" x14ac:dyDescent="0.2">
      <c r="A8878" t="s">
        <v>26597</v>
      </c>
      <c r="B8878" t="s">
        <v>26598</v>
      </c>
      <c r="C8878" t="s">
        <v>26598</v>
      </c>
      <c r="D8878" t="str">
        <f>HYPERLINK("https://zfin.org/ZDB-GENE-060526-234")</f>
        <v>https://zfin.org/ZDB-GENE-060526-234</v>
      </c>
      <c r="E8878" t="s">
        <v>26599</v>
      </c>
    </row>
    <row r="8879" spans="1:5" x14ac:dyDescent="0.2">
      <c r="A8879" t="s">
        <v>26600</v>
      </c>
      <c r="B8879" t="s">
        <v>26601</v>
      </c>
      <c r="C8879" t="s">
        <v>26601</v>
      </c>
      <c r="D8879" t="str">
        <f>HYPERLINK("https://zfin.org/ZDB-GENE-050210-1")</f>
        <v>https://zfin.org/ZDB-GENE-050210-1</v>
      </c>
      <c r="E8879" t="s">
        <v>26602</v>
      </c>
    </row>
    <row r="8880" spans="1:5" x14ac:dyDescent="0.2">
      <c r="A8880" t="s">
        <v>26603</v>
      </c>
      <c r="B8880" t="s">
        <v>26604</v>
      </c>
      <c r="C8880" t="s">
        <v>26604</v>
      </c>
      <c r="D8880" t="str">
        <f>HYPERLINK("https://zfin.org/ZDB-GENE-060825-53")</f>
        <v>https://zfin.org/ZDB-GENE-060825-53</v>
      </c>
      <c r="E8880" t="s">
        <v>26605</v>
      </c>
    </row>
    <row r="8881" spans="1:5" x14ac:dyDescent="0.2">
      <c r="A8881" t="s">
        <v>26606</v>
      </c>
      <c r="B8881" t="s">
        <v>26607</v>
      </c>
      <c r="C8881" t="s">
        <v>26607</v>
      </c>
      <c r="D8881" t="str">
        <f>HYPERLINK("https://zfin.org/ZDB-GENE-030131-5964")</f>
        <v>https://zfin.org/ZDB-GENE-030131-5964</v>
      </c>
      <c r="E8881" t="s">
        <v>26608</v>
      </c>
    </row>
    <row r="8882" spans="1:5" x14ac:dyDescent="0.2">
      <c r="A8882" t="s">
        <v>26609</v>
      </c>
      <c r="B8882" t="s">
        <v>26610</v>
      </c>
      <c r="C8882" t="s">
        <v>26610</v>
      </c>
      <c r="D8882" t="str">
        <f>HYPERLINK("https://zfin.org/ZDB-GENE-041008-203")</f>
        <v>https://zfin.org/ZDB-GENE-041008-203</v>
      </c>
      <c r="E8882" t="s">
        <v>26611</v>
      </c>
    </row>
    <row r="8883" spans="1:5" x14ac:dyDescent="0.2">
      <c r="A8883" t="s">
        <v>26612</v>
      </c>
      <c r="B8883" t="s">
        <v>26613</v>
      </c>
      <c r="C8883" t="s">
        <v>26613</v>
      </c>
      <c r="D8883" t="str">
        <f>HYPERLINK("https://zfin.org/ZDB-GENE-040718-312")</f>
        <v>https://zfin.org/ZDB-GENE-040718-312</v>
      </c>
      <c r="E8883" t="s">
        <v>26614</v>
      </c>
    </row>
    <row r="8884" spans="1:5" x14ac:dyDescent="0.2">
      <c r="A8884" t="s">
        <v>26615</v>
      </c>
      <c r="B8884" t="s">
        <v>26616</v>
      </c>
      <c r="C8884" t="s">
        <v>26616</v>
      </c>
      <c r="D8884" t="str">
        <f>HYPERLINK("https://zfin.org/ZDB-GENE-041111-239")</f>
        <v>https://zfin.org/ZDB-GENE-041111-239</v>
      </c>
      <c r="E8884" t="s">
        <v>26617</v>
      </c>
    </row>
    <row r="8885" spans="1:5" x14ac:dyDescent="0.2">
      <c r="A8885" t="s">
        <v>26618</v>
      </c>
      <c r="B8885" t="s">
        <v>26619</v>
      </c>
      <c r="C8885" t="s">
        <v>26619</v>
      </c>
      <c r="D8885" t="str">
        <f>HYPERLINK("https://zfin.org/ZDB-GENE-040426-2750")</f>
        <v>https://zfin.org/ZDB-GENE-040426-2750</v>
      </c>
      <c r="E8885" t="s">
        <v>26620</v>
      </c>
    </row>
    <row r="8886" spans="1:5" x14ac:dyDescent="0.2">
      <c r="A8886" t="s">
        <v>26621</v>
      </c>
      <c r="B8886" t="s">
        <v>26622</v>
      </c>
      <c r="C8886" t="s">
        <v>26622</v>
      </c>
      <c r="D8886" t="str">
        <f>HYPERLINK("https://zfin.org/ZDB-GENE-070912-581")</f>
        <v>https://zfin.org/ZDB-GENE-070912-581</v>
      </c>
      <c r="E8886" t="s">
        <v>26623</v>
      </c>
    </row>
    <row r="8887" spans="1:5" x14ac:dyDescent="0.2">
      <c r="A8887" t="s">
        <v>26624</v>
      </c>
      <c r="B8887" t="s">
        <v>26625</v>
      </c>
      <c r="C8887" t="s">
        <v>26625</v>
      </c>
      <c r="D8887" t="str">
        <f>HYPERLINK("https://zfin.org/ZDB-GENE-100408-4")</f>
        <v>https://zfin.org/ZDB-GENE-100408-4</v>
      </c>
      <c r="E8887" t="s">
        <v>26626</v>
      </c>
    </row>
    <row r="8888" spans="1:5" x14ac:dyDescent="0.2">
      <c r="A8888" t="s">
        <v>26627</v>
      </c>
      <c r="B8888" t="s">
        <v>26628</v>
      </c>
      <c r="C8888" t="s">
        <v>26628</v>
      </c>
      <c r="D8888" t="str">
        <f>HYPERLINK("https://zfin.org/ZDB-GENE-030131-7158")</f>
        <v>https://zfin.org/ZDB-GENE-030131-7158</v>
      </c>
      <c r="E8888" t="s">
        <v>26629</v>
      </c>
    </row>
    <row r="8889" spans="1:5" x14ac:dyDescent="0.2">
      <c r="A8889" t="s">
        <v>26630</v>
      </c>
      <c r="B8889" t="s">
        <v>26631</v>
      </c>
      <c r="C8889" t="s">
        <v>26631</v>
      </c>
      <c r="D8889" t="str">
        <f>HYPERLINK("https://zfin.org/ZDB-GENE-040426-725")</f>
        <v>https://zfin.org/ZDB-GENE-040426-725</v>
      </c>
      <c r="E8889" t="s">
        <v>26632</v>
      </c>
    </row>
    <row r="8890" spans="1:5" x14ac:dyDescent="0.2">
      <c r="A8890" t="s">
        <v>26633</v>
      </c>
      <c r="B8890" t="s">
        <v>26634</v>
      </c>
      <c r="C8890" t="s">
        <v>26634</v>
      </c>
      <c r="D8890" t="str">
        <f>HYPERLINK("https://zfin.org/ZDB-GENE-131121-432")</f>
        <v>https://zfin.org/ZDB-GENE-131121-432</v>
      </c>
      <c r="E8890" t="s">
        <v>26635</v>
      </c>
    </row>
    <row r="8891" spans="1:5" x14ac:dyDescent="0.2">
      <c r="A8891" t="s">
        <v>26636</v>
      </c>
      <c r="B8891" t="s">
        <v>26637</v>
      </c>
      <c r="C8891" t="s">
        <v>26637</v>
      </c>
      <c r="D8891" t="str">
        <f>HYPERLINK("https://zfin.org/ZDB-GENE-040912-137")</f>
        <v>https://zfin.org/ZDB-GENE-040912-137</v>
      </c>
      <c r="E8891" t="s">
        <v>26638</v>
      </c>
    </row>
    <row r="8892" spans="1:5" x14ac:dyDescent="0.2">
      <c r="A8892" t="s">
        <v>26639</v>
      </c>
      <c r="B8892" t="s">
        <v>26640</v>
      </c>
      <c r="C8892" t="s">
        <v>26640</v>
      </c>
      <c r="D8892" t="str">
        <f>HYPERLINK("https://zfin.org/ZDB-GENE-040808-11")</f>
        <v>https://zfin.org/ZDB-GENE-040808-11</v>
      </c>
      <c r="E8892" t="s">
        <v>26641</v>
      </c>
    </row>
    <row r="8893" spans="1:5" x14ac:dyDescent="0.2">
      <c r="A8893" t="s">
        <v>26642</v>
      </c>
      <c r="B8893" t="s">
        <v>26643</v>
      </c>
      <c r="C8893" t="s">
        <v>26643</v>
      </c>
      <c r="D8893" t="str">
        <f>HYPERLINK("https://zfin.org/ZDB-GENE-030131-5929")</f>
        <v>https://zfin.org/ZDB-GENE-030131-5929</v>
      </c>
      <c r="E8893" t="s">
        <v>26644</v>
      </c>
    </row>
    <row r="8894" spans="1:5" x14ac:dyDescent="0.2">
      <c r="A8894" t="s">
        <v>26645</v>
      </c>
      <c r="B8894" t="s">
        <v>26646</v>
      </c>
      <c r="C8894" t="s">
        <v>26646</v>
      </c>
      <c r="D8894" t="str">
        <f>HYPERLINK("https://zfin.org/ZDB-GENE-060810-139")</f>
        <v>https://zfin.org/ZDB-GENE-060810-139</v>
      </c>
      <c r="E8894" t="s">
        <v>26647</v>
      </c>
    </row>
    <row r="8895" spans="1:5" x14ac:dyDescent="0.2">
      <c r="A8895" t="s">
        <v>26648</v>
      </c>
      <c r="B8895" t="s">
        <v>26649</v>
      </c>
      <c r="C8895" t="s">
        <v>26649</v>
      </c>
      <c r="D8895" t="str">
        <f>HYPERLINK("https://zfin.org/ZDB-GENE-040426-1011")</f>
        <v>https://zfin.org/ZDB-GENE-040426-1011</v>
      </c>
      <c r="E8895" t="s">
        <v>26650</v>
      </c>
    </row>
    <row r="8896" spans="1:5" x14ac:dyDescent="0.2">
      <c r="A8896" t="s">
        <v>26651</v>
      </c>
      <c r="B8896" t="s">
        <v>26652</v>
      </c>
      <c r="C8896" t="s">
        <v>26652</v>
      </c>
      <c r="D8896" t="str">
        <f>HYPERLINK("https://zfin.org/ZDB-GENE-030131-5857")</f>
        <v>https://zfin.org/ZDB-GENE-030131-5857</v>
      </c>
      <c r="E8896" t="s">
        <v>26653</v>
      </c>
    </row>
    <row r="8897" spans="1:5" x14ac:dyDescent="0.2">
      <c r="A8897" t="s">
        <v>26654</v>
      </c>
      <c r="B8897" t="s">
        <v>26655</v>
      </c>
      <c r="C8897" t="s">
        <v>26655</v>
      </c>
      <c r="D8897" t="str">
        <f>HYPERLINK("https://zfin.org/ZDB-GENE-041114-89")</f>
        <v>https://zfin.org/ZDB-GENE-041114-89</v>
      </c>
      <c r="E8897" t="s">
        <v>26656</v>
      </c>
    </row>
    <row r="8898" spans="1:5" x14ac:dyDescent="0.2">
      <c r="A8898" t="s">
        <v>26657</v>
      </c>
      <c r="B8898" t="s">
        <v>26658</v>
      </c>
      <c r="C8898" t="s">
        <v>26658</v>
      </c>
      <c r="D8898" t="str">
        <f>HYPERLINK("https://zfin.org/ZDB-GENE-081104-417")</f>
        <v>https://zfin.org/ZDB-GENE-081104-417</v>
      </c>
      <c r="E8898" t="s">
        <v>26659</v>
      </c>
    </row>
    <row r="8899" spans="1:5" x14ac:dyDescent="0.2">
      <c r="A8899" t="s">
        <v>26660</v>
      </c>
      <c r="B8899" t="s">
        <v>26661</v>
      </c>
      <c r="C8899" t="s">
        <v>26661</v>
      </c>
      <c r="D8899" t="str">
        <f>HYPERLINK("https://zfin.org/ZDB-GENE-040831-4")</f>
        <v>https://zfin.org/ZDB-GENE-040831-4</v>
      </c>
      <c r="E8899" t="s">
        <v>26662</v>
      </c>
    </row>
    <row r="8900" spans="1:5" x14ac:dyDescent="0.2">
      <c r="A8900" t="s">
        <v>26663</v>
      </c>
      <c r="B8900" t="s">
        <v>26664</v>
      </c>
      <c r="C8900" t="s">
        <v>26664</v>
      </c>
      <c r="D8900" t="str">
        <f>HYPERLINK("https://zfin.org/ZDB-GENE-050417-368")</f>
        <v>https://zfin.org/ZDB-GENE-050417-368</v>
      </c>
      <c r="E8900" t="s">
        <v>26665</v>
      </c>
    </row>
    <row r="8901" spans="1:5" x14ac:dyDescent="0.2">
      <c r="A8901" t="s">
        <v>26666</v>
      </c>
      <c r="B8901" t="s">
        <v>26667</v>
      </c>
      <c r="C8901" t="s">
        <v>26667</v>
      </c>
      <c r="D8901" t="str">
        <f>HYPERLINK("https://zfin.org/ZDB-GENE-110408-42")</f>
        <v>https://zfin.org/ZDB-GENE-110408-42</v>
      </c>
      <c r="E8901" t="s">
        <v>26668</v>
      </c>
    </row>
    <row r="8902" spans="1:5" x14ac:dyDescent="0.2">
      <c r="A8902" t="s">
        <v>26669</v>
      </c>
      <c r="B8902" t="s">
        <v>26670</v>
      </c>
      <c r="C8902" t="s">
        <v>26670</v>
      </c>
      <c r="D8902" t="str">
        <f>HYPERLINK("https://zfin.org/ZDB-GENE-070112-542")</f>
        <v>https://zfin.org/ZDB-GENE-070112-542</v>
      </c>
      <c r="E8902" t="s">
        <v>26671</v>
      </c>
    </row>
    <row r="8903" spans="1:5" x14ac:dyDescent="0.2">
      <c r="A8903" t="s">
        <v>26672</v>
      </c>
      <c r="B8903" t="s">
        <v>26673</v>
      </c>
      <c r="C8903" t="s">
        <v>26673</v>
      </c>
      <c r="D8903" t="str">
        <f>HYPERLINK("https://zfin.org/ZDB-GENE-030131-7802")</f>
        <v>https://zfin.org/ZDB-GENE-030131-7802</v>
      </c>
      <c r="E8903" t="s">
        <v>26674</v>
      </c>
    </row>
    <row r="8904" spans="1:5" x14ac:dyDescent="0.2">
      <c r="A8904" t="s">
        <v>26675</v>
      </c>
      <c r="B8904" t="s">
        <v>26676</v>
      </c>
      <c r="C8904" t="s">
        <v>26676</v>
      </c>
      <c r="D8904" t="str">
        <f>HYPERLINK("https://zfin.org/ZDB-GENE-141212-376")</f>
        <v>https://zfin.org/ZDB-GENE-141212-376</v>
      </c>
      <c r="E8904" t="s">
        <v>26677</v>
      </c>
    </row>
    <row r="8905" spans="1:5" x14ac:dyDescent="0.2">
      <c r="A8905" t="s">
        <v>26678</v>
      </c>
      <c r="B8905" t="s">
        <v>26679</v>
      </c>
      <c r="C8905" t="s">
        <v>26679</v>
      </c>
      <c r="D8905" t="str">
        <f>HYPERLINK("https://zfin.org/ZDB-GENE-141219-36")</f>
        <v>https://zfin.org/ZDB-GENE-141219-36</v>
      </c>
      <c r="E8905" t="s">
        <v>26680</v>
      </c>
    </row>
    <row r="8906" spans="1:5" x14ac:dyDescent="0.2">
      <c r="A8906" t="s">
        <v>26681</v>
      </c>
      <c r="B8906" t="s">
        <v>26682</v>
      </c>
      <c r="C8906" t="s">
        <v>26682</v>
      </c>
      <c r="D8906" t="str">
        <f>HYPERLINK("https://zfin.org/ZDB-GENE-040724-138")</f>
        <v>https://zfin.org/ZDB-GENE-040724-138</v>
      </c>
      <c r="E8906" t="s">
        <v>26683</v>
      </c>
    </row>
    <row r="8907" spans="1:5" x14ac:dyDescent="0.2">
      <c r="A8907" t="s">
        <v>26684</v>
      </c>
      <c r="B8907" t="s">
        <v>26685</v>
      </c>
      <c r="C8907" t="s">
        <v>26685</v>
      </c>
      <c r="D8907" t="str">
        <f>HYPERLINK("https://zfin.org/ZDB-GENE-041216-1")</f>
        <v>https://zfin.org/ZDB-GENE-041216-1</v>
      </c>
      <c r="E8907" t="s">
        <v>26686</v>
      </c>
    </row>
    <row r="8908" spans="1:5" x14ac:dyDescent="0.2">
      <c r="A8908" t="s">
        <v>26687</v>
      </c>
      <c r="B8908" t="s">
        <v>26688</v>
      </c>
      <c r="C8908" t="s">
        <v>26688</v>
      </c>
      <c r="D8908" t="str">
        <f>HYPERLINK("https://zfin.org/ZDB-GENE-031030-4")</f>
        <v>https://zfin.org/ZDB-GENE-031030-4</v>
      </c>
      <c r="E8908" t="s">
        <v>26689</v>
      </c>
    </row>
    <row r="8909" spans="1:5" x14ac:dyDescent="0.2">
      <c r="A8909" t="s">
        <v>26690</v>
      </c>
      <c r="B8909" t="s">
        <v>26691</v>
      </c>
      <c r="C8909" t="s">
        <v>26691</v>
      </c>
      <c r="D8909" t="str">
        <f>HYPERLINK("https://zfin.org/ZDB-GENE-040801-91")</f>
        <v>https://zfin.org/ZDB-GENE-040801-91</v>
      </c>
      <c r="E8909" t="s">
        <v>26692</v>
      </c>
    </row>
    <row r="8910" spans="1:5" x14ac:dyDescent="0.2">
      <c r="A8910" t="s">
        <v>26693</v>
      </c>
      <c r="B8910" t="s">
        <v>26694</v>
      </c>
      <c r="C8910" t="s">
        <v>26694</v>
      </c>
      <c r="D8910" t="str">
        <f>HYPERLINK("https://zfin.org/ZDB-GENE-050522-94")</f>
        <v>https://zfin.org/ZDB-GENE-050522-94</v>
      </c>
      <c r="E8910" t="s">
        <v>26695</v>
      </c>
    </row>
    <row r="8911" spans="1:5" x14ac:dyDescent="0.2">
      <c r="A8911" t="s">
        <v>26696</v>
      </c>
      <c r="B8911" t="s">
        <v>26697</v>
      </c>
      <c r="C8911" t="s">
        <v>26697</v>
      </c>
      <c r="D8911" t="str">
        <f>HYPERLINK("https://zfin.org/ZDB-GENE-091204-368")</f>
        <v>https://zfin.org/ZDB-GENE-091204-368</v>
      </c>
      <c r="E8911" t="s">
        <v>26698</v>
      </c>
    </row>
    <row r="8912" spans="1:5" x14ac:dyDescent="0.2">
      <c r="A8912" t="s">
        <v>26699</v>
      </c>
      <c r="B8912" t="s">
        <v>26700</v>
      </c>
      <c r="C8912" t="s">
        <v>26700</v>
      </c>
      <c r="D8912" t="str">
        <f>HYPERLINK("https://zfin.org/ZDB-GENE-031212-1")</f>
        <v>https://zfin.org/ZDB-GENE-031212-1</v>
      </c>
      <c r="E8912" t="s">
        <v>26701</v>
      </c>
    </row>
    <row r="8913" spans="1:5" x14ac:dyDescent="0.2">
      <c r="A8913" t="s">
        <v>26702</v>
      </c>
      <c r="B8913" t="s">
        <v>26703</v>
      </c>
      <c r="C8913" t="s">
        <v>26703</v>
      </c>
      <c r="D8913" t="str">
        <f>HYPERLINK("https://zfin.org/ZDB-GENE-121120-4")</f>
        <v>https://zfin.org/ZDB-GENE-121120-4</v>
      </c>
      <c r="E8913" t="s">
        <v>26704</v>
      </c>
    </row>
    <row r="8914" spans="1:5" x14ac:dyDescent="0.2">
      <c r="A8914" t="s">
        <v>26705</v>
      </c>
      <c r="B8914" t="s">
        <v>26706</v>
      </c>
      <c r="C8914" t="s">
        <v>26706</v>
      </c>
      <c r="D8914" t="str">
        <f>HYPERLINK("https://zfin.org/ZDB-GENE-160113-151")</f>
        <v>https://zfin.org/ZDB-GENE-160113-151</v>
      </c>
      <c r="E8914" t="s">
        <v>26707</v>
      </c>
    </row>
    <row r="8915" spans="1:5" x14ac:dyDescent="0.2">
      <c r="A8915" t="s">
        <v>26708</v>
      </c>
      <c r="B8915" t="s">
        <v>26709</v>
      </c>
      <c r="C8915" t="s">
        <v>26709</v>
      </c>
      <c r="D8915" t="str">
        <f>HYPERLINK("https://zfin.org/ZDB-GENE-040630-2")</f>
        <v>https://zfin.org/ZDB-GENE-040630-2</v>
      </c>
      <c r="E8915" t="s">
        <v>26710</v>
      </c>
    </row>
    <row r="8916" spans="1:5" x14ac:dyDescent="0.2">
      <c r="A8916" t="s">
        <v>26711</v>
      </c>
      <c r="B8916" t="s">
        <v>26712</v>
      </c>
      <c r="C8916" t="s">
        <v>26712</v>
      </c>
      <c r="D8916" t="str">
        <f>HYPERLINK("https://zfin.org/ZDB-GENE-131127-116")</f>
        <v>https://zfin.org/ZDB-GENE-131127-116</v>
      </c>
      <c r="E8916" t="s">
        <v>26713</v>
      </c>
    </row>
    <row r="8917" spans="1:5" x14ac:dyDescent="0.2">
      <c r="A8917" t="s">
        <v>26714</v>
      </c>
      <c r="B8917" t="s">
        <v>26715</v>
      </c>
      <c r="C8917" t="s">
        <v>26715</v>
      </c>
      <c r="D8917" t="str">
        <f>HYPERLINK("https://zfin.org/ZDB-GENE-990415-31")</f>
        <v>https://zfin.org/ZDB-GENE-990415-31</v>
      </c>
      <c r="E8917" t="s">
        <v>26716</v>
      </c>
    </row>
    <row r="8918" spans="1:5" x14ac:dyDescent="0.2">
      <c r="A8918" t="s">
        <v>26717</v>
      </c>
      <c r="B8918" t="s">
        <v>26718</v>
      </c>
      <c r="C8918" t="s">
        <v>26718</v>
      </c>
      <c r="D8918" t="str">
        <f>HYPERLINK("https://zfin.org/ZDB-GENE-030131-6022")</f>
        <v>https://zfin.org/ZDB-GENE-030131-6022</v>
      </c>
      <c r="E8918" t="s">
        <v>26719</v>
      </c>
    </row>
    <row r="8919" spans="1:5" x14ac:dyDescent="0.2">
      <c r="A8919" t="s">
        <v>26720</v>
      </c>
      <c r="B8919" t="s">
        <v>26721</v>
      </c>
      <c r="C8919" t="s">
        <v>26722</v>
      </c>
      <c r="D8919" t="str">
        <f>HYPERLINK("https://zfin.org/ZDB-GENE-070705-527")</f>
        <v>https://zfin.org/ZDB-GENE-070705-527</v>
      </c>
      <c r="E8919" t="s">
        <v>26723</v>
      </c>
    </row>
    <row r="8920" spans="1:5" x14ac:dyDescent="0.2">
      <c r="A8920" t="s">
        <v>26724</v>
      </c>
      <c r="B8920" t="s">
        <v>26725</v>
      </c>
      <c r="C8920" t="s">
        <v>26725</v>
      </c>
      <c r="D8920" t="str">
        <f>HYPERLINK("https://zfin.org/ZDB-GENE-050524-1")</f>
        <v>https://zfin.org/ZDB-GENE-050524-1</v>
      </c>
      <c r="E8920" t="s">
        <v>26726</v>
      </c>
    </row>
    <row r="8921" spans="1:5" x14ac:dyDescent="0.2">
      <c r="A8921" t="s">
        <v>26727</v>
      </c>
      <c r="B8921" t="s">
        <v>26728</v>
      </c>
      <c r="C8921" t="s">
        <v>26728</v>
      </c>
      <c r="D8921" t="str">
        <f>HYPERLINK("https://zfin.org/ZDB-GENE-081104-149")</f>
        <v>https://zfin.org/ZDB-GENE-081104-149</v>
      </c>
      <c r="E8921" t="s">
        <v>26729</v>
      </c>
    </row>
    <row r="8922" spans="1:5" x14ac:dyDescent="0.2">
      <c r="A8922" t="s">
        <v>26730</v>
      </c>
      <c r="B8922" t="s">
        <v>26731</v>
      </c>
      <c r="C8922" t="s">
        <v>26731</v>
      </c>
      <c r="D8922" t="str">
        <f>HYPERLINK("https://zfin.org/ZDB-GENE-010906-2")</f>
        <v>https://zfin.org/ZDB-GENE-010906-2</v>
      </c>
      <c r="E8922" t="s">
        <v>26732</v>
      </c>
    </row>
    <row r="8923" spans="1:5" x14ac:dyDescent="0.2">
      <c r="A8923" t="s">
        <v>26733</v>
      </c>
      <c r="B8923" t="s">
        <v>26734</v>
      </c>
      <c r="C8923" t="s">
        <v>26734</v>
      </c>
      <c r="D8923" t="str">
        <f>HYPERLINK("https://zfin.org/ZDB-GENE-050522-196")</f>
        <v>https://zfin.org/ZDB-GENE-050522-196</v>
      </c>
      <c r="E8923" t="s">
        <v>26735</v>
      </c>
    </row>
    <row r="8924" spans="1:5" x14ac:dyDescent="0.2">
      <c r="A8924" t="s">
        <v>26736</v>
      </c>
      <c r="B8924" t="s">
        <v>26737</v>
      </c>
      <c r="C8924" t="s">
        <v>26737</v>
      </c>
      <c r="D8924" t="str">
        <f>HYPERLINK("https://zfin.org/ZDB-GENE-030131-1173")</f>
        <v>https://zfin.org/ZDB-GENE-030131-1173</v>
      </c>
      <c r="E8924" t="s">
        <v>26738</v>
      </c>
    </row>
    <row r="8925" spans="1:5" x14ac:dyDescent="0.2">
      <c r="A8925" t="s">
        <v>26739</v>
      </c>
      <c r="B8925" t="s">
        <v>26740</v>
      </c>
      <c r="C8925" t="s">
        <v>26740</v>
      </c>
      <c r="D8925" t="str">
        <f>HYPERLINK("https://zfin.org/ZDB-GENE-081104-160")</f>
        <v>https://zfin.org/ZDB-GENE-081104-160</v>
      </c>
      <c r="E8925" t="s">
        <v>26741</v>
      </c>
    </row>
    <row r="8926" spans="1:5" x14ac:dyDescent="0.2">
      <c r="A8926" t="s">
        <v>26742</v>
      </c>
      <c r="B8926" t="s">
        <v>26743</v>
      </c>
      <c r="C8926" t="s">
        <v>26743</v>
      </c>
      <c r="D8926" t="str">
        <f>HYPERLINK("https://zfin.org/ZDB-GENE-060929-808")</f>
        <v>https://zfin.org/ZDB-GENE-060929-808</v>
      </c>
      <c r="E8926" t="s">
        <v>26744</v>
      </c>
    </row>
    <row r="8927" spans="1:5" x14ac:dyDescent="0.2">
      <c r="A8927" t="s">
        <v>26745</v>
      </c>
      <c r="B8927" t="s">
        <v>26746</v>
      </c>
      <c r="C8927" t="s">
        <v>26746</v>
      </c>
      <c r="D8927" t="str">
        <f>HYPERLINK("https://zfin.org/ZDB-GENE-031118-112")</f>
        <v>https://zfin.org/ZDB-GENE-031118-112</v>
      </c>
      <c r="E8927" t="s">
        <v>26747</v>
      </c>
    </row>
    <row r="8928" spans="1:5" x14ac:dyDescent="0.2">
      <c r="A8928" t="s">
        <v>26748</v>
      </c>
      <c r="B8928" t="s">
        <v>26749</v>
      </c>
      <c r="C8928" t="s">
        <v>26749</v>
      </c>
      <c r="D8928" t="str">
        <f>HYPERLINK("https://zfin.org/ZDB-GENE-030131-2144")</f>
        <v>https://zfin.org/ZDB-GENE-030131-2144</v>
      </c>
      <c r="E8928" t="s">
        <v>26750</v>
      </c>
    </row>
    <row r="8929" spans="1:5" x14ac:dyDescent="0.2">
      <c r="A8929" t="s">
        <v>26751</v>
      </c>
      <c r="B8929" t="s">
        <v>26752</v>
      </c>
      <c r="C8929" t="s">
        <v>26752</v>
      </c>
      <c r="D8929" t="str">
        <f>HYPERLINK("https://zfin.org/ZDB-GENE-050309-17")</f>
        <v>https://zfin.org/ZDB-GENE-050309-17</v>
      </c>
      <c r="E8929" t="s">
        <v>26753</v>
      </c>
    </row>
    <row r="8930" spans="1:5" x14ac:dyDescent="0.2">
      <c r="A8930" t="s">
        <v>26754</v>
      </c>
      <c r="B8930" t="s">
        <v>26755</v>
      </c>
      <c r="C8930" t="s">
        <v>26755</v>
      </c>
      <c r="D8930" t="str">
        <f>HYPERLINK("https://zfin.org/ZDB-GENE-010625-1")</f>
        <v>https://zfin.org/ZDB-GENE-010625-1</v>
      </c>
      <c r="E8930" t="s">
        <v>26756</v>
      </c>
    </row>
    <row r="8931" spans="1:5" x14ac:dyDescent="0.2">
      <c r="A8931" t="s">
        <v>26757</v>
      </c>
      <c r="B8931" t="s">
        <v>26758</v>
      </c>
      <c r="C8931" t="s">
        <v>26758</v>
      </c>
      <c r="D8931" t="str">
        <f>HYPERLINK("https://zfin.org/ZDB-GENE-040724-263")</f>
        <v>https://zfin.org/ZDB-GENE-040724-263</v>
      </c>
      <c r="E8931" t="s">
        <v>26759</v>
      </c>
    </row>
    <row r="8932" spans="1:5" x14ac:dyDescent="0.2">
      <c r="A8932" t="s">
        <v>26760</v>
      </c>
      <c r="B8932" t="s">
        <v>26761</v>
      </c>
      <c r="C8932" t="s">
        <v>26761</v>
      </c>
      <c r="D8932" t="str">
        <f>HYPERLINK("https://zfin.org/ZDB-GENE-050808-1")</f>
        <v>https://zfin.org/ZDB-GENE-050808-1</v>
      </c>
      <c r="E8932" t="s">
        <v>26762</v>
      </c>
    </row>
    <row r="8933" spans="1:5" x14ac:dyDescent="0.2">
      <c r="A8933" t="s">
        <v>26763</v>
      </c>
      <c r="B8933" t="s">
        <v>26764</v>
      </c>
      <c r="C8933" t="s">
        <v>26764</v>
      </c>
      <c r="D8933" t="str">
        <f>HYPERLINK("https://zfin.org/ZDB-GENE-070530-3")</f>
        <v>https://zfin.org/ZDB-GENE-070530-3</v>
      </c>
      <c r="E8933" t="s">
        <v>26765</v>
      </c>
    </row>
    <row r="8934" spans="1:5" x14ac:dyDescent="0.2">
      <c r="A8934" t="s">
        <v>26766</v>
      </c>
      <c r="B8934" t="s">
        <v>26767</v>
      </c>
      <c r="C8934" t="s">
        <v>26767</v>
      </c>
      <c r="D8934" t="str">
        <f>HYPERLINK("https://zfin.org/ZDB-GENE-040718-281")</f>
        <v>https://zfin.org/ZDB-GENE-040718-281</v>
      </c>
      <c r="E8934" t="s">
        <v>26768</v>
      </c>
    </row>
    <row r="8935" spans="1:5" x14ac:dyDescent="0.2">
      <c r="A8935" t="s">
        <v>26769</v>
      </c>
      <c r="B8935" t="s">
        <v>26770</v>
      </c>
      <c r="C8935" t="s">
        <v>26770</v>
      </c>
      <c r="D8935" t="str">
        <f>HYPERLINK("https://zfin.org/ZDB-GENE-031118-188")</f>
        <v>https://zfin.org/ZDB-GENE-031118-188</v>
      </c>
      <c r="E8935" t="s">
        <v>26771</v>
      </c>
    </row>
    <row r="8936" spans="1:5" x14ac:dyDescent="0.2">
      <c r="A8936" t="s">
        <v>26772</v>
      </c>
      <c r="B8936" t="s">
        <v>26773</v>
      </c>
      <c r="C8936" t="s">
        <v>26773</v>
      </c>
      <c r="D8936" t="str">
        <f>HYPERLINK("https://zfin.org/ZDB-GENE-050616-1")</f>
        <v>https://zfin.org/ZDB-GENE-050616-1</v>
      </c>
      <c r="E8936" t="s">
        <v>26774</v>
      </c>
    </row>
    <row r="8937" spans="1:5" x14ac:dyDescent="0.2">
      <c r="A8937" t="s">
        <v>26775</v>
      </c>
      <c r="B8937" t="s">
        <v>26776</v>
      </c>
      <c r="C8937" t="s">
        <v>26776</v>
      </c>
      <c r="D8937" t="str">
        <f>HYPERLINK("https://zfin.org/ZDB-GENE-991102-15")</f>
        <v>https://zfin.org/ZDB-GENE-991102-15</v>
      </c>
      <c r="E8937" t="s">
        <v>26777</v>
      </c>
    </row>
    <row r="8938" spans="1:5" x14ac:dyDescent="0.2">
      <c r="A8938" t="s">
        <v>26778</v>
      </c>
      <c r="B8938" t="s">
        <v>26779</v>
      </c>
      <c r="C8938" t="s">
        <v>26779</v>
      </c>
      <c r="D8938" t="str">
        <f>HYPERLINK("https://zfin.org/ZDB-GENE-040426-1862")</f>
        <v>https://zfin.org/ZDB-GENE-040426-1862</v>
      </c>
      <c r="E8938" t="s">
        <v>26780</v>
      </c>
    </row>
    <row r="8939" spans="1:5" x14ac:dyDescent="0.2">
      <c r="A8939" t="s">
        <v>26781</v>
      </c>
      <c r="B8939" t="s">
        <v>26782</v>
      </c>
      <c r="C8939" t="s">
        <v>26782</v>
      </c>
      <c r="D8939" t="str">
        <f>HYPERLINK("https://zfin.org/ZDB-GENE-020419-32")</f>
        <v>https://zfin.org/ZDB-GENE-020419-32</v>
      </c>
      <c r="E8939" t="s">
        <v>26783</v>
      </c>
    </row>
    <row r="8940" spans="1:5" x14ac:dyDescent="0.2">
      <c r="A8940" t="s">
        <v>26784</v>
      </c>
      <c r="B8940" t="s">
        <v>26785</v>
      </c>
      <c r="C8940" t="s">
        <v>26785</v>
      </c>
      <c r="D8940" t="str">
        <f>HYPERLINK("https://zfin.org/ZDB-GENE-131127-226")</f>
        <v>https://zfin.org/ZDB-GENE-131127-226</v>
      </c>
      <c r="E8940" t="s">
        <v>26786</v>
      </c>
    </row>
    <row r="8941" spans="1:5" x14ac:dyDescent="0.2">
      <c r="A8941" t="s">
        <v>26787</v>
      </c>
      <c r="B8941" t="s">
        <v>26788</v>
      </c>
      <c r="C8941" t="s">
        <v>26788</v>
      </c>
      <c r="D8941" t="str">
        <f>HYPERLINK("https://zfin.org/ZDB-GENE-030131-6823")</f>
        <v>https://zfin.org/ZDB-GENE-030131-6823</v>
      </c>
      <c r="E8941" t="s">
        <v>26789</v>
      </c>
    </row>
    <row r="8942" spans="1:5" x14ac:dyDescent="0.2">
      <c r="A8942" t="s">
        <v>26790</v>
      </c>
      <c r="B8942" t="s">
        <v>26791</v>
      </c>
      <c r="C8942" t="s">
        <v>26791</v>
      </c>
      <c r="D8942" t="str">
        <f>HYPERLINK("https://zfin.org/ZDB-GENE-040426-732")</f>
        <v>https://zfin.org/ZDB-GENE-040426-732</v>
      </c>
      <c r="E8942" t="s">
        <v>26792</v>
      </c>
    </row>
    <row r="8943" spans="1:5" x14ac:dyDescent="0.2">
      <c r="A8943" t="s">
        <v>26793</v>
      </c>
      <c r="B8943" t="s">
        <v>26794</v>
      </c>
      <c r="C8943" t="s">
        <v>26794</v>
      </c>
      <c r="D8943" t="str">
        <f>HYPERLINK("https://zfin.org/ZDB-GENE-060503-635")</f>
        <v>https://zfin.org/ZDB-GENE-060503-635</v>
      </c>
      <c r="E8943" t="s">
        <v>26795</v>
      </c>
    </row>
    <row r="8944" spans="1:5" x14ac:dyDescent="0.2">
      <c r="A8944" t="s">
        <v>26796</v>
      </c>
      <c r="B8944" t="s">
        <v>26797</v>
      </c>
      <c r="C8944" t="s">
        <v>26797</v>
      </c>
      <c r="D8944" t="str">
        <f>HYPERLINK("https://zfin.org/ZDB-GENE-040426-1623")</f>
        <v>https://zfin.org/ZDB-GENE-040426-1623</v>
      </c>
      <c r="E8944" t="s">
        <v>26798</v>
      </c>
    </row>
    <row r="8945" spans="1:5" x14ac:dyDescent="0.2">
      <c r="A8945" t="s">
        <v>26799</v>
      </c>
      <c r="B8945" t="s">
        <v>26800</v>
      </c>
      <c r="C8945" t="s">
        <v>26800</v>
      </c>
      <c r="D8945" t="str">
        <f>HYPERLINK("https://zfin.org/ZDB-GENE-040625-63")</f>
        <v>https://zfin.org/ZDB-GENE-040625-63</v>
      </c>
      <c r="E8945" t="s">
        <v>26801</v>
      </c>
    </row>
    <row r="8946" spans="1:5" x14ac:dyDescent="0.2">
      <c r="A8946" t="s">
        <v>26802</v>
      </c>
      <c r="B8946" t="s">
        <v>26803</v>
      </c>
      <c r="C8946" t="s">
        <v>26803</v>
      </c>
      <c r="D8946" t="str">
        <f>HYPERLINK("https://zfin.org/ZDB-GENE-070424-229")</f>
        <v>https://zfin.org/ZDB-GENE-070424-229</v>
      </c>
      <c r="E8946" t="s">
        <v>26804</v>
      </c>
    </row>
    <row r="8947" spans="1:5" x14ac:dyDescent="0.2">
      <c r="A8947" t="s">
        <v>26805</v>
      </c>
      <c r="B8947" t="s">
        <v>26806</v>
      </c>
      <c r="C8947" t="s">
        <v>26806</v>
      </c>
      <c r="D8947" t="str">
        <f>HYPERLINK("https://zfin.org/ZDB-GENE-050309-25")</f>
        <v>https://zfin.org/ZDB-GENE-050309-25</v>
      </c>
      <c r="E8947" t="s">
        <v>26807</v>
      </c>
    </row>
    <row r="8948" spans="1:5" x14ac:dyDescent="0.2">
      <c r="A8948" t="s">
        <v>26808</v>
      </c>
      <c r="B8948" t="s">
        <v>26809</v>
      </c>
      <c r="C8948" t="s">
        <v>26809</v>
      </c>
      <c r="D8948" t="str">
        <f>HYPERLINK("https://zfin.org/ZDB-GENE-040426-2428")</f>
        <v>https://zfin.org/ZDB-GENE-040426-2428</v>
      </c>
      <c r="E8948" t="s">
        <v>26810</v>
      </c>
    </row>
    <row r="8949" spans="1:5" x14ac:dyDescent="0.2">
      <c r="A8949" t="s">
        <v>26811</v>
      </c>
      <c r="B8949" t="s">
        <v>26812</v>
      </c>
      <c r="C8949" t="s">
        <v>26812</v>
      </c>
      <c r="D8949" t="str">
        <f>HYPERLINK("https://zfin.org/ZDB-GENE-070912-220")</f>
        <v>https://zfin.org/ZDB-GENE-070912-220</v>
      </c>
      <c r="E8949" t="s">
        <v>26813</v>
      </c>
    </row>
    <row r="8950" spans="1:5" x14ac:dyDescent="0.2">
      <c r="A8950" t="s">
        <v>26814</v>
      </c>
      <c r="B8950" t="s">
        <v>26815</v>
      </c>
      <c r="C8950" t="s">
        <v>26815</v>
      </c>
      <c r="D8950" t="str">
        <f>HYPERLINK("https://zfin.org/ZDB-GENE-081112-4")</f>
        <v>https://zfin.org/ZDB-GENE-081112-4</v>
      </c>
      <c r="E8950" t="s">
        <v>26816</v>
      </c>
    </row>
    <row r="8951" spans="1:5" x14ac:dyDescent="0.2">
      <c r="A8951" t="s">
        <v>26817</v>
      </c>
      <c r="B8951" t="s">
        <v>26818</v>
      </c>
      <c r="C8951" t="s">
        <v>26818</v>
      </c>
      <c r="D8951" t="str">
        <f>HYPERLINK("https://zfin.org/ZDB-GENE-030131-4430")</f>
        <v>https://zfin.org/ZDB-GENE-030131-4430</v>
      </c>
      <c r="E8951" t="s">
        <v>26819</v>
      </c>
    </row>
    <row r="8952" spans="1:5" x14ac:dyDescent="0.2">
      <c r="A8952" t="s">
        <v>26820</v>
      </c>
      <c r="B8952" t="s">
        <v>26821</v>
      </c>
      <c r="C8952" t="s">
        <v>26821</v>
      </c>
      <c r="D8952" t="str">
        <f>HYPERLINK("https://zfin.org/ZDB-GENE-070627-13")</f>
        <v>https://zfin.org/ZDB-GENE-070627-13</v>
      </c>
      <c r="E8952" t="s">
        <v>26822</v>
      </c>
    </row>
    <row r="8953" spans="1:5" x14ac:dyDescent="0.2">
      <c r="A8953" t="s">
        <v>26823</v>
      </c>
      <c r="B8953" t="s">
        <v>26824</v>
      </c>
      <c r="C8953" t="s">
        <v>26824</v>
      </c>
      <c r="D8953" t="str">
        <f>HYPERLINK("https://zfin.org/ZDB-GENE-120411-27")</f>
        <v>https://zfin.org/ZDB-GENE-120411-27</v>
      </c>
      <c r="E8953" t="s">
        <v>26825</v>
      </c>
    </row>
    <row r="8954" spans="1:5" x14ac:dyDescent="0.2">
      <c r="A8954" t="s">
        <v>26826</v>
      </c>
      <c r="B8954" t="s">
        <v>26827</v>
      </c>
      <c r="C8954" t="s">
        <v>26827</v>
      </c>
      <c r="D8954" t="str">
        <f>HYPERLINK("https://zfin.org/ZDB-GENE-091218-2")</f>
        <v>https://zfin.org/ZDB-GENE-091218-2</v>
      </c>
      <c r="E8954" t="s">
        <v>26828</v>
      </c>
    </row>
    <row r="8955" spans="1:5" x14ac:dyDescent="0.2">
      <c r="A8955" t="s">
        <v>26829</v>
      </c>
      <c r="B8955" t="s">
        <v>26830</v>
      </c>
      <c r="C8955" t="s">
        <v>26830</v>
      </c>
      <c r="D8955" t="str">
        <f>HYPERLINK("https://zfin.org/ZDB-GENE-070112-1852")</f>
        <v>https://zfin.org/ZDB-GENE-070112-1852</v>
      </c>
      <c r="E8955" t="s">
        <v>26831</v>
      </c>
    </row>
    <row r="8956" spans="1:5" x14ac:dyDescent="0.2">
      <c r="A8956" t="s">
        <v>26832</v>
      </c>
      <c r="B8956" t="s">
        <v>26833</v>
      </c>
      <c r="C8956" t="s">
        <v>26833</v>
      </c>
      <c r="D8956" t="str">
        <f>HYPERLINK("https://zfin.org/ZDB-GENE-050417-204")</f>
        <v>https://zfin.org/ZDB-GENE-050417-204</v>
      </c>
      <c r="E8956" t="s">
        <v>26834</v>
      </c>
    </row>
    <row r="8957" spans="1:5" x14ac:dyDescent="0.2">
      <c r="A8957" t="s">
        <v>26835</v>
      </c>
      <c r="B8957" t="s">
        <v>26836</v>
      </c>
      <c r="C8957" t="s">
        <v>26836</v>
      </c>
      <c r="D8957" t="str">
        <f>HYPERLINK("https://zfin.org/ZDB-GENE-050114-1")</f>
        <v>https://zfin.org/ZDB-GENE-050114-1</v>
      </c>
      <c r="E8957" t="s">
        <v>26837</v>
      </c>
    </row>
    <row r="8958" spans="1:5" x14ac:dyDescent="0.2">
      <c r="A8958" t="s">
        <v>26838</v>
      </c>
      <c r="B8958" t="s">
        <v>26839</v>
      </c>
      <c r="C8958" t="s">
        <v>26839</v>
      </c>
      <c r="D8958" t="str">
        <f>HYPERLINK("https://zfin.org/ZDB-GENE-080723-28")</f>
        <v>https://zfin.org/ZDB-GENE-080723-28</v>
      </c>
      <c r="E8958" t="s">
        <v>26840</v>
      </c>
    </row>
    <row r="8959" spans="1:5" x14ac:dyDescent="0.2">
      <c r="A8959" t="s">
        <v>26841</v>
      </c>
      <c r="B8959" t="s">
        <v>26842</v>
      </c>
      <c r="C8959" t="s">
        <v>26842</v>
      </c>
      <c r="D8959" t="str">
        <f>HYPERLINK("https://zfin.org/ZDB-GENE-040718-113")</f>
        <v>https://zfin.org/ZDB-GENE-040718-113</v>
      </c>
      <c r="E8959" t="s">
        <v>26843</v>
      </c>
    </row>
    <row r="8960" spans="1:5" x14ac:dyDescent="0.2">
      <c r="A8960" t="s">
        <v>26844</v>
      </c>
      <c r="B8960" t="s">
        <v>26845</v>
      </c>
      <c r="C8960" t="s">
        <v>26845</v>
      </c>
      <c r="D8960" t="str">
        <f>HYPERLINK("https://zfin.org/ZDB-GENE-030902-1")</f>
        <v>https://zfin.org/ZDB-GENE-030902-1</v>
      </c>
      <c r="E8960" t="s">
        <v>26846</v>
      </c>
    </row>
    <row r="8961" spans="1:5" x14ac:dyDescent="0.2">
      <c r="A8961" t="s">
        <v>26847</v>
      </c>
      <c r="B8961" t="s">
        <v>26848</v>
      </c>
      <c r="C8961" t="s">
        <v>26848</v>
      </c>
      <c r="D8961" t="str">
        <f>HYPERLINK("https://zfin.org/ZDB-GENE-070119-4")</f>
        <v>https://zfin.org/ZDB-GENE-070119-4</v>
      </c>
      <c r="E8961" t="s">
        <v>26849</v>
      </c>
    </row>
    <row r="8962" spans="1:5" x14ac:dyDescent="0.2">
      <c r="A8962" t="s">
        <v>26850</v>
      </c>
      <c r="B8962" t="s">
        <v>26851</v>
      </c>
      <c r="C8962" t="s">
        <v>26851</v>
      </c>
      <c r="D8962" t="str">
        <f>HYPERLINK("https://zfin.org/ZDB-GENE-040704-3")</f>
        <v>https://zfin.org/ZDB-GENE-040704-3</v>
      </c>
      <c r="E8962" t="s">
        <v>26852</v>
      </c>
    </row>
    <row r="8963" spans="1:5" x14ac:dyDescent="0.2">
      <c r="A8963" t="s">
        <v>26853</v>
      </c>
      <c r="B8963" t="s">
        <v>26854</v>
      </c>
      <c r="C8963" t="s">
        <v>26854</v>
      </c>
      <c r="D8963" t="str">
        <f>HYPERLINK("https://zfin.org/ZDB-GENE-030131-1500")</f>
        <v>https://zfin.org/ZDB-GENE-030131-1500</v>
      </c>
      <c r="E8963" t="s">
        <v>26855</v>
      </c>
    </row>
    <row r="8964" spans="1:5" x14ac:dyDescent="0.2">
      <c r="A8964" t="s">
        <v>26856</v>
      </c>
      <c r="B8964" t="s">
        <v>26857</v>
      </c>
      <c r="C8964" t="s">
        <v>26857</v>
      </c>
      <c r="D8964" t="str">
        <f>HYPERLINK("https://zfin.org/ZDB-GENE-040426-1869")</f>
        <v>https://zfin.org/ZDB-GENE-040426-1869</v>
      </c>
      <c r="E8964" t="s">
        <v>26858</v>
      </c>
    </row>
    <row r="8965" spans="1:5" x14ac:dyDescent="0.2">
      <c r="A8965" t="s">
        <v>26859</v>
      </c>
      <c r="B8965" t="s">
        <v>26860</v>
      </c>
      <c r="C8965" t="s">
        <v>26861</v>
      </c>
      <c r="D8965" t="str">
        <f>HYPERLINK("https://zfin.org/ZDB-GENE-030805-5")</f>
        <v>https://zfin.org/ZDB-GENE-030805-5</v>
      </c>
      <c r="E8965" t="s">
        <v>26862</v>
      </c>
    </row>
    <row r="8966" spans="1:5" x14ac:dyDescent="0.2">
      <c r="A8966" t="s">
        <v>26863</v>
      </c>
      <c r="B8966" t="s">
        <v>26864</v>
      </c>
      <c r="C8966" t="s">
        <v>26864</v>
      </c>
      <c r="D8966" t="str">
        <f>HYPERLINK("https://zfin.org/ZDB-GENE-060503-447")</f>
        <v>https://zfin.org/ZDB-GENE-060503-447</v>
      </c>
      <c r="E8966" t="s">
        <v>26865</v>
      </c>
    </row>
    <row r="8967" spans="1:5" x14ac:dyDescent="0.2">
      <c r="A8967" t="s">
        <v>26866</v>
      </c>
      <c r="B8967" t="s">
        <v>26867</v>
      </c>
      <c r="C8967" t="s">
        <v>26867</v>
      </c>
      <c r="D8967" t="str">
        <f>HYPERLINK("https://zfin.org/ZDB-GENE-041212-86")</f>
        <v>https://zfin.org/ZDB-GENE-041212-86</v>
      </c>
      <c r="E8967" t="s">
        <v>26868</v>
      </c>
    </row>
    <row r="8968" spans="1:5" x14ac:dyDescent="0.2">
      <c r="A8968" t="s">
        <v>26869</v>
      </c>
      <c r="B8968" t="s">
        <v>26870</v>
      </c>
      <c r="C8968" t="s">
        <v>26870</v>
      </c>
      <c r="D8968" t="str">
        <f>HYPERLINK("https://zfin.org/ZDB-GENE-081112-3")</f>
        <v>https://zfin.org/ZDB-GENE-081112-3</v>
      </c>
      <c r="E8968" t="s">
        <v>26871</v>
      </c>
    </row>
    <row r="8969" spans="1:5" x14ac:dyDescent="0.2">
      <c r="A8969" t="s">
        <v>26872</v>
      </c>
      <c r="B8969" t="s">
        <v>26873</v>
      </c>
      <c r="C8969" t="s">
        <v>26873</v>
      </c>
      <c r="D8969" t="str">
        <f>HYPERLINK("https://zfin.org/ZDB-GENE-061207-13")</f>
        <v>https://zfin.org/ZDB-GENE-061207-13</v>
      </c>
      <c r="E8969" t="s">
        <v>26874</v>
      </c>
    </row>
    <row r="8970" spans="1:5" x14ac:dyDescent="0.2">
      <c r="A8970" t="s">
        <v>26875</v>
      </c>
      <c r="B8970" t="s">
        <v>26876</v>
      </c>
      <c r="C8970" t="s">
        <v>26876</v>
      </c>
      <c r="D8970" t="str">
        <f>HYPERLINK("https://zfin.org/ZDB-GENE-980526-188")</f>
        <v>https://zfin.org/ZDB-GENE-980526-188</v>
      </c>
      <c r="E8970" t="s">
        <v>26877</v>
      </c>
    </row>
    <row r="8971" spans="1:5" x14ac:dyDescent="0.2">
      <c r="A8971" t="s">
        <v>26878</v>
      </c>
      <c r="B8971" t="s">
        <v>26879</v>
      </c>
      <c r="C8971" t="s">
        <v>26879</v>
      </c>
      <c r="D8971" t="str">
        <f>HYPERLINK("https://zfin.org/ZDB-GENE-030131-3278")</f>
        <v>https://zfin.org/ZDB-GENE-030131-3278</v>
      </c>
      <c r="E8971" t="s">
        <v>26880</v>
      </c>
    </row>
    <row r="8972" spans="1:5" x14ac:dyDescent="0.2">
      <c r="A8972" t="s">
        <v>26881</v>
      </c>
      <c r="B8972" t="s">
        <v>26882</v>
      </c>
      <c r="C8972" t="s">
        <v>26882</v>
      </c>
      <c r="D8972" t="str">
        <f>HYPERLINK("https://zfin.org/ZDB-GENE-070112-932")</f>
        <v>https://zfin.org/ZDB-GENE-070112-932</v>
      </c>
      <c r="E8972" t="s">
        <v>26883</v>
      </c>
    </row>
    <row r="8973" spans="1:5" x14ac:dyDescent="0.2">
      <c r="A8973" t="s">
        <v>26884</v>
      </c>
      <c r="B8973" t="s">
        <v>26885</v>
      </c>
      <c r="C8973" t="s">
        <v>26885</v>
      </c>
      <c r="D8973" t="str">
        <f>HYPERLINK("https://zfin.org/ZDB-GENE-031003-1")</f>
        <v>https://zfin.org/ZDB-GENE-031003-1</v>
      </c>
      <c r="E8973" t="s">
        <v>26886</v>
      </c>
    </row>
    <row r="8974" spans="1:5" x14ac:dyDescent="0.2">
      <c r="A8974" t="s">
        <v>26887</v>
      </c>
      <c r="B8974" t="s">
        <v>26888</v>
      </c>
      <c r="C8974" t="s">
        <v>26888</v>
      </c>
      <c r="D8974" t="str">
        <f>HYPERLINK("https://zfin.org/ZDB-GENE-030131-926")</f>
        <v>https://zfin.org/ZDB-GENE-030131-926</v>
      </c>
      <c r="E8974" t="s">
        <v>26889</v>
      </c>
    </row>
    <row r="8975" spans="1:5" x14ac:dyDescent="0.2">
      <c r="A8975" t="s">
        <v>26890</v>
      </c>
      <c r="B8975" t="s">
        <v>26891</v>
      </c>
      <c r="C8975" t="s">
        <v>26891</v>
      </c>
      <c r="D8975" t="str">
        <f>HYPERLINK("https://zfin.org/ZDB-GENE-110408-16")</f>
        <v>https://zfin.org/ZDB-GENE-110408-16</v>
      </c>
      <c r="E8975" t="s">
        <v>26892</v>
      </c>
    </row>
    <row r="8976" spans="1:5" x14ac:dyDescent="0.2">
      <c r="A8976" t="s">
        <v>26893</v>
      </c>
      <c r="B8976" t="s">
        <v>26894</v>
      </c>
      <c r="C8976" t="s">
        <v>26894</v>
      </c>
      <c r="D8976" t="str">
        <f>HYPERLINK("https://zfin.org/ZDB-GENE-040718-355")</f>
        <v>https://zfin.org/ZDB-GENE-040718-355</v>
      </c>
      <c r="E8976" t="s">
        <v>26895</v>
      </c>
    </row>
    <row r="8977" spans="1:5" x14ac:dyDescent="0.2">
      <c r="A8977" t="s">
        <v>26896</v>
      </c>
      <c r="B8977" t="s">
        <v>26897</v>
      </c>
      <c r="C8977" t="s">
        <v>26897</v>
      </c>
      <c r="D8977" t="str">
        <f>HYPERLINK("https://zfin.org/ZDB-GENE-040426-695")</f>
        <v>https://zfin.org/ZDB-GENE-040426-695</v>
      </c>
      <c r="E8977" t="s">
        <v>26898</v>
      </c>
    </row>
    <row r="8978" spans="1:5" x14ac:dyDescent="0.2">
      <c r="A8978" t="s">
        <v>26899</v>
      </c>
      <c r="B8978" t="s">
        <v>26900</v>
      </c>
      <c r="C8978" t="s">
        <v>26900</v>
      </c>
      <c r="D8978" t="str">
        <f>HYPERLINK("https://zfin.org/ZDB-GENE-040611-4")</f>
        <v>https://zfin.org/ZDB-GENE-040611-4</v>
      </c>
      <c r="E8978" t="s">
        <v>26901</v>
      </c>
    </row>
    <row r="8979" spans="1:5" x14ac:dyDescent="0.2">
      <c r="A8979" t="s">
        <v>26902</v>
      </c>
      <c r="B8979" t="s">
        <v>26903</v>
      </c>
      <c r="C8979" t="s">
        <v>26903</v>
      </c>
      <c r="D8979" t="str">
        <f>HYPERLINK("https://zfin.org/ZDB-GENE-121214-79")</f>
        <v>https://zfin.org/ZDB-GENE-121214-79</v>
      </c>
      <c r="E8979" t="s">
        <v>26904</v>
      </c>
    </row>
    <row r="8980" spans="1:5" x14ac:dyDescent="0.2">
      <c r="A8980" t="s">
        <v>26905</v>
      </c>
      <c r="B8980" t="s">
        <v>26906</v>
      </c>
      <c r="C8980" t="s">
        <v>26906</v>
      </c>
      <c r="D8980" t="str">
        <f>HYPERLINK("https://zfin.org/ZDB-GENE-131121-241")</f>
        <v>https://zfin.org/ZDB-GENE-131121-241</v>
      </c>
      <c r="E8980" t="s">
        <v>26907</v>
      </c>
    </row>
    <row r="8981" spans="1:5" x14ac:dyDescent="0.2">
      <c r="A8981" t="s">
        <v>26908</v>
      </c>
      <c r="B8981" t="s">
        <v>26909</v>
      </c>
      <c r="C8981" t="s">
        <v>26909</v>
      </c>
      <c r="D8981" t="str">
        <f>HYPERLINK("https://zfin.org/ZDB-GENE-040426-1526")</f>
        <v>https://zfin.org/ZDB-GENE-040426-1526</v>
      </c>
      <c r="E8981" t="s">
        <v>26910</v>
      </c>
    </row>
    <row r="8982" spans="1:5" x14ac:dyDescent="0.2">
      <c r="A8982" t="s">
        <v>26911</v>
      </c>
      <c r="B8982" t="s">
        <v>26912</v>
      </c>
      <c r="C8982" t="s">
        <v>26912</v>
      </c>
      <c r="D8982" t="str">
        <f>HYPERLINK("https://zfin.org/ZDB-GENE-050417-249")</f>
        <v>https://zfin.org/ZDB-GENE-050417-249</v>
      </c>
      <c r="E8982" t="s">
        <v>26913</v>
      </c>
    </row>
    <row r="8983" spans="1:5" x14ac:dyDescent="0.2">
      <c r="A8983" t="s">
        <v>26914</v>
      </c>
      <c r="B8983" t="s">
        <v>26915</v>
      </c>
      <c r="C8983" t="s">
        <v>26915</v>
      </c>
      <c r="D8983" t="str">
        <f>HYPERLINK("https://zfin.org/ZDB-GENE-050306-24")</f>
        <v>https://zfin.org/ZDB-GENE-050306-24</v>
      </c>
      <c r="E8983" t="s">
        <v>26916</v>
      </c>
    </row>
    <row r="8984" spans="1:5" x14ac:dyDescent="0.2">
      <c r="A8984" t="s">
        <v>26917</v>
      </c>
      <c r="B8984" t="s">
        <v>26918</v>
      </c>
      <c r="C8984" t="s">
        <v>26918</v>
      </c>
      <c r="D8984" t="str">
        <f>HYPERLINK("https://zfin.org/ZDB-GENE-141216-243")</f>
        <v>https://zfin.org/ZDB-GENE-141216-243</v>
      </c>
      <c r="E8984" t="s">
        <v>26919</v>
      </c>
    </row>
    <row r="8985" spans="1:5" x14ac:dyDescent="0.2">
      <c r="A8985" t="s">
        <v>26920</v>
      </c>
      <c r="B8985" t="s">
        <v>26921</v>
      </c>
      <c r="C8985" t="s">
        <v>26921</v>
      </c>
      <c r="D8985" t="str">
        <f>HYPERLINK("https://zfin.org/ZDB-GENE-101006-5")</f>
        <v>https://zfin.org/ZDB-GENE-101006-5</v>
      </c>
      <c r="E8985" t="s">
        <v>26922</v>
      </c>
    </row>
    <row r="8986" spans="1:5" x14ac:dyDescent="0.2">
      <c r="A8986" t="s">
        <v>26923</v>
      </c>
      <c r="B8986" t="s">
        <v>26924</v>
      </c>
      <c r="C8986" t="s">
        <v>26924</v>
      </c>
      <c r="D8986" t="str">
        <f>HYPERLINK("https://zfin.org/ZDB-GENE-050522-182")</f>
        <v>https://zfin.org/ZDB-GENE-050522-182</v>
      </c>
      <c r="E8986" t="s">
        <v>26925</v>
      </c>
    </row>
    <row r="8987" spans="1:5" x14ac:dyDescent="0.2">
      <c r="A8987" t="s">
        <v>26926</v>
      </c>
      <c r="B8987" t="s">
        <v>26927</v>
      </c>
      <c r="C8987" t="s">
        <v>26927</v>
      </c>
      <c r="D8987" t="str">
        <f>HYPERLINK("https://zfin.org/ZDB-GENE-030729-9")</f>
        <v>https://zfin.org/ZDB-GENE-030729-9</v>
      </c>
      <c r="E8987" t="s">
        <v>26928</v>
      </c>
    </row>
    <row r="8988" spans="1:5" x14ac:dyDescent="0.2">
      <c r="A8988" t="s">
        <v>26929</v>
      </c>
      <c r="B8988" t="s">
        <v>26930</v>
      </c>
      <c r="C8988" t="s">
        <v>26930</v>
      </c>
      <c r="D8988" t="str">
        <f>HYPERLINK("https://zfin.org/ZDB-GENE-040801-229")</f>
        <v>https://zfin.org/ZDB-GENE-040801-229</v>
      </c>
      <c r="E8988" t="s">
        <v>26931</v>
      </c>
    </row>
    <row r="8989" spans="1:5" x14ac:dyDescent="0.2">
      <c r="A8989" t="s">
        <v>26932</v>
      </c>
      <c r="B8989" t="s">
        <v>26933</v>
      </c>
      <c r="C8989" t="s">
        <v>26933</v>
      </c>
      <c r="D8989" t="str">
        <f>HYPERLINK("https://zfin.org/ZDB-GENE-040426-1200")</f>
        <v>https://zfin.org/ZDB-GENE-040426-1200</v>
      </c>
      <c r="E8989" t="s">
        <v>26934</v>
      </c>
    </row>
    <row r="8990" spans="1:5" x14ac:dyDescent="0.2">
      <c r="A8990" t="s">
        <v>26935</v>
      </c>
      <c r="B8990" t="s">
        <v>26936</v>
      </c>
      <c r="C8990" t="s">
        <v>26936</v>
      </c>
      <c r="D8990" t="str">
        <f>HYPERLINK("https://zfin.org/ZDB-GENE-081104-129")</f>
        <v>https://zfin.org/ZDB-GENE-081104-129</v>
      </c>
      <c r="E8990" t="s">
        <v>26937</v>
      </c>
    </row>
    <row r="8991" spans="1:5" x14ac:dyDescent="0.2">
      <c r="A8991" t="s">
        <v>26938</v>
      </c>
      <c r="B8991" t="s">
        <v>26939</v>
      </c>
      <c r="C8991" t="s">
        <v>26939</v>
      </c>
      <c r="D8991" t="str">
        <f>HYPERLINK("https://zfin.org/ZDB-GENE-051113-168")</f>
        <v>https://zfin.org/ZDB-GENE-051113-168</v>
      </c>
      <c r="E8991" t="s">
        <v>26940</v>
      </c>
    </row>
    <row r="8992" spans="1:5" x14ac:dyDescent="0.2">
      <c r="A8992" t="s">
        <v>26941</v>
      </c>
      <c r="B8992" t="s">
        <v>2859</v>
      </c>
      <c r="C8992" t="s">
        <v>26942</v>
      </c>
      <c r="D8992" t="str">
        <f>HYPERLINK("https://zfin.org/ZDB-GENE-110914-163")</f>
        <v>https://zfin.org/ZDB-GENE-110914-163</v>
      </c>
      <c r="E8992" t="s">
        <v>26943</v>
      </c>
    </row>
    <row r="8993" spans="1:5" x14ac:dyDescent="0.2">
      <c r="A8993" t="s">
        <v>26944</v>
      </c>
      <c r="B8993" t="s">
        <v>26945</v>
      </c>
      <c r="C8993" t="s">
        <v>26945</v>
      </c>
      <c r="D8993" t="str">
        <f>HYPERLINK("https://zfin.org/ZDB-GENE-050105-1")</f>
        <v>https://zfin.org/ZDB-GENE-050105-1</v>
      </c>
      <c r="E8993" t="s">
        <v>26946</v>
      </c>
    </row>
    <row r="8994" spans="1:5" x14ac:dyDescent="0.2">
      <c r="A8994" t="s">
        <v>26947</v>
      </c>
      <c r="B8994" t="s">
        <v>26948</v>
      </c>
      <c r="C8994" t="s">
        <v>26948</v>
      </c>
      <c r="D8994" t="str">
        <f>HYPERLINK("https://zfin.org/ZDB-GENE-060929-1254")</f>
        <v>https://zfin.org/ZDB-GENE-060929-1254</v>
      </c>
      <c r="E8994" t="s">
        <v>26949</v>
      </c>
    </row>
    <row r="8995" spans="1:5" x14ac:dyDescent="0.2">
      <c r="A8995" t="s">
        <v>26950</v>
      </c>
      <c r="B8995" t="s">
        <v>26951</v>
      </c>
      <c r="C8995" t="s">
        <v>26951</v>
      </c>
      <c r="D8995" t="str">
        <f>HYPERLINK("https://zfin.org/ZDB-GENE-160114-52")</f>
        <v>https://zfin.org/ZDB-GENE-160114-52</v>
      </c>
      <c r="E8995" t="s">
        <v>26952</v>
      </c>
    </row>
    <row r="8996" spans="1:5" x14ac:dyDescent="0.2">
      <c r="A8996" t="s">
        <v>26953</v>
      </c>
      <c r="B8996" t="s">
        <v>26954</v>
      </c>
      <c r="C8996" t="s">
        <v>26954</v>
      </c>
      <c r="D8996" t="str">
        <f>HYPERLINK("https://zfin.org/ZDB-GENE-070912-27")</f>
        <v>https://zfin.org/ZDB-GENE-070912-27</v>
      </c>
      <c r="E8996" t="s">
        <v>26955</v>
      </c>
    </row>
    <row r="8997" spans="1:5" x14ac:dyDescent="0.2">
      <c r="A8997" t="s">
        <v>26956</v>
      </c>
      <c r="B8997" t="s">
        <v>26957</v>
      </c>
      <c r="C8997" t="s">
        <v>26957</v>
      </c>
      <c r="D8997" t="str">
        <f>HYPERLINK("https://zfin.org/ZDB-GENE-030616-419")</f>
        <v>https://zfin.org/ZDB-GENE-030616-419</v>
      </c>
      <c r="E8997" t="s">
        <v>26958</v>
      </c>
    </row>
    <row r="8998" spans="1:5" x14ac:dyDescent="0.2">
      <c r="A8998" t="s">
        <v>26959</v>
      </c>
      <c r="B8998" t="s">
        <v>26960</v>
      </c>
      <c r="C8998" t="s">
        <v>26960</v>
      </c>
      <c r="D8998" t="str">
        <f>HYPERLINK("https://zfin.org/ZDB-GENE-090312-219")</f>
        <v>https://zfin.org/ZDB-GENE-090312-219</v>
      </c>
      <c r="E8998" t="s">
        <v>26961</v>
      </c>
    </row>
    <row r="8999" spans="1:5" x14ac:dyDescent="0.2">
      <c r="A8999" t="s">
        <v>26962</v>
      </c>
      <c r="B8999" t="s">
        <v>26963</v>
      </c>
      <c r="C8999" t="s">
        <v>26963</v>
      </c>
      <c r="D8999" t="str">
        <f>HYPERLINK("https://zfin.org/ZDB-GENE-040724-194")</f>
        <v>https://zfin.org/ZDB-GENE-040724-194</v>
      </c>
      <c r="E8999" t="s">
        <v>26964</v>
      </c>
    </row>
    <row r="9000" spans="1:5" x14ac:dyDescent="0.2">
      <c r="A9000" t="s">
        <v>26965</v>
      </c>
      <c r="B9000" t="s">
        <v>26966</v>
      </c>
      <c r="C9000" t="s">
        <v>26966</v>
      </c>
      <c r="D9000" t="str">
        <f>HYPERLINK("https://zfin.org/ZDB-GENE-030131-5576")</f>
        <v>https://zfin.org/ZDB-GENE-030131-5576</v>
      </c>
      <c r="E9000" t="s">
        <v>26967</v>
      </c>
    </row>
    <row r="9001" spans="1:5" x14ac:dyDescent="0.2">
      <c r="A9001" t="s">
        <v>26968</v>
      </c>
      <c r="B9001" t="s">
        <v>26969</v>
      </c>
      <c r="C9001" t="s">
        <v>26969</v>
      </c>
      <c r="D9001" t="str">
        <f>HYPERLINK("https://zfin.org/ZDB-GENE-030131-9823")</f>
        <v>https://zfin.org/ZDB-GENE-030131-9823</v>
      </c>
      <c r="E9001" t="s">
        <v>26970</v>
      </c>
    </row>
    <row r="9002" spans="1:5" x14ac:dyDescent="0.2">
      <c r="A9002" t="s">
        <v>26971</v>
      </c>
      <c r="B9002" t="s">
        <v>26972</v>
      </c>
      <c r="C9002" t="s">
        <v>26972</v>
      </c>
      <c r="D9002" t="str">
        <f>HYPERLINK("https://zfin.org/ZDB-GENE-030131-4212")</f>
        <v>https://zfin.org/ZDB-GENE-030131-4212</v>
      </c>
      <c r="E9002" t="s">
        <v>26973</v>
      </c>
    </row>
    <row r="9003" spans="1:5" x14ac:dyDescent="0.2">
      <c r="A9003" t="s">
        <v>26974</v>
      </c>
      <c r="B9003" t="s">
        <v>26975</v>
      </c>
      <c r="C9003" t="s">
        <v>26975</v>
      </c>
      <c r="D9003" t="str">
        <f>HYPERLINK("https://zfin.org/ZDB-GENE-050208-406")</f>
        <v>https://zfin.org/ZDB-GENE-050208-406</v>
      </c>
      <c r="E9003" t="s">
        <v>26976</v>
      </c>
    </row>
    <row r="9004" spans="1:5" x14ac:dyDescent="0.2">
      <c r="A9004" t="s">
        <v>26977</v>
      </c>
      <c r="B9004" t="s">
        <v>26978</v>
      </c>
      <c r="C9004" t="s">
        <v>26978</v>
      </c>
      <c r="D9004" t="str">
        <f>HYPERLINK("https://zfin.org/ZDB-GENE-030131-5488")</f>
        <v>https://zfin.org/ZDB-GENE-030131-5488</v>
      </c>
      <c r="E9004" t="s">
        <v>26979</v>
      </c>
    </row>
    <row r="9005" spans="1:5" x14ac:dyDescent="0.2">
      <c r="A9005" t="s">
        <v>26980</v>
      </c>
      <c r="B9005" t="s">
        <v>26981</v>
      </c>
      <c r="C9005" t="s">
        <v>26981</v>
      </c>
      <c r="D9005" t="str">
        <f>HYPERLINK("https://zfin.org/ZDB-GENE-041001-171")</f>
        <v>https://zfin.org/ZDB-GENE-041001-171</v>
      </c>
      <c r="E9005" t="s">
        <v>26982</v>
      </c>
    </row>
    <row r="9006" spans="1:5" x14ac:dyDescent="0.2">
      <c r="A9006" t="s">
        <v>26983</v>
      </c>
      <c r="B9006" t="s">
        <v>26984</v>
      </c>
      <c r="C9006" t="s">
        <v>26984</v>
      </c>
      <c r="D9006" t="str">
        <f>HYPERLINK("https://zfin.org/ZDB-GENE-011105-1")</f>
        <v>https://zfin.org/ZDB-GENE-011105-1</v>
      </c>
      <c r="E9006" t="s">
        <v>26985</v>
      </c>
    </row>
    <row r="9007" spans="1:5" x14ac:dyDescent="0.2">
      <c r="A9007" t="s">
        <v>26986</v>
      </c>
      <c r="B9007" t="s">
        <v>26987</v>
      </c>
      <c r="C9007" t="s">
        <v>26987</v>
      </c>
      <c r="D9007" t="str">
        <f>HYPERLINK("https://zfin.org/ZDB-GENE-060503-207")</f>
        <v>https://zfin.org/ZDB-GENE-060503-207</v>
      </c>
      <c r="E9007" t="s">
        <v>26988</v>
      </c>
    </row>
    <row r="9008" spans="1:5" x14ac:dyDescent="0.2">
      <c r="A9008" t="s">
        <v>26989</v>
      </c>
      <c r="B9008" t="s">
        <v>26990</v>
      </c>
      <c r="C9008" t="s">
        <v>26990</v>
      </c>
      <c r="D9008" t="str">
        <f>HYPERLINK("https://zfin.org/ZDB-GENE-040426-1848")</f>
        <v>https://zfin.org/ZDB-GENE-040426-1848</v>
      </c>
      <c r="E9008" t="s">
        <v>26991</v>
      </c>
    </row>
    <row r="9009" spans="1:5" x14ac:dyDescent="0.2">
      <c r="A9009" t="s">
        <v>26992</v>
      </c>
      <c r="B9009" t="s">
        <v>26993</v>
      </c>
      <c r="C9009" t="s">
        <v>26993</v>
      </c>
      <c r="D9009" t="str">
        <f>HYPERLINK("https://zfin.org/ZDB-GENE-050320-50")</f>
        <v>https://zfin.org/ZDB-GENE-050320-50</v>
      </c>
      <c r="E9009" t="s">
        <v>26994</v>
      </c>
    </row>
    <row r="9010" spans="1:5" x14ac:dyDescent="0.2">
      <c r="A9010" t="s">
        <v>26995</v>
      </c>
      <c r="B9010" t="s">
        <v>26996</v>
      </c>
      <c r="C9010" t="s">
        <v>26996</v>
      </c>
      <c r="D9010" t="str">
        <f>HYPERLINK("https://zfin.org/ZDB-GENE-051120-21")</f>
        <v>https://zfin.org/ZDB-GENE-051120-21</v>
      </c>
      <c r="E9010" t="s">
        <v>26997</v>
      </c>
    </row>
    <row r="9011" spans="1:5" x14ac:dyDescent="0.2">
      <c r="A9011" t="s">
        <v>26998</v>
      </c>
      <c r="B9011" t="s">
        <v>26999</v>
      </c>
      <c r="C9011" t="s">
        <v>26999</v>
      </c>
      <c r="D9011" t="str">
        <f>HYPERLINK("https://zfin.org/ZDB-GENE-030131-5804")</f>
        <v>https://zfin.org/ZDB-GENE-030131-5804</v>
      </c>
      <c r="E9011" t="s">
        <v>27000</v>
      </c>
    </row>
    <row r="9012" spans="1:5" x14ac:dyDescent="0.2">
      <c r="A9012" t="s">
        <v>27001</v>
      </c>
      <c r="B9012" t="s">
        <v>27002</v>
      </c>
      <c r="C9012" t="s">
        <v>27002</v>
      </c>
      <c r="D9012" t="str">
        <f>HYPERLINK("https://zfin.org/ZDB-GENE-101110-1")</f>
        <v>https://zfin.org/ZDB-GENE-101110-1</v>
      </c>
      <c r="E9012" t="s">
        <v>27003</v>
      </c>
    </row>
    <row r="9013" spans="1:5" x14ac:dyDescent="0.2">
      <c r="A9013" t="s">
        <v>27004</v>
      </c>
      <c r="B9013" t="s">
        <v>27005</v>
      </c>
      <c r="C9013" t="s">
        <v>27005</v>
      </c>
      <c r="D9013" t="str">
        <f>HYPERLINK("https://zfin.org/ZDB-GENE-030131-5677")</f>
        <v>https://zfin.org/ZDB-GENE-030131-5677</v>
      </c>
      <c r="E9013" t="s">
        <v>27006</v>
      </c>
    </row>
    <row r="9014" spans="1:5" x14ac:dyDescent="0.2">
      <c r="A9014" t="s">
        <v>27007</v>
      </c>
      <c r="B9014" t="s">
        <v>27008</v>
      </c>
      <c r="C9014" t="s">
        <v>27008</v>
      </c>
      <c r="D9014" t="str">
        <f>HYPERLINK("https://zfin.org/ZDB-GENE-030131-6965")</f>
        <v>https://zfin.org/ZDB-GENE-030131-6965</v>
      </c>
      <c r="E9014" t="s">
        <v>27009</v>
      </c>
    </row>
    <row r="9015" spans="1:5" x14ac:dyDescent="0.2">
      <c r="A9015" t="s">
        <v>27010</v>
      </c>
      <c r="B9015" t="s">
        <v>27011</v>
      </c>
      <c r="C9015" t="s">
        <v>27011</v>
      </c>
      <c r="D9015" t="str">
        <f>HYPERLINK("https://zfin.org/ZDB-GENE-110411-78")</f>
        <v>https://zfin.org/ZDB-GENE-110411-78</v>
      </c>
      <c r="E9015" t="s">
        <v>27012</v>
      </c>
    </row>
    <row r="9016" spans="1:5" x14ac:dyDescent="0.2">
      <c r="A9016" t="s">
        <v>27013</v>
      </c>
      <c r="B9016" t="s">
        <v>27014</v>
      </c>
      <c r="C9016" t="s">
        <v>27014</v>
      </c>
      <c r="D9016" t="str">
        <f>HYPERLINK("https://zfin.org/ZDB-GENE-060526-52")</f>
        <v>https://zfin.org/ZDB-GENE-060526-52</v>
      </c>
      <c r="E9016" t="s">
        <v>27015</v>
      </c>
    </row>
    <row r="9017" spans="1:5" x14ac:dyDescent="0.2">
      <c r="A9017" t="s">
        <v>27016</v>
      </c>
      <c r="B9017" t="s">
        <v>27017</v>
      </c>
      <c r="C9017" t="s">
        <v>27017</v>
      </c>
      <c r="D9017" t="str">
        <f>HYPERLINK("https://zfin.org/ZDB-GENE-041001-165")</f>
        <v>https://zfin.org/ZDB-GENE-041001-165</v>
      </c>
      <c r="E9017" t="s">
        <v>27018</v>
      </c>
    </row>
    <row r="9018" spans="1:5" x14ac:dyDescent="0.2">
      <c r="A9018" t="s">
        <v>27019</v>
      </c>
      <c r="B9018" t="s">
        <v>27020</v>
      </c>
      <c r="C9018" t="s">
        <v>27020</v>
      </c>
      <c r="D9018" t="str">
        <f>HYPERLINK("https://zfin.org/ZDB-GENE-060810-163")</f>
        <v>https://zfin.org/ZDB-GENE-060810-163</v>
      </c>
      <c r="E9018" t="s">
        <v>27021</v>
      </c>
    </row>
    <row r="9019" spans="1:5" x14ac:dyDescent="0.2">
      <c r="A9019" t="s">
        <v>27022</v>
      </c>
      <c r="B9019" t="s">
        <v>27023</v>
      </c>
      <c r="C9019" t="s">
        <v>27023</v>
      </c>
      <c r="D9019" t="str">
        <f>HYPERLINK("https://zfin.org/ZDB-GENE-030912-15")</f>
        <v>https://zfin.org/ZDB-GENE-030912-15</v>
      </c>
      <c r="E9019" t="s">
        <v>27024</v>
      </c>
    </row>
    <row r="9020" spans="1:5" x14ac:dyDescent="0.2">
      <c r="A9020" t="s">
        <v>27025</v>
      </c>
      <c r="B9020" t="s">
        <v>27026</v>
      </c>
      <c r="C9020" t="s">
        <v>27026</v>
      </c>
      <c r="D9020" t="str">
        <f>HYPERLINK("https://zfin.org/ZDB-GENE-071004-17")</f>
        <v>https://zfin.org/ZDB-GENE-071004-17</v>
      </c>
      <c r="E9020" t="s">
        <v>27027</v>
      </c>
    </row>
    <row r="9021" spans="1:5" x14ac:dyDescent="0.2">
      <c r="A9021" t="s">
        <v>27028</v>
      </c>
      <c r="B9021" t="s">
        <v>27029</v>
      </c>
      <c r="C9021" t="s">
        <v>27029</v>
      </c>
      <c r="D9021" t="str">
        <f>HYPERLINK("https://zfin.org/ZDB-GENE-030131-2391")</f>
        <v>https://zfin.org/ZDB-GENE-030131-2391</v>
      </c>
      <c r="E9021" t="s">
        <v>27030</v>
      </c>
    </row>
    <row r="9022" spans="1:5" x14ac:dyDescent="0.2">
      <c r="A9022" t="s">
        <v>27031</v>
      </c>
      <c r="B9022" t="s">
        <v>27032</v>
      </c>
      <c r="C9022" t="s">
        <v>27032</v>
      </c>
      <c r="D9022" t="str">
        <f>HYPERLINK("https://zfin.org/ZDB-GENE-050522-212")</f>
        <v>https://zfin.org/ZDB-GENE-050522-212</v>
      </c>
      <c r="E9022" t="s">
        <v>27033</v>
      </c>
    </row>
    <row r="9023" spans="1:5" x14ac:dyDescent="0.2">
      <c r="A9023" t="s">
        <v>27034</v>
      </c>
      <c r="B9023" t="s">
        <v>27035</v>
      </c>
      <c r="C9023" t="s">
        <v>27035</v>
      </c>
      <c r="D9023" t="str">
        <f>HYPERLINK("https://zfin.org/ZDB-GENE-050327-33")</f>
        <v>https://zfin.org/ZDB-GENE-050327-33</v>
      </c>
      <c r="E9023" t="s">
        <v>27036</v>
      </c>
    </row>
    <row r="9024" spans="1:5" x14ac:dyDescent="0.2">
      <c r="A9024" t="s">
        <v>27037</v>
      </c>
      <c r="B9024" t="s">
        <v>27038</v>
      </c>
      <c r="C9024" t="s">
        <v>27038</v>
      </c>
      <c r="D9024" t="str">
        <f>HYPERLINK("https://zfin.org/ZDB-GENE-030131-2519")</f>
        <v>https://zfin.org/ZDB-GENE-030131-2519</v>
      </c>
      <c r="E9024" t="s">
        <v>27039</v>
      </c>
    </row>
    <row r="9025" spans="1:5" x14ac:dyDescent="0.2">
      <c r="A9025" t="s">
        <v>27040</v>
      </c>
      <c r="B9025" t="s">
        <v>27041</v>
      </c>
      <c r="C9025" t="s">
        <v>27041</v>
      </c>
      <c r="D9025" t="str">
        <f>HYPERLINK("https://zfin.org/ZDB-GENE-080218-30")</f>
        <v>https://zfin.org/ZDB-GENE-080218-30</v>
      </c>
      <c r="E9025" t="s">
        <v>27042</v>
      </c>
    </row>
    <row r="9026" spans="1:5" x14ac:dyDescent="0.2">
      <c r="A9026" t="s">
        <v>27043</v>
      </c>
      <c r="B9026" t="s">
        <v>27044</v>
      </c>
      <c r="C9026" t="s">
        <v>27044</v>
      </c>
      <c r="D9026" t="str">
        <f>HYPERLINK("https://zfin.org/ZDB-GENE-030131-3554")</f>
        <v>https://zfin.org/ZDB-GENE-030131-3554</v>
      </c>
      <c r="E9026" t="s">
        <v>27045</v>
      </c>
    </row>
    <row r="9027" spans="1:5" x14ac:dyDescent="0.2">
      <c r="A9027" t="s">
        <v>27046</v>
      </c>
      <c r="B9027" t="s">
        <v>27047</v>
      </c>
      <c r="C9027" t="s">
        <v>27047</v>
      </c>
      <c r="D9027" t="str">
        <f>HYPERLINK("https://zfin.org/ZDB-GENE-000330-7")</f>
        <v>https://zfin.org/ZDB-GENE-000330-7</v>
      </c>
      <c r="E9027" t="s">
        <v>27048</v>
      </c>
    </row>
    <row r="9028" spans="1:5" x14ac:dyDescent="0.2">
      <c r="A9028" t="s">
        <v>27049</v>
      </c>
      <c r="B9028" t="s">
        <v>27050</v>
      </c>
      <c r="C9028" t="s">
        <v>27050</v>
      </c>
      <c r="D9028" t="str">
        <f>HYPERLINK("https://zfin.org/ZDB-GENE-050327-3")</f>
        <v>https://zfin.org/ZDB-GENE-050327-3</v>
      </c>
      <c r="E9028" t="s">
        <v>27051</v>
      </c>
    </row>
    <row r="9029" spans="1:5" x14ac:dyDescent="0.2">
      <c r="A9029" t="s">
        <v>27052</v>
      </c>
      <c r="B9029" t="s">
        <v>27053</v>
      </c>
      <c r="C9029" t="s">
        <v>27053</v>
      </c>
      <c r="D9029" t="str">
        <f>HYPERLINK("https://zfin.org/ZDB-GENE-041210-237")</f>
        <v>https://zfin.org/ZDB-GENE-041210-237</v>
      </c>
      <c r="E9029" t="s">
        <v>27054</v>
      </c>
    </row>
    <row r="9030" spans="1:5" x14ac:dyDescent="0.2">
      <c r="A9030" t="s">
        <v>27055</v>
      </c>
      <c r="B9030" t="s">
        <v>27056</v>
      </c>
      <c r="C9030" t="s">
        <v>27056</v>
      </c>
      <c r="D9030" t="str">
        <f>HYPERLINK("https://zfin.org/ZDB-GENE-030131-6246")</f>
        <v>https://zfin.org/ZDB-GENE-030131-6246</v>
      </c>
      <c r="E9030" t="s">
        <v>27057</v>
      </c>
    </row>
    <row r="9031" spans="1:5" x14ac:dyDescent="0.2">
      <c r="A9031" t="s">
        <v>27058</v>
      </c>
      <c r="B9031" t="s">
        <v>27059</v>
      </c>
      <c r="C9031" t="s">
        <v>27059</v>
      </c>
      <c r="D9031" t="str">
        <f>HYPERLINK("https://zfin.org/ZDB-GENE-040426-1986")</f>
        <v>https://zfin.org/ZDB-GENE-040426-1986</v>
      </c>
      <c r="E9031" t="s">
        <v>27060</v>
      </c>
    </row>
    <row r="9032" spans="1:5" x14ac:dyDescent="0.2">
      <c r="A9032" t="s">
        <v>27061</v>
      </c>
      <c r="B9032" t="s">
        <v>27062</v>
      </c>
      <c r="C9032" t="s">
        <v>27062</v>
      </c>
      <c r="D9032" t="str">
        <f>HYPERLINK("https://zfin.org/ZDB-GENE-081007-1")</f>
        <v>https://zfin.org/ZDB-GENE-081007-1</v>
      </c>
      <c r="E9032" t="s">
        <v>27063</v>
      </c>
    </row>
    <row r="9033" spans="1:5" x14ac:dyDescent="0.2">
      <c r="A9033" t="s">
        <v>27064</v>
      </c>
      <c r="B9033" t="s">
        <v>27065</v>
      </c>
      <c r="C9033" t="s">
        <v>27065</v>
      </c>
      <c r="D9033" t="str">
        <f>HYPERLINK("https://zfin.org/ZDB-GENE-080303-27")</f>
        <v>https://zfin.org/ZDB-GENE-080303-27</v>
      </c>
      <c r="E9033" t="s">
        <v>27066</v>
      </c>
    </row>
    <row r="9034" spans="1:5" x14ac:dyDescent="0.2">
      <c r="A9034" t="s">
        <v>27067</v>
      </c>
      <c r="B9034" t="s">
        <v>27068</v>
      </c>
      <c r="C9034" t="s">
        <v>27068</v>
      </c>
      <c r="D9034" t="str">
        <f>HYPERLINK("https://zfin.org/ZDB-GENE-030616-420")</f>
        <v>https://zfin.org/ZDB-GENE-030616-420</v>
      </c>
      <c r="E9034" t="s">
        <v>27069</v>
      </c>
    </row>
    <row r="9035" spans="1:5" x14ac:dyDescent="0.2">
      <c r="A9035" t="s">
        <v>27070</v>
      </c>
      <c r="B9035" t="s">
        <v>27071</v>
      </c>
      <c r="C9035" t="s">
        <v>27071</v>
      </c>
      <c r="D9035" t="str">
        <f>HYPERLINK("https://zfin.org/ZDB-GENE-040426-1641")</f>
        <v>https://zfin.org/ZDB-GENE-040426-1641</v>
      </c>
      <c r="E9035" t="s">
        <v>27072</v>
      </c>
    </row>
    <row r="9036" spans="1:5" x14ac:dyDescent="0.2">
      <c r="A9036" t="s">
        <v>27073</v>
      </c>
      <c r="B9036" t="s">
        <v>27074</v>
      </c>
      <c r="C9036" t="s">
        <v>27074</v>
      </c>
      <c r="D9036" t="str">
        <f>HYPERLINK("https://zfin.org/ZDB-GENE-040426-1719")</f>
        <v>https://zfin.org/ZDB-GENE-040426-1719</v>
      </c>
      <c r="E9036" t="s">
        <v>27075</v>
      </c>
    </row>
    <row r="9037" spans="1:5" x14ac:dyDescent="0.2">
      <c r="A9037" t="s">
        <v>27076</v>
      </c>
      <c r="B9037" t="s">
        <v>27077</v>
      </c>
      <c r="C9037" t="s">
        <v>27077</v>
      </c>
      <c r="D9037" t="str">
        <f>HYPERLINK("https://zfin.org/ZDB-GENE-070202-5")</f>
        <v>https://zfin.org/ZDB-GENE-070202-5</v>
      </c>
      <c r="E9037" t="s">
        <v>27078</v>
      </c>
    </row>
    <row r="9038" spans="1:5" x14ac:dyDescent="0.2">
      <c r="A9038" t="s">
        <v>27079</v>
      </c>
      <c r="B9038" t="s">
        <v>27080</v>
      </c>
      <c r="C9038" t="s">
        <v>27080</v>
      </c>
      <c r="D9038" t="str">
        <f>HYPERLINK("https://zfin.org/ZDB-GENE-030131-900")</f>
        <v>https://zfin.org/ZDB-GENE-030131-900</v>
      </c>
      <c r="E9038" t="s">
        <v>27081</v>
      </c>
    </row>
    <row r="9039" spans="1:5" x14ac:dyDescent="0.2">
      <c r="A9039" t="s">
        <v>27082</v>
      </c>
      <c r="B9039" t="s">
        <v>27083</v>
      </c>
      <c r="C9039" t="s">
        <v>27083</v>
      </c>
      <c r="D9039" t="str">
        <f>HYPERLINK("https://zfin.org/ZDB-GENE-080425-1")</f>
        <v>https://zfin.org/ZDB-GENE-080425-1</v>
      </c>
      <c r="E9039" t="s">
        <v>27084</v>
      </c>
    </row>
    <row r="9040" spans="1:5" x14ac:dyDescent="0.2">
      <c r="A9040" t="s">
        <v>27085</v>
      </c>
      <c r="B9040" t="s">
        <v>27086</v>
      </c>
      <c r="C9040" t="s">
        <v>27086</v>
      </c>
      <c r="D9040" t="str">
        <f>HYPERLINK("https://zfin.org/ZDB-GENE-041210-236")</f>
        <v>https://zfin.org/ZDB-GENE-041210-236</v>
      </c>
      <c r="E9040" t="s">
        <v>27087</v>
      </c>
    </row>
    <row r="9041" spans="1:5" x14ac:dyDescent="0.2">
      <c r="A9041" t="s">
        <v>27088</v>
      </c>
      <c r="B9041" t="s">
        <v>27089</v>
      </c>
      <c r="C9041" t="s">
        <v>27089</v>
      </c>
      <c r="D9041" t="str">
        <f>HYPERLINK("https://zfin.org/ZDB-GENE-050522-431")</f>
        <v>https://zfin.org/ZDB-GENE-050522-431</v>
      </c>
      <c r="E9041" t="s">
        <v>27090</v>
      </c>
    </row>
    <row r="9042" spans="1:5" x14ac:dyDescent="0.2">
      <c r="A9042" t="s">
        <v>27091</v>
      </c>
      <c r="B9042" t="s">
        <v>27092</v>
      </c>
      <c r="C9042" t="s">
        <v>27092</v>
      </c>
      <c r="D9042" t="str">
        <f>HYPERLINK("https://zfin.org/ZDB-GENE-030131-9960")</f>
        <v>https://zfin.org/ZDB-GENE-030131-9960</v>
      </c>
      <c r="E9042" t="s">
        <v>27093</v>
      </c>
    </row>
    <row r="9043" spans="1:5" x14ac:dyDescent="0.2">
      <c r="A9043" t="s">
        <v>27094</v>
      </c>
      <c r="B9043" t="s">
        <v>27095</v>
      </c>
      <c r="C9043" t="s">
        <v>27095</v>
      </c>
      <c r="D9043" t="str">
        <f>HYPERLINK("https://zfin.org/ZDB-GENE-040426-764")</f>
        <v>https://zfin.org/ZDB-GENE-040426-764</v>
      </c>
      <c r="E9043" t="s">
        <v>27096</v>
      </c>
    </row>
    <row r="9044" spans="1:5" x14ac:dyDescent="0.2">
      <c r="A9044" t="s">
        <v>27097</v>
      </c>
      <c r="B9044" t="s">
        <v>27098</v>
      </c>
      <c r="C9044" t="s">
        <v>27098</v>
      </c>
      <c r="D9044" t="str">
        <f>HYPERLINK("https://zfin.org/ZDB-GENE-030911-2")</f>
        <v>https://zfin.org/ZDB-GENE-030911-2</v>
      </c>
      <c r="E9044" t="s">
        <v>27099</v>
      </c>
    </row>
    <row r="9045" spans="1:5" x14ac:dyDescent="0.2">
      <c r="A9045" t="s">
        <v>27100</v>
      </c>
      <c r="B9045" t="s">
        <v>27101</v>
      </c>
      <c r="C9045" t="s">
        <v>27101</v>
      </c>
      <c r="D9045" t="str">
        <f>HYPERLINK("https://zfin.org/ZDB-GENE-001128-1")</f>
        <v>https://zfin.org/ZDB-GENE-001128-1</v>
      </c>
      <c r="E9045" t="s">
        <v>27102</v>
      </c>
    </row>
    <row r="9046" spans="1:5" x14ac:dyDescent="0.2">
      <c r="A9046" t="s">
        <v>27103</v>
      </c>
      <c r="B9046" t="s">
        <v>27104</v>
      </c>
      <c r="C9046" t="s">
        <v>27104</v>
      </c>
      <c r="D9046" t="str">
        <f>HYPERLINK("https://zfin.org/ZDB-GENE-030131-8708")</f>
        <v>https://zfin.org/ZDB-GENE-030131-8708</v>
      </c>
      <c r="E9046" t="s">
        <v>27105</v>
      </c>
    </row>
    <row r="9047" spans="1:5" x14ac:dyDescent="0.2">
      <c r="A9047" t="s">
        <v>27106</v>
      </c>
      <c r="B9047" t="s">
        <v>27107</v>
      </c>
      <c r="C9047" t="s">
        <v>27107</v>
      </c>
      <c r="D9047" t="str">
        <f>HYPERLINK("https://zfin.org/ZDB-GENE-040426-980")</f>
        <v>https://zfin.org/ZDB-GENE-040426-980</v>
      </c>
      <c r="E9047" t="s">
        <v>27108</v>
      </c>
    </row>
    <row r="9048" spans="1:5" x14ac:dyDescent="0.2">
      <c r="A9048" t="s">
        <v>27109</v>
      </c>
      <c r="B9048" t="s">
        <v>27110</v>
      </c>
      <c r="C9048" t="s">
        <v>27110</v>
      </c>
      <c r="D9048" t="str">
        <f>HYPERLINK("https://zfin.org/ZDB-GENE-041010-189")</f>
        <v>https://zfin.org/ZDB-GENE-041010-189</v>
      </c>
      <c r="E9048" t="s">
        <v>27111</v>
      </c>
    </row>
    <row r="9049" spans="1:5" x14ac:dyDescent="0.2">
      <c r="A9049" t="s">
        <v>27112</v>
      </c>
      <c r="B9049" t="s">
        <v>27113</v>
      </c>
      <c r="C9049" t="s">
        <v>27113</v>
      </c>
      <c r="D9049" t="str">
        <f>HYPERLINK("https://zfin.org/ZDB-GENE-040426-2850")</f>
        <v>https://zfin.org/ZDB-GENE-040426-2850</v>
      </c>
      <c r="E9049" t="s">
        <v>27114</v>
      </c>
    </row>
    <row r="9050" spans="1:5" x14ac:dyDescent="0.2">
      <c r="A9050" t="s">
        <v>27115</v>
      </c>
      <c r="B9050" t="s">
        <v>27116</v>
      </c>
      <c r="C9050" t="s">
        <v>27116</v>
      </c>
      <c r="D9050" t="str">
        <f>HYPERLINK("https://zfin.org/ZDB-GENE-070705-212")</f>
        <v>https://zfin.org/ZDB-GENE-070705-212</v>
      </c>
      <c r="E9050" t="s">
        <v>27117</v>
      </c>
    </row>
    <row r="9051" spans="1:5" x14ac:dyDescent="0.2">
      <c r="A9051" t="s">
        <v>27118</v>
      </c>
      <c r="B9051" t="s">
        <v>27119</v>
      </c>
      <c r="C9051" t="s">
        <v>27119</v>
      </c>
      <c r="D9051" t="str">
        <f>HYPERLINK("https://zfin.org/ZDB-GENE-050823-4")</f>
        <v>https://zfin.org/ZDB-GENE-050823-4</v>
      </c>
      <c r="E9051" t="s">
        <v>27120</v>
      </c>
    </row>
    <row r="9052" spans="1:5" x14ac:dyDescent="0.2">
      <c r="A9052" t="s">
        <v>27121</v>
      </c>
      <c r="B9052" t="s">
        <v>27122</v>
      </c>
      <c r="C9052" t="s">
        <v>27122</v>
      </c>
      <c r="D9052" t="str">
        <f>HYPERLINK("https://zfin.org/ZDB-GENE-040426-2361")</f>
        <v>https://zfin.org/ZDB-GENE-040426-2361</v>
      </c>
      <c r="E9052" t="s">
        <v>27123</v>
      </c>
    </row>
    <row r="9053" spans="1:5" x14ac:dyDescent="0.2">
      <c r="A9053" t="s">
        <v>27124</v>
      </c>
      <c r="B9053" t="s">
        <v>27125</v>
      </c>
      <c r="C9053" t="s">
        <v>27125</v>
      </c>
      <c r="D9053" t="str">
        <f>HYPERLINK("https://zfin.org/ZDB-GENE-030131-2941")</f>
        <v>https://zfin.org/ZDB-GENE-030131-2941</v>
      </c>
      <c r="E9053" t="s">
        <v>27126</v>
      </c>
    </row>
    <row r="9054" spans="1:5" x14ac:dyDescent="0.2">
      <c r="A9054" t="s">
        <v>27127</v>
      </c>
      <c r="B9054" t="s">
        <v>27128</v>
      </c>
      <c r="C9054" t="s">
        <v>27128</v>
      </c>
      <c r="D9054" t="str">
        <f>HYPERLINK("https://zfin.org/ZDB-GENE-050522-358")</f>
        <v>https://zfin.org/ZDB-GENE-050522-358</v>
      </c>
      <c r="E9054" t="s">
        <v>27129</v>
      </c>
    </row>
    <row r="9055" spans="1:5" x14ac:dyDescent="0.2">
      <c r="A9055" t="s">
        <v>27130</v>
      </c>
      <c r="B9055" t="s">
        <v>27131</v>
      </c>
      <c r="C9055" t="s">
        <v>27131</v>
      </c>
      <c r="D9055" t="str">
        <f>HYPERLINK("https://zfin.org/ZDB-GENE-130515-1")</f>
        <v>https://zfin.org/ZDB-GENE-130515-1</v>
      </c>
      <c r="E9055" t="s">
        <v>27132</v>
      </c>
    </row>
    <row r="9056" spans="1:5" x14ac:dyDescent="0.2">
      <c r="A9056" t="s">
        <v>27133</v>
      </c>
      <c r="B9056" t="s">
        <v>27134</v>
      </c>
      <c r="C9056" t="s">
        <v>27134</v>
      </c>
      <c r="D9056" t="str">
        <f>HYPERLINK("https://zfin.org/ZDB-GENE-030131-6719")</f>
        <v>https://zfin.org/ZDB-GENE-030131-6719</v>
      </c>
      <c r="E9056" t="s">
        <v>27135</v>
      </c>
    </row>
    <row r="9057" spans="1:5" x14ac:dyDescent="0.2">
      <c r="A9057" t="s">
        <v>27136</v>
      </c>
      <c r="B9057" t="s">
        <v>27137</v>
      </c>
      <c r="C9057" t="s">
        <v>27137</v>
      </c>
      <c r="D9057" t="str">
        <f>HYPERLINK("https://zfin.org/ZDB-GENE-030131-6557")</f>
        <v>https://zfin.org/ZDB-GENE-030131-6557</v>
      </c>
      <c r="E9057" t="s">
        <v>27138</v>
      </c>
    </row>
    <row r="9058" spans="1:5" x14ac:dyDescent="0.2">
      <c r="A9058" t="s">
        <v>27139</v>
      </c>
      <c r="B9058" t="s">
        <v>27140</v>
      </c>
      <c r="C9058" t="s">
        <v>27140</v>
      </c>
      <c r="D9058" t="str">
        <f>HYPERLINK("https://zfin.org/ZDB-GENE-061103-457")</f>
        <v>https://zfin.org/ZDB-GENE-061103-457</v>
      </c>
      <c r="E9058" t="s">
        <v>27141</v>
      </c>
    </row>
    <row r="9059" spans="1:5" x14ac:dyDescent="0.2">
      <c r="A9059" t="s">
        <v>27142</v>
      </c>
      <c r="B9059" t="s">
        <v>27143</v>
      </c>
      <c r="C9059" t="s">
        <v>27143</v>
      </c>
      <c r="D9059" t="str">
        <f>HYPERLINK("https://zfin.org/ZDB-GENE-110419-4")</f>
        <v>https://zfin.org/ZDB-GENE-110419-4</v>
      </c>
      <c r="E9059" t="s">
        <v>27144</v>
      </c>
    </row>
    <row r="9060" spans="1:5" x14ac:dyDescent="0.2">
      <c r="A9060" t="s">
        <v>27145</v>
      </c>
      <c r="B9060" t="s">
        <v>27146</v>
      </c>
      <c r="C9060" t="s">
        <v>27146</v>
      </c>
      <c r="D9060" t="str">
        <f>HYPERLINK("https://zfin.org/ZDB-GENE-141211-11")</f>
        <v>https://zfin.org/ZDB-GENE-141211-11</v>
      </c>
      <c r="E9060" t="s">
        <v>27147</v>
      </c>
    </row>
    <row r="9061" spans="1:5" x14ac:dyDescent="0.2">
      <c r="A9061" t="s">
        <v>27148</v>
      </c>
      <c r="B9061" t="s">
        <v>27149</v>
      </c>
      <c r="C9061" t="s">
        <v>27149</v>
      </c>
      <c r="D9061" t="str">
        <f>HYPERLINK("https://zfin.org/ZDB-GENE-120919-3")</f>
        <v>https://zfin.org/ZDB-GENE-120919-3</v>
      </c>
      <c r="E9061" t="s">
        <v>27150</v>
      </c>
    </row>
    <row r="9062" spans="1:5" x14ac:dyDescent="0.2">
      <c r="A9062" t="s">
        <v>27151</v>
      </c>
      <c r="B9062" t="s">
        <v>27152</v>
      </c>
      <c r="C9062" t="s">
        <v>27152</v>
      </c>
      <c r="D9062" t="str">
        <f>HYPERLINK("https://zfin.org/ZDB-GENE-061215-126")</f>
        <v>https://zfin.org/ZDB-GENE-061215-126</v>
      </c>
      <c r="E9062" t="s">
        <v>27153</v>
      </c>
    </row>
    <row r="9063" spans="1:5" x14ac:dyDescent="0.2">
      <c r="A9063" t="s">
        <v>27154</v>
      </c>
      <c r="B9063" t="s">
        <v>27155</v>
      </c>
      <c r="C9063" t="s">
        <v>27155</v>
      </c>
      <c r="D9063" t="str">
        <f>HYPERLINK("https://zfin.org/ZDB-GENE-040801-134")</f>
        <v>https://zfin.org/ZDB-GENE-040801-134</v>
      </c>
      <c r="E9063" t="s">
        <v>27156</v>
      </c>
    </row>
    <row r="9064" spans="1:5" x14ac:dyDescent="0.2">
      <c r="A9064" t="s">
        <v>27157</v>
      </c>
      <c r="B9064" t="s">
        <v>27158</v>
      </c>
      <c r="C9064" t="s">
        <v>27158</v>
      </c>
      <c r="D9064" t="str">
        <f>HYPERLINK("https://zfin.org/ZDB-GENE-070705-11")</f>
        <v>https://zfin.org/ZDB-GENE-070705-11</v>
      </c>
      <c r="E9064" t="s">
        <v>27159</v>
      </c>
    </row>
    <row r="9065" spans="1:5" x14ac:dyDescent="0.2">
      <c r="A9065" t="s">
        <v>27160</v>
      </c>
      <c r="B9065" t="s">
        <v>27161</v>
      </c>
      <c r="C9065" t="s">
        <v>27161</v>
      </c>
      <c r="D9065" t="str">
        <f>HYPERLINK("https://zfin.org/ZDB-GENE-030131-9559")</f>
        <v>https://zfin.org/ZDB-GENE-030131-9559</v>
      </c>
      <c r="E9065" t="s">
        <v>27162</v>
      </c>
    </row>
    <row r="9066" spans="1:5" x14ac:dyDescent="0.2">
      <c r="A9066" t="s">
        <v>27163</v>
      </c>
      <c r="B9066" t="s">
        <v>27164</v>
      </c>
      <c r="C9066" t="s">
        <v>27164</v>
      </c>
      <c r="D9066" t="str">
        <f>HYPERLINK("https://zfin.org/ZDB-GENE-070912-182")</f>
        <v>https://zfin.org/ZDB-GENE-070912-182</v>
      </c>
      <c r="E9066" t="s">
        <v>27165</v>
      </c>
    </row>
    <row r="9067" spans="1:5" x14ac:dyDescent="0.2">
      <c r="A9067" t="s">
        <v>27166</v>
      </c>
      <c r="B9067" t="s">
        <v>27167</v>
      </c>
      <c r="C9067" t="s">
        <v>27167</v>
      </c>
      <c r="D9067" t="str">
        <f>HYPERLINK("https://zfin.org/ZDB-GENE-040426-1700")</f>
        <v>https://zfin.org/ZDB-GENE-040426-1700</v>
      </c>
      <c r="E9067" t="s">
        <v>27168</v>
      </c>
    </row>
    <row r="9068" spans="1:5" x14ac:dyDescent="0.2">
      <c r="A9068" t="s">
        <v>27169</v>
      </c>
      <c r="B9068" t="s">
        <v>27170</v>
      </c>
      <c r="C9068" t="s">
        <v>27170</v>
      </c>
      <c r="D9068" t="str">
        <f>HYPERLINK("https://zfin.org/ZDB-GENE-060825-333")</f>
        <v>https://zfin.org/ZDB-GENE-060825-333</v>
      </c>
      <c r="E9068" t="s">
        <v>27171</v>
      </c>
    </row>
    <row r="9069" spans="1:5" x14ac:dyDescent="0.2">
      <c r="A9069" t="s">
        <v>27172</v>
      </c>
      <c r="B9069" t="s">
        <v>27173</v>
      </c>
      <c r="C9069" t="s">
        <v>27173</v>
      </c>
      <c r="D9069" t="str">
        <f>HYPERLINK("https://zfin.org/ZDB-GENE-030131-4825")</f>
        <v>https://zfin.org/ZDB-GENE-030131-4825</v>
      </c>
      <c r="E9069" t="s">
        <v>27174</v>
      </c>
    </row>
    <row r="9070" spans="1:5" x14ac:dyDescent="0.2">
      <c r="A9070" t="s">
        <v>27175</v>
      </c>
      <c r="B9070" t="s">
        <v>27176</v>
      </c>
      <c r="C9070" t="s">
        <v>27176</v>
      </c>
      <c r="D9070" t="str">
        <f>HYPERLINK("https://zfin.org/ZDB-GENE-030131-8788")</f>
        <v>https://zfin.org/ZDB-GENE-030131-8788</v>
      </c>
      <c r="E9070" t="s">
        <v>27177</v>
      </c>
    </row>
    <row r="9071" spans="1:5" x14ac:dyDescent="0.2">
      <c r="A9071" t="s">
        <v>27178</v>
      </c>
      <c r="B9071" t="s">
        <v>27179</v>
      </c>
      <c r="C9071" t="s">
        <v>27179</v>
      </c>
      <c r="D9071" t="str">
        <f>HYPERLINK("https://zfin.org/ZDB-GENE-060616-319")</f>
        <v>https://zfin.org/ZDB-GENE-060616-319</v>
      </c>
      <c r="E9071" t="s">
        <v>27180</v>
      </c>
    </row>
    <row r="9072" spans="1:5" x14ac:dyDescent="0.2">
      <c r="A9072" t="s">
        <v>27181</v>
      </c>
      <c r="B9072" t="s">
        <v>27182</v>
      </c>
      <c r="C9072" t="s">
        <v>27182</v>
      </c>
      <c r="D9072" t="str">
        <f>HYPERLINK("https://zfin.org/ZDB-GENE-040426-1873")</f>
        <v>https://zfin.org/ZDB-GENE-040426-1873</v>
      </c>
      <c r="E9072" t="s">
        <v>27183</v>
      </c>
    </row>
    <row r="9073" spans="1:5" x14ac:dyDescent="0.2">
      <c r="A9073" t="s">
        <v>27184</v>
      </c>
      <c r="B9073" t="s">
        <v>27185</v>
      </c>
      <c r="C9073" t="s">
        <v>27185</v>
      </c>
      <c r="D9073" t="str">
        <f>HYPERLINK("https://zfin.org/ZDB-GENE-050522-383")</f>
        <v>https://zfin.org/ZDB-GENE-050522-383</v>
      </c>
      <c r="E9073" t="s">
        <v>27186</v>
      </c>
    </row>
    <row r="9074" spans="1:5" x14ac:dyDescent="0.2">
      <c r="A9074" t="s">
        <v>27187</v>
      </c>
      <c r="B9074" t="s">
        <v>27188</v>
      </c>
      <c r="C9074" t="s">
        <v>27188</v>
      </c>
      <c r="D9074" t="str">
        <f>HYPERLINK("https://zfin.org/ZDB-GENE-080213-3")</f>
        <v>https://zfin.org/ZDB-GENE-080213-3</v>
      </c>
      <c r="E9074" t="s">
        <v>27189</v>
      </c>
    </row>
    <row r="9075" spans="1:5" x14ac:dyDescent="0.2">
      <c r="A9075" t="s">
        <v>27190</v>
      </c>
      <c r="B9075" t="s">
        <v>27191</v>
      </c>
      <c r="C9075" t="s">
        <v>27191</v>
      </c>
      <c r="D9075" t="str">
        <f>HYPERLINK("https://zfin.org/ZDB-GENE-040426-942")</f>
        <v>https://zfin.org/ZDB-GENE-040426-942</v>
      </c>
      <c r="E9075" t="s">
        <v>27192</v>
      </c>
    </row>
    <row r="9076" spans="1:5" x14ac:dyDescent="0.2">
      <c r="A9076" t="s">
        <v>27193</v>
      </c>
      <c r="B9076" t="s">
        <v>27194</v>
      </c>
      <c r="C9076" t="s">
        <v>27194</v>
      </c>
      <c r="D9076" t="str">
        <f>HYPERLINK("https://zfin.org/ZDB-GENE-040831-2")</f>
        <v>https://zfin.org/ZDB-GENE-040831-2</v>
      </c>
      <c r="E9076" t="s">
        <v>27195</v>
      </c>
    </row>
    <row r="9077" spans="1:5" x14ac:dyDescent="0.2">
      <c r="A9077" t="s">
        <v>27196</v>
      </c>
      <c r="B9077" t="s">
        <v>27197</v>
      </c>
      <c r="C9077" t="s">
        <v>27197</v>
      </c>
      <c r="D9077" t="str">
        <f>HYPERLINK("https://zfin.org/ZDB-GENE-040426-702")</f>
        <v>https://zfin.org/ZDB-GENE-040426-702</v>
      </c>
      <c r="E9077" t="s">
        <v>27198</v>
      </c>
    </row>
    <row r="9078" spans="1:5" x14ac:dyDescent="0.2">
      <c r="A9078" t="s">
        <v>27199</v>
      </c>
      <c r="B9078" t="s">
        <v>27200</v>
      </c>
      <c r="C9078" t="s">
        <v>27200</v>
      </c>
      <c r="D9078" t="str">
        <f>HYPERLINK("https://zfin.org/ZDB-GENE-030131-1249")</f>
        <v>https://zfin.org/ZDB-GENE-030131-1249</v>
      </c>
      <c r="E9078" t="s">
        <v>27201</v>
      </c>
    </row>
    <row r="9079" spans="1:5" x14ac:dyDescent="0.2">
      <c r="A9079" t="s">
        <v>27202</v>
      </c>
      <c r="B9079" t="s">
        <v>27203</v>
      </c>
      <c r="C9079" t="s">
        <v>27203</v>
      </c>
      <c r="D9079" t="str">
        <f>HYPERLINK("https://zfin.org/ZDB-GENE-040625-15")</f>
        <v>https://zfin.org/ZDB-GENE-040625-15</v>
      </c>
      <c r="E9079" t="s">
        <v>27204</v>
      </c>
    </row>
    <row r="9080" spans="1:5" x14ac:dyDescent="0.2">
      <c r="A9080" t="s">
        <v>27205</v>
      </c>
      <c r="B9080" t="s">
        <v>27206</v>
      </c>
      <c r="C9080" t="s">
        <v>27206</v>
      </c>
      <c r="D9080" t="str">
        <f>HYPERLINK("https://zfin.org/ZDB-GENE-030131-1835")</f>
        <v>https://zfin.org/ZDB-GENE-030131-1835</v>
      </c>
      <c r="E9080" t="s">
        <v>27207</v>
      </c>
    </row>
    <row r="9081" spans="1:5" x14ac:dyDescent="0.2">
      <c r="A9081" t="s">
        <v>27208</v>
      </c>
      <c r="B9081" t="s">
        <v>27209</v>
      </c>
      <c r="C9081" t="s">
        <v>27209</v>
      </c>
      <c r="D9081" t="str">
        <f>HYPERLINK("https://zfin.org/ZDB-GENE-030131-8007")</f>
        <v>https://zfin.org/ZDB-GENE-030131-8007</v>
      </c>
      <c r="E9081" t="s">
        <v>27210</v>
      </c>
    </row>
    <row r="9082" spans="1:5" x14ac:dyDescent="0.2">
      <c r="A9082" t="s">
        <v>27211</v>
      </c>
      <c r="B9082" t="s">
        <v>27212</v>
      </c>
      <c r="C9082" t="s">
        <v>27212</v>
      </c>
      <c r="D9082" t="str">
        <f>HYPERLINK("https://zfin.org/ZDB-GENE-040720-3")</f>
        <v>https://zfin.org/ZDB-GENE-040720-3</v>
      </c>
      <c r="E9082" t="s">
        <v>27213</v>
      </c>
    </row>
    <row r="9083" spans="1:5" x14ac:dyDescent="0.2">
      <c r="A9083" t="s">
        <v>27214</v>
      </c>
      <c r="B9083" t="s">
        <v>27215</v>
      </c>
      <c r="C9083" t="s">
        <v>27215</v>
      </c>
      <c r="D9083" t="str">
        <f>HYPERLINK("https://zfin.org/ZDB-GENE-030131-2774")</f>
        <v>https://zfin.org/ZDB-GENE-030131-2774</v>
      </c>
      <c r="E9083" t="s">
        <v>27216</v>
      </c>
    </row>
    <row r="9084" spans="1:5" x14ac:dyDescent="0.2">
      <c r="A9084" t="s">
        <v>27217</v>
      </c>
      <c r="B9084" t="s">
        <v>27218</v>
      </c>
      <c r="C9084" t="s">
        <v>27218</v>
      </c>
      <c r="D9084" t="str">
        <f>HYPERLINK("https://zfin.org/ZDB-GENE-040801-113")</f>
        <v>https://zfin.org/ZDB-GENE-040801-113</v>
      </c>
      <c r="E9084" t="s">
        <v>27219</v>
      </c>
    </row>
    <row r="9085" spans="1:5" x14ac:dyDescent="0.2">
      <c r="A9085" t="s">
        <v>27220</v>
      </c>
      <c r="B9085" t="s">
        <v>27221</v>
      </c>
      <c r="C9085" t="s">
        <v>27221</v>
      </c>
      <c r="D9085" t="str">
        <f>HYPERLINK("https://zfin.org/ZDB-GENE-040426-1922")</f>
        <v>https://zfin.org/ZDB-GENE-040426-1922</v>
      </c>
      <c r="E9085" t="s">
        <v>27222</v>
      </c>
    </row>
    <row r="9086" spans="1:5" x14ac:dyDescent="0.2">
      <c r="A9086" t="s">
        <v>27223</v>
      </c>
      <c r="B9086" t="s">
        <v>27224</v>
      </c>
      <c r="C9086" t="s">
        <v>27224</v>
      </c>
      <c r="D9086" t="str">
        <f>HYPERLINK("https://zfin.org/ZDB-GENE-030131-2721")</f>
        <v>https://zfin.org/ZDB-GENE-030131-2721</v>
      </c>
      <c r="E9086" t="s">
        <v>27225</v>
      </c>
    </row>
    <row r="9087" spans="1:5" x14ac:dyDescent="0.2">
      <c r="A9087" t="s">
        <v>27226</v>
      </c>
      <c r="B9087" t="s">
        <v>27227</v>
      </c>
      <c r="C9087" t="s">
        <v>27227</v>
      </c>
      <c r="D9087" t="str">
        <f>HYPERLINK("https://zfin.org/ZDB-GENE-131120-17")</f>
        <v>https://zfin.org/ZDB-GENE-131120-17</v>
      </c>
      <c r="E9087" t="s">
        <v>27228</v>
      </c>
    </row>
    <row r="9088" spans="1:5" x14ac:dyDescent="0.2">
      <c r="A9088" t="s">
        <v>27229</v>
      </c>
      <c r="B9088" t="s">
        <v>27230</v>
      </c>
      <c r="C9088" t="s">
        <v>27230</v>
      </c>
      <c r="D9088" t="str">
        <f>HYPERLINK("https://zfin.org/ZDB-GENE-091015-3")</f>
        <v>https://zfin.org/ZDB-GENE-091015-3</v>
      </c>
      <c r="E9088" t="s">
        <v>27231</v>
      </c>
    </row>
    <row r="9089" spans="1:5" x14ac:dyDescent="0.2">
      <c r="A9089" t="s">
        <v>27232</v>
      </c>
      <c r="B9089" t="s">
        <v>27233</v>
      </c>
      <c r="C9089" t="s">
        <v>27233</v>
      </c>
      <c r="D9089" t="str">
        <f>HYPERLINK("https://zfin.org/ZDB-GENE-091204-292")</f>
        <v>https://zfin.org/ZDB-GENE-091204-292</v>
      </c>
      <c r="E9089" t="s">
        <v>27234</v>
      </c>
    </row>
    <row r="9090" spans="1:5" x14ac:dyDescent="0.2">
      <c r="A9090" t="s">
        <v>27235</v>
      </c>
      <c r="B9090" t="s">
        <v>27236</v>
      </c>
      <c r="C9090" t="s">
        <v>27236</v>
      </c>
      <c r="D9090" t="str">
        <f>HYPERLINK("https://zfin.org/ZDB-GENE-101101-4")</f>
        <v>https://zfin.org/ZDB-GENE-101101-4</v>
      </c>
      <c r="E9090" t="s">
        <v>27237</v>
      </c>
    </row>
    <row r="9091" spans="1:5" x14ac:dyDescent="0.2">
      <c r="A9091" t="s">
        <v>27238</v>
      </c>
      <c r="B9091" t="s">
        <v>27239</v>
      </c>
      <c r="C9091" t="s">
        <v>27239</v>
      </c>
      <c r="D9091" t="str">
        <f>HYPERLINK("https://zfin.org/ZDB-GENE-060526-217")</f>
        <v>https://zfin.org/ZDB-GENE-060526-217</v>
      </c>
      <c r="E9091" t="s">
        <v>27240</v>
      </c>
    </row>
    <row r="9092" spans="1:5" x14ac:dyDescent="0.2">
      <c r="A9092" t="s">
        <v>27241</v>
      </c>
      <c r="B9092" t="s">
        <v>27242</v>
      </c>
      <c r="C9092" t="s">
        <v>27242</v>
      </c>
      <c r="D9092" t="str">
        <f>HYPERLINK("https://zfin.org/ZDB-GENE-030131-2049")</f>
        <v>https://zfin.org/ZDB-GENE-030131-2049</v>
      </c>
      <c r="E9092" t="s">
        <v>27243</v>
      </c>
    </row>
    <row r="9093" spans="1:5" x14ac:dyDescent="0.2">
      <c r="A9093" t="s">
        <v>27244</v>
      </c>
      <c r="B9093" t="s">
        <v>27245</v>
      </c>
      <c r="C9093" t="s">
        <v>27245</v>
      </c>
      <c r="D9093" t="str">
        <f>HYPERLINK("https://zfin.org/ZDB-GENE-030616-163")</f>
        <v>https://zfin.org/ZDB-GENE-030616-163</v>
      </c>
      <c r="E9093" t="s">
        <v>27246</v>
      </c>
    </row>
    <row r="9094" spans="1:5" x14ac:dyDescent="0.2">
      <c r="A9094" t="s">
        <v>27247</v>
      </c>
      <c r="B9094" t="s">
        <v>27248</v>
      </c>
      <c r="C9094" t="s">
        <v>27248</v>
      </c>
      <c r="D9094" t="str">
        <f>HYPERLINK("https://zfin.org/ZDB-GENE-050522-137")</f>
        <v>https://zfin.org/ZDB-GENE-050522-137</v>
      </c>
      <c r="E9094" t="s">
        <v>27249</v>
      </c>
    </row>
    <row r="9095" spans="1:5" x14ac:dyDescent="0.2">
      <c r="A9095" t="s">
        <v>27250</v>
      </c>
      <c r="B9095" t="s">
        <v>27251</v>
      </c>
      <c r="C9095" t="s">
        <v>27251</v>
      </c>
      <c r="D9095" t="str">
        <f>HYPERLINK("https://zfin.org/ZDB-GENE-050417-248")</f>
        <v>https://zfin.org/ZDB-GENE-050417-248</v>
      </c>
      <c r="E9095" t="s">
        <v>27252</v>
      </c>
    </row>
    <row r="9096" spans="1:5" x14ac:dyDescent="0.2">
      <c r="A9096" t="s">
        <v>27253</v>
      </c>
      <c r="B9096" t="s">
        <v>27254</v>
      </c>
      <c r="C9096" t="s">
        <v>27254</v>
      </c>
      <c r="D9096" t="str">
        <f>HYPERLINK("https://zfin.org/ZDB-GENE-061108-2")</f>
        <v>https://zfin.org/ZDB-GENE-061108-2</v>
      </c>
      <c r="E9096" t="s">
        <v>27255</v>
      </c>
    </row>
    <row r="9097" spans="1:5" x14ac:dyDescent="0.2">
      <c r="A9097" t="s">
        <v>27256</v>
      </c>
      <c r="B9097" t="s">
        <v>27257</v>
      </c>
      <c r="C9097" t="s">
        <v>27257</v>
      </c>
      <c r="D9097" t="str">
        <f>HYPERLINK("https://zfin.org/ZDB-GENE-070912-399")</f>
        <v>https://zfin.org/ZDB-GENE-070912-399</v>
      </c>
      <c r="E9097" t="s">
        <v>27258</v>
      </c>
    </row>
    <row r="9098" spans="1:5" x14ac:dyDescent="0.2">
      <c r="A9098" t="s">
        <v>27259</v>
      </c>
      <c r="B9098" t="s">
        <v>27260</v>
      </c>
      <c r="C9098" t="s">
        <v>27260</v>
      </c>
      <c r="D9098" t="str">
        <f>HYPERLINK("https://zfin.org/ZDB-GENE-030131-6547")</f>
        <v>https://zfin.org/ZDB-GENE-030131-6547</v>
      </c>
      <c r="E9098" t="s">
        <v>27261</v>
      </c>
    </row>
    <row r="9099" spans="1:5" x14ac:dyDescent="0.2">
      <c r="A9099" t="s">
        <v>27262</v>
      </c>
      <c r="B9099" t="s">
        <v>27263</v>
      </c>
      <c r="C9099" t="s">
        <v>27263</v>
      </c>
      <c r="D9099" t="str">
        <f>HYPERLINK("https://zfin.org/ZDB-GENE-121128-1")</f>
        <v>https://zfin.org/ZDB-GENE-121128-1</v>
      </c>
      <c r="E9099" t="s">
        <v>27264</v>
      </c>
    </row>
    <row r="9100" spans="1:5" x14ac:dyDescent="0.2">
      <c r="A9100" t="s">
        <v>27265</v>
      </c>
      <c r="B9100" t="s">
        <v>27266</v>
      </c>
      <c r="C9100" t="s">
        <v>27266</v>
      </c>
      <c r="D9100" t="str">
        <f>HYPERLINK("https://zfin.org/ZDB-GENE-030131-7146")</f>
        <v>https://zfin.org/ZDB-GENE-030131-7146</v>
      </c>
      <c r="E9100" t="s">
        <v>27267</v>
      </c>
    </row>
    <row r="9101" spans="1:5" x14ac:dyDescent="0.2">
      <c r="A9101" t="s">
        <v>27268</v>
      </c>
      <c r="B9101" t="s">
        <v>27269</v>
      </c>
      <c r="C9101" t="s">
        <v>27269</v>
      </c>
      <c r="D9101" t="str">
        <f>HYPERLINK("https://zfin.org/ZDB-GENE-030616-498")</f>
        <v>https://zfin.org/ZDB-GENE-030616-498</v>
      </c>
      <c r="E9101" t="s">
        <v>27270</v>
      </c>
    </row>
    <row r="9102" spans="1:5" x14ac:dyDescent="0.2">
      <c r="A9102" t="s">
        <v>27271</v>
      </c>
      <c r="B9102" t="s">
        <v>27272</v>
      </c>
      <c r="C9102" t="s">
        <v>27272</v>
      </c>
      <c r="D9102" t="str">
        <f>HYPERLINK("https://zfin.org/ZDB-GENE-040426-1004")</f>
        <v>https://zfin.org/ZDB-GENE-040426-1004</v>
      </c>
      <c r="E9102" t="s">
        <v>27273</v>
      </c>
    </row>
    <row r="9103" spans="1:5" x14ac:dyDescent="0.2">
      <c r="A9103" t="s">
        <v>27274</v>
      </c>
      <c r="B9103" t="s">
        <v>27275</v>
      </c>
      <c r="C9103" t="s">
        <v>27275</v>
      </c>
      <c r="D9103" t="str">
        <f>HYPERLINK("https://zfin.org/ZDB-GENE-030131-872")</f>
        <v>https://zfin.org/ZDB-GENE-030131-872</v>
      </c>
      <c r="E9103" t="s">
        <v>27276</v>
      </c>
    </row>
    <row r="9104" spans="1:5" x14ac:dyDescent="0.2">
      <c r="A9104" t="s">
        <v>27277</v>
      </c>
      <c r="B9104" t="s">
        <v>27278</v>
      </c>
      <c r="C9104" t="s">
        <v>27278</v>
      </c>
      <c r="D9104" t="str">
        <f>HYPERLINK("https://zfin.org/ZDB-GENE-070424-105")</f>
        <v>https://zfin.org/ZDB-GENE-070424-105</v>
      </c>
      <c r="E9104" t="s">
        <v>27279</v>
      </c>
    </row>
    <row r="9105" spans="1:5" x14ac:dyDescent="0.2">
      <c r="A9105" t="s">
        <v>27280</v>
      </c>
      <c r="B9105" t="s">
        <v>27281</v>
      </c>
      <c r="C9105" t="s">
        <v>27281</v>
      </c>
      <c r="D9105" t="str">
        <f>HYPERLINK("https://zfin.org/ZDB-GENE-030131-3694")</f>
        <v>https://zfin.org/ZDB-GENE-030131-3694</v>
      </c>
      <c r="E9105" t="s">
        <v>27282</v>
      </c>
    </row>
    <row r="9106" spans="1:5" x14ac:dyDescent="0.2">
      <c r="A9106" t="s">
        <v>27283</v>
      </c>
      <c r="B9106" t="s">
        <v>27284</v>
      </c>
      <c r="C9106" t="s">
        <v>27284</v>
      </c>
      <c r="D9106" t="str">
        <f>HYPERLINK("https://zfin.org/ZDB-GENE-091202-7")</f>
        <v>https://zfin.org/ZDB-GENE-091202-7</v>
      </c>
      <c r="E9106" t="s">
        <v>27285</v>
      </c>
    </row>
    <row r="9107" spans="1:5" x14ac:dyDescent="0.2">
      <c r="A9107" t="s">
        <v>27286</v>
      </c>
      <c r="B9107" t="s">
        <v>27287</v>
      </c>
      <c r="C9107" t="s">
        <v>27287</v>
      </c>
      <c r="D9107" t="str">
        <f>HYPERLINK("https://zfin.org/ZDB-GENE-030131-5566")</f>
        <v>https://zfin.org/ZDB-GENE-030131-5566</v>
      </c>
      <c r="E9107" t="s">
        <v>27288</v>
      </c>
    </row>
    <row r="9108" spans="1:5" x14ac:dyDescent="0.2">
      <c r="A9108" t="s">
        <v>27289</v>
      </c>
      <c r="B9108" t="s">
        <v>27290</v>
      </c>
      <c r="C9108" t="s">
        <v>27290</v>
      </c>
      <c r="D9108" t="str">
        <f>HYPERLINK("https://zfin.org/ZDB-GENE-130613-1")</f>
        <v>https://zfin.org/ZDB-GENE-130613-1</v>
      </c>
      <c r="E9108" t="s">
        <v>27291</v>
      </c>
    </row>
    <row r="9109" spans="1:5" x14ac:dyDescent="0.2">
      <c r="A9109" t="s">
        <v>27292</v>
      </c>
      <c r="B9109" t="s">
        <v>27293</v>
      </c>
      <c r="C9109" t="s">
        <v>27293</v>
      </c>
      <c r="D9109" t="str">
        <f>HYPERLINK("https://zfin.org/ZDB-GENE-090312-98")</f>
        <v>https://zfin.org/ZDB-GENE-090312-98</v>
      </c>
      <c r="E9109" t="s">
        <v>27294</v>
      </c>
    </row>
    <row r="9110" spans="1:5" x14ac:dyDescent="0.2">
      <c r="A9110" t="s">
        <v>27295</v>
      </c>
      <c r="B9110" t="s">
        <v>27296</v>
      </c>
      <c r="C9110" t="s">
        <v>27296</v>
      </c>
      <c r="D9110" t="str">
        <f>HYPERLINK("https://zfin.org/ZDB-GENE-040718-276")</f>
        <v>https://zfin.org/ZDB-GENE-040718-276</v>
      </c>
      <c r="E9110" t="s">
        <v>27297</v>
      </c>
    </row>
    <row r="9111" spans="1:5" x14ac:dyDescent="0.2">
      <c r="A9111" t="s">
        <v>27298</v>
      </c>
      <c r="B9111" t="s">
        <v>27299</v>
      </c>
      <c r="C9111" t="s">
        <v>27299</v>
      </c>
      <c r="D9111" t="str">
        <f>HYPERLINK("https://zfin.org/ZDB-GENE-020801-1")</f>
        <v>https://zfin.org/ZDB-GENE-020801-1</v>
      </c>
      <c r="E9111" t="s">
        <v>27300</v>
      </c>
    </row>
    <row r="9112" spans="1:5" x14ac:dyDescent="0.2">
      <c r="A9112" t="s">
        <v>27301</v>
      </c>
      <c r="B9112" t="s">
        <v>27302</v>
      </c>
      <c r="C9112" t="s">
        <v>27302</v>
      </c>
      <c r="D9112" t="str">
        <f>HYPERLINK("https://zfin.org/ZDB-GENE-031001-13")</f>
        <v>https://zfin.org/ZDB-GENE-031001-13</v>
      </c>
      <c r="E9112" t="s">
        <v>27303</v>
      </c>
    </row>
    <row r="9113" spans="1:5" x14ac:dyDescent="0.2">
      <c r="A9113" t="s">
        <v>27304</v>
      </c>
      <c r="B9113" t="s">
        <v>27305</v>
      </c>
      <c r="C9113" t="s">
        <v>27305</v>
      </c>
      <c r="D9113" t="str">
        <f>HYPERLINK("https://zfin.org/ZDB-GENE-030131-2559")</f>
        <v>https://zfin.org/ZDB-GENE-030131-2559</v>
      </c>
      <c r="E9113" t="s">
        <v>27306</v>
      </c>
    </row>
    <row r="9114" spans="1:5" x14ac:dyDescent="0.2">
      <c r="A9114" t="s">
        <v>27307</v>
      </c>
      <c r="B9114" t="s">
        <v>27308</v>
      </c>
      <c r="C9114" t="s">
        <v>27308</v>
      </c>
      <c r="D9114" t="str">
        <f>HYPERLINK("https://zfin.org/ZDB-GENE-040625-68")</f>
        <v>https://zfin.org/ZDB-GENE-040625-68</v>
      </c>
      <c r="E9114" t="s">
        <v>27309</v>
      </c>
    </row>
    <row r="9115" spans="1:5" x14ac:dyDescent="0.2">
      <c r="A9115" t="s">
        <v>27310</v>
      </c>
      <c r="B9115" t="s">
        <v>27311</v>
      </c>
      <c r="C9115" t="s">
        <v>27311</v>
      </c>
      <c r="D9115" t="str">
        <f>HYPERLINK("https://zfin.org/ZDB-GENE-050306-19")</f>
        <v>https://zfin.org/ZDB-GENE-050306-19</v>
      </c>
      <c r="E9115" t="s">
        <v>27312</v>
      </c>
    </row>
    <row r="9116" spans="1:5" x14ac:dyDescent="0.2">
      <c r="A9116" t="s">
        <v>27313</v>
      </c>
      <c r="B9116" t="s">
        <v>27314</v>
      </c>
      <c r="C9116" t="s">
        <v>27314</v>
      </c>
      <c r="D9116" t="str">
        <f>HYPERLINK("https://zfin.org/ZDB-GENE-050417-85")</f>
        <v>https://zfin.org/ZDB-GENE-050417-85</v>
      </c>
      <c r="E9116" t="s">
        <v>27315</v>
      </c>
    </row>
    <row r="9117" spans="1:5" x14ac:dyDescent="0.2">
      <c r="A9117" t="s">
        <v>27316</v>
      </c>
      <c r="B9117" t="s">
        <v>27317</v>
      </c>
      <c r="C9117" t="s">
        <v>27317</v>
      </c>
      <c r="D9117" t="str">
        <f>HYPERLINK("https://zfin.org/ZDB-GENE-031030-3")</f>
        <v>https://zfin.org/ZDB-GENE-031030-3</v>
      </c>
      <c r="E9117" t="s">
        <v>27318</v>
      </c>
    </row>
    <row r="9118" spans="1:5" x14ac:dyDescent="0.2">
      <c r="A9118" t="s">
        <v>27319</v>
      </c>
      <c r="B9118" t="s">
        <v>27320</v>
      </c>
      <c r="C9118" t="s">
        <v>27320</v>
      </c>
      <c r="D9118" t="str">
        <f>HYPERLINK("https://zfin.org/ZDB-GENE-040426-1551")</f>
        <v>https://zfin.org/ZDB-GENE-040426-1551</v>
      </c>
      <c r="E9118" t="s">
        <v>27321</v>
      </c>
    </row>
    <row r="9119" spans="1:5" x14ac:dyDescent="0.2">
      <c r="A9119" t="s">
        <v>27322</v>
      </c>
      <c r="B9119" t="s">
        <v>27323</v>
      </c>
      <c r="C9119" t="s">
        <v>27323</v>
      </c>
      <c r="D9119" t="str">
        <f>HYPERLINK("https://zfin.org/ZDB-GENE-060421-3113")</f>
        <v>https://zfin.org/ZDB-GENE-060421-3113</v>
      </c>
      <c r="E9119" t="s">
        <v>27324</v>
      </c>
    </row>
    <row r="9120" spans="1:5" x14ac:dyDescent="0.2">
      <c r="A9120" t="s">
        <v>27325</v>
      </c>
      <c r="B9120" t="s">
        <v>27326</v>
      </c>
      <c r="C9120" t="s">
        <v>27326</v>
      </c>
      <c r="D9120" t="str">
        <f>HYPERLINK("https://zfin.org/ZDB-GENE-040718-429")</f>
        <v>https://zfin.org/ZDB-GENE-040718-429</v>
      </c>
      <c r="E9120" t="s">
        <v>27327</v>
      </c>
    </row>
    <row r="9121" spans="1:5" x14ac:dyDescent="0.2">
      <c r="A9121" t="s">
        <v>27328</v>
      </c>
      <c r="B9121" t="s">
        <v>27329</v>
      </c>
      <c r="C9121" t="s">
        <v>27329</v>
      </c>
      <c r="D9121" t="str">
        <f>HYPERLINK("https://zfin.org/ZDB-GENE-050522-355")</f>
        <v>https://zfin.org/ZDB-GENE-050522-355</v>
      </c>
      <c r="E9121" t="s">
        <v>27330</v>
      </c>
    </row>
    <row r="9122" spans="1:5" x14ac:dyDescent="0.2">
      <c r="A9122" t="s">
        <v>27331</v>
      </c>
      <c r="B9122" t="s">
        <v>27332</v>
      </c>
      <c r="C9122" t="s">
        <v>27332</v>
      </c>
      <c r="D9122" t="str">
        <f>HYPERLINK("https://zfin.org/ZDB-GENE-040426-2932")</f>
        <v>https://zfin.org/ZDB-GENE-040426-2932</v>
      </c>
      <c r="E9122" t="s">
        <v>27333</v>
      </c>
    </row>
    <row r="9123" spans="1:5" x14ac:dyDescent="0.2">
      <c r="A9123" t="s">
        <v>27334</v>
      </c>
      <c r="B9123" t="s">
        <v>27335</v>
      </c>
      <c r="C9123" t="s">
        <v>27335</v>
      </c>
      <c r="D9123" t="str">
        <f>HYPERLINK("https://zfin.org/ZDB-GENE-030131-9466")</f>
        <v>https://zfin.org/ZDB-GENE-030131-9466</v>
      </c>
      <c r="E9123" t="s">
        <v>27336</v>
      </c>
    </row>
    <row r="9124" spans="1:5" x14ac:dyDescent="0.2">
      <c r="A9124" t="s">
        <v>27337</v>
      </c>
      <c r="B9124" t="s">
        <v>27338</v>
      </c>
      <c r="C9124" t="s">
        <v>27338</v>
      </c>
      <c r="D9124" t="str">
        <f>HYPERLINK("https://zfin.org/ZDB-GENE-030131-5399")</f>
        <v>https://zfin.org/ZDB-GENE-030131-5399</v>
      </c>
      <c r="E9124" t="s">
        <v>27339</v>
      </c>
    </row>
    <row r="9125" spans="1:5" x14ac:dyDescent="0.2">
      <c r="A9125" t="s">
        <v>27340</v>
      </c>
      <c r="B9125" t="s">
        <v>27341</v>
      </c>
      <c r="C9125" t="s">
        <v>27341</v>
      </c>
      <c r="D9125" t="str">
        <f>HYPERLINK("https://zfin.org/ZDB-GENE-070912-148")</f>
        <v>https://zfin.org/ZDB-GENE-070912-148</v>
      </c>
      <c r="E9125" t="s">
        <v>27342</v>
      </c>
    </row>
    <row r="9126" spans="1:5" x14ac:dyDescent="0.2">
      <c r="A9126" t="s">
        <v>27343</v>
      </c>
      <c r="B9126" t="s">
        <v>27344</v>
      </c>
      <c r="C9126" t="s">
        <v>27344</v>
      </c>
      <c r="D9126" t="str">
        <f>HYPERLINK("https://zfin.org/ZDB-GENE-090406-1")</f>
        <v>https://zfin.org/ZDB-GENE-090406-1</v>
      </c>
      <c r="E9126" t="s">
        <v>27345</v>
      </c>
    </row>
    <row r="9127" spans="1:5" x14ac:dyDescent="0.2">
      <c r="A9127" t="s">
        <v>27346</v>
      </c>
      <c r="B9127" t="s">
        <v>27347</v>
      </c>
      <c r="C9127" t="s">
        <v>27347</v>
      </c>
      <c r="D9127" t="str">
        <f>HYPERLINK("https://zfin.org/ZDB-GENE-080220-55")</f>
        <v>https://zfin.org/ZDB-GENE-080220-55</v>
      </c>
      <c r="E9127" t="s">
        <v>27348</v>
      </c>
    </row>
    <row r="9128" spans="1:5" x14ac:dyDescent="0.2">
      <c r="A9128" t="s">
        <v>27349</v>
      </c>
      <c r="B9128" t="s">
        <v>27350</v>
      </c>
      <c r="C9128" t="s">
        <v>27350</v>
      </c>
      <c r="D9128" t="str">
        <f>HYPERLINK("https://zfin.org/ZDB-GENE-041114-173")</f>
        <v>https://zfin.org/ZDB-GENE-041114-173</v>
      </c>
      <c r="E9128" t="s">
        <v>27351</v>
      </c>
    </row>
    <row r="9129" spans="1:5" x14ac:dyDescent="0.2">
      <c r="A9129" t="s">
        <v>27352</v>
      </c>
      <c r="B9129" t="s">
        <v>27353</v>
      </c>
      <c r="C9129" t="s">
        <v>27353</v>
      </c>
      <c r="D9129" t="str">
        <f>HYPERLINK("https://zfin.org/ZDB-GENE-060810-13")</f>
        <v>https://zfin.org/ZDB-GENE-060810-13</v>
      </c>
      <c r="E9129" t="s">
        <v>27354</v>
      </c>
    </row>
    <row r="9130" spans="1:5" x14ac:dyDescent="0.2">
      <c r="A9130" t="s">
        <v>27355</v>
      </c>
      <c r="B9130" t="s">
        <v>27356</v>
      </c>
      <c r="C9130" t="s">
        <v>27356</v>
      </c>
      <c r="D9130" t="str">
        <f>HYPERLINK("https://zfin.org/ZDB-GENE-010507-2")</f>
        <v>https://zfin.org/ZDB-GENE-010507-2</v>
      </c>
      <c r="E9130" t="s">
        <v>27357</v>
      </c>
    </row>
    <row r="9131" spans="1:5" x14ac:dyDescent="0.2">
      <c r="A9131" t="s">
        <v>27358</v>
      </c>
      <c r="B9131" t="s">
        <v>27359</v>
      </c>
      <c r="C9131" t="s">
        <v>27359</v>
      </c>
      <c r="D9131" t="str">
        <f>HYPERLINK("https://zfin.org/ZDB-GENE-040426-1680")</f>
        <v>https://zfin.org/ZDB-GENE-040426-1680</v>
      </c>
      <c r="E9131" t="s">
        <v>27360</v>
      </c>
    </row>
    <row r="9132" spans="1:5" x14ac:dyDescent="0.2">
      <c r="A9132" t="s">
        <v>27361</v>
      </c>
      <c r="B9132" t="s">
        <v>27362</v>
      </c>
      <c r="C9132" t="s">
        <v>27362</v>
      </c>
      <c r="D9132" t="str">
        <f>HYPERLINK("https://zfin.org/ZDB-GENE-090312-89")</f>
        <v>https://zfin.org/ZDB-GENE-090312-89</v>
      </c>
      <c r="E9132" t="s">
        <v>27363</v>
      </c>
    </row>
    <row r="9133" spans="1:5" x14ac:dyDescent="0.2">
      <c r="A9133" t="s">
        <v>27364</v>
      </c>
      <c r="B9133" t="s">
        <v>27365</v>
      </c>
      <c r="C9133" t="s">
        <v>27365</v>
      </c>
      <c r="D9133" t="str">
        <f>HYPERLINK("https://zfin.org/ZDB-GENE-061027-190")</f>
        <v>https://zfin.org/ZDB-GENE-061027-190</v>
      </c>
      <c r="E9133" t="s">
        <v>27366</v>
      </c>
    </row>
    <row r="9134" spans="1:5" x14ac:dyDescent="0.2">
      <c r="A9134" t="s">
        <v>27367</v>
      </c>
      <c r="B9134" t="s">
        <v>27368</v>
      </c>
      <c r="C9134" t="s">
        <v>27368</v>
      </c>
      <c r="D9134" t="str">
        <f>HYPERLINK("https://zfin.org/ZDB-GENE-040718-180")</f>
        <v>https://zfin.org/ZDB-GENE-040718-180</v>
      </c>
      <c r="E9134" t="s">
        <v>27369</v>
      </c>
    </row>
    <row r="9135" spans="1:5" x14ac:dyDescent="0.2">
      <c r="A9135" t="s">
        <v>27370</v>
      </c>
      <c r="B9135" t="s">
        <v>27371</v>
      </c>
      <c r="C9135" t="s">
        <v>27371</v>
      </c>
      <c r="D9135" t="str">
        <f>HYPERLINK("https://zfin.org/ZDB-GENE-990715-10")</f>
        <v>https://zfin.org/ZDB-GENE-990715-10</v>
      </c>
      <c r="E9135" t="s">
        <v>27372</v>
      </c>
    </row>
    <row r="9136" spans="1:5" x14ac:dyDescent="0.2">
      <c r="A9136" t="s">
        <v>27373</v>
      </c>
      <c r="B9136" t="s">
        <v>27374</v>
      </c>
      <c r="C9136" t="s">
        <v>27374</v>
      </c>
      <c r="D9136" t="str">
        <f>HYPERLINK("https://zfin.org/ZDB-GENE-160113-154")</f>
        <v>https://zfin.org/ZDB-GENE-160113-154</v>
      </c>
      <c r="E9136" t="s">
        <v>27375</v>
      </c>
    </row>
    <row r="9137" spans="1:5" x14ac:dyDescent="0.2">
      <c r="A9137" t="s">
        <v>27376</v>
      </c>
      <c r="B9137" t="s">
        <v>27377</v>
      </c>
      <c r="C9137" t="s">
        <v>27377</v>
      </c>
      <c r="D9137" t="str">
        <f>HYPERLINK("https://zfin.org/ZDB-GENE-030131-1693")</f>
        <v>https://zfin.org/ZDB-GENE-030131-1693</v>
      </c>
      <c r="E9137" t="s">
        <v>27378</v>
      </c>
    </row>
    <row r="9138" spans="1:5" x14ac:dyDescent="0.2">
      <c r="A9138" t="s">
        <v>27379</v>
      </c>
      <c r="B9138" t="s">
        <v>27380</v>
      </c>
      <c r="C9138" t="s">
        <v>27380</v>
      </c>
      <c r="D9138" t="str">
        <f>HYPERLINK("https://zfin.org/ZDB-GENE-081104-232")</f>
        <v>https://zfin.org/ZDB-GENE-081104-232</v>
      </c>
      <c r="E9138" t="s">
        <v>27381</v>
      </c>
    </row>
    <row r="9139" spans="1:5" x14ac:dyDescent="0.2">
      <c r="A9139" t="s">
        <v>27382</v>
      </c>
      <c r="B9139" t="s">
        <v>27383</v>
      </c>
      <c r="C9139" t="s">
        <v>27383</v>
      </c>
      <c r="D9139" t="str">
        <f>HYPERLINK("https://zfin.org/ZDB-GENE-050309-239")</f>
        <v>https://zfin.org/ZDB-GENE-050309-239</v>
      </c>
      <c r="E9139" t="s">
        <v>27384</v>
      </c>
    </row>
    <row r="9140" spans="1:5" x14ac:dyDescent="0.2">
      <c r="A9140" t="s">
        <v>27385</v>
      </c>
      <c r="B9140" t="s">
        <v>27386</v>
      </c>
      <c r="C9140" t="s">
        <v>27386</v>
      </c>
      <c r="D9140" t="str">
        <f>HYPERLINK("https://zfin.org/ZDB-GENE-100922-169")</f>
        <v>https://zfin.org/ZDB-GENE-100922-169</v>
      </c>
      <c r="E9140" t="s">
        <v>27387</v>
      </c>
    </row>
    <row r="9141" spans="1:5" x14ac:dyDescent="0.2">
      <c r="A9141" t="s">
        <v>27388</v>
      </c>
      <c r="B9141" t="s">
        <v>27389</v>
      </c>
      <c r="C9141" t="s">
        <v>27389</v>
      </c>
      <c r="D9141" t="str">
        <f>HYPERLINK("https://zfin.org/ZDB-GENE-030131-3587")</f>
        <v>https://zfin.org/ZDB-GENE-030131-3587</v>
      </c>
      <c r="E9141" t="s">
        <v>27390</v>
      </c>
    </row>
    <row r="9142" spans="1:5" x14ac:dyDescent="0.2">
      <c r="A9142" t="s">
        <v>27391</v>
      </c>
      <c r="B9142" t="s">
        <v>27392</v>
      </c>
      <c r="C9142" t="s">
        <v>27392</v>
      </c>
      <c r="D9142" t="str">
        <f>HYPERLINK("https://zfin.org/ZDB-GENE-081104-82")</f>
        <v>https://zfin.org/ZDB-GENE-081104-82</v>
      </c>
      <c r="E9142" t="s">
        <v>27393</v>
      </c>
    </row>
    <row r="9143" spans="1:5" x14ac:dyDescent="0.2">
      <c r="A9143" t="s">
        <v>27394</v>
      </c>
      <c r="B9143" t="s">
        <v>27395</v>
      </c>
      <c r="C9143" t="s">
        <v>27395</v>
      </c>
      <c r="D9143" t="str">
        <f>HYPERLINK("https://zfin.org/ZDB-GENE-080728-4")</f>
        <v>https://zfin.org/ZDB-GENE-080728-4</v>
      </c>
      <c r="E9143" t="s">
        <v>27396</v>
      </c>
    </row>
    <row r="9144" spans="1:5" x14ac:dyDescent="0.2">
      <c r="A9144" t="s">
        <v>27397</v>
      </c>
      <c r="B9144" t="s">
        <v>27398</v>
      </c>
      <c r="C9144" t="s">
        <v>27398</v>
      </c>
      <c r="D9144" t="str">
        <f>HYPERLINK("https://zfin.org/ZDB-GENE-090501-2")</f>
        <v>https://zfin.org/ZDB-GENE-090501-2</v>
      </c>
      <c r="E9144" t="s">
        <v>27399</v>
      </c>
    </row>
    <row r="9145" spans="1:5" x14ac:dyDescent="0.2">
      <c r="A9145" t="s">
        <v>27400</v>
      </c>
      <c r="B9145" t="s">
        <v>27401</v>
      </c>
      <c r="C9145" t="s">
        <v>27401</v>
      </c>
      <c r="D9145" t="str">
        <f>HYPERLINK("https://zfin.org/ZDB-GENE-050208-677")</f>
        <v>https://zfin.org/ZDB-GENE-050208-677</v>
      </c>
      <c r="E9145" t="s">
        <v>27402</v>
      </c>
    </row>
    <row r="9146" spans="1:5" x14ac:dyDescent="0.2">
      <c r="A9146" t="s">
        <v>27403</v>
      </c>
      <c r="B9146" t="s">
        <v>27404</v>
      </c>
      <c r="C9146" t="s">
        <v>27404</v>
      </c>
      <c r="D9146" t="str">
        <f>HYPERLINK("https://zfin.org/ZDB-GENE-061013-567")</f>
        <v>https://zfin.org/ZDB-GENE-061013-567</v>
      </c>
      <c r="E9146" t="s">
        <v>27405</v>
      </c>
    </row>
    <row r="9147" spans="1:5" x14ac:dyDescent="0.2">
      <c r="A9147" t="s">
        <v>27406</v>
      </c>
      <c r="B9147" t="s">
        <v>27407</v>
      </c>
      <c r="C9147" t="s">
        <v>27407</v>
      </c>
      <c r="D9147" t="str">
        <f>HYPERLINK("https://zfin.org/ZDB-GENE-041010-141")</f>
        <v>https://zfin.org/ZDB-GENE-041010-141</v>
      </c>
      <c r="E9147" t="s">
        <v>27408</v>
      </c>
    </row>
    <row r="9148" spans="1:5" x14ac:dyDescent="0.2">
      <c r="A9148" t="s">
        <v>27409</v>
      </c>
      <c r="B9148" t="s">
        <v>27410</v>
      </c>
      <c r="C9148" t="s">
        <v>27410</v>
      </c>
      <c r="D9148" t="str">
        <f>HYPERLINK("https://zfin.org/ZDB-GENE-040426-1675")</f>
        <v>https://zfin.org/ZDB-GENE-040426-1675</v>
      </c>
      <c r="E9148" t="s">
        <v>27411</v>
      </c>
    </row>
    <row r="9149" spans="1:5" x14ac:dyDescent="0.2">
      <c r="A9149" t="s">
        <v>27412</v>
      </c>
      <c r="B9149" t="s">
        <v>27413</v>
      </c>
      <c r="C9149" t="s">
        <v>27413</v>
      </c>
      <c r="D9149" t="str">
        <f>HYPERLINK("https://zfin.org/ZDB-GENE-040426-2321")</f>
        <v>https://zfin.org/ZDB-GENE-040426-2321</v>
      </c>
      <c r="E9149" t="s">
        <v>27414</v>
      </c>
    </row>
    <row r="9150" spans="1:5" x14ac:dyDescent="0.2">
      <c r="A9150" t="s">
        <v>27415</v>
      </c>
      <c r="B9150" t="s">
        <v>27416</v>
      </c>
      <c r="C9150" t="s">
        <v>27416</v>
      </c>
      <c r="D9150" t="str">
        <f>HYPERLINK("https://zfin.org/ZDB-GENE-040426-814")</f>
        <v>https://zfin.org/ZDB-GENE-040426-814</v>
      </c>
      <c r="E9150" t="s">
        <v>27417</v>
      </c>
    </row>
    <row r="9151" spans="1:5" x14ac:dyDescent="0.2">
      <c r="A9151" t="s">
        <v>27418</v>
      </c>
      <c r="B9151" t="s">
        <v>27419</v>
      </c>
      <c r="C9151" t="s">
        <v>27419</v>
      </c>
      <c r="D9151" t="str">
        <f>HYPERLINK("https://zfin.org/ZDB-GENE-040801-114")</f>
        <v>https://zfin.org/ZDB-GENE-040801-114</v>
      </c>
      <c r="E9151" t="s">
        <v>27420</v>
      </c>
    </row>
    <row r="9152" spans="1:5" x14ac:dyDescent="0.2">
      <c r="A9152" t="s">
        <v>27421</v>
      </c>
      <c r="B9152" t="s">
        <v>27422</v>
      </c>
      <c r="C9152" t="s">
        <v>27422</v>
      </c>
      <c r="D9152" t="str">
        <f>HYPERLINK("https://zfin.org/ZDB-GENE-100921-78")</f>
        <v>https://zfin.org/ZDB-GENE-100921-78</v>
      </c>
      <c r="E9152" t="s">
        <v>27423</v>
      </c>
    </row>
    <row r="9153" spans="1:5" x14ac:dyDescent="0.2">
      <c r="A9153" t="s">
        <v>27424</v>
      </c>
      <c r="B9153" t="s">
        <v>27425</v>
      </c>
      <c r="C9153" t="s">
        <v>27425</v>
      </c>
      <c r="D9153" t="str">
        <f>HYPERLINK("https://zfin.org/ZDB-GENE-040426-1082")</f>
        <v>https://zfin.org/ZDB-GENE-040426-1082</v>
      </c>
      <c r="E9153" t="s">
        <v>27426</v>
      </c>
    </row>
    <row r="9154" spans="1:5" x14ac:dyDescent="0.2">
      <c r="A9154" t="s">
        <v>27427</v>
      </c>
      <c r="B9154" t="s">
        <v>27428</v>
      </c>
      <c r="C9154" t="s">
        <v>27428</v>
      </c>
      <c r="D9154" t="str">
        <f>HYPERLINK("https://zfin.org/ZDB-GENE-061110-34")</f>
        <v>https://zfin.org/ZDB-GENE-061110-34</v>
      </c>
      <c r="E9154" t="s">
        <v>27429</v>
      </c>
    </row>
    <row r="9155" spans="1:5" x14ac:dyDescent="0.2">
      <c r="A9155" t="s">
        <v>27430</v>
      </c>
      <c r="B9155" t="s">
        <v>27431</v>
      </c>
      <c r="C9155" t="s">
        <v>27431</v>
      </c>
      <c r="D9155" t="str">
        <f>HYPERLINK("https://zfin.org/ZDB-GENE-040426-1499")</f>
        <v>https://zfin.org/ZDB-GENE-040426-1499</v>
      </c>
      <c r="E9155" t="s">
        <v>27432</v>
      </c>
    </row>
    <row r="9156" spans="1:5" x14ac:dyDescent="0.2">
      <c r="A9156" t="s">
        <v>27433</v>
      </c>
      <c r="B9156" t="s">
        <v>27434</v>
      </c>
      <c r="C9156" t="s">
        <v>27434</v>
      </c>
      <c r="D9156" t="str">
        <f>HYPERLINK("https://zfin.org/ZDB-GENE-040426-2724")</f>
        <v>https://zfin.org/ZDB-GENE-040426-2724</v>
      </c>
      <c r="E9156" t="s">
        <v>27435</v>
      </c>
    </row>
    <row r="9157" spans="1:5" x14ac:dyDescent="0.2">
      <c r="A9157" t="s">
        <v>27436</v>
      </c>
      <c r="B9157" t="s">
        <v>27437</v>
      </c>
      <c r="C9157" t="s">
        <v>27437</v>
      </c>
      <c r="D9157" t="str">
        <f>HYPERLINK("https://zfin.org/ZDB-GENE-030131-8376")</f>
        <v>https://zfin.org/ZDB-GENE-030131-8376</v>
      </c>
      <c r="E9157" t="s">
        <v>27438</v>
      </c>
    </row>
    <row r="9158" spans="1:5" x14ac:dyDescent="0.2">
      <c r="A9158" t="s">
        <v>27439</v>
      </c>
      <c r="B9158" t="s">
        <v>27440</v>
      </c>
      <c r="C9158" t="s">
        <v>27440</v>
      </c>
      <c r="D9158" t="str">
        <f>HYPERLINK("https://zfin.org/ZDB-GENE-030219-10")</f>
        <v>https://zfin.org/ZDB-GENE-030219-10</v>
      </c>
      <c r="E9158" t="s">
        <v>27441</v>
      </c>
    </row>
    <row r="9159" spans="1:5" x14ac:dyDescent="0.2">
      <c r="A9159" t="s">
        <v>27442</v>
      </c>
      <c r="B9159" t="s">
        <v>27443</v>
      </c>
      <c r="C9159" t="s">
        <v>27443</v>
      </c>
      <c r="D9159" t="str">
        <f>HYPERLINK("https://zfin.org/ZDB-GENE-141222-8")</f>
        <v>https://zfin.org/ZDB-GENE-141222-8</v>
      </c>
      <c r="E9159" t="s">
        <v>27444</v>
      </c>
    </row>
    <row r="9160" spans="1:5" x14ac:dyDescent="0.2">
      <c r="A9160" t="s">
        <v>27445</v>
      </c>
      <c r="B9160" t="s">
        <v>27446</v>
      </c>
      <c r="C9160" t="s">
        <v>27446</v>
      </c>
      <c r="D9160" t="str">
        <f>HYPERLINK("https://zfin.org/ZDB-GENE-111017-2")</f>
        <v>https://zfin.org/ZDB-GENE-111017-2</v>
      </c>
      <c r="E9160" t="s">
        <v>27447</v>
      </c>
    </row>
    <row r="9161" spans="1:5" x14ac:dyDescent="0.2">
      <c r="A9161" t="s">
        <v>27448</v>
      </c>
      <c r="B9161" t="s">
        <v>27449</v>
      </c>
      <c r="C9161" t="s">
        <v>27449</v>
      </c>
      <c r="D9161" t="str">
        <f>HYPERLINK("https://zfin.org/ZDB-GENE-030131-376")</f>
        <v>https://zfin.org/ZDB-GENE-030131-376</v>
      </c>
      <c r="E9161" t="s">
        <v>27450</v>
      </c>
    </row>
    <row r="9162" spans="1:5" x14ac:dyDescent="0.2">
      <c r="A9162" t="s">
        <v>27451</v>
      </c>
      <c r="B9162" t="s">
        <v>27452</v>
      </c>
      <c r="C9162" t="s">
        <v>27452</v>
      </c>
      <c r="D9162" t="str">
        <f>HYPERLINK("https://zfin.org/ZDB-GENE-040614-2")</f>
        <v>https://zfin.org/ZDB-GENE-040614-2</v>
      </c>
      <c r="E9162" t="s">
        <v>27453</v>
      </c>
    </row>
    <row r="9163" spans="1:5" x14ac:dyDescent="0.2">
      <c r="A9163" t="s">
        <v>27454</v>
      </c>
      <c r="B9163" t="s">
        <v>27455</v>
      </c>
      <c r="C9163" t="s">
        <v>27455</v>
      </c>
      <c r="D9163" t="str">
        <f>HYPERLINK("https://zfin.org/ZDB-GENE-040426-1279")</f>
        <v>https://zfin.org/ZDB-GENE-040426-1279</v>
      </c>
      <c r="E9163" t="s">
        <v>27456</v>
      </c>
    </row>
    <row r="9164" spans="1:5" x14ac:dyDescent="0.2">
      <c r="A9164" t="s">
        <v>27457</v>
      </c>
      <c r="B9164" t="s">
        <v>27458</v>
      </c>
      <c r="C9164" t="s">
        <v>27458</v>
      </c>
      <c r="D9164" t="str">
        <f>HYPERLINK("https://zfin.org/ZDB-GENE-131121-630")</f>
        <v>https://zfin.org/ZDB-GENE-131121-630</v>
      </c>
      <c r="E9164" t="s">
        <v>27459</v>
      </c>
    </row>
    <row r="9165" spans="1:5" x14ac:dyDescent="0.2">
      <c r="A9165" t="s">
        <v>27460</v>
      </c>
      <c r="B9165" t="s">
        <v>27461</v>
      </c>
      <c r="C9165" t="s">
        <v>27461</v>
      </c>
      <c r="D9165" t="str">
        <f>HYPERLINK("https://zfin.org/ZDB-GENE-040801-190")</f>
        <v>https://zfin.org/ZDB-GENE-040801-190</v>
      </c>
      <c r="E9165" t="s">
        <v>27462</v>
      </c>
    </row>
    <row r="9166" spans="1:5" x14ac:dyDescent="0.2">
      <c r="A9166" t="s">
        <v>27463</v>
      </c>
      <c r="B9166" t="s">
        <v>27464</v>
      </c>
      <c r="C9166" t="s">
        <v>27464</v>
      </c>
      <c r="D9166" t="str">
        <f>HYPERLINK("https://zfin.org/ZDB-GENE-110914-153")</f>
        <v>https://zfin.org/ZDB-GENE-110914-153</v>
      </c>
      <c r="E9166" t="s">
        <v>27465</v>
      </c>
    </row>
    <row r="9167" spans="1:5" x14ac:dyDescent="0.2">
      <c r="A9167" t="s">
        <v>27466</v>
      </c>
      <c r="B9167" t="s">
        <v>27467</v>
      </c>
      <c r="C9167" t="s">
        <v>27467</v>
      </c>
      <c r="D9167" t="str">
        <f>HYPERLINK("https://zfin.org/ZDB-GENE-070424-267")</f>
        <v>https://zfin.org/ZDB-GENE-070424-267</v>
      </c>
      <c r="E9167" t="s">
        <v>27468</v>
      </c>
    </row>
    <row r="9168" spans="1:5" x14ac:dyDescent="0.2">
      <c r="A9168" t="s">
        <v>27469</v>
      </c>
      <c r="B9168" t="s">
        <v>27470</v>
      </c>
      <c r="C9168" t="s">
        <v>27470</v>
      </c>
      <c r="D9168" t="str">
        <f>HYPERLINK("https://zfin.org/ZDB-GENE-060512-221")</f>
        <v>https://zfin.org/ZDB-GENE-060512-221</v>
      </c>
      <c r="E9168" t="s">
        <v>27471</v>
      </c>
    </row>
    <row r="9169" spans="1:5" x14ac:dyDescent="0.2">
      <c r="A9169" t="s">
        <v>27472</v>
      </c>
      <c r="B9169" t="s">
        <v>27473</v>
      </c>
      <c r="C9169" t="s">
        <v>27473</v>
      </c>
      <c r="D9169" t="str">
        <f>HYPERLINK("https://zfin.org/ZDB-GENE-131121-542")</f>
        <v>https://zfin.org/ZDB-GENE-131121-542</v>
      </c>
      <c r="E9169" t="s">
        <v>27474</v>
      </c>
    </row>
    <row r="9170" spans="1:5" x14ac:dyDescent="0.2">
      <c r="A9170" t="s">
        <v>27475</v>
      </c>
      <c r="B9170" t="s">
        <v>27476</v>
      </c>
      <c r="C9170" t="s">
        <v>27476</v>
      </c>
      <c r="D9170" t="str">
        <f>HYPERLINK("https://zfin.org/ZDB-GENE-040113-1")</f>
        <v>https://zfin.org/ZDB-GENE-040113-1</v>
      </c>
      <c r="E9170" t="s">
        <v>27477</v>
      </c>
    </row>
    <row r="9171" spans="1:5" x14ac:dyDescent="0.2">
      <c r="A9171" t="s">
        <v>27478</v>
      </c>
      <c r="B9171" t="s">
        <v>27479</v>
      </c>
      <c r="C9171" t="s">
        <v>27479</v>
      </c>
      <c r="D9171" t="str">
        <f>HYPERLINK("https://zfin.org/ZDB-GENE-110627-1")</f>
        <v>https://zfin.org/ZDB-GENE-110627-1</v>
      </c>
      <c r="E9171" t="s">
        <v>27480</v>
      </c>
    </row>
    <row r="9172" spans="1:5" x14ac:dyDescent="0.2">
      <c r="A9172" t="s">
        <v>27481</v>
      </c>
      <c r="B9172" t="s">
        <v>27482</v>
      </c>
      <c r="C9172" t="s">
        <v>27482</v>
      </c>
      <c r="D9172" t="str">
        <f>HYPERLINK("https://zfin.org/ZDB-GENE-040426-1232")</f>
        <v>https://zfin.org/ZDB-GENE-040426-1232</v>
      </c>
      <c r="E9172" t="s">
        <v>27483</v>
      </c>
    </row>
    <row r="9173" spans="1:5" x14ac:dyDescent="0.2">
      <c r="A9173" t="s">
        <v>27484</v>
      </c>
      <c r="B9173" t="s">
        <v>27485</v>
      </c>
      <c r="C9173" t="s">
        <v>27485</v>
      </c>
      <c r="D9173" t="str">
        <f>HYPERLINK("https://zfin.org/ZDB-GENE-040426-1368")</f>
        <v>https://zfin.org/ZDB-GENE-040426-1368</v>
      </c>
      <c r="E9173" t="s">
        <v>27486</v>
      </c>
    </row>
    <row r="9174" spans="1:5" x14ac:dyDescent="0.2">
      <c r="A9174" t="s">
        <v>27487</v>
      </c>
      <c r="B9174" t="s">
        <v>27488</v>
      </c>
      <c r="C9174" t="s">
        <v>27488</v>
      </c>
      <c r="D9174" t="str">
        <f>HYPERLINK("https://zfin.org/ZDB-GENE-990415-167")</f>
        <v>https://zfin.org/ZDB-GENE-990415-167</v>
      </c>
      <c r="E9174" t="s">
        <v>27489</v>
      </c>
    </row>
    <row r="9175" spans="1:5" x14ac:dyDescent="0.2">
      <c r="A9175" t="s">
        <v>27490</v>
      </c>
      <c r="B9175" t="s">
        <v>27491</v>
      </c>
      <c r="C9175" t="s">
        <v>27491</v>
      </c>
      <c r="D9175" t="str">
        <f>HYPERLINK("https://zfin.org/ZDB-GENE-030131-3208")</f>
        <v>https://zfin.org/ZDB-GENE-030131-3208</v>
      </c>
      <c r="E9175" t="s">
        <v>27492</v>
      </c>
    </row>
    <row r="9176" spans="1:5" x14ac:dyDescent="0.2">
      <c r="A9176" t="s">
        <v>27493</v>
      </c>
      <c r="B9176" t="s">
        <v>27494</v>
      </c>
      <c r="C9176" t="s">
        <v>27494</v>
      </c>
      <c r="D9176" t="str">
        <f>HYPERLINK("https://zfin.org/ZDB-GENE-040426-1817")</f>
        <v>https://zfin.org/ZDB-GENE-040426-1817</v>
      </c>
      <c r="E9176" t="s">
        <v>27495</v>
      </c>
    </row>
    <row r="9177" spans="1:5" x14ac:dyDescent="0.2">
      <c r="A9177" t="s">
        <v>27496</v>
      </c>
      <c r="B9177" t="s">
        <v>27497</v>
      </c>
      <c r="C9177" t="s">
        <v>27497</v>
      </c>
      <c r="D9177" t="str">
        <f>HYPERLINK("https://zfin.org/ZDB-GENE-121214-343")</f>
        <v>https://zfin.org/ZDB-GENE-121214-343</v>
      </c>
      <c r="E9177" t="s">
        <v>27498</v>
      </c>
    </row>
    <row r="9178" spans="1:5" x14ac:dyDescent="0.2">
      <c r="A9178" t="s">
        <v>27499</v>
      </c>
      <c r="B9178" t="s">
        <v>27500</v>
      </c>
      <c r="C9178" t="s">
        <v>27500</v>
      </c>
      <c r="D9178" t="str">
        <f>HYPERLINK("https://zfin.org/ZDB-GENE-040808-59")</f>
        <v>https://zfin.org/ZDB-GENE-040808-59</v>
      </c>
      <c r="E9178" t="s">
        <v>27501</v>
      </c>
    </row>
    <row r="9179" spans="1:5" x14ac:dyDescent="0.2">
      <c r="A9179" t="s">
        <v>27502</v>
      </c>
      <c r="B9179" t="s">
        <v>27503</v>
      </c>
      <c r="C9179" t="s">
        <v>27503</v>
      </c>
      <c r="D9179" t="str">
        <f>HYPERLINK("https://zfin.org/")</f>
        <v>https://zfin.org/</v>
      </c>
    </row>
    <row r="9180" spans="1:5" x14ac:dyDescent="0.2">
      <c r="A9180" t="s">
        <v>27504</v>
      </c>
      <c r="B9180" t="s">
        <v>27505</v>
      </c>
      <c r="C9180" t="s">
        <v>27505</v>
      </c>
      <c r="D9180" t="str">
        <f>HYPERLINK("https://zfin.org/ZDB-GENE-040628-2")</f>
        <v>https://zfin.org/ZDB-GENE-040628-2</v>
      </c>
      <c r="E9180" t="s">
        <v>27506</v>
      </c>
    </row>
    <row r="9181" spans="1:5" x14ac:dyDescent="0.2">
      <c r="A9181" t="s">
        <v>27507</v>
      </c>
      <c r="B9181" t="s">
        <v>27508</v>
      </c>
      <c r="C9181" t="s">
        <v>27508</v>
      </c>
      <c r="D9181" t="str">
        <f>HYPERLINK("https://zfin.org/ZDB-GENE-121214-243")</f>
        <v>https://zfin.org/ZDB-GENE-121214-243</v>
      </c>
      <c r="E9181" t="s">
        <v>27509</v>
      </c>
    </row>
    <row r="9182" spans="1:5" x14ac:dyDescent="0.2">
      <c r="A9182" t="s">
        <v>27510</v>
      </c>
      <c r="B9182" t="s">
        <v>27511</v>
      </c>
      <c r="C9182" t="s">
        <v>27511</v>
      </c>
      <c r="D9182" t="str">
        <f>HYPERLINK("https://zfin.org/ZDB-GENE-030131-2879")</f>
        <v>https://zfin.org/ZDB-GENE-030131-2879</v>
      </c>
      <c r="E9182" t="s">
        <v>27512</v>
      </c>
    </row>
    <row r="9183" spans="1:5" x14ac:dyDescent="0.2">
      <c r="A9183" t="s">
        <v>27513</v>
      </c>
      <c r="B9183" t="s">
        <v>27514</v>
      </c>
      <c r="C9183" t="s">
        <v>27514</v>
      </c>
      <c r="D9183" t="str">
        <f>HYPERLINK("https://zfin.org/ZDB-GENE-030131-1380")</f>
        <v>https://zfin.org/ZDB-GENE-030131-1380</v>
      </c>
      <c r="E9183" t="s">
        <v>27515</v>
      </c>
    </row>
    <row r="9184" spans="1:5" x14ac:dyDescent="0.2">
      <c r="A9184" t="s">
        <v>27516</v>
      </c>
      <c r="B9184" t="s">
        <v>27517</v>
      </c>
      <c r="C9184" t="s">
        <v>27517</v>
      </c>
      <c r="D9184" t="str">
        <f>HYPERLINK("https://zfin.org/ZDB-GENE-091204-284")</f>
        <v>https://zfin.org/ZDB-GENE-091204-284</v>
      </c>
      <c r="E9184" t="s">
        <v>27518</v>
      </c>
    </row>
    <row r="9185" spans="1:5" x14ac:dyDescent="0.2">
      <c r="A9185" t="s">
        <v>27519</v>
      </c>
      <c r="B9185" t="s">
        <v>27520</v>
      </c>
      <c r="C9185" t="s">
        <v>27520</v>
      </c>
      <c r="D9185" t="str">
        <f>HYPERLINK("https://zfin.org/ZDB-GENE-050417-166")</f>
        <v>https://zfin.org/ZDB-GENE-050417-166</v>
      </c>
      <c r="E9185" t="s">
        <v>27521</v>
      </c>
    </row>
    <row r="9186" spans="1:5" x14ac:dyDescent="0.2">
      <c r="A9186" t="s">
        <v>27522</v>
      </c>
      <c r="B9186" t="s">
        <v>27523</v>
      </c>
      <c r="C9186" t="s">
        <v>27523</v>
      </c>
      <c r="D9186" t="str">
        <f>HYPERLINK("https://zfin.org/ZDB-GENE-030131-2976")</f>
        <v>https://zfin.org/ZDB-GENE-030131-2976</v>
      </c>
      <c r="E9186" t="s">
        <v>27524</v>
      </c>
    </row>
    <row r="9187" spans="1:5" x14ac:dyDescent="0.2">
      <c r="A9187" t="s">
        <v>27525</v>
      </c>
      <c r="B9187" t="s">
        <v>27526</v>
      </c>
      <c r="C9187" t="s">
        <v>27526</v>
      </c>
      <c r="D9187" t="str">
        <f>HYPERLINK("https://zfin.org/ZDB-GENE-041010-161")</f>
        <v>https://zfin.org/ZDB-GENE-041010-161</v>
      </c>
      <c r="E9187" t="s">
        <v>27527</v>
      </c>
    </row>
    <row r="9188" spans="1:5" x14ac:dyDescent="0.2">
      <c r="A9188" t="s">
        <v>27528</v>
      </c>
      <c r="B9188" t="s">
        <v>27529</v>
      </c>
      <c r="C9188" t="s">
        <v>27529</v>
      </c>
      <c r="D9188" t="str">
        <f>HYPERLINK("https://zfin.org/ZDB-GENE-090309-3")</f>
        <v>https://zfin.org/ZDB-GENE-090309-3</v>
      </c>
      <c r="E9188" t="s">
        <v>27530</v>
      </c>
    </row>
    <row r="9189" spans="1:5" x14ac:dyDescent="0.2">
      <c r="A9189" t="s">
        <v>27531</v>
      </c>
      <c r="B9189" t="s">
        <v>27532</v>
      </c>
      <c r="C9189" t="s">
        <v>27532</v>
      </c>
      <c r="D9189" t="str">
        <f>HYPERLINK("https://zfin.org/ZDB-GENE-030131-5373")</f>
        <v>https://zfin.org/ZDB-GENE-030131-5373</v>
      </c>
      <c r="E9189" t="s">
        <v>27533</v>
      </c>
    </row>
    <row r="9190" spans="1:5" x14ac:dyDescent="0.2">
      <c r="A9190" t="s">
        <v>27534</v>
      </c>
      <c r="B9190" t="s">
        <v>27535</v>
      </c>
      <c r="C9190" t="s">
        <v>27535</v>
      </c>
      <c r="D9190" t="str">
        <f>HYPERLINK("https://zfin.org/ZDB-GENE-030131-2900")</f>
        <v>https://zfin.org/ZDB-GENE-030131-2900</v>
      </c>
      <c r="E9190" t="s">
        <v>27536</v>
      </c>
    </row>
    <row r="9191" spans="1:5" x14ac:dyDescent="0.2">
      <c r="A9191" t="s">
        <v>27537</v>
      </c>
      <c r="B9191" t="s">
        <v>27538</v>
      </c>
      <c r="C9191" t="s">
        <v>27538</v>
      </c>
      <c r="D9191" t="str">
        <f>HYPERLINK("https://zfin.org/ZDB-GENE-030131-577")</f>
        <v>https://zfin.org/ZDB-GENE-030131-577</v>
      </c>
      <c r="E9191" t="s">
        <v>27539</v>
      </c>
    </row>
    <row r="9192" spans="1:5" x14ac:dyDescent="0.2">
      <c r="A9192" t="s">
        <v>27540</v>
      </c>
      <c r="B9192" t="s">
        <v>27541</v>
      </c>
      <c r="C9192" t="s">
        <v>27541</v>
      </c>
      <c r="D9192" t="str">
        <f>HYPERLINK("https://zfin.org/ZDB-GENE-080204-98")</f>
        <v>https://zfin.org/ZDB-GENE-080204-98</v>
      </c>
      <c r="E9192" t="s">
        <v>27542</v>
      </c>
    </row>
    <row r="9193" spans="1:5" x14ac:dyDescent="0.2">
      <c r="A9193" t="s">
        <v>27543</v>
      </c>
      <c r="B9193" t="s">
        <v>27544</v>
      </c>
      <c r="C9193" t="s">
        <v>27544</v>
      </c>
      <c r="D9193" t="str">
        <f>HYPERLINK("https://zfin.org/ZDB-GENE-041114-195")</f>
        <v>https://zfin.org/ZDB-GENE-041114-195</v>
      </c>
      <c r="E9193" t="s">
        <v>27545</v>
      </c>
    </row>
    <row r="9194" spans="1:5" x14ac:dyDescent="0.2">
      <c r="A9194" t="s">
        <v>27546</v>
      </c>
      <c r="B9194" t="s">
        <v>27547</v>
      </c>
      <c r="C9194" t="s">
        <v>27547</v>
      </c>
      <c r="D9194" t="str">
        <f>HYPERLINK("https://zfin.org/ZDB-GENE-060531-75")</f>
        <v>https://zfin.org/ZDB-GENE-060531-75</v>
      </c>
      <c r="E9194" t="s">
        <v>27548</v>
      </c>
    </row>
    <row r="9195" spans="1:5" x14ac:dyDescent="0.2">
      <c r="A9195" t="s">
        <v>27549</v>
      </c>
      <c r="B9195" t="s">
        <v>27550</v>
      </c>
      <c r="C9195" t="s">
        <v>27550</v>
      </c>
      <c r="D9195" t="str">
        <f>HYPERLINK("https://zfin.org/ZDB-GENE-040718-282")</f>
        <v>https://zfin.org/ZDB-GENE-040718-282</v>
      </c>
      <c r="E9195" t="s">
        <v>27551</v>
      </c>
    </row>
    <row r="9196" spans="1:5" x14ac:dyDescent="0.2">
      <c r="A9196" t="s">
        <v>27552</v>
      </c>
      <c r="B9196" t="s">
        <v>27553</v>
      </c>
      <c r="C9196" t="s">
        <v>27553</v>
      </c>
      <c r="D9196" t="str">
        <f>HYPERLINK("https://zfin.org/ZDB-GENE-990415-151")</f>
        <v>https://zfin.org/ZDB-GENE-990415-151</v>
      </c>
      <c r="E9196" t="s">
        <v>27554</v>
      </c>
    </row>
    <row r="9197" spans="1:5" x14ac:dyDescent="0.2">
      <c r="A9197" t="s">
        <v>27555</v>
      </c>
      <c r="B9197" t="s">
        <v>27556</v>
      </c>
      <c r="C9197" t="s">
        <v>27556</v>
      </c>
      <c r="D9197" t="str">
        <f>HYPERLINK("https://zfin.org/ZDB-GENE-050320-41")</f>
        <v>https://zfin.org/ZDB-GENE-050320-41</v>
      </c>
      <c r="E9197" t="s">
        <v>27557</v>
      </c>
    </row>
    <row r="9198" spans="1:5" x14ac:dyDescent="0.2">
      <c r="A9198" t="s">
        <v>27558</v>
      </c>
      <c r="B9198" t="s">
        <v>27559</v>
      </c>
      <c r="C9198" t="s">
        <v>27559</v>
      </c>
      <c r="D9198" t="str">
        <f>HYPERLINK("https://zfin.org/ZDB-GENE-030131-2042")</f>
        <v>https://zfin.org/ZDB-GENE-030131-2042</v>
      </c>
      <c r="E9198" t="s">
        <v>27560</v>
      </c>
    </row>
    <row r="9199" spans="1:5" x14ac:dyDescent="0.2">
      <c r="A9199" t="s">
        <v>27561</v>
      </c>
      <c r="B9199" t="s">
        <v>27562</v>
      </c>
      <c r="C9199" t="s">
        <v>27562</v>
      </c>
      <c r="D9199" t="str">
        <f>HYPERLINK("https://zfin.org/ZDB-GENE-041111-204")</f>
        <v>https://zfin.org/ZDB-GENE-041111-204</v>
      </c>
      <c r="E9199" t="s">
        <v>27563</v>
      </c>
    </row>
    <row r="9200" spans="1:5" x14ac:dyDescent="0.2">
      <c r="A9200" t="s">
        <v>27564</v>
      </c>
      <c r="B9200" t="s">
        <v>27565</v>
      </c>
      <c r="C9200" t="s">
        <v>27565</v>
      </c>
      <c r="D9200" t="str">
        <f>HYPERLINK("https://zfin.org/ZDB-GENE-031118-120")</f>
        <v>https://zfin.org/ZDB-GENE-031118-120</v>
      </c>
      <c r="E9200" t="s">
        <v>27566</v>
      </c>
    </row>
    <row r="9201" spans="1:5" x14ac:dyDescent="0.2">
      <c r="A9201" t="s">
        <v>27567</v>
      </c>
      <c r="B9201" t="s">
        <v>27568</v>
      </c>
      <c r="C9201" t="s">
        <v>27568</v>
      </c>
      <c r="D9201" t="str">
        <f>HYPERLINK("https://zfin.org/ZDB-GENE-060315-6")</f>
        <v>https://zfin.org/ZDB-GENE-060315-6</v>
      </c>
      <c r="E9201" t="s">
        <v>27569</v>
      </c>
    </row>
    <row r="9202" spans="1:5" x14ac:dyDescent="0.2">
      <c r="A9202" t="s">
        <v>27570</v>
      </c>
      <c r="B9202" t="s">
        <v>27571</v>
      </c>
      <c r="C9202" t="s">
        <v>27571</v>
      </c>
      <c r="D9202" t="str">
        <f>HYPERLINK("https://zfin.org/ZDB-GENE-021231-2")</f>
        <v>https://zfin.org/ZDB-GENE-021231-2</v>
      </c>
      <c r="E9202" t="s">
        <v>27572</v>
      </c>
    </row>
    <row r="9203" spans="1:5" x14ac:dyDescent="0.2">
      <c r="A9203" t="s">
        <v>27573</v>
      </c>
      <c r="B9203" t="s">
        <v>27574</v>
      </c>
      <c r="C9203" t="s">
        <v>27574</v>
      </c>
      <c r="D9203" t="str">
        <f>HYPERLINK("https://zfin.org/ZDB-GENE-121214-335")</f>
        <v>https://zfin.org/ZDB-GENE-121214-335</v>
      </c>
      <c r="E9203" t="s">
        <v>27575</v>
      </c>
    </row>
    <row r="9204" spans="1:5" x14ac:dyDescent="0.2">
      <c r="A9204" t="s">
        <v>27576</v>
      </c>
      <c r="B9204" t="s">
        <v>27577</v>
      </c>
      <c r="C9204" t="s">
        <v>27577</v>
      </c>
      <c r="D9204" t="str">
        <f>HYPERLINK("https://zfin.org/ZDB-GENE-131119-82")</f>
        <v>https://zfin.org/ZDB-GENE-131119-82</v>
      </c>
      <c r="E9204" t="s">
        <v>27578</v>
      </c>
    </row>
    <row r="9205" spans="1:5" x14ac:dyDescent="0.2">
      <c r="A9205" t="s">
        <v>27579</v>
      </c>
      <c r="B9205" t="s">
        <v>27580</v>
      </c>
      <c r="C9205" t="s">
        <v>27580</v>
      </c>
      <c r="D9205" t="str">
        <f>HYPERLINK("https://zfin.org/ZDB-GENE-060929-872")</f>
        <v>https://zfin.org/ZDB-GENE-060929-872</v>
      </c>
      <c r="E9205" t="s">
        <v>27581</v>
      </c>
    </row>
    <row r="9206" spans="1:5" x14ac:dyDescent="0.2">
      <c r="A9206" t="s">
        <v>27582</v>
      </c>
      <c r="B9206" t="s">
        <v>27583</v>
      </c>
      <c r="C9206" t="s">
        <v>27583</v>
      </c>
      <c r="D9206" t="str">
        <f>HYPERLINK("https://zfin.org/ZDB-GENE-030411-3")</f>
        <v>https://zfin.org/ZDB-GENE-030411-3</v>
      </c>
      <c r="E9206" t="s">
        <v>27584</v>
      </c>
    </row>
    <row r="9207" spans="1:5" x14ac:dyDescent="0.2">
      <c r="A9207" t="s">
        <v>27585</v>
      </c>
      <c r="B9207" t="s">
        <v>27586</v>
      </c>
      <c r="C9207" t="s">
        <v>27586</v>
      </c>
      <c r="D9207" t="str">
        <f>HYPERLINK("https://zfin.org/ZDB-GENE-040426-2930")</f>
        <v>https://zfin.org/ZDB-GENE-040426-2930</v>
      </c>
      <c r="E9207" t="s">
        <v>27587</v>
      </c>
    </row>
    <row r="9208" spans="1:5" x14ac:dyDescent="0.2">
      <c r="A9208" t="s">
        <v>27588</v>
      </c>
      <c r="B9208" t="s">
        <v>27589</v>
      </c>
      <c r="C9208" t="s">
        <v>27589</v>
      </c>
      <c r="D9208" t="str">
        <f>HYPERLINK("https://zfin.org/ZDB-GENE-091204-478")</f>
        <v>https://zfin.org/ZDB-GENE-091204-478</v>
      </c>
      <c r="E9208" t="s">
        <v>27590</v>
      </c>
    </row>
    <row r="9209" spans="1:5" x14ac:dyDescent="0.2">
      <c r="A9209" t="s">
        <v>27591</v>
      </c>
      <c r="B9209" t="s">
        <v>27592</v>
      </c>
      <c r="C9209" t="s">
        <v>27592</v>
      </c>
      <c r="D9209" t="str">
        <f>HYPERLINK("https://zfin.org/ZDB-GENE-040426-1581")</f>
        <v>https://zfin.org/ZDB-GENE-040426-1581</v>
      </c>
      <c r="E9209" t="s">
        <v>27593</v>
      </c>
    </row>
    <row r="9210" spans="1:5" x14ac:dyDescent="0.2">
      <c r="A9210" t="s">
        <v>27594</v>
      </c>
      <c r="B9210" t="s">
        <v>27595</v>
      </c>
      <c r="C9210" t="s">
        <v>27595</v>
      </c>
      <c r="D9210" t="str">
        <f>HYPERLINK("https://zfin.org/ZDB-GENE-050417-37")</f>
        <v>https://zfin.org/ZDB-GENE-050417-37</v>
      </c>
      <c r="E9210" t="s">
        <v>27596</v>
      </c>
    </row>
    <row r="9211" spans="1:5" x14ac:dyDescent="0.2">
      <c r="A9211" t="s">
        <v>27597</v>
      </c>
      <c r="B9211" t="s">
        <v>27598</v>
      </c>
      <c r="C9211" t="s">
        <v>27598</v>
      </c>
      <c r="D9211" t="str">
        <f>HYPERLINK("https://zfin.org/ZDB-GENE-040426-1302")</f>
        <v>https://zfin.org/ZDB-GENE-040426-1302</v>
      </c>
      <c r="E9211" t="s">
        <v>27599</v>
      </c>
    </row>
    <row r="9212" spans="1:5" x14ac:dyDescent="0.2">
      <c r="A9212" t="s">
        <v>27600</v>
      </c>
      <c r="B9212" t="s">
        <v>640</v>
      </c>
      <c r="C9212" t="s">
        <v>27601</v>
      </c>
      <c r="D9212" t="str">
        <f>HYPERLINK("https://zfin.org/ZDB-GENE-131125-12")</f>
        <v>https://zfin.org/ZDB-GENE-131125-12</v>
      </c>
      <c r="E9212" t="s">
        <v>27602</v>
      </c>
    </row>
    <row r="9213" spans="1:5" x14ac:dyDescent="0.2">
      <c r="A9213" t="s">
        <v>27603</v>
      </c>
      <c r="B9213" t="s">
        <v>27604</v>
      </c>
      <c r="C9213" t="s">
        <v>27604</v>
      </c>
      <c r="D9213" t="str">
        <f>HYPERLINK("https://zfin.org/ZDB-GENE-070424-15")</f>
        <v>https://zfin.org/ZDB-GENE-070424-15</v>
      </c>
      <c r="E9213" t="s">
        <v>27605</v>
      </c>
    </row>
    <row r="9214" spans="1:5" x14ac:dyDescent="0.2">
      <c r="A9214" t="s">
        <v>27606</v>
      </c>
      <c r="B9214" t="s">
        <v>27607</v>
      </c>
      <c r="C9214" t="s">
        <v>27607</v>
      </c>
      <c r="D9214" t="str">
        <f>HYPERLINK("https://zfin.org/ZDB-GENE-060322-3")</f>
        <v>https://zfin.org/ZDB-GENE-060322-3</v>
      </c>
      <c r="E9214" t="s">
        <v>27608</v>
      </c>
    </row>
    <row r="9215" spans="1:5" x14ac:dyDescent="0.2">
      <c r="A9215" t="s">
        <v>27609</v>
      </c>
      <c r="B9215" t="s">
        <v>27610</v>
      </c>
      <c r="C9215" t="s">
        <v>27610</v>
      </c>
      <c r="D9215" t="str">
        <f>HYPERLINK("https://zfin.org/ZDB-GENE-070103-2")</f>
        <v>https://zfin.org/ZDB-GENE-070103-2</v>
      </c>
      <c r="E9215" t="s">
        <v>27611</v>
      </c>
    </row>
    <row r="9216" spans="1:5" x14ac:dyDescent="0.2">
      <c r="A9216" t="s">
        <v>27612</v>
      </c>
      <c r="B9216" t="s">
        <v>27613</v>
      </c>
      <c r="C9216" t="s">
        <v>27613</v>
      </c>
      <c r="D9216" t="str">
        <f>HYPERLINK("https://zfin.org/ZDB-GENE-141216-300")</f>
        <v>https://zfin.org/ZDB-GENE-141216-300</v>
      </c>
      <c r="E9216" t="s">
        <v>27614</v>
      </c>
    </row>
    <row r="9217" spans="1:5" x14ac:dyDescent="0.2">
      <c r="A9217" t="s">
        <v>27615</v>
      </c>
      <c r="B9217" t="s">
        <v>27616</v>
      </c>
      <c r="C9217" t="s">
        <v>27616</v>
      </c>
      <c r="D9217" t="str">
        <f>HYPERLINK("https://zfin.org/ZDB-GENE-131125-19")</f>
        <v>https://zfin.org/ZDB-GENE-131125-19</v>
      </c>
      <c r="E9217" t="s">
        <v>27617</v>
      </c>
    </row>
    <row r="9218" spans="1:5" x14ac:dyDescent="0.2">
      <c r="A9218" t="s">
        <v>27618</v>
      </c>
      <c r="B9218" t="s">
        <v>27619</v>
      </c>
      <c r="C9218" t="s">
        <v>27619</v>
      </c>
      <c r="D9218" t="str">
        <f>HYPERLINK("https://zfin.org/ZDB-GENE-131127-337")</f>
        <v>https://zfin.org/ZDB-GENE-131127-337</v>
      </c>
      <c r="E9218" t="s">
        <v>27620</v>
      </c>
    </row>
    <row r="9219" spans="1:5" x14ac:dyDescent="0.2">
      <c r="A9219" t="s">
        <v>27621</v>
      </c>
      <c r="B9219" t="s">
        <v>27622</v>
      </c>
      <c r="C9219" t="s">
        <v>27622</v>
      </c>
      <c r="D9219" t="str">
        <f>HYPERLINK("https://zfin.org/ZDB-GENE-030131-5278")</f>
        <v>https://zfin.org/ZDB-GENE-030131-5278</v>
      </c>
      <c r="E9219" t="s">
        <v>27623</v>
      </c>
    </row>
    <row r="9220" spans="1:5" x14ac:dyDescent="0.2">
      <c r="A9220" t="s">
        <v>27624</v>
      </c>
      <c r="B9220" t="s">
        <v>27625</v>
      </c>
      <c r="C9220" t="s">
        <v>27625</v>
      </c>
      <c r="D9220" t="str">
        <f>HYPERLINK("https://zfin.org/ZDB-GENE-030131-5861")</f>
        <v>https://zfin.org/ZDB-GENE-030131-5861</v>
      </c>
      <c r="E9220" t="s">
        <v>27626</v>
      </c>
    </row>
    <row r="9221" spans="1:5" x14ac:dyDescent="0.2">
      <c r="A9221" t="s">
        <v>27627</v>
      </c>
      <c r="B9221" t="s">
        <v>27628</v>
      </c>
      <c r="C9221" t="s">
        <v>27628</v>
      </c>
      <c r="D9221" t="str">
        <f>HYPERLINK("https://zfin.org/ZDB-GENE-040426-1792")</f>
        <v>https://zfin.org/ZDB-GENE-040426-1792</v>
      </c>
      <c r="E9221" t="s">
        <v>27629</v>
      </c>
    </row>
    <row r="9222" spans="1:5" x14ac:dyDescent="0.2">
      <c r="A9222" t="s">
        <v>27630</v>
      </c>
      <c r="B9222" t="s">
        <v>27631</v>
      </c>
      <c r="C9222" t="s">
        <v>27631</v>
      </c>
      <c r="D9222" t="str">
        <f>HYPERLINK("https://zfin.org/ZDB-GENE-050522-535")</f>
        <v>https://zfin.org/ZDB-GENE-050522-535</v>
      </c>
      <c r="E9222" t="s">
        <v>27632</v>
      </c>
    </row>
    <row r="9223" spans="1:5" x14ac:dyDescent="0.2">
      <c r="A9223" t="s">
        <v>27633</v>
      </c>
      <c r="B9223" t="s">
        <v>27634</v>
      </c>
      <c r="C9223" t="s">
        <v>27634</v>
      </c>
      <c r="D9223" t="str">
        <f>HYPERLINK("https://zfin.org/ZDB-GENE-040718-343")</f>
        <v>https://zfin.org/ZDB-GENE-040718-343</v>
      </c>
      <c r="E9223" t="s">
        <v>27635</v>
      </c>
    </row>
    <row r="9224" spans="1:5" x14ac:dyDescent="0.2">
      <c r="A9224" t="s">
        <v>27636</v>
      </c>
      <c r="B9224" t="s">
        <v>27637</v>
      </c>
      <c r="C9224" t="s">
        <v>27637</v>
      </c>
      <c r="D9224" t="str">
        <f>HYPERLINK("https://zfin.org/ZDB-GENE-050309-24")</f>
        <v>https://zfin.org/ZDB-GENE-050309-24</v>
      </c>
      <c r="E9224" t="s">
        <v>27638</v>
      </c>
    </row>
    <row r="9225" spans="1:5" x14ac:dyDescent="0.2">
      <c r="A9225" t="s">
        <v>27639</v>
      </c>
      <c r="B9225" t="s">
        <v>27640</v>
      </c>
      <c r="C9225" t="s">
        <v>27640</v>
      </c>
      <c r="D9225" t="str">
        <f>HYPERLINK("https://zfin.org/ZDB-GENE-040625-55")</f>
        <v>https://zfin.org/ZDB-GENE-040625-55</v>
      </c>
      <c r="E9225" t="s">
        <v>27641</v>
      </c>
    </row>
    <row r="9226" spans="1:5" x14ac:dyDescent="0.2">
      <c r="A9226" t="s">
        <v>27642</v>
      </c>
      <c r="B9226" t="s">
        <v>27643</v>
      </c>
      <c r="C9226" t="s">
        <v>27643</v>
      </c>
      <c r="D9226" t="str">
        <f>HYPERLINK("https://zfin.org/ZDB-GENE-060810-6")</f>
        <v>https://zfin.org/ZDB-GENE-060810-6</v>
      </c>
      <c r="E9226" t="s">
        <v>27644</v>
      </c>
    </row>
    <row r="9227" spans="1:5" x14ac:dyDescent="0.2">
      <c r="A9227" t="s">
        <v>27645</v>
      </c>
      <c r="B9227" t="s">
        <v>27646</v>
      </c>
      <c r="C9227" t="s">
        <v>27646</v>
      </c>
      <c r="D9227" t="str">
        <f>HYPERLINK("https://zfin.org/ZDB-GENE-040718-155")</f>
        <v>https://zfin.org/ZDB-GENE-040718-155</v>
      </c>
      <c r="E9227" t="s">
        <v>27647</v>
      </c>
    </row>
    <row r="9228" spans="1:5" x14ac:dyDescent="0.2">
      <c r="A9228" t="s">
        <v>27648</v>
      </c>
      <c r="B9228" t="s">
        <v>27649</v>
      </c>
      <c r="C9228" t="s">
        <v>27649</v>
      </c>
      <c r="D9228" t="str">
        <f>HYPERLINK("https://zfin.org/ZDB-GENE-990415-9")</f>
        <v>https://zfin.org/ZDB-GENE-990415-9</v>
      </c>
      <c r="E9228" t="s">
        <v>27650</v>
      </c>
    </row>
    <row r="9229" spans="1:5" x14ac:dyDescent="0.2">
      <c r="A9229" t="s">
        <v>27651</v>
      </c>
      <c r="B9229" t="s">
        <v>27652</v>
      </c>
      <c r="C9229" t="s">
        <v>27652</v>
      </c>
      <c r="D9229" t="str">
        <f>HYPERLINK("https://zfin.org/ZDB-GENE-131127-126")</f>
        <v>https://zfin.org/ZDB-GENE-131127-126</v>
      </c>
      <c r="E9229" t="s">
        <v>27653</v>
      </c>
    </row>
    <row r="9230" spans="1:5" x14ac:dyDescent="0.2">
      <c r="A9230" t="s">
        <v>27654</v>
      </c>
      <c r="B9230" t="s">
        <v>27655</v>
      </c>
      <c r="C9230" t="s">
        <v>27655</v>
      </c>
      <c r="D9230" t="str">
        <f>HYPERLINK("https://zfin.org/ZDB-GENE-060810-28")</f>
        <v>https://zfin.org/ZDB-GENE-060810-28</v>
      </c>
      <c r="E9230" t="s">
        <v>27656</v>
      </c>
    </row>
    <row r="9231" spans="1:5" x14ac:dyDescent="0.2">
      <c r="A9231" t="s">
        <v>27657</v>
      </c>
      <c r="B9231" t="s">
        <v>27658</v>
      </c>
      <c r="C9231" t="s">
        <v>27658</v>
      </c>
      <c r="D9231" t="str">
        <f>HYPERLINK("https://zfin.org/ZDB-GENE-040718-4")</f>
        <v>https://zfin.org/ZDB-GENE-040718-4</v>
      </c>
      <c r="E9231" t="s">
        <v>27659</v>
      </c>
    </row>
    <row r="9232" spans="1:5" x14ac:dyDescent="0.2">
      <c r="A9232" t="s">
        <v>27660</v>
      </c>
      <c r="B9232" t="s">
        <v>27661</v>
      </c>
      <c r="C9232" t="s">
        <v>27661</v>
      </c>
      <c r="D9232" t="str">
        <f>HYPERLINK("https://zfin.org/ZDB-GENE-030131-6564")</f>
        <v>https://zfin.org/ZDB-GENE-030131-6564</v>
      </c>
      <c r="E9232" t="s">
        <v>27662</v>
      </c>
    </row>
    <row r="9233" spans="1:5" x14ac:dyDescent="0.2">
      <c r="A9233" t="s">
        <v>27663</v>
      </c>
      <c r="B9233" t="s">
        <v>27664</v>
      </c>
      <c r="C9233" t="s">
        <v>27664</v>
      </c>
      <c r="D9233" t="str">
        <f>HYPERLINK("https://zfin.org/ZDB-GENE-040415-3")</f>
        <v>https://zfin.org/ZDB-GENE-040415-3</v>
      </c>
      <c r="E9233" t="s">
        <v>27665</v>
      </c>
    </row>
    <row r="9234" spans="1:5" x14ac:dyDescent="0.2">
      <c r="A9234" t="s">
        <v>27666</v>
      </c>
      <c r="B9234" t="s">
        <v>27667</v>
      </c>
      <c r="C9234" t="s">
        <v>27667</v>
      </c>
      <c r="D9234" t="str">
        <f>HYPERLINK("https://zfin.org/ZDB-GENE-030131-5803")</f>
        <v>https://zfin.org/ZDB-GENE-030131-5803</v>
      </c>
      <c r="E9234" t="s">
        <v>27668</v>
      </c>
    </row>
    <row r="9235" spans="1:5" x14ac:dyDescent="0.2">
      <c r="A9235" t="s">
        <v>27669</v>
      </c>
      <c r="B9235" t="s">
        <v>27670</v>
      </c>
      <c r="C9235" t="s">
        <v>27670</v>
      </c>
      <c r="D9235" t="str">
        <f>HYPERLINK("https://zfin.org/ZDB-GENE-031112-6")</f>
        <v>https://zfin.org/ZDB-GENE-031112-6</v>
      </c>
      <c r="E9235" t="s">
        <v>27671</v>
      </c>
    </row>
    <row r="9236" spans="1:5" x14ac:dyDescent="0.2">
      <c r="A9236" t="s">
        <v>27672</v>
      </c>
      <c r="B9236" t="s">
        <v>27673</v>
      </c>
      <c r="C9236" t="s">
        <v>27673</v>
      </c>
      <c r="D9236" t="str">
        <f>HYPERLINK("https://zfin.org/ZDB-GENE-030131-330")</f>
        <v>https://zfin.org/ZDB-GENE-030131-330</v>
      </c>
      <c r="E9236" t="s">
        <v>27674</v>
      </c>
    </row>
    <row r="9237" spans="1:5" x14ac:dyDescent="0.2">
      <c r="A9237" t="s">
        <v>27675</v>
      </c>
      <c r="B9237" t="s">
        <v>27676</v>
      </c>
      <c r="C9237" t="s">
        <v>27676</v>
      </c>
      <c r="D9237" t="str">
        <f>HYPERLINK("https://zfin.org/ZDB-GENE-070112-1882")</f>
        <v>https://zfin.org/ZDB-GENE-070112-1882</v>
      </c>
      <c r="E9237" t="s">
        <v>27677</v>
      </c>
    </row>
    <row r="9238" spans="1:5" x14ac:dyDescent="0.2">
      <c r="A9238" t="s">
        <v>27678</v>
      </c>
      <c r="B9238" t="s">
        <v>27679</v>
      </c>
      <c r="C9238" t="s">
        <v>27679</v>
      </c>
      <c r="D9238" t="str">
        <f>HYPERLINK("https://zfin.org/ZDB-GENE-091204-146")</f>
        <v>https://zfin.org/ZDB-GENE-091204-146</v>
      </c>
      <c r="E9238" t="s">
        <v>27680</v>
      </c>
    </row>
    <row r="9239" spans="1:5" x14ac:dyDescent="0.2">
      <c r="A9239" t="s">
        <v>27681</v>
      </c>
      <c r="B9239" t="s">
        <v>27682</v>
      </c>
      <c r="C9239" t="s">
        <v>27682</v>
      </c>
      <c r="D9239" t="str">
        <f>HYPERLINK("https://zfin.org/ZDB-GENE-040426-2194")</f>
        <v>https://zfin.org/ZDB-GENE-040426-2194</v>
      </c>
      <c r="E9239" t="s">
        <v>27683</v>
      </c>
    </row>
    <row r="9240" spans="1:5" x14ac:dyDescent="0.2">
      <c r="A9240" t="s">
        <v>27684</v>
      </c>
      <c r="B9240" t="s">
        <v>27685</v>
      </c>
      <c r="C9240" t="s">
        <v>27685</v>
      </c>
      <c r="D9240" t="str">
        <f>HYPERLINK("https://zfin.org/ZDB-GENE-081105-31")</f>
        <v>https://zfin.org/ZDB-GENE-081105-31</v>
      </c>
      <c r="E9240" t="s">
        <v>27686</v>
      </c>
    </row>
    <row r="9241" spans="1:5" x14ac:dyDescent="0.2">
      <c r="A9241" t="s">
        <v>27687</v>
      </c>
      <c r="B9241" t="s">
        <v>27688</v>
      </c>
      <c r="C9241" t="s">
        <v>27688</v>
      </c>
      <c r="D9241" t="str">
        <f>HYPERLINK("https://zfin.org/ZDB-GENE-040724-127")</f>
        <v>https://zfin.org/ZDB-GENE-040724-127</v>
      </c>
      <c r="E9241" t="s">
        <v>27689</v>
      </c>
    </row>
    <row r="9242" spans="1:5" x14ac:dyDescent="0.2">
      <c r="A9242" t="s">
        <v>27690</v>
      </c>
      <c r="B9242" t="s">
        <v>27691</v>
      </c>
      <c r="C9242" t="s">
        <v>27691</v>
      </c>
      <c r="D9242" t="str">
        <f>HYPERLINK("https://zfin.org/ZDB-GENE-040426-1799")</f>
        <v>https://zfin.org/ZDB-GENE-040426-1799</v>
      </c>
      <c r="E9242" t="s">
        <v>27692</v>
      </c>
    </row>
    <row r="9243" spans="1:5" x14ac:dyDescent="0.2">
      <c r="A9243" t="s">
        <v>27693</v>
      </c>
      <c r="B9243" t="s">
        <v>27694</v>
      </c>
      <c r="C9243" t="s">
        <v>27694</v>
      </c>
      <c r="D9243" t="str">
        <f>HYPERLINK("https://zfin.org/ZDB-GENE-030131-6410")</f>
        <v>https://zfin.org/ZDB-GENE-030131-6410</v>
      </c>
      <c r="E9243" t="s">
        <v>27695</v>
      </c>
    </row>
    <row r="9244" spans="1:5" x14ac:dyDescent="0.2">
      <c r="A9244" t="s">
        <v>27696</v>
      </c>
      <c r="B9244" t="s">
        <v>27697</v>
      </c>
      <c r="C9244" t="s">
        <v>27697</v>
      </c>
      <c r="D9244" t="str">
        <f>HYPERLINK("https://zfin.org/ZDB-GENE-030131-8264")</f>
        <v>https://zfin.org/ZDB-GENE-030131-8264</v>
      </c>
      <c r="E9244" t="s">
        <v>27698</v>
      </c>
    </row>
    <row r="9245" spans="1:5" x14ac:dyDescent="0.2">
      <c r="A9245" t="s">
        <v>27699</v>
      </c>
      <c r="B9245" t="s">
        <v>27700</v>
      </c>
      <c r="C9245" t="s">
        <v>27700</v>
      </c>
      <c r="D9245" t="str">
        <f>HYPERLINK("https://zfin.org/ZDB-GENE-980526-559")</f>
        <v>https://zfin.org/ZDB-GENE-980526-559</v>
      </c>
      <c r="E9245" t="s">
        <v>27701</v>
      </c>
    </row>
    <row r="9246" spans="1:5" x14ac:dyDescent="0.2">
      <c r="A9246" t="s">
        <v>27702</v>
      </c>
      <c r="B9246" t="s">
        <v>27703</v>
      </c>
      <c r="C9246" t="s">
        <v>27703</v>
      </c>
      <c r="D9246" t="str">
        <f>HYPERLINK("https://zfin.org/ZDB-GENE-070615-16")</f>
        <v>https://zfin.org/ZDB-GENE-070615-16</v>
      </c>
      <c r="E9246" t="s">
        <v>27704</v>
      </c>
    </row>
    <row r="9247" spans="1:5" x14ac:dyDescent="0.2">
      <c r="A9247" t="s">
        <v>27705</v>
      </c>
      <c r="B9247" t="s">
        <v>27706</v>
      </c>
      <c r="C9247" t="s">
        <v>27706</v>
      </c>
      <c r="D9247" t="str">
        <f>HYPERLINK("https://zfin.org/ZDB-GENE-040426-2324")</f>
        <v>https://zfin.org/ZDB-GENE-040426-2324</v>
      </c>
      <c r="E9247" t="s">
        <v>27707</v>
      </c>
    </row>
    <row r="9248" spans="1:5" x14ac:dyDescent="0.2">
      <c r="A9248" t="s">
        <v>27708</v>
      </c>
      <c r="B9248" t="s">
        <v>27709</v>
      </c>
      <c r="C9248" t="s">
        <v>27709</v>
      </c>
      <c r="D9248" t="str">
        <f>HYPERLINK("https://zfin.org/ZDB-GENE-081014-1")</f>
        <v>https://zfin.org/ZDB-GENE-081014-1</v>
      </c>
      <c r="E9248" t="s">
        <v>27710</v>
      </c>
    </row>
    <row r="9249" spans="1:5" x14ac:dyDescent="0.2">
      <c r="A9249" t="s">
        <v>27711</v>
      </c>
      <c r="B9249" t="s">
        <v>27712</v>
      </c>
      <c r="C9249" t="s">
        <v>27712</v>
      </c>
      <c r="D9249" t="str">
        <f>HYPERLINK("https://zfin.org/ZDB-GENE-040724-54")</f>
        <v>https://zfin.org/ZDB-GENE-040724-54</v>
      </c>
      <c r="E9249" t="s">
        <v>27713</v>
      </c>
    </row>
    <row r="9250" spans="1:5" x14ac:dyDescent="0.2">
      <c r="A9250" t="s">
        <v>27714</v>
      </c>
      <c r="B9250" t="s">
        <v>27715</v>
      </c>
      <c r="C9250" t="s">
        <v>27715</v>
      </c>
      <c r="D9250" t="str">
        <f>HYPERLINK("https://zfin.org/ZDB-GENE-040822-32")</f>
        <v>https://zfin.org/ZDB-GENE-040822-32</v>
      </c>
      <c r="E9250" t="s">
        <v>27716</v>
      </c>
    </row>
    <row r="9251" spans="1:5" x14ac:dyDescent="0.2">
      <c r="A9251" t="s">
        <v>27717</v>
      </c>
      <c r="B9251" t="s">
        <v>27718</v>
      </c>
      <c r="C9251" t="s">
        <v>27718</v>
      </c>
      <c r="D9251" t="str">
        <f>HYPERLINK("https://zfin.org/ZDB-GENE-050419-50")</f>
        <v>https://zfin.org/ZDB-GENE-050419-50</v>
      </c>
      <c r="E9251" t="s">
        <v>27719</v>
      </c>
    </row>
    <row r="9252" spans="1:5" x14ac:dyDescent="0.2">
      <c r="A9252" t="s">
        <v>27720</v>
      </c>
      <c r="B9252" t="s">
        <v>27721</v>
      </c>
      <c r="C9252" t="s">
        <v>27721</v>
      </c>
      <c r="D9252" t="str">
        <f>HYPERLINK("https://zfin.org/ZDB-GENE-030131-5110")</f>
        <v>https://zfin.org/ZDB-GENE-030131-5110</v>
      </c>
      <c r="E9252" t="s">
        <v>27722</v>
      </c>
    </row>
    <row r="9253" spans="1:5" x14ac:dyDescent="0.2">
      <c r="A9253" t="s">
        <v>27723</v>
      </c>
      <c r="B9253" t="s">
        <v>27724</v>
      </c>
      <c r="C9253" t="s">
        <v>27724</v>
      </c>
      <c r="D9253" t="str">
        <f>HYPERLINK("https://zfin.org/ZDB-GENE-040426-2897")</f>
        <v>https://zfin.org/ZDB-GENE-040426-2897</v>
      </c>
      <c r="E9253" t="s">
        <v>27725</v>
      </c>
    </row>
    <row r="9254" spans="1:5" x14ac:dyDescent="0.2">
      <c r="A9254" t="s">
        <v>27726</v>
      </c>
      <c r="B9254" t="s">
        <v>27727</v>
      </c>
      <c r="C9254" t="s">
        <v>27727</v>
      </c>
      <c r="D9254" t="str">
        <f>HYPERLINK("https://zfin.org/ZDB-GENE-050522-516")</f>
        <v>https://zfin.org/ZDB-GENE-050522-516</v>
      </c>
      <c r="E9254" t="s">
        <v>27728</v>
      </c>
    </row>
    <row r="9255" spans="1:5" x14ac:dyDescent="0.2">
      <c r="A9255" t="s">
        <v>27729</v>
      </c>
      <c r="B9255" t="s">
        <v>27730</v>
      </c>
      <c r="C9255" t="s">
        <v>27730</v>
      </c>
      <c r="D9255" t="str">
        <f>HYPERLINK("https://zfin.org/ZDB-GENE-040426-2935")</f>
        <v>https://zfin.org/ZDB-GENE-040426-2935</v>
      </c>
      <c r="E9255" t="s">
        <v>27731</v>
      </c>
    </row>
    <row r="9256" spans="1:5" x14ac:dyDescent="0.2">
      <c r="A9256" t="s">
        <v>27732</v>
      </c>
      <c r="B9256" t="s">
        <v>27733</v>
      </c>
      <c r="C9256" t="s">
        <v>27733</v>
      </c>
      <c r="D9256" t="str">
        <f>HYPERLINK("https://zfin.org/ZDB-GENE-131121-584")</f>
        <v>https://zfin.org/ZDB-GENE-131121-584</v>
      </c>
      <c r="E9256" t="s">
        <v>27734</v>
      </c>
    </row>
    <row r="9257" spans="1:5" x14ac:dyDescent="0.2">
      <c r="A9257" t="s">
        <v>27735</v>
      </c>
      <c r="B9257" t="s">
        <v>27736</v>
      </c>
      <c r="C9257" t="s">
        <v>27736</v>
      </c>
      <c r="D9257" t="str">
        <f>HYPERLINK("https://zfin.org/ZDB-GENE-040426-2154")</f>
        <v>https://zfin.org/ZDB-GENE-040426-2154</v>
      </c>
      <c r="E9257" t="s">
        <v>27737</v>
      </c>
    </row>
    <row r="9258" spans="1:5" x14ac:dyDescent="0.2">
      <c r="A9258" t="s">
        <v>27738</v>
      </c>
      <c r="B9258" t="s">
        <v>27739</v>
      </c>
      <c r="C9258" t="s">
        <v>27739</v>
      </c>
      <c r="D9258" t="str">
        <f>HYPERLINK("https://zfin.org/ZDB-GENE-041010-55")</f>
        <v>https://zfin.org/ZDB-GENE-041010-55</v>
      </c>
      <c r="E9258" t="s">
        <v>27740</v>
      </c>
    </row>
    <row r="9259" spans="1:5" x14ac:dyDescent="0.2">
      <c r="A9259" t="s">
        <v>27741</v>
      </c>
      <c r="B9259" t="s">
        <v>27742</v>
      </c>
      <c r="C9259" t="s">
        <v>27742</v>
      </c>
      <c r="D9259" t="str">
        <f>HYPERLINK("https://zfin.org/ZDB-GENE-040426-1634")</f>
        <v>https://zfin.org/ZDB-GENE-040426-1634</v>
      </c>
      <c r="E9259" t="s">
        <v>27743</v>
      </c>
    </row>
    <row r="9260" spans="1:5" x14ac:dyDescent="0.2">
      <c r="A9260" t="s">
        <v>27744</v>
      </c>
      <c r="B9260" t="s">
        <v>27745</v>
      </c>
      <c r="C9260" t="s">
        <v>27745</v>
      </c>
      <c r="D9260" t="str">
        <f>HYPERLINK("https://zfin.org/ZDB-GENE-060810-18")</f>
        <v>https://zfin.org/ZDB-GENE-060810-18</v>
      </c>
      <c r="E9260" t="s">
        <v>27746</v>
      </c>
    </row>
    <row r="9261" spans="1:5" x14ac:dyDescent="0.2">
      <c r="A9261" t="s">
        <v>27747</v>
      </c>
      <c r="B9261" t="s">
        <v>27748</v>
      </c>
      <c r="C9261" t="s">
        <v>27748</v>
      </c>
      <c r="D9261" t="str">
        <f>HYPERLINK("https://zfin.org/ZDB-GENE-091118-88")</f>
        <v>https://zfin.org/ZDB-GENE-091118-88</v>
      </c>
      <c r="E9261" t="s">
        <v>27749</v>
      </c>
    </row>
    <row r="9262" spans="1:5" x14ac:dyDescent="0.2">
      <c r="A9262" t="s">
        <v>27750</v>
      </c>
      <c r="B9262" t="s">
        <v>27751</v>
      </c>
      <c r="C9262" t="s">
        <v>27751</v>
      </c>
      <c r="D9262" t="str">
        <f>HYPERLINK("https://zfin.org/ZDB-GENE-000329-4")</f>
        <v>https://zfin.org/ZDB-GENE-000329-4</v>
      </c>
      <c r="E9262" t="s">
        <v>27752</v>
      </c>
    </row>
    <row r="9263" spans="1:5" x14ac:dyDescent="0.2">
      <c r="A9263" t="s">
        <v>27753</v>
      </c>
      <c r="B9263" t="s">
        <v>27754</v>
      </c>
      <c r="C9263" t="s">
        <v>27754</v>
      </c>
      <c r="D9263" t="str">
        <f>HYPERLINK("https://zfin.org/ZDB-GENE-060503-675")</f>
        <v>https://zfin.org/ZDB-GENE-060503-675</v>
      </c>
      <c r="E9263" t="s">
        <v>27755</v>
      </c>
    </row>
    <row r="9264" spans="1:5" x14ac:dyDescent="0.2">
      <c r="A9264" t="s">
        <v>27756</v>
      </c>
      <c r="B9264" t="s">
        <v>27757</v>
      </c>
      <c r="C9264" t="s">
        <v>27757</v>
      </c>
      <c r="D9264" t="str">
        <f>HYPERLINK("https://zfin.org/ZDB-GENE-031030-14")</f>
        <v>https://zfin.org/ZDB-GENE-031030-14</v>
      </c>
      <c r="E9264" t="s">
        <v>27758</v>
      </c>
    </row>
    <row r="9265" spans="1:5" x14ac:dyDescent="0.2">
      <c r="A9265" t="s">
        <v>27759</v>
      </c>
      <c r="B9265" t="s">
        <v>27760</v>
      </c>
      <c r="C9265" t="s">
        <v>27760</v>
      </c>
      <c r="D9265" t="str">
        <f>HYPERLINK("https://zfin.org/ZDB-GENE-030131-5503")</f>
        <v>https://zfin.org/ZDB-GENE-030131-5503</v>
      </c>
      <c r="E9265" t="s">
        <v>27761</v>
      </c>
    </row>
    <row r="9266" spans="1:5" x14ac:dyDescent="0.2">
      <c r="A9266" t="s">
        <v>27762</v>
      </c>
      <c r="B9266" t="s">
        <v>27763</v>
      </c>
      <c r="C9266" t="s">
        <v>27763</v>
      </c>
      <c r="D9266" t="str">
        <f>HYPERLINK("https://zfin.org/ZDB-GENE-110411-111")</f>
        <v>https://zfin.org/ZDB-GENE-110411-111</v>
      </c>
      <c r="E9266" t="s">
        <v>27764</v>
      </c>
    </row>
    <row r="9267" spans="1:5" x14ac:dyDescent="0.2">
      <c r="A9267" t="s">
        <v>27765</v>
      </c>
      <c r="B9267" t="s">
        <v>27766</v>
      </c>
      <c r="C9267" t="s">
        <v>27766</v>
      </c>
      <c r="D9267" t="str">
        <f>HYPERLINK("https://zfin.org/ZDB-GENE-060421-4337")</f>
        <v>https://zfin.org/ZDB-GENE-060421-4337</v>
      </c>
      <c r="E9267" t="s">
        <v>27767</v>
      </c>
    </row>
    <row r="9268" spans="1:5" x14ac:dyDescent="0.2">
      <c r="A9268" t="s">
        <v>27768</v>
      </c>
      <c r="B9268" t="s">
        <v>27769</v>
      </c>
      <c r="C9268" t="s">
        <v>27769</v>
      </c>
      <c r="D9268" t="str">
        <f>HYPERLINK("https://zfin.org/ZDB-GENE-030131-2932")</f>
        <v>https://zfin.org/ZDB-GENE-030131-2932</v>
      </c>
      <c r="E9268" t="s">
        <v>27770</v>
      </c>
    </row>
    <row r="9269" spans="1:5" x14ac:dyDescent="0.2">
      <c r="A9269" t="s">
        <v>27771</v>
      </c>
      <c r="B9269" t="s">
        <v>27772</v>
      </c>
      <c r="C9269" t="s">
        <v>27772</v>
      </c>
      <c r="D9269" t="str">
        <f>HYPERLINK("https://zfin.org/ZDB-GENE-040801-38")</f>
        <v>https://zfin.org/ZDB-GENE-040801-38</v>
      </c>
      <c r="E9269" t="s">
        <v>27773</v>
      </c>
    </row>
    <row r="9270" spans="1:5" x14ac:dyDescent="0.2">
      <c r="A9270" t="s">
        <v>27774</v>
      </c>
      <c r="B9270" t="s">
        <v>27775</v>
      </c>
      <c r="C9270" t="s">
        <v>27775</v>
      </c>
      <c r="D9270" t="str">
        <f>HYPERLINK("https://zfin.org/ZDB-GENE-041010-183")</f>
        <v>https://zfin.org/ZDB-GENE-041010-183</v>
      </c>
      <c r="E9270" t="s">
        <v>27776</v>
      </c>
    </row>
    <row r="9271" spans="1:5" x14ac:dyDescent="0.2">
      <c r="A9271" t="s">
        <v>27777</v>
      </c>
      <c r="B9271" t="s">
        <v>27778</v>
      </c>
      <c r="C9271" t="s">
        <v>27778</v>
      </c>
      <c r="D9271" t="str">
        <f>HYPERLINK("https://zfin.org/ZDB-GENE-070615-7")</f>
        <v>https://zfin.org/ZDB-GENE-070615-7</v>
      </c>
      <c r="E9271" t="s">
        <v>27779</v>
      </c>
    </row>
    <row r="9272" spans="1:5" x14ac:dyDescent="0.2">
      <c r="A9272" t="s">
        <v>27780</v>
      </c>
      <c r="B9272" t="s">
        <v>27781</v>
      </c>
      <c r="C9272" t="s">
        <v>27781</v>
      </c>
      <c r="D9272" t="str">
        <f>HYPERLINK("https://zfin.org/ZDB-GENE-061201-42")</f>
        <v>https://zfin.org/ZDB-GENE-061201-42</v>
      </c>
      <c r="E9272" t="s">
        <v>27782</v>
      </c>
    </row>
    <row r="9273" spans="1:5" x14ac:dyDescent="0.2">
      <c r="A9273" t="s">
        <v>27783</v>
      </c>
      <c r="B9273" t="s">
        <v>27784</v>
      </c>
      <c r="C9273" t="s">
        <v>27784</v>
      </c>
      <c r="D9273" t="str">
        <f>HYPERLINK("https://zfin.org/ZDB-GENE-080227-15")</f>
        <v>https://zfin.org/ZDB-GENE-080227-15</v>
      </c>
      <c r="E9273" t="s">
        <v>27785</v>
      </c>
    </row>
    <row r="9274" spans="1:5" x14ac:dyDescent="0.2">
      <c r="A9274" t="s">
        <v>27786</v>
      </c>
      <c r="B9274" t="s">
        <v>27787</v>
      </c>
      <c r="C9274" t="s">
        <v>27787</v>
      </c>
      <c r="D9274" t="str">
        <f>HYPERLINK("https://zfin.org/ZDB-GENE-041014-357")</f>
        <v>https://zfin.org/ZDB-GENE-041014-357</v>
      </c>
      <c r="E9274" t="s">
        <v>27788</v>
      </c>
    </row>
    <row r="9275" spans="1:5" x14ac:dyDescent="0.2">
      <c r="A9275" t="s">
        <v>27789</v>
      </c>
      <c r="B9275" t="s">
        <v>27790</v>
      </c>
      <c r="C9275" t="s">
        <v>27790</v>
      </c>
      <c r="D9275" t="str">
        <f>HYPERLINK("https://zfin.org/ZDB-GENE-030131-2524")</f>
        <v>https://zfin.org/ZDB-GENE-030131-2524</v>
      </c>
      <c r="E9275" t="s">
        <v>27791</v>
      </c>
    </row>
    <row r="9276" spans="1:5" x14ac:dyDescent="0.2">
      <c r="A9276" t="s">
        <v>27792</v>
      </c>
      <c r="B9276" t="s">
        <v>27793</v>
      </c>
      <c r="C9276" t="s">
        <v>27793</v>
      </c>
      <c r="D9276" t="str">
        <f>HYPERLINK("https://zfin.org/ZDB-GENE-050522-52")</f>
        <v>https://zfin.org/ZDB-GENE-050522-52</v>
      </c>
      <c r="E9276" t="s">
        <v>27794</v>
      </c>
    </row>
    <row r="9277" spans="1:5" x14ac:dyDescent="0.2">
      <c r="A9277" t="s">
        <v>27795</v>
      </c>
      <c r="B9277" t="s">
        <v>27796</v>
      </c>
      <c r="C9277" t="s">
        <v>27796</v>
      </c>
      <c r="D9277" t="str">
        <f>HYPERLINK("https://zfin.org/ZDB-GENE-060810-18")</f>
        <v>https://zfin.org/ZDB-GENE-060810-18</v>
      </c>
      <c r="E9277" t="s">
        <v>27797</v>
      </c>
    </row>
    <row r="9278" spans="1:5" x14ac:dyDescent="0.2">
      <c r="A9278" t="s">
        <v>27798</v>
      </c>
      <c r="B9278" t="s">
        <v>27799</v>
      </c>
      <c r="C9278" t="s">
        <v>27799</v>
      </c>
      <c r="D9278" t="str">
        <f>HYPERLINK("https://zfin.org/ZDB-GENE-040426-2373")</f>
        <v>https://zfin.org/ZDB-GENE-040426-2373</v>
      </c>
      <c r="E9278" t="s">
        <v>27800</v>
      </c>
    </row>
    <row r="9279" spans="1:5" x14ac:dyDescent="0.2">
      <c r="A9279" t="s">
        <v>27801</v>
      </c>
      <c r="B9279" t="s">
        <v>27802</v>
      </c>
      <c r="C9279" t="s">
        <v>27802</v>
      </c>
      <c r="D9279" t="str">
        <f>HYPERLINK("https://zfin.org/ZDB-GENE-050823-7")</f>
        <v>https://zfin.org/ZDB-GENE-050823-7</v>
      </c>
      <c r="E9279" t="s">
        <v>27803</v>
      </c>
    </row>
    <row r="9280" spans="1:5" x14ac:dyDescent="0.2">
      <c r="A9280" t="s">
        <v>27804</v>
      </c>
      <c r="B9280" t="s">
        <v>27805</v>
      </c>
      <c r="C9280" t="s">
        <v>27805</v>
      </c>
      <c r="D9280" t="str">
        <f>HYPERLINK("https://zfin.org/ZDB-GENE-030131-8903")</f>
        <v>https://zfin.org/ZDB-GENE-030131-8903</v>
      </c>
      <c r="E9280" t="s">
        <v>27806</v>
      </c>
    </row>
    <row r="9281" spans="1:5" x14ac:dyDescent="0.2">
      <c r="A9281" t="s">
        <v>27807</v>
      </c>
      <c r="B9281" t="s">
        <v>27808</v>
      </c>
      <c r="C9281" t="s">
        <v>27808</v>
      </c>
      <c r="D9281" t="str">
        <f>HYPERLINK("https://zfin.org/ZDB-GENE-060810-103")</f>
        <v>https://zfin.org/ZDB-GENE-060810-103</v>
      </c>
      <c r="E9281" t="s">
        <v>27809</v>
      </c>
    </row>
    <row r="9282" spans="1:5" x14ac:dyDescent="0.2">
      <c r="A9282" t="s">
        <v>27810</v>
      </c>
      <c r="B9282" t="s">
        <v>27811</v>
      </c>
      <c r="C9282" t="s">
        <v>27811</v>
      </c>
      <c r="D9282" t="str">
        <f>HYPERLINK("https://zfin.org/ZDB-GENE-091118-76")</f>
        <v>https://zfin.org/ZDB-GENE-091118-76</v>
      </c>
      <c r="E9282" t="s">
        <v>27812</v>
      </c>
    </row>
    <row r="9283" spans="1:5" x14ac:dyDescent="0.2">
      <c r="A9283" t="s">
        <v>27813</v>
      </c>
      <c r="B9283" t="s">
        <v>27814</v>
      </c>
      <c r="C9283" t="s">
        <v>27814</v>
      </c>
      <c r="D9283" t="str">
        <f>HYPERLINK("https://zfin.org/ZDB-GENE-990603-1")</f>
        <v>https://zfin.org/ZDB-GENE-990603-1</v>
      </c>
      <c r="E9283" t="s">
        <v>27815</v>
      </c>
    </row>
    <row r="9284" spans="1:5" x14ac:dyDescent="0.2">
      <c r="A9284" t="s">
        <v>27816</v>
      </c>
      <c r="B9284" t="s">
        <v>27817</v>
      </c>
      <c r="C9284" t="s">
        <v>27817</v>
      </c>
      <c r="D9284" t="str">
        <f>HYPERLINK("https://zfin.org/ZDB-GENE-041014-303")</f>
        <v>https://zfin.org/ZDB-GENE-041014-303</v>
      </c>
      <c r="E9284" t="s">
        <v>27818</v>
      </c>
    </row>
    <row r="9285" spans="1:5" x14ac:dyDescent="0.2">
      <c r="A9285" t="s">
        <v>27819</v>
      </c>
      <c r="B9285" t="s">
        <v>27820</v>
      </c>
      <c r="C9285" t="s">
        <v>27820</v>
      </c>
      <c r="D9285" t="str">
        <f>HYPERLINK("https://zfin.org/ZDB-GENE-040625-72")</f>
        <v>https://zfin.org/ZDB-GENE-040625-72</v>
      </c>
      <c r="E9285" t="s">
        <v>27821</v>
      </c>
    </row>
    <row r="9286" spans="1:5" x14ac:dyDescent="0.2">
      <c r="A9286" t="s">
        <v>27822</v>
      </c>
      <c r="B9286" t="s">
        <v>27823</v>
      </c>
      <c r="C9286" t="s">
        <v>27823</v>
      </c>
      <c r="D9286" t="str">
        <f>HYPERLINK("https://zfin.org/ZDB-GENE-100825-2")</f>
        <v>https://zfin.org/ZDB-GENE-100825-2</v>
      </c>
      <c r="E9286" t="s">
        <v>27824</v>
      </c>
    </row>
    <row r="9287" spans="1:5" x14ac:dyDescent="0.2">
      <c r="A9287" t="s">
        <v>27825</v>
      </c>
      <c r="B9287" t="s">
        <v>27826</v>
      </c>
      <c r="C9287" t="s">
        <v>27826</v>
      </c>
      <c r="D9287" t="str">
        <f>HYPERLINK("https://zfin.org/ZDB-GENE-040912-42")</f>
        <v>https://zfin.org/ZDB-GENE-040912-42</v>
      </c>
      <c r="E9287" t="s">
        <v>27827</v>
      </c>
    </row>
    <row r="9288" spans="1:5" x14ac:dyDescent="0.2">
      <c r="A9288" t="s">
        <v>27828</v>
      </c>
      <c r="B9288" t="s">
        <v>27829</v>
      </c>
      <c r="C9288" t="s">
        <v>27829</v>
      </c>
      <c r="D9288" t="str">
        <f>HYPERLINK("https://zfin.org/")</f>
        <v>https://zfin.org/</v>
      </c>
    </row>
    <row r="9289" spans="1:5" x14ac:dyDescent="0.2">
      <c r="A9289" t="s">
        <v>27830</v>
      </c>
      <c r="B9289" t="s">
        <v>27831</v>
      </c>
      <c r="C9289" t="s">
        <v>27831</v>
      </c>
      <c r="D9289" t="str">
        <f>HYPERLINK("https://zfin.org/ZDB-GENE-030131-9174")</f>
        <v>https://zfin.org/ZDB-GENE-030131-9174</v>
      </c>
      <c r="E9289" t="s">
        <v>27832</v>
      </c>
    </row>
    <row r="9290" spans="1:5" x14ac:dyDescent="0.2">
      <c r="A9290" t="s">
        <v>27833</v>
      </c>
      <c r="B9290" t="s">
        <v>27834</v>
      </c>
      <c r="C9290" t="s">
        <v>27834</v>
      </c>
      <c r="D9290" t="str">
        <f>HYPERLINK("https://zfin.org/ZDB-GENE-030131-2466")</f>
        <v>https://zfin.org/ZDB-GENE-030131-2466</v>
      </c>
      <c r="E9290" t="s">
        <v>27835</v>
      </c>
    </row>
    <row r="9291" spans="1:5" x14ac:dyDescent="0.2">
      <c r="A9291" t="s">
        <v>27836</v>
      </c>
      <c r="B9291" t="s">
        <v>27837</v>
      </c>
      <c r="C9291" t="s">
        <v>27837</v>
      </c>
      <c r="D9291" t="str">
        <f>HYPERLINK("https://zfin.org/ZDB-GENE-091204-161")</f>
        <v>https://zfin.org/ZDB-GENE-091204-161</v>
      </c>
      <c r="E9291" t="s">
        <v>27838</v>
      </c>
    </row>
    <row r="9292" spans="1:5" x14ac:dyDescent="0.2">
      <c r="A9292" t="s">
        <v>27839</v>
      </c>
      <c r="B9292" t="s">
        <v>27840</v>
      </c>
      <c r="C9292" t="s">
        <v>27840</v>
      </c>
      <c r="D9292" t="str">
        <f>HYPERLINK("https://zfin.org/ZDB-GENE-991110-12")</f>
        <v>https://zfin.org/ZDB-GENE-991110-12</v>
      </c>
      <c r="E9292" t="s">
        <v>27841</v>
      </c>
    </row>
    <row r="9293" spans="1:5" x14ac:dyDescent="0.2">
      <c r="A9293" t="s">
        <v>27842</v>
      </c>
      <c r="B9293" t="s">
        <v>27843</v>
      </c>
      <c r="C9293" t="s">
        <v>27843</v>
      </c>
      <c r="D9293" t="str">
        <f>HYPERLINK("https://zfin.org/ZDB-GENE-050522-116")</f>
        <v>https://zfin.org/ZDB-GENE-050522-116</v>
      </c>
      <c r="E9293" t="s">
        <v>27844</v>
      </c>
    </row>
    <row r="9294" spans="1:5" x14ac:dyDescent="0.2">
      <c r="A9294" t="s">
        <v>27845</v>
      </c>
      <c r="B9294" t="s">
        <v>27846</v>
      </c>
      <c r="C9294" t="s">
        <v>27846</v>
      </c>
      <c r="D9294" t="str">
        <f>HYPERLINK("https://zfin.org/ZDB-GENE-030131-9433")</f>
        <v>https://zfin.org/ZDB-GENE-030131-9433</v>
      </c>
      <c r="E9294" t="s">
        <v>27847</v>
      </c>
    </row>
    <row r="9295" spans="1:5" x14ac:dyDescent="0.2">
      <c r="A9295" t="s">
        <v>27848</v>
      </c>
      <c r="B9295" t="s">
        <v>27849</v>
      </c>
      <c r="C9295" t="s">
        <v>27849</v>
      </c>
      <c r="D9295" t="str">
        <f>HYPERLINK("https://zfin.org/ZDB-GENE-111116-1")</f>
        <v>https://zfin.org/ZDB-GENE-111116-1</v>
      </c>
      <c r="E9295" t="s">
        <v>27850</v>
      </c>
    </row>
    <row r="9296" spans="1:5" x14ac:dyDescent="0.2">
      <c r="A9296" t="s">
        <v>27851</v>
      </c>
      <c r="B9296" t="s">
        <v>27852</v>
      </c>
      <c r="C9296" t="s">
        <v>27852</v>
      </c>
      <c r="D9296" t="str">
        <f>HYPERLINK("https://zfin.org/ZDB-GENE-091118-118")</f>
        <v>https://zfin.org/ZDB-GENE-091118-118</v>
      </c>
      <c r="E9296" t="s">
        <v>27853</v>
      </c>
    </row>
    <row r="9297" spans="1:5" x14ac:dyDescent="0.2">
      <c r="A9297" t="s">
        <v>27854</v>
      </c>
      <c r="B9297" t="s">
        <v>27855</v>
      </c>
      <c r="C9297" t="s">
        <v>27855</v>
      </c>
      <c r="D9297" t="str">
        <f>HYPERLINK("https://zfin.org/ZDB-GENE-050916-2")</f>
        <v>https://zfin.org/ZDB-GENE-050916-2</v>
      </c>
      <c r="E9297" t="s">
        <v>27856</v>
      </c>
    </row>
    <row r="9298" spans="1:5" x14ac:dyDescent="0.2">
      <c r="A9298" t="s">
        <v>27857</v>
      </c>
      <c r="B9298" t="s">
        <v>27858</v>
      </c>
      <c r="C9298" t="s">
        <v>27858</v>
      </c>
      <c r="D9298" t="str">
        <f>HYPERLINK("https://zfin.org/ZDB-GENE-050302-11")</f>
        <v>https://zfin.org/ZDB-GENE-050302-11</v>
      </c>
      <c r="E9298" t="s">
        <v>27859</v>
      </c>
    </row>
    <row r="9299" spans="1:5" x14ac:dyDescent="0.2">
      <c r="A9299" t="s">
        <v>27860</v>
      </c>
      <c r="B9299" t="s">
        <v>27861</v>
      </c>
      <c r="C9299" t="s">
        <v>27861</v>
      </c>
      <c r="D9299" t="str">
        <f>HYPERLINK("https://zfin.org/ZDB-GENE-010328-8")</f>
        <v>https://zfin.org/ZDB-GENE-010328-8</v>
      </c>
      <c r="E9299" t="s">
        <v>27862</v>
      </c>
    </row>
    <row r="9300" spans="1:5" x14ac:dyDescent="0.2">
      <c r="A9300" t="s">
        <v>27863</v>
      </c>
      <c r="B9300" t="s">
        <v>27864</v>
      </c>
      <c r="C9300" t="s">
        <v>27864</v>
      </c>
      <c r="D9300" t="str">
        <f>HYPERLINK("https://zfin.org/ZDB-GENE-050522-437")</f>
        <v>https://zfin.org/ZDB-GENE-050522-437</v>
      </c>
      <c r="E9300" t="s">
        <v>27865</v>
      </c>
    </row>
    <row r="9301" spans="1:5" x14ac:dyDescent="0.2">
      <c r="A9301" t="s">
        <v>27866</v>
      </c>
      <c r="B9301" t="s">
        <v>27867</v>
      </c>
      <c r="C9301" t="s">
        <v>27867</v>
      </c>
      <c r="D9301" t="str">
        <f>HYPERLINK("https://zfin.org/ZDB-GENE-051113-320")</f>
        <v>https://zfin.org/ZDB-GENE-051113-320</v>
      </c>
      <c r="E9301" t="s">
        <v>27868</v>
      </c>
    </row>
    <row r="9302" spans="1:5" x14ac:dyDescent="0.2">
      <c r="A9302" t="s">
        <v>27869</v>
      </c>
      <c r="B9302" t="s">
        <v>27870</v>
      </c>
      <c r="C9302" t="s">
        <v>27870</v>
      </c>
      <c r="D9302" t="str">
        <f>HYPERLINK("https://zfin.org/ZDB-GENE-040724-44")</f>
        <v>https://zfin.org/ZDB-GENE-040724-44</v>
      </c>
      <c r="E9302" t="s">
        <v>27871</v>
      </c>
    </row>
    <row r="9303" spans="1:5" x14ac:dyDescent="0.2">
      <c r="A9303" t="s">
        <v>27872</v>
      </c>
      <c r="B9303" t="s">
        <v>27873</v>
      </c>
      <c r="C9303" t="s">
        <v>27873</v>
      </c>
      <c r="D9303" t="str">
        <f>HYPERLINK("https://zfin.org/ZDB-GENE-040426-923")</f>
        <v>https://zfin.org/ZDB-GENE-040426-923</v>
      </c>
      <c r="E9303" t="s">
        <v>27874</v>
      </c>
    </row>
    <row r="9304" spans="1:5" x14ac:dyDescent="0.2">
      <c r="A9304" t="s">
        <v>27875</v>
      </c>
      <c r="B9304" t="s">
        <v>27876</v>
      </c>
      <c r="C9304" t="s">
        <v>27876</v>
      </c>
      <c r="D9304" t="str">
        <f>HYPERLINK("https://zfin.org/ZDB-GENE-131119-72")</f>
        <v>https://zfin.org/ZDB-GENE-131119-72</v>
      </c>
      <c r="E9304" t="s">
        <v>27877</v>
      </c>
    </row>
    <row r="9305" spans="1:5" x14ac:dyDescent="0.2">
      <c r="A9305" t="s">
        <v>27878</v>
      </c>
      <c r="B9305" t="s">
        <v>27879</v>
      </c>
      <c r="C9305" t="s">
        <v>27879</v>
      </c>
      <c r="D9305" t="str">
        <f>HYPERLINK("https://zfin.org/ZDB-GENE-060825-55")</f>
        <v>https://zfin.org/ZDB-GENE-060825-55</v>
      </c>
      <c r="E9305" t="s">
        <v>27880</v>
      </c>
    </row>
    <row r="9306" spans="1:5" x14ac:dyDescent="0.2">
      <c r="A9306" t="s">
        <v>27881</v>
      </c>
      <c r="B9306" t="s">
        <v>27882</v>
      </c>
      <c r="C9306" t="s">
        <v>27882</v>
      </c>
      <c r="D9306" t="str">
        <f>HYPERLINK("https://zfin.org/ZDB-GENE-040426-1135")</f>
        <v>https://zfin.org/ZDB-GENE-040426-1135</v>
      </c>
      <c r="E9306" t="s">
        <v>27883</v>
      </c>
    </row>
    <row r="9307" spans="1:5" x14ac:dyDescent="0.2">
      <c r="A9307" t="s">
        <v>27884</v>
      </c>
      <c r="B9307" t="s">
        <v>27885</v>
      </c>
      <c r="C9307" t="s">
        <v>27885</v>
      </c>
      <c r="D9307" t="str">
        <f>HYPERLINK("https://zfin.org/ZDB-GENE-010201-2")</f>
        <v>https://zfin.org/ZDB-GENE-010201-2</v>
      </c>
      <c r="E9307" t="s">
        <v>27886</v>
      </c>
    </row>
    <row r="9308" spans="1:5" x14ac:dyDescent="0.2">
      <c r="A9308" t="s">
        <v>27887</v>
      </c>
      <c r="B9308" t="s">
        <v>27888</v>
      </c>
      <c r="C9308" t="s">
        <v>27888</v>
      </c>
      <c r="D9308" t="str">
        <f>HYPERLINK("https://zfin.org/ZDB-GENE-041010-100")</f>
        <v>https://zfin.org/ZDB-GENE-041010-100</v>
      </c>
      <c r="E9308" t="s">
        <v>27889</v>
      </c>
    </row>
    <row r="9309" spans="1:5" x14ac:dyDescent="0.2">
      <c r="A9309" t="s">
        <v>27890</v>
      </c>
      <c r="B9309" t="s">
        <v>27891</v>
      </c>
      <c r="C9309" t="s">
        <v>27891</v>
      </c>
      <c r="D9309" t="str">
        <f>HYPERLINK("https://zfin.org/ZDB-GENE-040718-418")</f>
        <v>https://zfin.org/ZDB-GENE-040718-418</v>
      </c>
      <c r="E9309" t="s">
        <v>27892</v>
      </c>
    </row>
    <row r="9310" spans="1:5" x14ac:dyDescent="0.2">
      <c r="A9310" t="s">
        <v>27893</v>
      </c>
      <c r="B9310" t="s">
        <v>27894</v>
      </c>
      <c r="C9310" t="s">
        <v>27894</v>
      </c>
      <c r="D9310" t="str">
        <f>HYPERLINK("https://zfin.org/ZDB-GENE-040905-2")</f>
        <v>https://zfin.org/ZDB-GENE-040905-2</v>
      </c>
      <c r="E9310" t="s">
        <v>27895</v>
      </c>
    </row>
    <row r="9311" spans="1:5" x14ac:dyDescent="0.2">
      <c r="A9311" t="s">
        <v>27896</v>
      </c>
      <c r="B9311" t="s">
        <v>27897</v>
      </c>
      <c r="C9311" t="s">
        <v>27897</v>
      </c>
      <c r="D9311" t="str">
        <f>HYPERLINK("https://zfin.org/ZDB-GENE-131122-104")</f>
        <v>https://zfin.org/ZDB-GENE-131122-104</v>
      </c>
      <c r="E9311" t="s">
        <v>27898</v>
      </c>
    </row>
    <row r="9312" spans="1:5" x14ac:dyDescent="0.2">
      <c r="A9312" t="s">
        <v>27899</v>
      </c>
      <c r="B9312" t="s">
        <v>27900</v>
      </c>
      <c r="C9312" t="s">
        <v>27900</v>
      </c>
      <c r="D9312" t="str">
        <f>HYPERLINK("https://zfin.org/ZDB-GENE-131121-196")</f>
        <v>https://zfin.org/ZDB-GENE-131121-196</v>
      </c>
      <c r="E9312" t="s">
        <v>27901</v>
      </c>
    </row>
    <row r="9313" spans="1:5" x14ac:dyDescent="0.2">
      <c r="A9313" t="s">
        <v>27902</v>
      </c>
      <c r="B9313" t="s">
        <v>27903</v>
      </c>
      <c r="C9313" t="s">
        <v>27903</v>
      </c>
      <c r="D9313" t="str">
        <f>HYPERLINK("https://zfin.org/ZDB-GENE-031222-10")</f>
        <v>https://zfin.org/ZDB-GENE-031222-10</v>
      </c>
      <c r="E9313" t="s">
        <v>27904</v>
      </c>
    </row>
    <row r="9314" spans="1:5" x14ac:dyDescent="0.2">
      <c r="A9314" t="s">
        <v>27905</v>
      </c>
      <c r="B9314" t="s">
        <v>27906</v>
      </c>
      <c r="C9314" t="s">
        <v>27906</v>
      </c>
      <c r="D9314" t="str">
        <f>HYPERLINK("https://zfin.org/ZDB-GENE-041010-221")</f>
        <v>https://zfin.org/ZDB-GENE-041010-221</v>
      </c>
      <c r="E9314" t="s">
        <v>27907</v>
      </c>
    </row>
    <row r="9315" spans="1:5" x14ac:dyDescent="0.2">
      <c r="A9315" t="s">
        <v>27908</v>
      </c>
      <c r="B9315" t="s">
        <v>27909</v>
      </c>
      <c r="C9315" t="s">
        <v>27909</v>
      </c>
      <c r="D9315" t="str">
        <f>HYPERLINK("https://zfin.org/ZDB-GENE-131125-17")</f>
        <v>https://zfin.org/ZDB-GENE-131125-17</v>
      </c>
      <c r="E9315" t="s">
        <v>27910</v>
      </c>
    </row>
    <row r="9316" spans="1:5" x14ac:dyDescent="0.2">
      <c r="A9316" t="s">
        <v>27911</v>
      </c>
      <c r="B9316" t="s">
        <v>27912</v>
      </c>
      <c r="C9316" t="s">
        <v>27912</v>
      </c>
      <c r="D9316" t="str">
        <f>HYPERLINK("https://zfin.org/ZDB-GENE-040927-10")</f>
        <v>https://zfin.org/ZDB-GENE-040927-10</v>
      </c>
      <c r="E9316" t="s">
        <v>27913</v>
      </c>
    </row>
    <row r="9317" spans="1:5" x14ac:dyDescent="0.2">
      <c r="A9317" t="s">
        <v>27914</v>
      </c>
      <c r="B9317" t="s">
        <v>27915</v>
      </c>
      <c r="C9317" t="s">
        <v>27915</v>
      </c>
      <c r="D9317" t="str">
        <f>HYPERLINK("https://zfin.org/ZDB-GENE-041114-143")</f>
        <v>https://zfin.org/ZDB-GENE-041114-143</v>
      </c>
      <c r="E9317" t="s">
        <v>27916</v>
      </c>
    </row>
    <row r="9318" spans="1:5" x14ac:dyDescent="0.2">
      <c r="A9318" t="s">
        <v>27917</v>
      </c>
      <c r="B9318" t="s">
        <v>27918</v>
      </c>
      <c r="C9318" t="s">
        <v>27918</v>
      </c>
      <c r="D9318" t="str">
        <f>HYPERLINK("https://zfin.org/ZDB-GENE-110620-4")</f>
        <v>https://zfin.org/ZDB-GENE-110620-4</v>
      </c>
      <c r="E9318" t="s">
        <v>27919</v>
      </c>
    </row>
    <row r="9319" spans="1:5" x14ac:dyDescent="0.2">
      <c r="A9319" t="s">
        <v>27920</v>
      </c>
      <c r="B9319" t="s">
        <v>27921</v>
      </c>
      <c r="C9319" t="s">
        <v>27921</v>
      </c>
      <c r="D9319" t="str">
        <f>HYPERLINK("https://zfin.org/ZDB-GENE-060503-27")</f>
        <v>https://zfin.org/ZDB-GENE-060503-27</v>
      </c>
      <c r="E9319" t="s">
        <v>27922</v>
      </c>
    </row>
    <row r="9320" spans="1:5" x14ac:dyDescent="0.2">
      <c r="A9320" t="s">
        <v>27923</v>
      </c>
      <c r="B9320" t="s">
        <v>27924</v>
      </c>
      <c r="C9320" t="s">
        <v>27924</v>
      </c>
      <c r="D9320" t="str">
        <f>HYPERLINK("https://zfin.org/ZDB-GENE-050417-277")</f>
        <v>https://zfin.org/ZDB-GENE-050417-277</v>
      </c>
      <c r="E9320" t="s">
        <v>27925</v>
      </c>
    </row>
    <row r="9321" spans="1:5" x14ac:dyDescent="0.2">
      <c r="A9321" t="s">
        <v>27926</v>
      </c>
      <c r="B9321" t="s">
        <v>27927</v>
      </c>
      <c r="C9321" t="s">
        <v>27927</v>
      </c>
      <c r="D9321" t="str">
        <f>HYPERLINK("https://zfin.org/ZDB-GENE-030131-2714")</f>
        <v>https://zfin.org/ZDB-GENE-030131-2714</v>
      </c>
      <c r="E9321" t="s">
        <v>27928</v>
      </c>
    </row>
    <row r="9322" spans="1:5" x14ac:dyDescent="0.2">
      <c r="A9322" t="s">
        <v>27929</v>
      </c>
      <c r="B9322" t="s">
        <v>27930</v>
      </c>
      <c r="C9322" t="s">
        <v>27930</v>
      </c>
      <c r="D9322" t="str">
        <f>HYPERLINK("https://zfin.org/ZDB-GENE-070424-33")</f>
        <v>https://zfin.org/ZDB-GENE-070424-33</v>
      </c>
      <c r="E9322" t="s">
        <v>27931</v>
      </c>
    </row>
    <row r="9323" spans="1:5" x14ac:dyDescent="0.2">
      <c r="A9323" t="s">
        <v>27932</v>
      </c>
      <c r="B9323" t="s">
        <v>27933</v>
      </c>
      <c r="C9323" t="s">
        <v>27933</v>
      </c>
      <c r="D9323" t="str">
        <f>HYPERLINK("https://zfin.org/ZDB-GENE-030131-4153")</f>
        <v>https://zfin.org/ZDB-GENE-030131-4153</v>
      </c>
      <c r="E9323" t="s">
        <v>27934</v>
      </c>
    </row>
    <row r="9324" spans="1:5" x14ac:dyDescent="0.2">
      <c r="A9324" t="s">
        <v>27935</v>
      </c>
      <c r="B9324" t="s">
        <v>27936</v>
      </c>
      <c r="C9324" t="s">
        <v>27936</v>
      </c>
      <c r="D9324" t="str">
        <f>HYPERLINK("https://zfin.org/ZDB-GENE-081104-104")</f>
        <v>https://zfin.org/ZDB-GENE-081104-104</v>
      </c>
      <c r="E9324" t="s">
        <v>27937</v>
      </c>
    </row>
    <row r="9325" spans="1:5" x14ac:dyDescent="0.2">
      <c r="A9325" t="s">
        <v>27938</v>
      </c>
      <c r="B9325" t="s">
        <v>27939</v>
      </c>
      <c r="C9325" t="s">
        <v>27939</v>
      </c>
      <c r="D9325" t="str">
        <f>HYPERLINK("https://zfin.org/ZDB-GENE-030131-8695")</f>
        <v>https://zfin.org/ZDB-GENE-030131-8695</v>
      </c>
      <c r="E9325" t="s">
        <v>27940</v>
      </c>
    </row>
    <row r="9326" spans="1:5" x14ac:dyDescent="0.2">
      <c r="A9326" t="s">
        <v>27941</v>
      </c>
      <c r="B9326" t="s">
        <v>27942</v>
      </c>
      <c r="C9326" t="s">
        <v>27942</v>
      </c>
      <c r="D9326" t="str">
        <f>HYPERLINK("https://zfin.org/ZDB-GENE-090915-6")</f>
        <v>https://zfin.org/ZDB-GENE-090915-6</v>
      </c>
      <c r="E9326" t="s">
        <v>27943</v>
      </c>
    </row>
    <row r="9327" spans="1:5" x14ac:dyDescent="0.2">
      <c r="A9327" t="s">
        <v>27944</v>
      </c>
      <c r="B9327" t="s">
        <v>27945</v>
      </c>
      <c r="C9327" t="s">
        <v>27945</v>
      </c>
      <c r="D9327" t="str">
        <f>HYPERLINK("https://zfin.org/ZDB-GENE-041001-138")</f>
        <v>https://zfin.org/ZDB-GENE-041001-138</v>
      </c>
      <c r="E9327" t="s">
        <v>27946</v>
      </c>
    </row>
    <row r="9328" spans="1:5" x14ac:dyDescent="0.2">
      <c r="A9328" t="s">
        <v>27947</v>
      </c>
      <c r="B9328" t="s">
        <v>27948</v>
      </c>
      <c r="C9328" t="s">
        <v>27948</v>
      </c>
      <c r="D9328" t="str">
        <f>HYPERLINK("https://zfin.org/ZDB-GENE-990415-180")</f>
        <v>https://zfin.org/ZDB-GENE-990415-180</v>
      </c>
      <c r="E9328" t="s">
        <v>27949</v>
      </c>
    </row>
    <row r="9329" spans="1:5" x14ac:dyDescent="0.2">
      <c r="A9329" t="s">
        <v>27950</v>
      </c>
      <c r="B9329" t="s">
        <v>27951</v>
      </c>
      <c r="C9329" t="s">
        <v>27951</v>
      </c>
      <c r="D9329" t="str">
        <f>HYPERLINK("https://zfin.org/ZDB-GENE-051012-1")</f>
        <v>https://zfin.org/ZDB-GENE-051012-1</v>
      </c>
      <c r="E9329" t="s">
        <v>27952</v>
      </c>
    </row>
    <row r="9330" spans="1:5" x14ac:dyDescent="0.2">
      <c r="A9330" t="s">
        <v>27953</v>
      </c>
      <c r="B9330" t="s">
        <v>27954</v>
      </c>
      <c r="C9330" t="s">
        <v>27954</v>
      </c>
      <c r="D9330" t="str">
        <f>HYPERLINK("https://zfin.org/ZDB-GENE-030902-3")</f>
        <v>https://zfin.org/ZDB-GENE-030902-3</v>
      </c>
      <c r="E9330" t="s">
        <v>27955</v>
      </c>
    </row>
    <row r="9331" spans="1:5" x14ac:dyDescent="0.2">
      <c r="A9331" t="s">
        <v>27956</v>
      </c>
      <c r="B9331" t="s">
        <v>27957</v>
      </c>
      <c r="C9331" t="s">
        <v>27957</v>
      </c>
      <c r="D9331" t="str">
        <f>HYPERLINK("https://zfin.org/ZDB-GENE-040822-16")</f>
        <v>https://zfin.org/ZDB-GENE-040822-16</v>
      </c>
      <c r="E9331" t="s">
        <v>27958</v>
      </c>
    </row>
    <row r="9332" spans="1:5" x14ac:dyDescent="0.2">
      <c r="A9332" t="s">
        <v>27959</v>
      </c>
      <c r="B9332" t="s">
        <v>27960</v>
      </c>
      <c r="C9332" t="s">
        <v>27960</v>
      </c>
      <c r="D9332" t="str">
        <f>HYPERLINK("https://zfin.org/ZDB-GENE-040116-3")</f>
        <v>https://zfin.org/ZDB-GENE-040116-3</v>
      </c>
      <c r="E9332" t="s">
        <v>27961</v>
      </c>
    </row>
    <row r="9333" spans="1:5" x14ac:dyDescent="0.2">
      <c r="A9333" t="s">
        <v>27962</v>
      </c>
      <c r="B9333" t="s">
        <v>27963</v>
      </c>
      <c r="C9333" t="s">
        <v>27963</v>
      </c>
      <c r="D9333" t="str">
        <f>HYPERLINK("https://zfin.org/ZDB-GENE-030131-4704")</f>
        <v>https://zfin.org/ZDB-GENE-030131-4704</v>
      </c>
      <c r="E9333" t="s">
        <v>27964</v>
      </c>
    </row>
    <row r="9334" spans="1:5" x14ac:dyDescent="0.2">
      <c r="A9334" t="s">
        <v>27965</v>
      </c>
      <c r="B9334" t="s">
        <v>27966</v>
      </c>
      <c r="C9334" t="s">
        <v>27966</v>
      </c>
      <c r="D9334" t="str">
        <f>HYPERLINK("https://zfin.org/ZDB-GENE-061215-31")</f>
        <v>https://zfin.org/ZDB-GENE-061215-31</v>
      </c>
      <c r="E9334" t="s">
        <v>27967</v>
      </c>
    </row>
    <row r="9335" spans="1:5" x14ac:dyDescent="0.2">
      <c r="A9335" t="s">
        <v>27968</v>
      </c>
      <c r="B9335" t="s">
        <v>27969</v>
      </c>
      <c r="C9335" t="s">
        <v>27969</v>
      </c>
      <c r="D9335" t="str">
        <f>HYPERLINK("https://zfin.org/ZDB-GENE-040426-1409")</f>
        <v>https://zfin.org/ZDB-GENE-040426-1409</v>
      </c>
      <c r="E9335" t="s">
        <v>27970</v>
      </c>
    </row>
    <row r="9336" spans="1:5" x14ac:dyDescent="0.2">
      <c r="A9336" t="s">
        <v>27971</v>
      </c>
      <c r="B9336" t="s">
        <v>27972</v>
      </c>
      <c r="C9336" t="s">
        <v>27972</v>
      </c>
      <c r="D9336" t="str">
        <f>HYPERLINK("https://zfin.org/ZDB-GENE-071004-48")</f>
        <v>https://zfin.org/ZDB-GENE-071004-48</v>
      </c>
      <c r="E9336" t="s">
        <v>27973</v>
      </c>
    </row>
    <row r="9337" spans="1:5" x14ac:dyDescent="0.2">
      <c r="A9337" t="s">
        <v>27974</v>
      </c>
      <c r="B9337" t="s">
        <v>27975</v>
      </c>
      <c r="C9337" t="s">
        <v>27975</v>
      </c>
      <c r="D9337" t="str">
        <f>HYPERLINK("https://zfin.org/ZDB-GENE-050208-681")</f>
        <v>https://zfin.org/ZDB-GENE-050208-681</v>
      </c>
      <c r="E9337" t="s">
        <v>27976</v>
      </c>
    </row>
    <row r="9338" spans="1:5" x14ac:dyDescent="0.2">
      <c r="A9338" t="s">
        <v>27977</v>
      </c>
      <c r="B9338" t="s">
        <v>27978</v>
      </c>
      <c r="C9338" t="s">
        <v>27978</v>
      </c>
      <c r="D9338" t="str">
        <f>HYPERLINK("https://zfin.org/ZDB-GENE-141215-2")</f>
        <v>https://zfin.org/ZDB-GENE-141215-2</v>
      </c>
      <c r="E9338" t="s">
        <v>27979</v>
      </c>
    </row>
    <row r="9339" spans="1:5" x14ac:dyDescent="0.2">
      <c r="A9339" t="s">
        <v>27980</v>
      </c>
      <c r="B9339" t="s">
        <v>27981</v>
      </c>
      <c r="C9339" t="s">
        <v>27981</v>
      </c>
      <c r="D9339" t="str">
        <f>HYPERLINK("https://zfin.org/ZDB-GENE-020419-20")</f>
        <v>https://zfin.org/ZDB-GENE-020419-20</v>
      </c>
      <c r="E9339" t="s">
        <v>27982</v>
      </c>
    </row>
    <row r="9340" spans="1:5" x14ac:dyDescent="0.2">
      <c r="A9340" t="s">
        <v>27983</v>
      </c>
      <c r="B9340" t="s">
        <v>27984</v>
      </c>
      <c r="C9340" t="s">
        <v>27984</v>
      </c>
      <c r="D9340" t="str">
        <f>HYPERLINK("https://zfin.org/ZDB-GENE-041114-176")</f>
        <v>https://zfin.org/ZDB-GENE-041114-176</v>
      </c>
      <c r="E9340" t="s">
        <v>27985</v>
      </c>
    </row>
    <row r="9341" spans="1:5" x14ac:dyDescent="0.2">
      <c r="A9341" t="s">
        <v>27986</v>
      </c>
      <c r="B9341" t="s">
        <v>27987</v>
      </c>
      <c r="C9341" t="s">
        <v>27987</v>
      </c>
      <c r="D9341" t="str">
        <f>HYPERLINK("https://zfin.org/ZDB-GENE-040426-2127")</f>
        <v>https://zfin.org/ZDB-GENE-040426-2127</v>
      </c>
      <c r="E9341" t="s">
        <v>27988</v>
      </c>
    </row>
    <row r="9342" spans="1:5" x14ac:dyDescent="0.2">
      <c r="A9342" t="s">
        <v>27989</v>
      </c>
      <c r="B9342" t="s">
        <v>27990</v>
      </c>
      <c r="C9342" t="s">
        <v>27990</v>
      </c>
      <c r="D9342" t="str">
        <f>HYPERLINK("https://zfin.org/ZDB-GENE-031016-1")</f>
        <v>https://zfin.org/ZDB-GENE-031016-1</v>
      </c>
      <c r="E9342" t="s">
        <v>27991</v>
      </c>
    </row>
    <row r="9343" spans="1:5" x14ac:dyDescent="0.2">
      <c r="A9343" t="s">
        <v>27992</v>
      </c>
      <c r="B9343" t="s">
        <v>27993</v>
      </c>
      <c r="C9343" t="s">
        <v>27993</v>
      </c>
      <c r="D9343" t="str">
        <f>HYPERLINK("https://zfin.org/ZDB-GENE-040912-64")</f>
        <v>https://zfin.org/ZDB-GENE-040912-64</v>
      </c>
      <c r="E9343" t="s">
        <v>27994</v>
      </c>
    </row>
    <row r="9344" spans="1:5" x14ac:dyDescent="0.2">
      <c r="A9344" t="s">
        <v>27995</v>
      </c>
      <c r="B9344" t="s">
        <v>27996</v>
      </c>
      <c r="C9344" t="s">
        <v>27996</v>
      </c>
      <c r="D9344" t="str">
        <f>HYPERLINK("https://zfin.org/ZDB-GENE-041014-300")</f>
        <v>https://zfin.org/ZDB-GENE-041014-300</v>
      </c>
      <c r="E9344" t="s">
        <v>27997</v>
      </c>
    </row>
    <row r="9345" spans="1:5" x14ac:dyDescent="0.2">
      <c r="A9345" t="s">
        <v>27998</v>
      </c>
      <c r="B9345" t="s">
        <v>27999</v>
      </c>
      <c r="C9345" t="s">
        <v>27999</v>
      </c>
      <c r="D9345" t="str">
        <f>HYPERLINK("https://zfin.org/ZDB-GENE-080418-1")</f>
        <v>https://zfin.org/ZDB-GENE-080418-1</v>
      </c>
      <c r="E9345" t="s">
        <v>28000</v>
      </c>
    </row>
    <row r="9346" spans="1:5" x14ac:dyDescent="0.2">
      <c r="A9346" t="s">
        <v>28001</v>
      </c>
      <c r="B9346" t="s">
        <v>28002</v>
      </c>
      <c r="C9346" t="s">
        <v>28002</v>
      </c>
      <c r="D9346" t="str">
        <f>HYPERLINK("https://zfin.org/ZDB-GENE-040426-1953")</f>
        <v>https://zfin.org/ZDB-GENE-040426-1953</v>
      </c>
      <c r="E9346" t="s">
        <v>28003</v>
      </c>
    </row>
    <row r="9347" spans="1:5" x14ac:dyDescent="0.2">
      <c r="A9347" t="s">
        <v>28004</v>
      </c>
      <c r="B9347" t="s">
        <v>28005</v>
      </c>
      <c r="C9347" t="s">
        <v>28005</v>
      </c>
      <c r="D9347" t="str">
        <f>HYPERLINK("https://zfin.org/ZDB-GENE-030131-611")</f>
        <v>https://zfin.org/ZDB-GENE-030131-611</v>
      </c>
      <c r="E9347" t="s">
        <v>28006</v>
      </c>
    </row>
    <row r="9348" spans="1:5" x14ac:dyDescent="0.2">
      <c r="A9348" t="s">
        <v>28007</v>
      </c>
      <c r="B9348" t="s">
        <v>28008</v>
      </c>
      <c r="C9348" t="s">
        <v>28008</v>
      </c>
      <c r="D9348" t="str">
        <f>HYPERLINK("https://zfin.org/ZDB-GENE-041010-39")</f>
        <v>https://zfin.org/ZDB-GENE-041010-39</v>
      </c>
      <c r="E9348" t="s">
        <v>28009</v>
      </c>
    </row>
    <row r="9349" spans="1:5" x14ac:dyDescent="0.2">
      <c r="A9349" t="s">
        <v>28010</v>
      </c>
      <c r="B9349" t="s">
        <v>28011</v>
      </c>
      <c r="C9349" t="s">
        <v>28011</v>
      </c>
      <c r="D9349" t="str">
        <f>HYPERLINK("https://zfin.org/ZDB-GENE-041111-223")</f>
        <v>https://zfin.org/ZDB-GENE-041111-223</v>
      </c>
      <c r="E9349" t="s">
        <v>28012</v>
      </c>
    </row>
    <row r="9350" spans="1:5" x14ac:dyDescent="0.2">
      <c r="A9350" t="s">
        <v>28013</v>
      </c>
      <c r="B9350" t="s">
        <v>28014</v>
      </c>
      <c r="C9350" t="s">
        <v>28014</v>
      </c>
      <c r="D9350" t="str">
        <f>HYPERLINK("https://zfin.org/ZDB-GENE-010102-1")</f>
        <v>https://zfin.org/ZDB-GENE-010102-1</v>
      </c>
      <c r="E9350" t="s">
        <v>28015</v>
      </c>
    </row>
    <row r="9351" spans="1:5" x14ac:dyDescent="0.2">
      <c r="A9351" t="s">
        <v>28016</v>
      </c>
      <c r="B9351" t="s">
        <v>28017</v>
      </c>
      <c r="C9351" t="s">
        <v>28017</v>
      </c>
      <c r="D9351" t="str">
        <f>HYPERLINK("https://zfin.org/ZDB-GENE-041210-22")</f>
        <v>https://zfin.org/ZDB-GENE-041210-22</v>
      </c>
      <c r="E9351" t="s">
        <v>28018</v>
      </c>
    </row>
    <row r="9352" spans="1:5" x14ac:dyDescent="0.2">
      <c r="A9352" t="s">
        <v>28019</v>
      </c>
      <c r="B9352" t="s">
        <v>28020</v>
      </c>
      <c r="C9352" t="s">
        <v>28020</v>
      </c>
      <c r="D9352" t="str">
        <f>HYPERLINK("https://zfin.org/ZDB-GENE-091019-1")</f>
        <v>https://zfin.org/ZDB-GENE-091019-1</v>
      </c>
      <c r="E9352" t="s">
        <v>28021</v>
      </c>
    </row>
    <row r="9353" spans="1:5" x14ac:dyDescent="0.2">
      <c r="A9353" t="s">
        <v>28022</v>
      </c>
      <c r="B9353" t="s">
        <v>28023</v>
      </c>
      <c r="C9353" t="s">
        <v>28023</v>
      </c>
      <c r="D9353" t="str">
        <f>HYPERLINK("https://zfin.org/ZDB-GENE-030131-4971")</f>
        <v>https://zfin.org/ZDB-GENE-030131-4971</v>
      </c>
      <c r="E9353" t="s">
        <v>28024</v>
      </c>
    </row>
    <row r="9354" spans="1:5" x14ac:dyDescent="0.2">
      <c r="A9354" t="s">
        <v>28025</v>
      </c>
      <c r="B9354" t="s">
        <v>28026</v>
      </c>
      <c r="C9354" t="s">
        <v>28026</v>
      </c>
      <c r="D9354" t="str">
        <f>HYPERLINK("https://zfin.org/ZDB-GENE-030131-512")</f>
        <v>https://zfin.org/ZDB-GENE-030131-512</v>
      </c>
      <c r="E9354" t="s">
        <v>28027</v>
      </c>
    </row>
    <row r="9355" spans="1:5" x14ac:dyDescent="0.2">
      <c r="A9355" t="s">
        <v>28028</v>
      </c>
      <c r="B9355" t="s">
        <v>28029</v>
      </c>
      <c r="C9355" t="s">
        <v>28029</v>
      </c>
      <c r="D9355" t="str">
        <f>HYPERLINK("https://zfin.org/ZDB-GENE-131121-539")</f>
        <v>https://zfin.org/ZDB-GENE-131121-539</v>
      </c>
      <c r="E9355" t="s">
        <v>28030</v>
      </c>
    </row>
    <row r="9356" spans="1:5" x14ac:dyDescent="0.2">
      <c r="A9356" t="s">
        <v>28031</v>
      </c>
      <c r="B9356" t="s">
        <v>28032</v>
      </c>
      <c r="C9356" t="s">
        <v>28032</v>
      </c>
      <c r="D9356" t="str">
        <f>HYPERLINK("https://zfin.org/ZDB-GENE-110114-3")</f>
        <v>https://zfin.org/ZDB-GENE-110114-3</v>
      </c>
      <c r="E9356" t="s">
        <v>28033</v>
      </c>
    </row>
    <row r="9357" spans="1:5" x14ac:dyDescent="0.2">
      <c r="A9357" t="s">
        <v>28034</v>
      </c>
      <c r="B9357" t="s">
        <v>28035</v>
      </c>
      <c r="C9357" t="s">
        <v>28035</v>
      </c>
      <c r="D9357" t="str">
        <f>HYPERLINK("https://zfin.org/ZDB-GENE-040426-2579")</f>
        <v>https://zfin.org/ZDB-GENE-040426-2579</v>
      </c>
      <c r="E9357" t="s">
        <v>28036</v>
      </c>
    </row>
    <row r="9358" spans="1:5" x14ac:dyDescent="0.2">
      <c r="A9358" t="s">
        <v>28037</v>
      </c>
      <c r="B9358" t="s">
        <v>28038</v>
      </c>
      <c r="C9358" t="s">
        <v>28038</v>
      </c>
      <c r="D9358" t="str">
        <f>HYPERLINK("https://zfin.org/ZDB-GENE-020416-1")</f>
        <v>https://zfin.org/ZDB-GENE-020416-1</v>
      </c>
      <c r="E9358" t="s">
        <v>28039</v>
      </c>
    </row>
    <row r="9359" spans="1:5" x14ac:dyDescent="0.2">
      <c r="A9359" t="s">
        <v>28040</v>
      </c>
      <c r="B9359" t="s">
        <v>28041</v>
      </c>
      <c r="C9359" t="s">
        <v>28041</v>
      </c>
      <c r="D9359" t="str">
        <f>HYPERLINK("https://zfin.org/ZDB-GENE-050417-284")</f>
        <v>https://zfin.org/ZDB-GENE-050417-284</v>
      </c>
      <c r="E9359" t="s">
        <v>28042</v>
      </c>
    </row>
    <row r="9360" spans="1:5" x14ac:dyDescent="0.2">
      <c r="A9360" t="s">
        <v>28043</v>
      </c>
      <c r="B9360" t="s">
        <v>28044</v>
      </c>
      <c r="C9360" t="s">
        <v>28044</v>
      </c>
      <c r="D9360" t="str">
        <f>HYPERLINK("https://zfin.org/ZDB-GENE-041001-161")</f>
        <v>https://zfin.org/ZDB-GENE-041001-161</v>
      </c>
      <c r="E9360" t="s">
        <v>28045</v>
      </c>
    </row>
    <row r="9361" spans="1:5" x14ac:dyDescent="0.2">
      <c r="A9361" t="s">
        <v>28046</v>
      </c>
      <c r="B9361" t="s">
        <v>28047</v>
      </c>
      <c r="C9361" t="s">
        <v>28047</v>
      </c>
      <c r="D9361" t="str">
        <f>HYPERLINK("https://zfin.org/ZDB-GENE-070410-86")</f>
        <v>https://zfin.org/ZDB-GENE-070410-86</v>
      </c>
      <c r="E9361" t="s">
        <v>28048</v>
      </c>
    </row>
    <row r="9362" spans="1:5" x14ac:dyDescent="0.2">
      <c r="A9362" t="s">
        <v>28049</v>
      </c>
      <c r="B9362" t="s">
        <v>28050</v>
      </c>
      <c r="C9362" t="s">
        <v>28050</v>
      </c>
      <c r="D9362" t="str">
        <f>HYPERLINK("https://zfin.org/ZDB-GENE-030131-415")</f>
        <v>https://zfin.org/ZDB-GENE-030131-415</v>
      </c>
      <c r="E9362" t="s">
        <v>28051</v>
      </c>
    </row>
    <row r="9363" spans="1:5" x14ac:dyDescent="0.2">
      <c r="A9363" t="s">
        <v>28052</v>
      </c>
      <c r="B9363" t="s">
        <v>28053</v>
      </c>
      <c r="C9363" t="s">
        <v>28053</v>
      </c>
      <c r="D9363" t="str">
        <f>HYPERLINK("https://zfin.org/ZDB-GENE-060825-75")</f>
        <v>https://zfin.org/ZDB-GENE-060825-75</v>
      </c>
      <c r="E9363" t="s">
        <v>28054</v>
      </c>
    </row>
    <row r="9364" spans="1:5" x14ac:dyDescent="0.2">
      <c r="A9364" t="s">
        <v>28055</v>
      </c>
      <c r="B9364" t="s">
        <v>28056</v>
      </c>
      <c r="C9364" t="s">
        <v>28056</v>
      </c>
      <c r="D9364" t="str">
        <f>HYPERLINK("https://zfin.org/ZDB-GENE-040426-2440")</f>
        <v>https://zfin.org/ZDB-GENE-040426-2440</v>
      </c>
      <c r="E9364" t="s">
        <v>28057</v>
      </c>
    </row>
    <row r="9365" spans="1:5" x14ac:dyDescent="0.2">
      <c r="A9365" t="s">
        <v>28058</v>
      </c>
      <c r="B9365" t="s">
        <v>28059</v>
      </c>
      <c r="C9365" t="s">
        <v>28059</v>
      </c>
      <c r="D9365" t="str">
        <f>HYPERLINK("https://zfin.org/ZDB-GENE-061103-523")</f>
        <v>https://zfin.org/ZDB-GENE-061103-523</v>
      </c>
      <c r="E9365" t="s">
        <v>28060</v>
      </c>
    </row>
    <row r="9366" spans="1:5" x14ac:dyDescent="0.2">
      <c r="A9366" t="s">
        <v>28061</v>
      </c>
      <c r="B9366" t="s">
        <v>28062</v>
      </c>
      <c r="C9366" t="s">
        <v>28062</v>
      </c>
      <c r="D9366" t="str">
        <f>HYPERLINK("https://zfin.org/ZDB-GENE-030124-2")</f>
        <v>https://zfin.org/ZDB-GENE-030124-2</v>
      </c>
      <c r="E9366" t="s">
        <v>28063</v>
      </c>
    </row>
    <row r="9367" spans="1:5" x14ac:dyDescent="0.2">
      <c r="A9367" t="s">
        <v>28064</v>
      </c>
      <c r="B9367" t="s">
        <v>28065</v>
      </c>
      <c r="C9367" t="s">
        <v>28065</v>
      </c>
      <c r="D9367" t="str">
        <f>HYPERLINK("https://zfin.org/ZDB-GENE-131122-65")</f>
        <v>https://zfin.org/ZDB-GENE-131122-65</v>
      </c>
      <c r="E9367" t="s">
        <v>28066</v>
      </c>
    </row>
    <row r="9368" spans="1:5" x14ac:dyDescent="0.2">
      <c r="A9368" t="s">
        <v>28067</v>
      </c>
      <c r="B9368" t="s">
        <v>28068</v>
      </c>
      <c r="C9368" t="s">
        <v>28068</v>
      </c>
      <c r="D9368" t="str">
        <f>HYPERLINK("https://zfin.org/ZDB-GENE-110411-244")</f>
        <v>https://zfin.org/ZDB-GENE-110411-244</v>
      </c>
      <c r="E9368" t="s">
        <v>28069</v>
      </c>
    </row>
    <row r="9369" spans="1:5" x14ac:dyDescent="0.2">
      <c r="A9369" t="s">
        <v>28070</v>
      </c>
      <c r="B9369" t="s">
        <v>28071</v>
      </c>
      <c r="C9369" t="s">
        <v>28071</v>
      </c>
      <c r="D9369" t="str">
        <f>HYPERLINK("https://zfin.org/ZDB-GENE-081104-235")</f>
        <v>https://zfin.org/ZDB-GENE-081104-235</v>
      </c>
      <c r="E9369" t="s">
        <v>28072</v>
      </c>
    </row>
    <row r="9370" spans="1:5" x14ac:dyDescent="0.2">
      <c r="A9370" t="s">
        <v>28073</v>
      </c>
      <c r="B9370" t="s">
        <v>28074</v>
      </c>
      <c r="C9370" t="s">
        <v>28074</v>
      </c>
      <c r="D9370" t="str">
        <f>HYPERLINK("https://zfin.org/ZDB-GENE-081105-173")</f>
        <v>https://zfin.org/ZDB-GENE-081105-173</v>
      </c>
      <c r="E9370" t="s">
        <v>28075</v>
      </c>
    </row>
    <row r="9371" spans="1:5" x14ac:dyDescent="0.2">
      <c r="A9371" t="s">
        <v>28076</v>
      </c>
      <c r="B9371" t="s">
        <v>28077</v>
      </c>
      <c r="C9371" t="s">
        <v>28077</v>
      </c>
      <c r="D9371" t="str">
        <f>HYPERLINK("https://zfin.org/ZDB-GENE-080229-6")</f>
        <v>https://zfin.org/ZDB-GENE-080229-6</v>
      </c>
      <c r="E9371" t="s">
        <v>28078</v>
      </c>
    </row>
    <row r="9372" spans="1:5" x14ac:dyDescent="0.2">
      <c r="A9372" t="s">
        <v>28079</v>
      </c>
      <c r="B9372" t="s">
        <v>28080</v>
      </c>
      <c r="C9372" t="s">
        <v>28080</v>
      </c>
      <c r="D9372" t="str">
        <f>HYPERLINK("https://zfin.org/ZDB-GENE-070209-65")</f>
        <v>https://zfin.org/ZDB-GENE-070209-65</v>
      </c>
      <c r="E9372" t="s">
        <v>28081</v>
      </c>
    </row>
    <row r="9373" spans="1:5" x14ac:dyDescent="0.2">
      <c r="A9373" t="s">
        <v>28082</v>
      </c>
      <c r="B9373" t="s">
        <v>28083</v>
      </c>
      <c r="C9373" t="s">
        <v>28083</v>
      </c>
      <c r="D9373" t="str">
        <f>HYPERLINK("https://zfin.org/ZDB-GENE-030131-6327")</f>
        <v>https://zfin.org/ZDB-GENE-030131-6327</v>
      </c>
      <c r="E9373" t="s">
        <v>28084</v>
      </c>
    </row>
    <row r="9374" spans="1:5" x14ac:dyDescent="0.2">
      <c r="A9374" t="s">
        <v>28085</v>
      </c>
      <c r="B9374" t="s">
        <v>28086</v>
      </c>
      <c r="C9374" t="s">
        <v>28086</v>
      </c>
      <c r="D9374" t="str">
        <f>HYPERLINK("https://zfin.org/ZDB-GENE-041001-121")</f>
        <v>https://zfin.org/ZDB-GENE-041001-121</v>
      </c>
      <c r="E9374" t="s">
        <v>28087</v>
      </c>
    </row>
    <row r="9375" spans="1:5" x14ac:dyDescent="0.2">
      <c r="A9375" t="s">
        <v>28088</v>
      </c>
      <c r="B9375" t="s">
        <v>28089</v>
      </c>
      <c r="C9375" t="s">
        <v>28089</v>
      </c>
      <c r="D9375" t="str">
        <f>HYPERLINK("https://zfin.org/ZDB-GENE-061013-214")</f>
        <v>https://zfin.org/ZDB-GENE-061013-214</v>
      </c>
      <c r="E9375" t="s">
        <v>28090</v>
      </c>
    </row>
    <row r="9376" spans="1:5" x14ac:dyDescent="0.2">
      <c r="A9376" t="s">
        <v>28091</v>
      </c>
      <c r="B9376" t="s">
        <v>28092</v>
      </c>
      <c r="C9376" t="s">
        <v>28092</v>
      </c>
      <c r="D9376" t="str">
        <f>HYPERLINK("https://zfin.org/ZDB-GENE-040426-785")</f>
        <v>https://zfin.org/ZDB-GENE-040426-785</v>
      </c>
      <c r="E9376" t="s">
        <v>28093</v>
      </c>
    </row>
    <row r="9377" spans="1:5" x14ac:dyDescent="0.2">
      <c r="A9377" t="s">
        <v>28094</v>
      </c>
      <c r="B9377" t="s">
        <v>26292</v>
      </c>
      <c r="C9377" t="s">
        <v>28095</v>
      </c>
      <c r="D9377" t="str">
        <f>HYPERLINK("https://zfin.org/ZDB-GENE-100922-5")</f>
        <v>https://zfin.org/ZDB-GENE-100922-5</v>
      </c>
      <c r="E9377" t="s">
        <v>28096</v>
      </c>
    </row>
    <row r="9378" spans="1:5" x14ac:dyDescent="0.2">
      <c r="A9378" t="s">
        <v>28097</v>
      </c>
      <c r="B9378" t="s">
        <v>28098</v>
      </c>
      <c r="C9378" t="s">
        <v>28098</v>
      </c>
      <c r="D9378" t="str">
        <f>HYPERLINK("https://zfin.org/ZDB-GENE-030131-1028")</f>
        <v>https://zfin.org/ZDB-GENE-030131-1028</v>
      </c>
      <c r="E9378" t="s">
        <v>28099</v>
      </c>
    </row>
    <row r="9379" spans="1:5" x14ac:dyDescent="0.2">
      <c r="A9379" t="s">
        <v>28100</v>
      </c>
      <c r="B9379" t="s">
        <v>28101</v>
      </c>
      <c r="C9379" t="s">
        <v>28101</v>
      </c>
      <c r="D9379" t="str">
        <f>HYPERLINK("https://zfin.org/ZDB-GENE-160114-21")</f>
        <v>https://zfin.org/ZDB-GENE-160114-21</v>
      </c>
      <c r="E9379" t="s">
        <v>28102</v>
      </c>
    </row>
    <row r="9380" spans="1:5" x14ac:dyDescent="0.2">
      <c r="A9380" t="s">
        <v>28103</v>
      </c>
      <c r="B9380" t="s">
        <v>28104</v>
      </c>
      <c r="C9380" t="s">
        <v>28104</v>
      </c>
      <c r="D9380" t="str">
        <f>HYPERLINK("https://zfin.org/ZDB-GENE-030131-9097")</f>
        <v>https://zfin.org/ZDB-GENE-030131-9097</v>
      </c>
      <c r="E9380" t="s">
        <v>28105</v>
      </c>
    </row>
    <row r="9381" spans="1:5" x14ac:dyDescent="0.2">
      <c r="A9381" t="s">
        <v>28106</v>
      </c>
      <c r="B9381" t="s">
        <v>28107</v>
      </c>
      <c r="C9381" t="s">
        <v>28107</v>
      </c>
      <c r="D9381" t="str">
        <f>HYPERLINK("https://zfin.org/ZDB-GENE-130530-565")</f>
        <v>https://zfin.org/ZDB-GENE-130530-565</v>
      </c>
      <c r="E9381" t="s">
        <v>28108</v>
      </c>
    </row>
    <row r="9382" spans="1:5" x14ac:dyDescent="0.2">
      <c r="A9382" t="s">
        <v>28109</v>
      </c>
      <c r="B9382" t="s">
        <v>28110</v>
      </c>
      <c r="C9382" t="s">
        <v>28110</v>
      </c>
      <c r="D9382" t="str">
        <f>HYPERLINK("https://zfin.org/ZDB-GENE-121214-285")</f>
        <v>https://zfin.org/ZDB-GENE-121214-285</v>
      </c>
      <c r="E9382" t="s">
        <v>28111</v>
      </c>
    </row>
    <row r="9383" spans="1:5" x14ac:dyDescent="0.2">
      <c r="A9383" t="s">
        <v>28112</v>
      </c>
      <c r="B9383" t="s">
        <v>28113</v>
      </c>
      <c r="C9383" t="s">
        <v>28113</v>
      </c>
      <c r="D9383" t="str">
        <f>HYPERLINK("https://zfin.org/ZDB-GENE-030131-4471")</f>
        <v>https://zfin.org/ZDB-GENE-030131-4471</v>
      </c>
      <c r="E9383" t="s">
        <v>28114</v>
      </c>
    </row>
    <row r="9384" spans="1:5" x14ac:dyDescent="0.2">
      <c r="A9384" t="s">
        <v>28115</v>
      </c>
      <c r="B9384" t="s">
        <v>28116</v>
      </c>
      <c r="C9384" t="s">
        <v>28116</v>
      </c>
      <c r="D9384" t="str">
        <f>HYPERLINK("https://zfin.org/ZDB-GENE-061215-122")</f>
        <v>https://zfin.org/ZDB-GENE-061215-122</v>
      </c>
      <c r="E9384" t="s">
        <v>28117</v>
      </c>
    </row>
    <row r="9385" spans="1:5" x14ac:dyDescent="0.2">
      <c r="A9385" t="s">
        <v>28118</v>
      </c>
      <c r="B9385" t="s">
        <v>28119</v>
      </c>
      <c r="C9385" t="s">
        <v>28119</v>
      </c>
      <c r="D9385" t="str">
        <f>HYPERLINK("https://zfin.org/ZDB-GENE-090312-122")</f>
        <v>https://zfin.org/ZDB-GENE-090312-122</v>
      </c>
      <c r="E9385" t="s">
        <v>28120</v>
      </c>
    </row>
    <row r="9386" spans="1:5" x14ac:dyDescent="0.2">
      <c r="A9386" t="s">
        <v>28121</v>
      </c>
      <c r="B9386" t="s">
        <v>28122</v>
      </c>
      <c r="C9386" t="s">
        <v>28122</v>
      </c>
      <c r="D9386" t="str">
        <f>HYPERLINK("https://zfin.org/ZDB-GENE-030616-518")</f>
        <v>https://zfin.org/ZDB-GENE-030616-518</v>
      </c>
      <c r="E9386" t="s">
        <v>28123</v>
      </c>
    </row>
    <row r="9387" spans="1:5" x14ac:dyDescent="0.2">
      <c r="A9387" t="s">
        <v>28124</v>
      </c>
      <c r="B9387" t="s">
        <v>28125</v>
      </c>
      <c r="C9387" t="s">
        <v>28125</v>
      </c>
      <c r="D9387" t="str">
        <f>HYPERLINK("https://zfin.org/ZDB-GENE-040718-31")</f>
        <v>https://zfin.org/ZDB-GENE-040718-31</v>
      </c>
      <c r="E9387" t="s">
        <v>28126</v>
      </c>
    </row>
    <row r="9388" spans="1:5" x14ac:dyDescent="0.2">
      <c r="A9388" t="s">
        <v>28127</v>
      </c>
      <c r="B9388" t="s">
        <v>28128</v>
      </c>
      <c r="C9388" t="s">
        <v>28128</v>
      </c>
      <c r="D9388" t="str">
        <f>HYPERLINK("https://zfin.org/ZDB-GENE-060125-3")</f>
        <v>https://zfin.org/ZDB-GENE-060125-3</v>
      </c>
      <c r="E9388" t="s">
        <v>28129</v>
      </c>
    </row>
    <row r="9389" spans="1:5" x14ac:dyDescent="0.2">
      <c r="A9389" t="s">
        <v>28130</v>
      </c>
      <c r="B9389" t="s">
        <v>28131</v>
      </c>
      <c r="C9389" t="s">
        <v>28131</v>
      </c>
      <c r="D9389" t="str">
        <f>HYPERLINK("https://zfin.org/ZDB-GENE-030131-5883")</f>
        <v>https://zfin.org/ZDB-GENE-030131-5883</v>
      </c>
      <c r="E9389" t="s">
        <v>28132</v>
      </c>
    </row>
    <row r="9390" spans="1:5" x14ac:dyDescent="0.2">
      <c r="A9390" t="s">
        <v>28133</v>
      </c>
      <c r="B9390" t="s">
        <v>28134</v>
      </c>
      <c r="C9390" t="s">
        <v>28134</v>
      </c>
      <c r="D9390" t="str">
        <f>HYPERLINK("https://zfin.org/ZDB-GENE-091204-279")</f>
        <v>https://zfin.org/ZDB-GENE-091204-279</v>
      </c>
      <c r="E9390" t="s">
        <v>28135</v>
      </c>
    </row>
    <row r="9391" spans="1:5" x14ac:dyDescent="0.2">
      <c r="A9391" t="s">
        <v>28136</v>
      </c>
      <c r="B9391" t="s">
        <v>28137</v>
      </c>
      <c r="C9391" t="s">
        <v>28137</v>
      </c>
      <c r="D9391" t="str">
        <f>HYPERLINK("https://zfin.org/ZDB-GENE-071004-95")</f>
        <v>https://zfin.org/ZDB-GENE-071004-95</v>
      </c>
      <c r="E9391" t="s">
        <v>28138</v>
      </c>
    </row>
    <row r="9392" spans="1:5" x14ac:dyDescent="0.2">
      <c r="A9392" t="s">
        <v>28139</v>
      </c>
      <c r="B9392" t="s">
        <v>28140</v>
      </c>
      <c r="C9392" t="s">
        <v>28140</v>
      </c>
      <c r="D9392" t="str">
        <f>HYPERLINK("https://zfin.org/ZDB-GENE-010426-7")</f>
        <v>https://zfin.org/ZDB-GENE-010426-7</v>
      </c>
      <c r="E9392" t="s">
        <v>28141</v>
      </c>
    </row>
    <row r="9393" spans="1:5" x14ac:dyDescent="0.2">
      <c r="A9393" t="s">
        <v>28142</v>
      </c>
      <c r="B9393" t="s">
        <v>28143</v>
      </c>
      <c r="C9393" t="s">
        <v>28143</v>
      </c>
      <c r="D9393" t="str">
        <f>HYPERLINK("https://zfin.org/ZDB-GENE-070912-136")</f>
        <v>https://zfin.org/ZDB-GENE-070912-136</v>
      </c>
      <c r="E9393" t="s">
        <v>28144</v>
      </c>
    </row>
    <row r="9394" spans="1:5" x14ac:dyDescent="0.2">
      <c r="A9394" t="s">
        <v>28145</v>
      </c>
      <c r="B9394" t="s">
        <v>28146</v>
      </c>
      <c r="C9394" t="s">
        <v>28146</v>
      </c>
      <c r="D9394" t="str">
        <f>HYPERLINK("https://zfin.org/ZDB-GENE-031010-34")</f>
        <v>https://zfin.org/ZDB-GENE-031010-34</v>
      </c>
      <c r="E9394" t="s">
        <v>28147</v>
      </c>
    </row>
    <row r="9395" spans="1:5" x14ac:dyDescent="0.2">
      <c r="A9395" t="s">
        <v>28148</v>
      </c>
      <c r="B9395" t="s">
        <v>28149</v>
      </c>
      <c r="C9395" t="s">
        <v>28149</v>
      </c>
      <c r="D9395" t="str">
        <f>HYPERLINK("https://zfin.org/ZDB-GENE-031118-9")</f>
        <v>https://zfin.org/ZDB-GENE-031118-9</v>
      </c>
      <c r="E9395" t="s">
        <v>28150</v>
      </c>
    </row>
    <row r="9396" spans="1:5" x14ac:dyDescent="0.2">
      <c r="A9396" t="s">
        <v>28151</v>
      </c>
      <c r="B9396" t="s">
        <v>28152</v>
      </c>
      <c r="C9396" t="s">
        <v>28152</v>
      </c>
      <c r="D9396" t="str">
        <f>HYPERLINK("https://zfin.org/ZDB-GENE-141216-233")</f>
        <v>https://zfin.org/ZDB-GENE-141216-233</v>
      </c>
      <c r="E9396" t="s">
        <v>28153</v>
      </c>
    </row>
    <row r="9397" spans="1:5" x14ac:dyDescent="0.2">
      <c r="A9397" t="s">
        <v>28154</v>
      </c>
      <c r="B9397" t="s">
        <v>28155</v>
      </c>
      <c r="C9397" t="s">
        <v>28155</v>
      </c>
      <c r="D9397" t="str">
        <f>HYPERLINK("https://zfin.org/ZDB-GENE-070410-85")</f>
        <v>https://zfin.org/ZDB-GENE-070410-85</v>
      </c>
      <c r="E9397" t="s">
        <v>28156</v>
      </c>
    </row>
    <row r="9398" spans="1:5" x14ac:dyDescent="0.2">
      <c r="A9398" t="s">
        <v>28157</v>
      </c>
      <c r="B9398" t="s">
        <v>28158</v>
      </c>
      <c r="C9398" t="s">
        <v>28158</v>
      </c>
      <c r="D9398" t="str">
        <f>HYPERLINK("https://zfin.org/ZDB-GENE-060526-114")</f>
        <v>https://zfin.org/ZDB-GENE-060526-114</v>
      </c>
      <c r="E9398" t="s">
        <v>28159</v>
      </c>
    </row>
    <row r="9399" spans="1:5" x14ac:dyDescent="0.2">
      <c r="A9399" t="s">
        <v>28160</v>
      </c>
      <c r="B9399" t="s">
        <v>28161</v>
      </c>
      <c r="C9399" t="s">
        <v>28161</v>
      </c>
      <c r="D9399" t="str">
        <f>HYPERLINK("https://zfin.org/ZDB-GENE-040426-1804")</f>
        <v>https://zfin.org/ZDB-GENE-040426-1804</v>
      </c>
      <c r="E9399" t="s">
        <v>28162</v>
      </c>
    </row>
    <row r="9400" spans="1:5" x14ac:dyDescent="0.2">
      <c r="A9400" t="s">
        <v>28163</v>
      </c>
      <c r="B9400" t="s">
        <v>28164</v>
      </c>
      <c r="C9400" t="s">
        <v>28164</v>
      </c>
      <c r="D9400" t="str">
        <f>HYPERLINK("https://zfin.org/ZDB-GENE-030131-7510")</f>
        <v>https://zfin.org/ZDB-GENE-030131-7510</v>
      </c>
      <c r="E9400" t="s">
        <v>28165</v>
      </c>
    </row>
    <row r="9401" spans="1:5" x14ac:dyDescent="0.2">
      <c r="A9401" t="s">
        <v>28166</v>
      </c>
      <c r="B9401" t="s">
        <v>28167</v>
      </c>
      <c r="C9401" t="s">
        <v>28167</v>
      </c>
      <c r="D9401" t="str">
        <f>HYPERLINK("https://zfin.org/ZDB-GENE-081104-257")</f>
        <v>https://zfin.org/ZDB-GENE-081104-257</v>
      </c>
      <c r="E9401" t="s">
        <v>28168</v>
      </c>
    </row>
    <row r="9402" spans="1:5" x14ac:dyDescent="0.2">
      <c r="A9402" t="s">
        <v>28169</v>
      </c>
      <c r="B9402" t="s">
        <v>28170</v>
      </c>
      <c r="C9402" t="s">
        <v>28170</v>
      </c>
      <c r="D9402" t="str">
        <f>HYPERLINK("https://zfin.org/ZDB-GENE-080723-7")</f>
        <v>https://zfin.org/ZDB-GENE-080723-7</v>
      </c>
      <c r="E9402" t="s">
        <v>28171</v>
      </c>
    </row>
    <row r="9403" spans="1:5" x14ac:dyDescent="0.2">
      <c r="A9403" t="s">
        <v>28172</v>
      </c>
      <c r="B9403" t="s">
        <v>28173</v>
      </c>
      <c r="C9403" t="s">
        <v>28173</v>
      </c>
      <c r="D9403" t="str">
        <f>HYPERLINK("https://zfin.org/ZDB-GENE-061207-64")</f>
        <v>https://zfin.org/ZDB-GENE-061207-64</v>
      </c>
      <c r="E9403" t="s">
        <v>28174</v>
      </c>
    </row>
    <row r="9404" spans="1:5" x14ac:dyDescent="0.2">
      <c r="A9404" t="s">
        <v>28175</v>
      </c>
      <c r="B9404" t="s">
        <v>28176</v>
      </c>
      <c r="C9404" t="s">
        <v>28176</v>
      </c>
      <c r="D9404" t="str">
        <f>HYPERLINK("https://zfin.org/ZDB-GENE-041010-203")</f>
        <v>https://zfin.org/ZDB-GENE-041010-203</v>
      </c>
      <c r="E9404" t="s">
        <v>28177</v>
      </c>
    </row>
    <row r="9405" spans="1:5" x14ac:dyDescent="0.2">
      <c r="A9405" t="s">
        <v>28178</v>
      </c>
      <c r="B9405" t="s">
        <v>28179</v>
      </c>
      <c r="C9405" t="s">
        <v>28179</v>
      </c>
      <c r="D9405" t="str">
        <f>HYPERLINK("https://zfin.org/ZDB-GENE-070705-31")</f>
        <v>https://zfin.org/ZDB-GENE-070705-31</v>
      </c>
      <c r="E9405" t="s">
        <v>28180</v>
      </c>
    </row>
    <row r="9406" spans="1:5" x14ac:dyDescent="0.2">
      <c r="A9406" t="s">
        <v>28181</v>
      </c>
      <c r="B9406" t="s">
        <v>28182</v>
      </c>
      <c r="C9406" t="s">
        <v>28182</v>
      </c>
      <c r="D9406" t="str">
        <f>HYPERLINK("https://zfin.org/ZDB-GENE-030131-5930")</f>
        <v>https://zfin.org/ZDB-GENE-030131-5930</v>
      </c>
      <c r="E9406" t="s">
        <v>28183</v>
      </c>
    </row>
    <row r="9407" spans="1:5" x14ac:dyDescent="0.2">
      <c r="A9407" t="s">
        <v>28184</v>
      </c>
      <c r="B9407" t="s">
        <v>28185</v>
      </c>
      <c r="C9407" t="s">
        <v>28185</v>
      </c>
      <c r="D9407" t="str">
        <f>HYPERLINK("https://zfin.org/ZDB-GENE-061027-176")</f>
        <v>https://zfin.org/ZDB-GENE-061027-176</v>
      </c>
      <c r="E9407" t="s">
        <v>28186</v>
      </c>
    </row>
    <row r="9408" spans="1:5" x14ac:dyDescent="0.2">
      <c r="A9408" t="s">
        <v>28187</v>
      </c>
      <c r="B9408" t="s">
        <v>28188</v>
      </c>
      <c r="C9408" t="s">
        <v>28188</v>
      </c>
      <c r="D9408" t="str">
        <f>HYPERLINK("https://zfin.org/ZDB-GENE-061103-379")</f>
        <v>https://zfin.org/ZDB-GENE-061103-379</v>
      </c>
      <c r="E9408" t="s">
        <v>28189</v>
      </c>
    </row>
    <row r="9409" spans="1:5" x14ac:dyDescent="0.2">
      <c r="A9409" t="s">
        <v>28190</v>
      </c>
      <c r="B9409" t="s">
        <v>28191</v>
      </c>
      <c r="C9409" t="s">
        <v>28191</v>
      </c>
      <c r="D9409" t="str">
        <f>HYPERLINK("https://zfin.org/ZDB-GENE-030219-11")</f>
        <v>https://zfin.org/ZDB-GENE-030219-11</v>
      </c>
      <c r="E9409" t="s">
        <v>28192</v>
      </c>
    </row>
    <row r="9410" spans="1:5" x14ac:dyDescent="0.2">
      <c r="A9410" t="s">
        <v>28193</v>
      </c>
      <c r="B9410" t="s">
        <v>28194</v>
      </c>
      <c r="C9410" t="s">
        <v>28194</v>
      </c>
      <c r="D9410" t="str">
        <f>HYPERLINK("https://zfin.org/ZDB-GENE-000511-7")</f>
        <v>https://zfin.org/ZDB-GENE-000511-7</v>
      </c>
      <c r="E9410" t="s">
        <v>28195</v>
      </c>
    </row>
    <row r="9411" spans="1:5" x14ac:dyDescent="0.2">
      <c r="A9411" t="s">
        <v>28196</v>
      </c>
      <c r="B9411" t="s">
        <v>28197</v>
      </c>
      <c r="C9411" t="s">
        <v>28197</v>
      </c>
      <c r="D9411" t="str">
        <f>HYPERLINK("https://zfin.org/ZDB-GENE-990415-259")</f>
        <v>https://zfin.org/ZDB-GENE-990415-259</v>
      </c>
      <c r="E9411" t="s">
        <v>28198</v>
      </c>
    </row>
    <row r="9412" spans="1:5" x14ac:dyDescent="0.2">
      <c r="A9412" t="s">
        <v>28199</v>
      </c>
      <c r="B9412" t="s">
        <v>28200</v>
      </c>
      <c r="C9412" t="s">
        <v>28200</v>
      </c>
      <c r="D9412" t="str">
        <f>HYPERLINK("https://zfin.org/ZDB-GENE-050320-61")</f>
        <v>https://zfin.org/ZDB-GENE-050320-61</v>
      </c>
      <c r="E9412" t="s">
        <v>28201</v>
      </c>
    </row>
    <row r="9413" spans="1:5" x14ac:dyDescent="0.2">
      <c r="A9413" t="s">
        <v>28202</v>
      </c>
      <c r="B9413" t="s">
        <v>28203</v>
      </c>
      <c r="C9413" t="s">
        <v>28203</v>
      </c>
      <c r="D9413" t="str">
        <f>HYPERLINK("https://zfin.org/ZDB-GENE-060929-820")</f>
        <v>https://zfin.org/ZDB-GENE-060929-820</v>
      </c>
      <c r="E9413" t="s">
        <v>28204</v>
      </c>
    </row>
    <row r="9414" spans="1:5" x14ac:dyDescent="0.2">
      <c r="A9414" t="s">
        <v>28205</v>
      </c>
      <c r="B9414" t="s">
        <v>28206</v>
      </c>
      <c r="C9414" t="s">
        <v>28206</v>
      </c>
      <c r="D9414" t="str">
        <f>HYPERLINK("https://zfin.org/ZDB-GENE-060512-59")</f>
        <v>https://zfin.org/ZDB-GENE-060512-59</v>
      </c>
      <c r="E9414" t="s">
        <v>28207</v>
      </c>
    </row>
    <row r="9415" spans="1:5" x14ac:dyDescent="0.2">
      <c r="A9415" t="s">
        <v>28208</v>
      </c>
      <c r="B9415" t="s">
        <v>28209</v>
      </c>
      <c r="C9415" t="s">
        <v>28209</v>
      </c>
      <c r="D9415" t="str">
        <f>HYPERLINK("https://zfin.org/ZDB-GENE-041001-118")</f>
        <v>https://zfin.org/ZDB-GENE-041001-118</v>
      </c>
      <c r="E9415" t="s">
        <v>28210</v>
      </c>
    </row>
    <row r="9416" spans="1:5" x14ac:dyDescent="0.2">
      <c r="A9416" t="s">
        <v>28211</v>
      </c>
      <c r="B9416" t="s">
        <v>28212</v>
      </c>
      <c r="C9416" t="s">
        <v>28212</v>
      </c>
      <c r="D9416" t="str">
        <f>HYPERLINK("https://zfin.org/ZDB-GENE-040808-35")</f>
        <v>https://zfin.org/ZDB-GENE-040808-35</v>
      </c>
      <c r="E9416" t="s">
        <v>28213</v>
      </c>
    </row>
    <row r="9417" spans="1:5" x14ac:dyDescent="0.2">
      <c r="A9417" t="s">
        <v>28214</v>
      </c>
      <c r="B9417" t="s">
        <v>28215</v>
      </c>
      <c r="C9417" t="s">
        <v>28215</v>
      </c>
      <c r="D9417" t="str">
        <f>HYPERLINK("https://zfin.org/ZDB-GENE-131121-194")</f>
        <v>https://zfin.org/ZDB-GENE-131121-194</v>
      </c>
      <c r="E9417" t="s">
        <v>28216</v>
      </c>
    </row>
    <row r="9418" spans="1:5" x14ac:dyDescent="0.2">
      <c r="A9418" t="s">
        <v>28217</v>
      </c>
      <c r="B9418" t="s">
        <v>28218</v>
      </c>
      <c r="C9418" t="s">
        <v>28218</v>
      </c>
      <c r="D9418" t="str">
        <f>HYPERLINK("https://zfin.org/ZDB-GENE-030131-5978")</f>
        <v>https://zfin.org/ZDB-GENE-030131-5978</v>
      </c>
      <c r="E9418" t="s">
        <v>28219</v>
      </c>
    </row>
    <row r="9419" spans="1:5" x14ac:dyDescent="0.2">
      <c r="A9419" t="s">
        <v>28220</v>
      </c>
      <c r="B9419" t="s">
        <v>28221</v>
      </c>
      <c r="C9419" t="s">
        <v>28221</v>
      </c>
      <c r="D9419" t="str">
        <f>HYPERLINK("https://zfin.org/ZDB-GENE-131122-92")</f>
        <v>https://zfin.org/ZDB-GENE-131122-92</v>
      </c>
      <c r="E9419" t="s">
        <v>28222</v>
      </c>
    </row>
    <row r="9420" spans="1:5" x14ac:dyDescent="0.2">
      <c r="A9420" t="s">
        <v>28223</v>
      </c>
      <c r="B9420" t="s">
        <v>28224</v>
      </c>
      <c r="C9420" t="s">
        <v>28224</v>
      </c>
      <c r="D9420" t="str">
        <f>HYPERLINK("https://zfin.org/ZDB-GENE-041010-137")</f>
        <v>https://zfin.org/ZDB-GENE-041010-137</v>
      </c>
      <c r="E9420" t="s">
        <v>28225</v>
      </c>
    </row>
    <row r="9421" spans="1:5" x14ac:dyDescent="0.2">
      <c r="A9421" t="s">
        <v>28226</v>
      </c>
      <c r="B9421" t="s">
        <v>28227</v>
      </c>
      <c r="C9421" t="s">
        <v>28227</v>
      </c>
      <c r="D9421" t="str">
        <f>HYPERLINK("https://zfin.org/ZDB-GENE-080130-2")</f>
        <v>https://zfin.org/ZDB-GENE-080130-2</v>
      </c>
      <c r="E9421" t="s">
        <v>28228</v>
      </c>
    </row>
    <row r="9422" spans="1:5" x14ac:dyDescent="0.2">
      <c r="A9422" t="s">
        <v>28229</v>
      </c>
      <c r="B9422" t="s">
        <v>28230</v>
      </c>
      <c r="C9422" t="s">
        <v>28230</v>
      </c>
      <c r="D9422" t="str">
        <f>HYPERLINK("https://zfin.org/ZDB-GENE-131119-74")</f>
        <v>https://zfin.org/ZDB-GENE-131119-74</v>
      </c>
      <c r="E9422" t="s">
        <v>28231</v>
      </c>
    </row>
    <row r="9423" spans="1:5" x14ac:dyDescent="0.2">
      <c r="A9423" t="s">
        <v>28232</v>
      </c>
      <c r="B9423" t="s">
        <v>28233</v>
      </c>
      <c r="C9423" t="s">
        <v>28233</v>
      </c>
      <c r="D9423" t="str">
        <f>HYPERLINK("https://zfin.org/ZDB-GENE-060825-87")</f>
        <v>https://zfin.org/ZDB-GENE-060825-87</v>
      </c>
      <c r="E9423" t="s">
        <v>28234</v>
      </c>
    </row>
    <row r="9424" spans="1:5" x14ac:dyDescent="0.2">
      <c r="A9424" t="s">
        <v>28235</v>
      </c>
      <c r="B9424" t="s">
        <v>28236</v>
      </c>
      <c r="C9424" t="s">
        <v>28236</v>
      </c>
      <c r="D9424" t="str">
        <f>HYPERLINK("https://zfin.org/ZDB-GENE-060825-93")</f>
        <v>https://zfin.org/ZDB-GENE-060825-93</v>
      </c>
      <c r="E9424" t="s">
        <v>28237</v>
      </c>
    </row>
    <row r="9425" spans="1:5" x14ac:dyDescent="0.2">
      <c r="A9425" t="s">
        <v>28238</v>
      </c>
      <c r="B9425" t="s">
        <v>28239</v>
      </c>
      <c r="C9425" t="s">
        <v>28239</v>
      </c>
      <c r="D9425" t="str">
        <f>HYPERLINK("https://zfin.org/ZDB-GENE-120822-1")</f>
        <v>https://zfin.org/ZDB-GENE-120822-1</v>
      </c>
      <c r="E9425" t="s">
        <v>28240</v>
      </c>
    </row>
    <row r="9426" spans="1:5" x14ac:dyDescent="0.2">
      <c r="A9426" t="s">
        <v>28241</v>
      </c>
      <c r="B9426" t="s">
        <v>28242</v>
      </c>
      <c r="C9426" t="s">
        <v>28242</v>
      </c>
      <c r="D9426" t="str">
        <f>HYPERLINK("https://zfin.org/ZDB-GENE-081105-80")</f>
        <v>https://zfin.org/ZDB-GENE-081105-80</v>
      </c>
      <c r="E9426" t="s">
        <v>28243</v>
      </c>
    </row>
    <row r="9427" spans="1:5" x14ac:dyDescent="0.2">
      <c r="A9427" t="s">
        <v>28244</v>
      </c>
      <c r="B9427" t="s">
        <v>28245</v>
      </c>
      <c r="C9427" t="s">
        <v>28245</v>
      </c>
      <c r="D9427" t="str">
        <f>HYPERLINK("https://zfin.org/ZDB-GENE-110411-166")</f>
        <v>https://zfin.org/ZDB-GENE-110411-166</v>
      </c>
      <c r="E9427" t="s">
        <v>28246</v>
      </c>
    </row>
    <row r="9428" spans="1:5" x14ac:dyDescent="0.2">
      <c r="A9428" t="s">
        <v>28247</v>
      </c>
      <c r="B9428" t="s">
        <v>28248</v>
      </c>
      <c r="C9428" t="s">
        <v>28248</v>
      </c>
      <c r="D9428" t="str">
        <f>HYPERLINK("https://zfin.org/ZDB-GENE-020419-30")</f>
        <v>https://zfin.org/ZDB-GENE-020419-30</v>
      </c>
      <c r="E9428" t="s">
        <v>28249</v>
      </c>
    </row>
    <row r="9429" spans="1:5" x14ac:dyDescent="0.2">
      <c r="A9429" t="s">
        <v>28250</v>
      </c>
      <c r="B9429" t="s">
        <v>28251</v>
      </c>
      <c r="C9429" t="s">
        <v>28251</v>
      </c>
      <c r="D9429" t="str">
        <f>HYPERLINK("https://zfin.org/ZDB-GENE-131120-154")</f>
        <v>https://zfin.org/ZDB-GENE-131120-154</v>
      </c>
      <c r="E9429" t="s">
        <v>28252</v>
      </c>
    </row>
    <row r="9430" spans="1:5" x14ac:dyDescent="0.2">
      <c r="A9430" t="s">
        <v>28253</v>
      </c>
      <c r="B9430" t="s">
        <v>28254</v>
      </c>
      <c r="C9430" t="s">
        <v>28254</v>
      </c>
      <c r="D9430" t="str">
        <f>HYPERLINK("https://zfin.org/ZDB-GENE-020620-1")</f>
        <v>https://zfin.org/ZDB-GENE-020620-1</v>
      </c>
      <c r="E9430" t="s">
        <v>28255</v>
      </c>
    </row>
    <row r="9431" spans="1:5" x14ac:dyDescent="0.2">
      <c r="A9431" t="s">
        <v>28256</v>
      </c>
      <c r="B9431" t="s">
        <v>28257</v>
      </c>
      <c r="C9431" t="s">
        <v>28257</v>
      </c>
      <c r="D9431" t="str">
        <f>HYPERLINK("https://zfin.org/ZDB-GENE-160114-78")</f>
        <v>https://zfin.org/ZDB-GENE-160114-78</v>
      </c>
      <c r="E9431" t="s">
        <v>28258</v>
      </c>
    </row>
    <row r="9432" spans="1:5" x14ac:dyDescent="0.2">
      <c r="A9432" t="s">
        <v>28259</v>
      </c>
      <c r="B9432" t="s">
        <v>28260</v>
      </c>
      <c r="C9432" t="s">
        <v>28260</v>
      </c>
      <c r="D9432" t="str">
        <f>HYPERLINK("https://zfin.org/ZDB-GENE-040426-1566")</f>
        <v>https://zfin.org/ZDB-GENE-040426-1566</v>
      </c>
      <c r="E9432" t="s">
        <v>28261</v>
      </c>
    </row>
    <row r="9433" spans="1:5" x14ac:dyDescent="0.2">
      <c r="A9433" t="s">
        <v>28262</v>
      </c>
      <c r="B9433" t="s">
        <v>28263</v>
      </c>
      <c r="C9433" t="s">
        <v>28263</v>
      </c>
      <c r="D9433" t="str">
        <f>HYPERLINK("https://zfin.org/ZDB-GENE-040724-267")</f>
        <v>https://zfin.org/ZDB-GENE-040724-267</v>
      </c>
      <c r="E9433" t="s">
        <v>28264</v>
      </c>
    </row>
    <row r="9434" spans="1:5" x14ac:dyDescent="0.2">
      <c r="A9434" t="s">
        <v>28265</v>
      </c>
      <c r="B9434" t="s">
        <v>28266</v>
      </c>
      <c r="C9434" t="s">
        <v>28266</v>
      </c>
      <c r="D9434" t="str">
        <f>HYPERLINK("https://zfin.org/ZDB-GENE-041010-33")</f>
        <v>https://zfin.org/ZDB-GENE-041010-33</v>
      </c>
      <c r="E9434" t="s">
        <v>28267</v>
      </c>
    </row>
    <row r="9435" spans="1:5" x14ac:dyDescent="0.2">
      <c r="A9435" t="s">
        <v>28268</v>
      </c>
      <c r="B9435" t="s">
        <v>28269</v>
      </c>
      <c r="C9435" t="s">
        <v>28269</v>
      </c>
      <c r="D9435" t="str">
        <f>HYPERLINK("https://zfin.org/ZDB-GENE-131122-41")</f>
        <v>https://zfin.org/ZDB-GENE-131122-41</v>
      </c>
      <c r="E9435" t="s">
        <v>28270</v>
      </c>
    </row>
    <row r="9436" spans="1:5" x14ac:dyDescent="0.2">
      <c r="A9436" t="s">
        <v>28271</v>
      </c>
      <c r="B9436" t="s">
        <v>28272</v>
      </c>
      <c r="C9436" t="s">
        <v>28272</v>
      </c>
      <c r="D9436" t="str">
        <f>HYPERLINK("https://zfin.org/ZDB-GENE-070705-23")</f>
        <v>https://zfin.org/ZDB-GENE-070705-23</v>
      </c>
      <c r="E9436" t="s">
        <v>28273</v>
      </c>
    </row>
    <row r="9437" spans="1:5" x14ac:dyDescent="0.2">
      <c r="A9437" t="s">
        <v>28274</v>
      </c>
      <c r="B9437" t="s">
        <v>28275</v>
      </c>
      <c r="C9437" t="s">
        <v>28275</v>
      </c>
      <c r="D9437" t="str">
        <f>HYPERLINK("https://zfin.org/ZDB-GENE-120214-42")</f>
        <v>https://zfin.org/ZDB-GENE-120214-42</v>
      </c>
      <c r="E9437" t="s">
        <v>28276</v>
      </c>
    </row>
    <row r="9438" spans="1:5" x14ac:dyDescent="0.2">
      <c r="A9438" t="s">
        <v>28277</v>
      </c>
      <c r="B9438" t="s">
        <v>28278</v>
      </c>
      <c r="C9438" t="s">
        <v>28278</v>
      </c>
      <c r="D9438" t="str">
        <f>HYPERLINK("https://zfin.org/ZDB-GENE-160114-4")</f>
        <v>https://zfin.org/ZDB-GENE-160114-4</v>
      </c>
      <c r="E9438" t="s">
        <v>28279</v>
      </c>
    </row>
    <row r="9439" spans="1:5" x14ac:dyDescent="0.2">
      <c r="A9439" t="s">
        <v>28280</v>
      </c>
      <c r="B9439" t="s">
        <v>28281</v>
      </c>
      <c r="C9439" t="s">
        <v>28281</v>
      </c>
      <c r="D9439" t="str">
        <f>HYPERLINK("https://zfin.org/ZDB-GENE-040718-152")</f>
        <v>https://zfin.org/ZDB-GENE-040718-152</v>
      </c>
      <c r="E9439" t="s">
        <v>28282</v>
      </c>
    </row>
    <row r="9440" spans="1:5" x14ac:dyDescent="0.2">
      <c r="A9440" t="s">
        <v>28283</v>
      </c>
      <c r="B9440" t="s">
        <v>28284</v>
      </c>
      <c r="C9440" t="s">
        <v>28284</v>
      </c>
      <c r="D9440" t="str">
        <f>HYPERLINK("https://zfin.org/ZDB-GENE-080204-109")</f>
        <v>https://zfin.org/ZDB-GENE-080204-109</v>
      </c>
      <c r="E9440" t="s">
        <v>28285</v>
      </c>
    </row>
    <row r="9441" spans="1:5" x14ac:dyDescent="0.2">
      <c r="A9441" t="s">
        <v>28286</v>
      </c>
      <c r="B9441" t="s">
        <v>28287</v>
      </c>
      <c r="C9441" t="s">
        <v>28287</v>
      </c>
      <c r="D9441" t="str">
        <f>HYPERLINK("https://zfin.org/ZDB-GENE-030131-7336")</f>
        <v>https://zfin.org/ZDB-GENE-030131-7336</v>
      </c>
      <c r="E9441" t="s">
        <v>28288</v>
      </c>
    </row>
    <row r="9442" spans="1:5" x14ac:dyDescent="0.2">
      <c r="A9442" t="s">
        <v>28289</v>
      </c>
      <c r="B9442" t="s">
        <v>28290</v>
      </c>
      <c r="C9442" t="s">
        <v>28290</v>
      </c>
      <c r="D9442" t="str">
        <f>HYPERLINK("https://zfin.org/ZDB-GENE-131121-415")</f>
        <v>https://zfin.org/ZDB-GENE-131121-415</v>
      </c>
      <c r="E9442" t="s">
        <v>28291</v>
      </c>
    </row>
    <row r="9443" spans="1:5" x14ac:dyDescent="0.2">
      <c r="A9443" t="s">
        <v>28292</v>
      </c>
      <c r="B9443" t="s">
        <v>28293</v>
      </c>
      <c r="C9443" t="s">
        <v>28293</v>
      </c>
      <c r="D9443" t="str">
        <f>HYPERLINK("https://zfin.org/ZDB-GENE-061013-408")</f>
        <v>https://zfin.org/ZDB-GENE-061013-408</v>
      </c>
      <c r="E9443" t="s">
        <v>28294</v>
      </c>
    </row>
    <row r="9444" spans="1:5" x14ac:dyDescent="0.2">
      <c r="A9444" t="s">
        <v>28295</v>
      </c>
      <c r="B9444" t="s">
        <v>28296</v>
      </c>
      <c r="C9444" t="s">
        <v>28296</v>
      </c>
      <c r="D9444" t="str">
        <f>HYPERLINK("https://zfin.org/ZDB-GENE-040426-1304")</f>
        <v>https://zfin.org/ZDB-GENE-040426-1304</v>
      </c>
      <c r="E9444" t="s">
        <v>28297</v>
      </c>
    </row>
    <row r="9445" spans="1:5" x14ac:dyDescent="0.2">
      <c r="A9445" t="s">
        <v>28298</v>
      </c>
      <c r="B9445" t="s">
        <v>28299</v>
      </c>
      <c r="C9445" t="s">
        <v>28299</v>
      </c>
      <c r="D9445" t="str">
        <f>HYPERLINK("https://zfin.org/ZDB-GENE-000201-13")</f>
        <v>https://zfin.org/ZDB-GENE-000201-13</v>
      </c>
      <c r="E9445" t="s">
        <v>28300</v>
      </c>
    </row>
    <row r="9446" spans="1:5" x14ac:dyDescent="0.2">
      <c r="A9446" t="s">
        <v>28301</v>
      </c>
      <c r="B9446" t="s">
        <v>28302</v>
      </c>
      <c r="C9446" t="s">
        <v>28302</v>
      </c>
      <c r="D9446" t="str">
        <f>HYPERLINK("https://zfin.org/ZDB-GENE-060312-25")</f>
        <v>https://zfin.org/ZDB-GENE-060312-25</v>
      </c>
      <c r="E9446" t="s">
        <v>28303</v>
      </c>
    </row>
    <row r="9447" spans="1:5" x14ac:dyDescent="0.2">
      <c r="A9447" t="s">
        <v>28304</v>
      </c>
      <c r="B9447" t="s">
        <v>28305</v>
      </c>
      <c r="C9447" t="s">
        <v>28305</v>
      </c>
      <c r="D9447" t="str">
        <f>HYPERLINK("https://zfin.org/ZDB-GENE-041010-25")</f>
        <v>https://zfin.org/ZDB-GENE-041010-25</v>
      </c>
      <c r="E9447" t="s">
        <v>28306</v>
      </c>
    </row>
    <row r="9448" spans="1:5" x14ac:dyDescent="0.2">
      <c r="A9448" t="s">
        <v>28307</v>
      </c>
      <c r="B9448" t="s">
        <v>28308</v>
      </c>
      <c r="C9448" t="s">
        <v>28308</v>
      </c>
      <c r="D9448" t="str">
        <f>HYPERLINK("https://zfin.org/ZDB-GENE-020919-2")</f>
        <v>https://zfin.org/ZDB-GENE-020919-2</v>
      </c>
      <c r="E9448" t="s">
        <v>28309</v>
      </c>
    </row>
    <row r="9449" spans="1:5" x14ac:dyDescent="0.2">
      <c r="A9449" t="s">
        <v>28310</v>
      </c>
      <c r="B9449" t="s">
        <v>28311</v>
      </c>
      <c r="C9449" t="s">
        <v>28311</v>
      </c>
      <c r="D9449" t="str">
        <f>HYPERLINK("https://zfin.org/ZDB-GENE-040625-73")</f>
        <v>https://zfin.org/ZDB-GENE-040625-73</v>
      </c>
      <c r="E9449" t="s">
        <v>28312</v>
      </c>
    </row>
    <row r="9450" spans="1:5" x14ac:dyDescent="0.2">
      <c r="A9450" t="s">
        <v>28313</v>
      </c>
      <c r="B9450" t="s">
        <v>28314</v>
      </c>
      <c r="C9450" t="s">
        <v>28314</v>
      </c>
      <c r="D9450" t="str">
        <f>HYPERLINK("https://zfin.org/ZDB-GENE-081104-446")</f>
        <v>https://zfin.org/ZDB-GENE-081104-446</v>
      </c>
      <c r="E9450" t="s">
        <v>28315</v>
      </c>
    </row>
    <row r="9451" spans="1:5" x14ac:dyDescent="0.2">
      <c r="A9451" t="s">
        <v>28316</v>
      </c>
      <c r="B9451" t="s">
        <v>28317</v>
      </c>
      <c r="C9451" t="s">
        <v>28317</v>
      </c>
      <c r="D9451" t="str">
        <f>HYPERLINK("https://zfin.org/ZDB-GENE-090512-3")</f>
        <v>https://zfin.org/ZDB-GENE-090512-3</v>
      </c>
      <c r="E9451" t="s">
        <v>28318</v>
      </c>
    </row>
    <row r="9452" spans="1:5" x14ac:dyDescent="0.2">
      <c r="A9452" t="s">
        <v>28319</v>
      </c>
      <c r="B9452" t="s">
        <v>28320</v>
      </c>
      <c r="C9452" t="s">
        <v>28320</v>
      </c>
      <c r="D9452" t="str">
        <f>HYPERLINK("https://zfin.org/ZDB-GENE-030131-670")</f>
        <v>https://zfin.org/ZDB-GENE-030131-670</v>
      </c>
      <c r="E9452" t="s">
        <v>28321</v>
      </c>
    </row>
    <row r="9453" spans="1:5" x14ac:dyDescent="0.2">
      <c r="A9453" t="s">
        <v>28322</v>
      </c>
      <c r="B9453" t="s">
        <v>28323</v>
      </c>
      <c r="C9453" t="s">
        <v>28323</v>
      </c>
      <c r="D9453" t="str">
        <f>HYPERLINK("https://zfin.org/ZDB-GENE-030131-7890")</f>
        <v>https://zfin.org/ZDB-GENE-030131-7890</v>
      </c>
      <c r="E9453" t="s">
        <v>28324</v>
      </c>
    </row>
    <row r="9454" spans="1:5" x14ac:dyDescent="0.2">
      <c r="A9454" t="s">
        <v>28325</v>
      </c>
      <c r="B9454" t="s">
        <v>28326</v>
      </c>
      <c r="C9454" t="s">
        <v>28326</v>
      </c>
      <c r="D9454" t="str">
        <f>HYPERLINK("https://zfin.org/ZDB-GENE-040426-1782")</f>
        <v>https://zfin.org/ZDB-GENE-040426-1782</v>
      </c>
      <c r="E9454" t="s">
        <v>28327</v>
      </c>
    </row>
    <row r="9455" spans="1:5" x14ac:dyDescent="0.2">
      <c r="A9455" t="s">
        <v>28328</v>
      </c>
      <c r="B9455" t="s">
        <v>28329</v>
      </c>
      <c r="C9455" t="s">
        <v>28329</v>
      </c>
      <c r="D9455" t="str">
        <f>HYPERLINK("https://zfin.org/ZDB-GENE-081104-155")</f>
        <v>https://zfin.org/ZDB-GENE-081104-155</v>
      </c>
      <c r="E9455" t="s">
        <v>28330</v>
      </c>
    </row>
    <row r="9456" spans="1:5" x14ac:dyDescent="0.2">
      <c r="A9456" t="s">
        <v>28331</v>
      </c>
      <c r="B9456" t="s">
        <v>28332</v>
      </c>
      <c r="C9456" t="s">
        <v>28332</v>
      </c>
      <c r="D9456" t="str">
        <f>HYPERLINK("https://zfin.org/ZDB-GENE-060526-104")</f>
        <v>https://zfin.org/ZDB-GENE-060526-104</v>
      </c>
      <c r="E9456" t="s">
        <v>28333</v>
      </c>
    </row>
    <row r="9457" spans="1:5" x14ac:dyDescent="0.2">
      <c r="A9457" t="s">
        <v>28334</v>
      </c>
      <c r="B9457" t="s">
        <v>28335</v>
      </c>
      <c r="C9457" t="s">
        <v>28335</v>
      </c>
      <c r="D9457" t="str">
        <f>HYPERLINK("https://zfin.org/ZDB-GENE-130530-1")</f>
        <v>https://zfin.org/ZDB-GENE-130530-1</v>
      </c>
      <c r="E9457" t="s">
        <v>28336</v>
      </c>
    </row>
    <row r="9458" spans="1:5" x14ac:dyDescent="0.2">
      <c r="A9458" t="s">
        <v>28337</v>
      </c>
      <c r="B9458" t="s">
        <v>28338</v>
      </c>
      <c r="C9458" t="s">
        <v>28338</v>
      </c>
      <c r="D9458" t="str">
        <f>HYPERLINK("https://zfin.org/ZDB-GENE-050208-597")</f>
        <v>https://zfin.org/ZDB-GENE-050208-597</v>
      </c>
      <c r="E9458" t="s">
        <v>28339</v>
      </c>
    </row>
    <row r="9459" spans="1:5" x14ac:dyDescent="0.2">
      <c r="A9459" t="s">
        <v>28340</v>
      </c>
      <c r="B9459" t="s">
        <v>28341</v>
      </c>
      <c r="C9459" t="s">
        <v>28341</v>
      </c>
      <c r="D9459" t="str">
        <f>HYPERLINK("https://zfin.org/ZDB-GENE-030131-5464")</f>
        <v>https://zfin.org/ZDB-GENE-030131-5464</v>
      </c>
      <c r="E9459" t="s">
        <v>28342</v>
      </c>
    </row>
    <row r="9460" spans="1:5" x14ac:dyDescent="0.2">
      <c r="A9460" t="s">
        <v>28343</v>
      </c>
      <c r="B9460" t="s">
        <v>28344</v>
      </c>
      <c r="C9460" t="s">
        <v>28344</v>
      </c>
      <c r="D9460" t="str">
        <f>HYPERLINK("https://zfin.org/ZDB-GENE-070912-559")</f>
        <v>https://zfin.org/ZDB-GENE-070912-559</v>
      </c>
      <c r="E9460" t="s">
        <v>28345</v>
      </c>
    </row>
    <row r="9461" spans="1:5" x14ac:dyDescent="0.2">
      <c r="A9461" t="s">
        <v>28346</v>
      </c>
      <c r="B9461" t="s">
        <v>28347</v>
      </c>
      <c r="C9461" t="s">
        <v>28347</v>
      </c>
      <c r="D9461" t="str">
        <f>HYPERLINK("https://zfin.org/ZDB-GENE-060312-17")</f>
        <v>https://zfin.org/ZDB-GENE-060312-17</v>
      </c>
      <c r="E9461" t="s">
        <v>28348</v>
      </c>
    </row>
    <row r="9462" spans="1:5" x14ac:dyDescent="0.2">
      <c r="A9462" t="s">
        <v>28349</v>
      </c>
      <c r="B9462" t="s">
        <v>28350</v>
      </c>
      <c r="C9462" t="s">
        <v>28350</v>
      </c>
      <c r="D9462" t="str">
        <f>HYPERLINK("https://zfin.org/ZDB-GENE-131127-499")</f>
        <v>https://zfin.org/ZDB-GENE-131127-499</v>
      </c>
      <c r="E9462" t="s">
        <v>28351</v>
      </c>
    </row>
    <row r="9463" spans="1:5" x14ac:dyDescent="0.2">
      <c r="A9463" t="s">
        <v>28352</v>
      </c>
      <c r="B9463" t="s">
        <v>28353</v>
      </c>
      <c r="C9463" t="s">
        <v>28353</v>
      </c>
      <c r="D9463" t="str">
        <f>HYPERLINK("https://zfin.org/ZDB-GENE-000629-3")</f>
        <v>https://zfin.org/ZDB-GENE-000629-3</v>
      </c>
      <c r="E9463" t="s">
        <v>28354</v>
      </c>
    </row>
    <row r="9464" spans="1:5" x14ac:dyDescent="0.2">
      <c r="A9464" t="s">
        <v>28355</v>
      </c>
      <c r="B9464" t="s">
        <v>28356</v>
      </c>
      <c r="C9464" t="s">
        <v>28356</v>
      </c>
      <c r="D9464" t="str">
        <f>HYPERLINK("https://zfin.org/ZDB-GENE-030131-4437")</f>
        <v>https://zfin.org/ZDB-GENE-030131-4437</v>
      </c>
      <c r="E9464" t="s">
        <v>28357</v>
      </c>
    </row>
    <row r="9465" spans="1:5" x14ac:dyDescent="0.2">
      <c r="A9465" t="s">
        <v>28358</v>
      </c>
      <c r="B9465" t="s">
        <v>28359</v>
      </c>
      <c r="C9465" t="s">
        <v>28359</v>
      </c>
      <c r="D9465" t="str">
        <f>HYPERLINK("https://zfin.org/ZDB-GENE-050417-383")</f>
        <v>https://zfin.org/ZDB-GENE-050417-383</v>
      </c>
      <c r="E9465" t="s">
        <v>28360</v>
      </c>
    </row>
    <row r="9466" spans="1:5" x14ac:dyDescent="0.2">
      <c r="A9466" t="s">
        <v>28361</v>
      </c>
      <c r="B9466" t="s">
        <v>28362</v>
      </c>
      <c r="C9466" t="s">
        <v>28362</v>
      </c>
      <c r="D9466" t="str">
        <f>HYPERLINK("https://zfin.org/ZDB-GENE-070705-311")</f>
        <v>https://zfin.org/ZDB-GENE-070705-311</v>
      </c>
      <c r="E9466" t="s">
        <v>28363</v>
      </c>
    </row>
    <row r="9467" spans="1:5" x14ac:dyDescent="0.2">
      <c r="A9467" t="s">
        <v>28364</v>
      </c>
      <c r="B9467" t="s">
        <v>28365</v>
      </c>
      <c r="C9467" t="s">
        <v>28365</v>
      </c>
      <c r="D9467" t="str">
        <f>HYPERLINK("https://zfin.org/ZDB-GENE-040426-1316")</f>
        <v>https://zfin.org/ZDB-GENE-040426-1316</v>
      </c>
      <c r="E9467" t="s">
        <v>28366</v>
      </c>
    </row>
    <row r="9468" spans="1:5" x14ac:dyDescent="0.2">
      <c r="A9468" t="s">
        <v>28367</v>
      </c>
      <c r="B9468" t="s">
        <v>28368</v>
      </c>
      <c r="C9468" t="s">
        <v>28368</v>
      </c>
      <c r="D9468" t="str">
        <f>HYPERLINK("https://zfin.org/ZDB-GENE-000403-2")</f>
        <v>https://zfin.org/ZDB-GENE-000403-2</v>
      </c>
      <c r="E9468" t="s">
        <v>28369</v>
      </c>
    </row>
    <row r="9469" spans="1:5" x14ac:dyDescent="0.2">
      <c r="A9469" t="s">
        <v>28370</v>
      </c>
      <c r="B9469" t="s">
        <v>28371</v>
      </c>
      <c r="C9469" t="s">
        <v>28371</v>
      </c>
      <c r="D9469" t="str">
        <f>HYPERLINK("https://zfin.org/ZDB-GENE-040910-6")</f>
        <v>https://zfin.org/ZDB-GENE-040910-6</v>
      </c>
      <c r="E9469" t="s">
        <v>28372</v>
      </c>
    </row>
    <row r="9470" spans="1:5" x14ac:dyDescent="0.2">
      <c r="A9470" t="s">
        <v>28373</v>
      </c>
      <c r="B9470" t="s">
        <v>28374</v>
      </c>
      <c r="C9470" t="s">
        <v>28374</v>
      </c>
      <c r="D9470" t="str">
        <f>HYPERLINK("https://zfin.org/ZDB-GENE-020809-3")</f>
        <v>https://zfin.org/ZDB-GENE-020809-3</v>
      </c>
      <c r="E9470" t="s">
        <v>28375</v>
      </c>
    </row>
    <row r="9471" spans="1:5" x14ac:dyDescent="0.2">
      <c r="A9471" t="s">
        <v>28376</v>
      </c>
      <c r="B9471" t="s">
        <v>28377</v>
      </c>
      <c r="C9471" t="s">
        <v>28377</v>
      </c>
      <c r="D9471" t="str">
        <f>HYPERLINK("https://zfin.org/ZDB-GENE-040426-1659")</f>
        <v>https://zfin.org/ZDB-GENE-040426-1659</v>
      </c>
      <c r="E9471" t="s">
        <v>28378</v>
      </c>
    </row>
    <row r="9472" spans="1:5" x14ac:dyDescent="0.2">
      <c r="A9472" t="s">
        <v>28379</v>
      </c>
      <c r="B9472" t="s">
        <v>28380</v>
      </c>
      <c r="C9472" t="s">
        <v>28380</v>
      </c>
      <c r="D9472" t="str">
        <f>HYPERLINK("https://zfin.org/ZDB-GENE-040823-3")</f>
        <v>https://zfin.org/ZDB-GENE-040823-3</v>
      </c>
      <c r="E9472" t="s">
        <v>28381</v>
      </c>
    </row>
    <row r="9473" spans="1:5" x14ac:dyDescent="0.2">
      <c r="A9473" t="s">
        <v>28382</v>
      </c>
      <c r="B9473" t="s">
        <v>28383</v>
      </c>
      <c r="C9473" t="s">
        <v>28383</v>
      </c>
      <c r="D9473" t="str">
        <f>HYPERLINK("https://zfin.org/ZDB-GENE-030131-4025")</f>
        <v>https://zfin.org/ZDB-GENE-030131-4025</v>
      </c>
      <c r="E9473" t="s">
        <v>28384</v>
      </c>
    </row>
    <row r="9474" spans="1:5" x14ac:dyDescent="0.2">
      <c r="A9474" t="s">
        <v>28385</v>
      </c>
      <c r="B9474" t="s">
        <v>28386</v>
      </c>
      <c r="C9474" t="s">
        <v>28386</v>
      </c>
      <c r="D9474" t="str">
        <f>HYPERLINK("https://zfin.org/ZDB-GENE-040709-2")</f>
        <v>https://zfin.org/ZDB-GENE-040709-2</v>
      </c>
      <c r="E9474" t="s">
        <v>28387</v>
      </c>
    </row>
    <row r="9475" spans="1:5" x14ac:dyDescent="0.2">
      <c r="A9475" t="s">
        <v>28388</v>
      </c>
      <c r="B9475" t="s">
        <v>28389</v>
      </c>
      <c r="C9475" t="s">
        <v>28389</v>
      </c>
      <c r="D9475" t="str">
        <f>HYPERLINK("https://zfin.org/ZDB-GENE-040426-2457")</f>
        <v>https://zfin.org/ZDB-GENE-040426-2457</v>
      </c>
      <c r="E9475" t="s">
        <v>28390</v>
      </c>
    </row>
    <row r="9476" spans="1:5" x14ac:dyDescent="0.2">
      <c r="A9476" t="s">
        <v>28391</v>
      </c>
      <c r="B9476" t="s">
        <v>28392</v>
      </c>
      <c r="C9476" t="s">
        <v>28392</v>
      </c>
      <c r="D9476" t="str">
        <f>HYPERLINK("https://zfin.org/ZDB-GENE-030909-9")</f>
        <v>https://zfin.org/ZDB-GENE-030909-9</v>
      </c>
      <c r="E9476" t="s">
        <v>28393</v>
      </c>
    </row>
    <row r="9477" spans="1:5" x14ac:dyDescent="0.2">
      <c r="A9477" t="s">
        <v>28394</v>
      </c>
      <c r="B9477" t="s">
        <v>28395</v>
      </c>
      <c r="C9477" t="s">
        <v>28395</v>
      </c>
      <c r="D9477" t="str">
        <f>HYPERLINK("https://zfin.org/ZDB-GENE-081104-113")</f>
        <v>https://zfin.org/ZDB-GENE-081104-113</v>
      </c>
      <c r="E9477" t="s">
        <v>28396</v>
      </c>
    </row>
    <row r="9478" spans="1:5" x14ac:dyDescent="0.2">
      <c r="A9478" t="s">
        <v>28397</v>
      </c>
      <c r="B9478" t="s">
        <v>28398</v>
      </c>
      <c r="C9478" t="s">
        <v>28398</v>
      </c>
      <c r="D9478" t="str">
        <f>HYPERLINK("https://zfin.org/")</f>
        <v>https://zfin.org/</v>
      </c>
    </row>
    <row r="9479" spans="1:5" x14ac:dyDescent="0.2">
      <c r="A9479" t="s">
        <v>28399</v>
      </c>
      <c r="B9479" t="s">
        <v>28400</v>
      </c>
      <c r="C9479" t="s">
        <v>28400</v>
      </c>
      <c r="D9479" t="str">
        <f>HYPERLINK("https://zfin.org/ZDB-GENE-040912-3")</f>
        <v>https://zfin.org/ZDB-GENE-040912-3</v>
      </c>
      <c r="E9479" t="s">
        <v>28401</v>
      </c>
    </row>
    <row r="9480" spans="1:5" x14ac:dyDescent="0.2">
      <c r="A9480" t="s">
        <v>28402</v>
      </c>
      <c r="B9480" t="s">
        <v>28403</v>
      </c>
      <c r="C9480" t="s">
        <v>28403</v>
      </c>
      <c r="D9480" t="str">
        <f>HYPERLINK("https://zfin.org/ZDB-GENE-980526-531")</f>
        <v>https://zfin.org/ZDB-GENE-980526-531</v>
      </c>
      <c r="E9480" t="s">
        <v>28404</v>
      </c>
    </row>
    <row r="9481" spans="1:5" x14ac:dyDescent="0.2">
      <c r="A9481" t="s">
        <v>28405</v>
      </c>
      <c r="B9481" t="s">
        <v>28406</v>
      </c>
      <c r="C9481" t="s">
        <v>28406</v>
      </c>
      <c r="D9481" t="str">
        <f>HYPERLINK("https://zfin.org/ZDB-GENE-040426-1857")</f>
        <v>https://zfin.org/ZDB-GENE-040426-1857</v>
      </c>
      <c r="E9481" t="s">
        <v>28407</v>
      </c>
    </row>
    <row r="9482" spans="1:5" x14ac:dyDescent="0.2">
      <c r="A9482" t="s">
        <v>28408</v>
      </c>
      <c r="B9482" t="s">
        <v>28409</v>
      </c>
      <c r="C9482" t="s">
        <v>28409</v>
      </c>
      <c r="D9482" t="str">
        <f>HYPERLINK("https://zfin.org/ZDB-GENE-060503-122")</f>
        <v>https://zfin.org/ZDB-GENE-060503-122</v>
      </c>
      <c r="E9482" t="s">
        <v>28410</v>
      </c>
    </row>
    <row r="9483" spans="1:5" x14ac:dyDescent="0.2">
      <c r="A9483" t="s">
        <v>28411</v>
      </c>
      <c r="B9483" t="s">
        <v>28412</v>
      </c>
      <c r="C9483" t="s">
        <v>28412</v>
      </c>
      <c r="D9483" t="str">
        <f>HYPERLINK("https://zfin.org/ZDB-GENE-040912-133")</f>
        <v>https://zfin.org/ZDB-GENE-040912-133</v>
      </c>
      <c r="E9483" t="s">
        <v>28413</v>
      </c>
    </row>
    <row r="9484" spans="1:5" x14ac:dyDescent="0.2">
      <c r="A9484" t="s">
        <v>28414</v>
      </c>
      <c r="B9484" t="s">
        <v>28415</v>
      </c>
      <c r="C9484" t="s">
        <v>28415</v>
      </c>
      <c r="D9484" t="str">
        <f>HYPERLINK("https://zfin.org/ZDB-GENE-060929-1258")</f>
        <v>https://zfin.org/ZDB-GENE-060929-1258</v>
      </c>
      <c r="E9484" t="s">
        <v>28416</v>
      </c>
    </row>
    <row r="9485" spans="1:5" x14ac:dyDescent="0.2">
      <c r="A9485" t="s">
        <v>28417</v>
      </c>
      <c r="B9485" t="s">
        <v>28418</v>
      </c>
      <c r="C9485" t="s">
        <v>28418</v>
      </c>
      <c r="D9485" t="str">
        <f>HYPERLINK("https://zfin.org/ZDB-GENE-030131-4780")</f>
        <v>https://zfin.org/ZDB-GENE-030131-4780</v>
      </c>
      <c r="E9485" t="s">
        <v>28419</v>
      </c>
    </row>
    <row r="9486" spans="1:5" x14ac:dyDescent="0.2">
      <c r="A9486" t="s">
        <v>28420</v>
      </c>
      <c r="B9486" t="s">
        <v>28421</v>
      </c>
      <c r="C9486" t="s">
        <v>28421</v>
      </c>
      <c r="D9486" t="str">
        <f>HYPERLINK("https://zfin.org/ZDB-GENE-030131-1535")</f>
        <v>https://zfin.org/ZDB-GENE-030131-1535</v>
      </c>
      <c r="E9486" t="s">
        <v>28422</v>
      </c>
    </row>
    <row r="9487" spans="1:5" x14ac:dyDescent="0.2">
      <c r="A9487" t="s">
        <v>28423</v>
      </c>
      <c r="B9487" t="s">
        <v>28424</v>
      </c>
      <c r="C9487" t="s">
        <v>28424</v>
      </c>
      <c r="D9487" t="str">
        <f>HYPERLINK("https://zfin.org/ZDB-GENE-040426-1277")</f>
        <v>https://zfin.org/ZDB-GENE-040426-1277</v>
      </c>
      <c r="E9487" t="s">
        <v>28425</v>
      </c>
    </row>
    <row r="9488" spans="1:5" x14ac:dyDescent="0.2">
      <c r="A9488" t="s">
        <v>28426</v>
      </c>
      <c r="B9488" t="s">
        <v>28427</v>
      </c>
      <c r="C9488" t="s">
        <v>28427</v>
      </c>
      <c r="D9488" t="str">
        <f>HYPERLINK("https://zfin.org/ZDB-GENE-070209-152")</f>
        <v>https://zfin.org/ZDB-GENE-070209-152</v>
      </c>
      <c r="E9488" t="s">
        <v>28428</v>
      </c>
    </row>
    <row r="9489" spans="1:5" x14ac:dyDescent="0.2">
      <c r="A9489" t="s">
        <v>28429</v>
      </c>
      <c r="B9489" t="s">
        <v>28430</v>
      </c>
      <c r="C9489" t="s">
        <v>28430</v>
      </c>
      <c r="D9489" t="str">
        <f>HYPERLINK("https://zfin.org/ZDB-GENE-030131-6176")</f>
        <v>https://zfin.org/ZDB-GENE-030131-6176</v>
      </c>
      <c r="E9489" t="s">
        <v>28431</v>
      </c>
    </row>
    <row r="9490" spans="1:5" x14ac:dyDescent="0.2">
      <c r="A9490" t="s">
        <v>28432</v>
      </c>
      <c r="B9490" t="s">
        <v>28433</v>
      </c>
      <c r="C9490" t="s">
        <v>28433</v>
      </c>
      <c r="D9490" t="str">
        <f>HYPERLINK("https://zfin.org/ZDB-GENE-060503-88")</f>
        <v>https://zfin.org/ZDB-GENE-060503-88</v>
      </c>
      <c r="E9490" t="s">
        <v>28434</v>
      </c>
    </row>
    <row r="9491" spans="1:5" x14ac:dyDescent="0.2">
      <c r="A9491" t="s">
        <v>28435</v>
      </c>
      <c r="B9491" t="s">
        <v>28436</v>
      </c>
      <c r="C9491" t="s">
        <v>28436</v>
      </c>
      <c r="D9491" t="str">
        <f>HYPERLINK("https://zfin.org/ZDB-GENE-031006-7")</f>
        <v>https://zfin.org/ZDB-GENE-031006-7</v>
      </c>
      <c r="E9491" t="s">
        <v>28437</v>
      </c>
    </row>
    <row r="9492" spans="1:5" x14ac:dyDescent="0.2">
      <c r="A9492" t="s">
        <v>28438</v>
      </c>
      <c r="B9492" t="s">
        <v>28439</v>
      </c>
      <c r="C9492" t="s">
        <v>28439</v>
      </c>
      <c r="D9492" t="str">
        <f>HYPERLINK("https://zfin.org/ZDB-GENE-090312-67")</f>
        <v>https://zfin.org/ZDB-GENE-090312-67</v>
      </c>
      <c r="E9492" t="s">
        <v>28440</v>
      </c>
    </row>
    <row r="9493" spans="1:5" x14ac:dyDescent="0.2">
      <c r="A9493" t="s">
        <v>28441</v>
      </c>
      <c r="B9493" t="s">
        <v>28442</v>
      </c>
      <c r="C9493" t="s">
        <v>28442</v>
      </c>
      <c r="D9493" t="str">
        <f>HYPERLINK("https://zfin.org/ZDB-GENE-041014-354")</f>
        <v>https://zfin.org/ZDB-GENE-041014-354</v>
      </c>
      <c r="E9493" t="s">
        <v>28443</v>
      </c>
    </row>
    <row r="9494" spans="1:5" x14ac:dyDescent="0.2">
      <c r="A9494" t="s">
        <v>28444</v>
      </c>
      <c r="B9494" t="s">
        <v>28445</v>
      </c>
      <c r="C9494" t="s">
        <v>28446</v>
      </c>
      <c r="D9494" t="str">
        <f>HYPERLINK("https://zfin.org/ZDB-GENE-060531-16")</f>
        <v>https://zfin.org/ZDB-GENE-060531-16</v>
      </c>
      <c r="E9494" t="s">
        <v>28447</v>
      </c>
    </row>
    <row r="9495" spans="1:5" x14ac:dyDescent="0.2">
      <c r="A9495" t="s">
        <v>28448</v>
      </c>
      <c r="B9495" t="s">
        <v>28449</v>
      </c>
      <c r="C9495" t="s">
        <v>28449</v>
      </c>
      <c r="D9495" t="str">
        <f>HYPERLINK("https://zfin.org/ZDB-GENE-041010-164")</f>
        <v>https://zfin.org/ZDB-GENE-041010-164</v>
      </c>
      <c r="E9495" t="s">
        <v>28450</v>
      </c>
    </row>
    <row r="9496" spans="1:5" x14ac:dyDescent="0.2">
      <c r="A9496" t="s">
        <v>28451</v>
      </c>
      <c r="B9496" t="s">
        <v>28452</v>
      </c>
      <c r="C9496" t="s">
        <v>28452</v>
      </c>
      <c r="D9496" t="str">
        <f>HYPERLINK("https://zfin.org/ZDB-GENE-091008-2")</f>
        <v>https://zfin.org/ZDB-GENE-091008-2</v>
      </c>
      <c r="E9496" t="s">
        <v>28453</v>
      </c>
    </row>
    <row r="9497" spans="1:5" x14ac:dyDescent="0.2">
      <c r="A9497" t="s">
        <v>28454</v>
      </c>
      <c r="B9497" t="s">
        <v>28455</v>
      </c>
      <c r="C9497" t="s">
        <v>28455</v>
      </c>
      <c r="D9497" t="str">
        <f>HYPERLINK("https://zfin.org/ZDB-GENE-040426-2619")</f>
        <v>https://zfin.org/ZDB-GENE-040426-2619</v>
      </c>
      <c r="E9497" t="s">
        <v>28456</v>
      </c>
    </row>
    <row r="9498" spans="1:5" x14ac:dyDescent="0.2">
      <c r="A9498" t="s">
        <v>28457</v>
      </c>
      <c r="B9498" t="s">
        <v>28458</v>
      </c>
      <c r="C9498" t="s">
        <v>28458</v>
      </c>
      <c r="D9498" t="str">
        <f>HYPERLINK("https://zfin.org/ZDB-GENE-050522-158")</f>
        <v>https://zfin.org/ZDB-GENE-050522-158</v>
      </c>
      <c r="E9498" t="s">
        <v>28459</v>
      </c>
    </row>
    <row r="9499" spans="1:5" x14ac:dyDescent="0.2">
      <c r="A9499" t="s">
        <v>28460</v>
      </c>
      <c r="B9499" t="s">
        <v>28461</v>
      </c>
      <c r="C9499" t="s">
        <v>28461</v>
      </c>
      <c r="D9499" t="str">
        <f>HYPERLINK("https://zfin.org/ZDB-GENE-130814-2")</f>
        <v>https://zfin.org/ZDB-GENE-130814-2</v>
      </c>
      <c r="E9499" t="s">
        <v>28462</v>
      </c>
    </row>
    <row r="9500" spans="1:5" x14ac:dyDescent="0.2">
      <c r="A9500" t="s">
        <v>28463</v>
      </c>
      <c r="B9500" t="s">
        <v>28464</v>
      </c>
      <c r="C9500" t="s">
        <v>28464</v>
      </c>
      <c r="D9500" t="str">
        <f>HYPERLINK("https://zfin.org/ZDB-GENE-080613-3")</f>
        <v>https://zfin.org/ZDB-GENE-080613-3</v>
      </c>
      <c r="E9500" t="s">
        <v>28465</v>
      </c>
    </row>
    <row r="9501" spans="1:5" x14ac:dyDescent="0.2">
      <c r="A9501" t="s">
        <v>28466</v>
      </c>
      <c r="B9501" t="s">
        <v>28467</v>
      </c>
      <c r="C9501" t="s">
        <v>28467</v>
      </c>
      <c r="D9501" t="str">
        <f>HYPERLINK("https://zfin.org/ZDB-GENE-130603-104")</f>
        <v>https://zfin.org/ZDB-GENE-130603-104</v>
      </c>
      <c r="E9501" t="s">
        <v>28468</v>
      </c>
    </row>
    <row r="9502" spans="1:5" x14ac:dyDescent="0.2">
      <c r="A9502" t="s">
        <v>28469</v>
      </c>
      <c r="B9502" t="s">
        <v>28470</v>
      </c>
      <c r="C9502" t="s">
        <v>28470</v>
      </c>
      <c r="D9502" t="str">
        <f>HYPERLINK("https://zfin.org/ZDB-GENE-040426-2491")</f>
        <v>https://zfin.org/ZDB-GENE-040426-2491</v>
      </c>
      <c r="E9502" t="s">
        <v>28471</v>
      </c>
    </row>
    <row r="9503" spans="1:5" x14ac:dyDescent="0.2">
      <c r="A9503" t="s">
        <v>28472</v>
      </c>
      <c r="B9503" t="s">
        <v>28473</v>
      </c>
      <c r="C9503" t="s">
        <v>28473</v>
      </c>
      <c r="D9503" t="str">
        <f>HYPERLINK("https://zfin.org/ZDB-GENE-080519-4")</f>
        <v>https://zfin.org/ZDB-GENE-080519-4</v>
      </c>
      <c r="E9503" t="s">
        <v>28474</v>
      </c>
    </row>
    <row r="9504" spans="1:5" x14ac:dyDescent="0.2">
      <c r="A9504" t="s">
        <v>28475</v>
      </c>
      <c r="B9504" t="s">
        <v>28476</v>
      </c>
      <c r="C9504" t="s">
        <v>28476</v>
      </c>
      <c r="D9504" t="str">
        <f>HYPERLINK("https://zfin.org/ZDB-GENE-070112-482")</f>
        <v>https://zfin.org/ZDB-GENE-070112-482</v>
      </c>
      <c r="E9504" t="s">
        <v>28477</v>
      </c>
    </row>
    <row r="9505" spans="1:5" x14ac:dyDescent="0.2">
      <c r="A9505" t="s">
        <v>28478</v>
      </c>
      <c r="B9505" t="s">
        <v>28479</v>
      </c>
      <c r="C9505" t="s">
        <v>28479</v>
      </c>
      <c r="D9505" t="str">
        <f>HYPERLINK("https://zfin.org/ZDB-GENE-030131-6311")</f>
        <v>https://zfin.org/ZDB-GENE-030131-6311</v>
      </c>
      <c r="E9505" t="s">
        <v>28480</v>
      </c>
    </row>
    <row r="9506" spans="1:5" x14ac:dyDescent="0.2">
      <c r="A9506" t="s">
        <v>28481</v>
      </c>
      <c r="B9506" t="s">
        <v>28482</v>
      </c>
      <c r="C9506" t="s">
        <v>28482</v>
      </c>
      <c r="D9506" t="str">
        <f>HYPERLINK("https://zfin.org/ZDB-GENE-041210-321")</f>
        <v>https://zfin.org/ZDB-GENE-041210-321</v>
      </c>
      <c r="E9506" t="s">
        <v>28483</v>
      </c>
    </row>
    <row r="9507" spans="1:5" x14ac:dyDescent="0.2">
      <c r="A9507" t="s">
        <v>28484</v>
      </c>
      <c r="B9507" t="s">
        <v>28485</v>
      </c>
      <c r="C9507" t="s">
        <v>28485</v>
      </c>
      <c r="D9507" t="str">
        <f>HYPERLINK("https://zfin.org/ZDB-GENE-040426-2308")</f>
        <v>https://zfin.org/ZDB-GENE-040426-2308</v>
      </c>
      <c r="E9507" t="s">
        <v>28486</v>
      </c>
    </row>
    <row r="9508" spans="1:5" x14ac:dyDescent="0.2">
      <c r="A9508" t="s">
        <v>28487</v>
      </c>
      <c r="B9508" t="s">
        <v>28488</v>
      </c>
      <c r="C9508" t="s">
        <v>28488</v>
      </c>
      <c r="D9508" t="str">
        <f>HYPERLINK("https://zfin.org/ZDB-GENE-030131-5606")</f>
        <v>https://zfin.org/ZDB-GENE-030131-5606</v>
      </c>
      <c r="E9508" t="s">
        <v>28489</v>
      </c>
    </row>
    <row r="9509" spans="1:5" x14ac:dyDescent="0.2">
      <c r="A9509" t="s">
        <v>28490</v>
      </c>
      <c r="B9509" t="s">
        <v>28491</v>
      </c>
      <c r="C9509" t="s">
        <v>28491</v>
      </c>
      <c r="D9509" t="str">
        <f>HYPERLINK("https://zfin.org/ZDB-GENE-120215-41")</f>
        <v>https://zfin.org/ZDB-GENE-120215-41</v>
      </c>
      <c r="E9509" t="s">
        <v>28492</v>
      </c>
    </row>
    <row r="9510" spans="1:5" x14ac:dyDescent="0.2">
      <c r="A9510" t="s">
        <v>28493</v>
      </c>
      <c r="B9510" t="s">
        <v>28494</v>
      </c>
      <c r="C9510" t="s">
        <v>28494</v>
      </c>
      <c r="D9510" t="str">
        <f>HYPERLINK("https://zfin.org/ZDB-GENE-061108-4")</f>
        <v>https://zfin.org/ZDB-GENE-061108-4</v>
      </c>
      <c r="E9510" t="s">
        <v>28495</v>
      </c>
    </row>
    <row r="9511" spans="1:5" x14ac:dyDescent="0.2">
      <c r="A9511" t="s">
        <v>28496</v>
      </c>
      <c r="B9511" t="s">
        <v>28497</v>
      </c>
      <c r="C9511" t="s">
        <v>28497</v>
      </c>
      <c r="D9511" t="str">
        <f>HYPERLINK("https://zfin.org/ZDB-GENE-010201-1")</f>
        <v>https://zfin.org/ZDB-GENE-010201-1</v>
      </c>
      <c r="E9511" t="s">
        <v>28498</v>
      </c>
    </row>
    <row r="9512" spans="1:5" x14ac:dyDescent="0.2">
      <c r="A9512" t="s">
        <v>28499</v>
      </c>
      <c r="B9512" t="s">
        <v>28500</v>
      </c>
      <c r="C9512" t="s">
        <v>28500</v>
      </c>
      <c r="D9512" t="str">
        <f>HYPERLINK("https://zfin.org/ZDB-GENE-030131-6822")</f>
        <v>https://zfin.org/ZDB-GENE-030131-6822</v>
      </c>
      <c r="E9512" t="s">
        <v>28501</v>
      </c>
    </row>
    <row r="9513" spans="1:5" x14ac:dyDescent="0.2">
      <c r="A9513" t="s">
        <v>28502</v>
      </c>
      <c r="B9513" t="s">
        <v>28503</v>
      </c>
      <c r="C9513" t="s">
        <v>28503</v>
      </c>
      <c r="D9513" t="str">
        <f>HYPERLINK("https://zfin.org/ZDB-GENE-050208-85")</f>
        <v>https://zfin.org/ZDB-GENE-050208-85</v>
      </c>
      <c r="E9513" t="s">
        <v>28504</v>
      </c>
    </row>
    <row r="9514" spans="1:5" x14ac:dyDescent="0.2">
      <c r="A9514" t="s">
        <v>28505</v>
      </c>
      <c r="B9514" t="s">
        <v>28506</v>
      </c>
      <c r="C9514" t="s">
        <v>28506</v>
      </c>
      <c r="D9514" t="str">
        <f>HYPERLINK("https://zfin.org/ZDB-GENE-030115-1")</f>
        <v>https://zfin.org/ZDB-GENE-030115-1</v>
      </c>
      <c r="E9514" t="s">
        <v>28507</v>
      </c>
    </row>
    <row r="9515" spans="1:5" x14ac:dyDescent="0.2">
      <c r="A9515" t="s">
        <v>28508</v>
      </c>
      <c r="B9515" t="s">
        <v>28509</v>
      </c>
      <c r="C9515" t="s">
        <v>28509</v>
      </c>
      <c r="D9515" t="str">
        <f>HYPERLINK("https://zfin.org/ZDB-GENE-120628-1")</f>
        <v>https://zfin.org/ZDB-GENE-120628-1</v>
      </c>
      <c r="E9515" t="s">
        <v>28510</v>
      </c>
    </row>
    <row r="9516" spans="1:5" x14ac:dyDescent="0.2">
      <c r="A9516" t="s">
        <v>28511</v>
      </c>
      <c r="B9516" t="s">
        <v>28512</v>
      </c>
      <c r="C9516" t="s">
        <v>28512</v>
      </c>
      <c r="D9516" t="str">
        <f>HYPERLINK("https://zfin.org/ZDB-GENE-110913-130")</f>
        <v>https://zfin.org/ZDB-GENE-110913-130</v>
      </c>
      <c r="E9516" t="s">
        <v>28513</v>
      </c>
    </row>
    <row r="9517" spans="1:5" x14ac:dyDescent="0.2">
      <c r="A9517" t="s">
        <v>28514</v>
      </c>
      <c r="B9517" t="s">
        <v>28515</v>
      </c>
      <c r="C9517" t="s">
        <v>28515</v>
      </c>
      <c r="D9517" t="str">
        <f>HYPERLINK("https://zfin.org/ZDB-GENE-051120-87")</f>
        <v>https://zfin.org/ZDB-GENE-051120-87</v>
      </c>
      <c r="E9517" t="s">
        <v>28516</v>
      </c>
    </row>
    <row r="9518" spans="1:5" x14ac:dyDescent="0.2">
      <c r="A9518" t="s">
        <v>28517</v>
      </c>
      <c r="B9518" t="s">
        <v>28518</v>
      </c>
      <c r="C9518" t="s">
        <v>28518</v>
      </c>
      <c r="D9518" t="str">
        <f>HYPERLINK("https://zfin.org/ZDB-GENE-061103-631")</f>
        <v>https://zfin.org/ZDB-GENE-061103-631</v>
      </c>
      <c r="E9518" t="s">
        <v>28519</v>
      </c>
    </row>
    <row r="9519" spans="1:5" x14ac:dyDescent="0.2">
      <c r="A9519" t="s">
        <v>28520</v>
      </c>
      <c r="B9519" t="s">
        <v>28521</v>
      </c>
      <c r="C9519" t="s">
        <v>28521</v>
      </c>
      <c r="D9519" t="str">
        <f>HYPERLINK("https://zfin.org/ZDB-GENE-080218-2")</f>
        <v>https://zfin.org/ZDB-GENE-080218-2</v>
      </c>
      <c r="E9519" t="s">
        <v>28522</v>
      </c>
    </row>
    <row r="9520" spans="1:5" x14ac:dyDescent="0.2">
      <c r="A9520" t="s">
        <v>28523</v>
      </c>
      <c r="B9520" t="s">
        <v>28524</v>
      </c>
      <c r="C9520" t="s">
        <v>28524</v>
      </c>
      <c r="D9520" t="str">
        <f>HYPERLINK("https://zfin.org/ZDB-GENE-050522-376")</f>
        <v>https://zfin.org/ZDB-GENE-050522-376</v>
      </c>
      <c r="E9520" t="s">
        <v>28525</v>
      </c>
    </row>
    <row r="9521" spans="1:5" x14ac:dyDescent="0.2">
      <c r="A9521" t="s">
        <v>28526</v>
      </c>
      <c r="B9521" t="s">
        <v>28527</v>
      </c>
      <c r="C9521" t="s">
        <v>28527</v>
      </c>
      <c r="D9521" t="str">
        <f>HYPERLINK("https://zfin.org/ZDB-GENE-050208-762")</f>
        <v>https://zfin.org/ZDB-GENE-050208-762</v>
      </c>
      <c r="E9521" t="s">
        <v>28528</v>
      </c>
    </row>
    <row r="9522" spans="1:5" x14ac:dyDescent="0.2">
      <c r="A9522" t="s">
        <v>28529</v>
      </c>
      <c r="B9522" t="s">
        <v>28530</v>
      </c>
      <c r="C9522" t="s">
        <v>28530</v>
      </c>
      <c r="D9522" t="str">
        <f>HYPERLINK("https://zfin.org/ZDB-GENE-070912-483")</f>
        <v>https://zfin.org/ZDB-GENE-070912-483</v>
      </c>
      <c r="E9522" t="s">
        <v>28531</v>
      </c>
    </row>
    <row r="9523" spans="1:5" x14ac:dyDescent="0.2">
      <c r="A9523" t="s">
        <v>28532</v>
      </c>
      <c r="B9523" t="s">
        <v>28533</v>
      </c>
      <c r="C9523" t="s">
        <v>28533</v>
      </c>
      <c r="D9523" t="str">
        <f>HYPERLINK("https://zfin.org/ZDB-GENE-070820-15")</f>
        <v>https://zfin.org/ZDB-GENE-070820-15</v>
      </c>
      <c r="E9523" t="s">
        <v>28534</v>
      </c>
    </row>
    <row r="9524" spans="1:5" x14ac:dyDescent="0.2">
      <c r="A9524" t="s">
        <v>28535</v>
      </c>
      <c r="B9524" t="s">
        <v>28536</v>
      </c>
      <c r="C9524" t="s">
        <v>28536</v>
      </c>
      <c r="D9524" t="str">
        <f>HYPERLINK("https://zfin.org/ZDB-GENE-020419-31")</f>
        <v>https://zfin.org/ZDB-GENE-020419-31</v>
      </c>
      <c r="E9524" t="s">
        <v>28537</v>
      </c>
    </row>
    <row r="9525" spans="1:5" x14ac:dyDescent="0.2">
      <c r="A9525" t="s">
        <v>28538</v>
      </c>
      <c r="B9525" t="s">
        <v>28539</v>
      </c>
      <c r="C9525" t="s">
        <v>28539</v>
      </c>
      <c r="D9525" t="str">
        <f>HYPERLINK("https://zfin.org/ZDB-GENE-070702-1")</f>
        <v>https://zfin.org/ZDB-GENE-070702-1</v>
      </c>
      <c r="E9525" t="s">
        <v>28540</v>
      </c>
    </row>
    <row r="9526" spans="1:5" x14ac:dyDescent="0.2">
      <c r="A9526" t="s">
        <v>28541</v>
      </c>
      <c r="B9526" t="s">
        <v>28542</v>
      </c>
      <c r="C9526" t="s">
        <v>28542</v>
      </c>
      <c r="D9526" t="str">
        <f>HYPERLINK("https://zfin.org/ZDB-GENE-030131-8093")</f>
        <v>https://zfin.org/ZDB-GENE-030131-8093</v>
      </c>
      <c r="E9526" t="s">
        <v>28543</v>
      </c>
    </row>
    <row r="9527" spans="1:5" x14ac:dyDescent="0.2">
      <c r="A9527" t="s">
        <v>28544</v>
      </c>
      <c r="B9527" t="s">
        <v>28545</v>
      </c>
      <c r="C9527" t="s">
        <v>28545</v>
      </c>
      <c r="D9527" t="str">
        <f>HYPERLINK("https://zfin.org/ZDB-GENE-040426-2009")</f>
        <v>https://zfin.org/ZDB-GENE-040426-2009</v>
      </c>
      <c r="E9527" t="s">
        <v>28546</v>
      </c>
    </row>
    <row r="9528" spans="1:5" x14ac:dyDescent="0.2">
      <c r="A9528" t="s">
        <v>28547</v>
      </c>
      <c r="B9528" t="s">
        <v>28548</v>
      </c>
      <c r="C9528" t="s">
        <v>28548</v>
      </c>
      <c r="D9528" t="str">
        <f>HYPERLINK("https://zfin.org/ZDB-GENE-030131-2712")</f>
        <v>https://zfin.org/ZDB-GENE-030131-2712</v>
      </c>
      <c r="E9528" t="s">
        <v>28549</v>
      </c>
    </row>
    <row r="9529" spans="1:5" x14ac:dyDescent="0.2">
      <c r="A9529" t="s">
        <v>28550</v>
      </c>
      <c r="B9529" t="s">
        <v>28551</v>
      </c>
      <c r="C9529" t="s">
        <v>28551</v>
      </c>
      <c r="D9529" t="str">
        <f>HYPERLINK("https://zfin.org/ZDB-GENE-030131-2221")</f>
        <v>https://zfin.org/ZDB-GENE-030131-2221</v>
      </c>
      <c r="E9529" t="s">
        <v>28552</v>
      </c>
    </row>
    <row r="9530" spans="1:5" x14ac:dyDescent="0.2">
      <c r="A9530" t="s">
        <v>28553</v>
      </c>
      <c r="B9530" t="s">
        <v>28554</v>
      </c>
      <c r="C9530" t="s">
        <v>28554</v>
      </c>
      <c r="D9530" t="str">
        <f>HYPERLINK("https://zfin.org/ZDB-GENE-120411-6")</f>
        <v>https://zfin.org/ZDB-GENE-120411-6</v>
      </c>
      <c r="E9530" t="s">
        <v>28555</v>
      </c>
    </row>
    <row r="9531" spans="1:5" x14ac:dyDescent="0.2">
      <c r="A9531" t="s">
        <v>28556</v>
      </c>
      <c r="B9531" t="s">
        <v>28557</v>
      </c>
      <c r="C9531" t="s">
        <v>28557</v>
      </c>
      <c r="D9531" t="str">
        <f>HYPERLINK("https://zfin.org/")</f>
        <v>https://zfin.org/</v>
      </c>
    </row>
    <row r="9532" spans="1:5" x14ac:dyDescent="0.2">
      <c r="A9532" t="s">
        <v>28558</v>
      </c>
      <c r="B9532" t="s">
        <v>28559</v>
      </c>
      <c r="C9532" t="s">
        <v>28559</v>
      </c>
      <c r="D9532" t="str">
        <f>HYPERLINK("https://zfin.org/ZDB-GENE-050208-422")</f>
        <v>https://zfin.org/ZDB-GENE-050208-422</v>
      </c>
      <c r="E9532" t="s">
        <v>28560</v>
      </c>
    </row>
    <row r="9533" spans="1:5" x14ac:dyDescent="0.2">
      <c r="A9533" t="s">
        <v>28561</v>
      </c>
      <c r="B9533" t="s">
        <v>28562</v>
      </c>
      <c r="C9533" t="s">
        <v>28562</v>
      </c>
      <c r="D9533" t="str">
        <f>HYPERLINK("https://zfin.org/ZDB-GENE-081104-448")</f>
        <v>https://zfin.org/ZDB-GENE-081104-448</v>
      </c>
      <c r="E9533" t="s">
        <v>28563</v>
      </c>
    </row>
    <row r="9534" spans="1:5" x14ac:dyDescent="0.2">
      <c r="A9534" t="s">
        <v>28564</v>
      </c>
      <c r="B9534" t="s">
        <v>28565</v>
      </c>
      <c r="C9534" t="s">
        <v>28565</v>
      </c>
      <c r="D9534" t="str">
        <f>HYPERLINK("https://zfin.org/ZDB-GENE-141216-60")</f>
        <v>https://zfin.org/ZDB-GENE-141216-60</v>
      </c>
      <c r="E9534" t="s">
        <v>28566</v>
      </c>
    </row>
    <row r="9535" spans="1:5" x14ac:dyDescent="0.2">
      <c r="A9535" t="s">
        <v>28567</v>
      </c>
      <c r="B9535" t="s">
        <v>28568</v>
      </c>
      <c r="C9535" t="s">
        <v>28568</v>
      </c>
      <c r="D9535" t="str">
        <f>HYPERLINK("https://zfin.org/ZDB-GENE-060929-444")</f>
        <v>https://zfin.org/ZDB-GENE-060929-444</v>
      </c>
      <c r="E9535" t="s">
        <v>28569</v>
      </c>
    </row>
    <row r="9536" spans="1:5" x14ac:dyDescent="0.2">
      <c r="A9536" t="s">
        <v>28570</v>
      </c>
      <c r="B9536" t="s">
        <v>28571</v>
      </c>
      <c r="C9536" t="s">
        <v>28571</v>
      </c>
      <c r="D9536" t="str">
        <f>HYPERLINK("https://zfin.org/ZDB-GENE-040625-127")</f>
        <v>https://zfin.org/ZDB-GENE-040625-127</v>
      </c>
      <c r="E9536" t="s">
        <v>28572</v>
      </c>
    </row>
    <row r="9537" spans="1:5" x14ac:dyDescent="0.2">
      <c r="A9537" t="s">
        <v>28573</v>
      </c>
      <c r="B9537" t="s">
        <v>28574</v>
      </c>
      <c r="C9537" t="s">
        <v>28574</v>
      </c>
      <c r="D9537" t="str">
        <f>HYPERLINK("https://zfin.org/ZDB-GENE-070820-8")</f>
        <v>https://zfin.org/ZDB-GENE-070820-8</v>
      </c>
      <c r="E9537" t="s">
        <v>28575</v>
      </c>
    </row>
    <row r="9538" spans="1:5" x14ac:dyDescent="0.2">
      <c r="A9538" t="s">
        <v>28576</v>
      </c>
      <c r="B9538" t="s">
        <v>28577</v>
      </c>
      <c r="C9538" t="s">
        <v>28577</v>
      </c>
      <c r="D9538" t="str">
        <f>HYPERLINK("https://zfin.org/ZDB-GENE-060810-138")</f>
        <v>https://zfin.org/ZDB-GENE-060810-138</v>
      </c>
      <c r="E9538" t="s">
        <v>28578</v>
      </c>
    </row>
    <row r="9539" spans="1:5" x14ac:dyDescent="0.2">
      <c r="A9539" t="s">
        <v>28579</v>
      </c>
      <c r="B9539" t="s">
        <v>28580</v>
      </c>
      <c r="C9539" t="s">
        <v>28580</v>
      </c>
      <c r="D9539" t="str">
        <f>HYPERLINK("https://zfin.org/ZDB-GENE-030131-8255")</f>
        <v>https://zfin.org/ZDB-GENE-030131-8255</v>
      </c>
      <c r="E9539" t="s">
        <v>28581</v>
      </c>
    </row>
    <row r="9540" spans="1:5" x14ac:dyDescent="0.2">
      <c r="A9540" t="s">
        <v>28582</v>
      </c>
      <c r="B9540" t="s">
        <v>28583</v>
      </c>
      <c r="C9540" t="s">
        <v>28583</v>
      </c>
      <c r="D9540" t="str">
        <f>HYPERLINK("https://zfin.org/ZDB-GENE-050420-24")</f>
        <v>https://zfin.org/ZDB-GENE-050420-24</v>
      </c>
      <c r="E9540" t="s">
        <v>28584</v>
      </c>
    </row>
    <row r="9541" spans="1:5" x14ac:dyDescent="0.2">
      <c r="A9541" t="s">
        <v>28585</v>
      </c>
      <c r="B9541" t="s">
        <v>28586</v>
      </c>
      <c r="C9541" t="s">
        <v>28586</v>
      </c>
      <c r="D9541" t="str">
        <f>HYPERLINK("https://zfin.org/ZDB-GENE-010131-2")</f>
        <v>https://zfin.org/ZDB-GENE-010131-2</v>
      </c>
      <c r="E9541" t="s">
        <v>28587</v>
      </c>
    </row>
    <row r="9542" spans="1:5" x14ac:dyDescent="0.2">
      <c r="A9542" t="s">
        <v>28588</v>
      </c>
      <c r="B9542" t="s">
        <v>28589</v>
      </c>
      <c r="C9542" t="s">
        <v>28589</v>
      </c>
      <c r="D9542" t="str">
        <f>HYPERLINK("https://zfin.org/ZDB-GENE-131121-538")</f>
        <v>https://zfin.org/ZDB-GENE-131121-538</v>
      </c>
      <c r="E9542" t="s">
        <v>28590</v>
      </c>
    </row>
    <row r="9543" spans="1:5" x14ac:dyDescent="0.2">
      <c r="A9543" t="s">
        <v>28591</v>
      </c>
      <c r="B9543" t="s">
        <v>28592</v>
      </c>
      <c r="C9543" t="s">
        <v>28592</v>
      </c>
      <c r="D9543" t="str">
        <f>HYPERLINK("https://zfin.org/ZDB-GENE-081104-462")</f>
        <v>https://zfin.org/ZDB-GENE-081104-462</v>
      </c>
      <c r="E9543" t="s">
        <v>28593</v>
      </c>
    </row>
    <row r="9544" spans="1:5" x14ac:dyDescent="0.2">
      <c r="A9544" t="s">
        <v>28594</v>
      </c>
      <c r="B9544" t="s">
        <v>28595</v>
      </c>
      <c r="C9544" t="s">
        <v>28595</v>
      </c>
      <c r="D9544" t="str">
        <f>HYPERLINK("https://zfin.org/ZDB-GENE-131127-503")</f>
        <v>https://zfin.org/ZDB-GENE-131127-503</v>
      </c>
      <c r="E9544" t="s">
        <v>28596</v>
      </c>
    </row>
    <row r="9545" spans="1:5" x14ac:dyDescent="0.2">
      <c r="A9545" t="s">
        <v>28597</v>
      </c>
      <c r="B9545" t="s">
        <v>28598</v>
      </c>
      <c r="C9545" t="s">
        <v>28598</v>
      </c>
      <c r="D9545" t="str">
        <f>HYPERLINK("https://zfin.org/ZDB-GENE-001205-3")</f>
        <v>https://zfin.org/ZDB-GENE-001205-3</v>
      </c>
      <c r="E9545" t="s">
        <v>28599</v>
      </c>
    </row>
    <row r="9546" spans="1:5" x14ac:dyDescent="0.2">
      <c r="A9546" t="s">
        <v>28600</v>
      </c>
      <c r="B9546" t="s">
        <v>28601</v>
      </c>
      <c r="C9546" t="s">
        <v>28601</v>
      </c>
      <c r="D9546" t="str">
        <f>HYPERLINK("https://zfin.org/ZDB-GENE-030219-90")</f>
        <v>https://zfin.org/ZDB-GENE-030219-90</v>
      </c>
      <c r="E9546" t="s">
        <v>28602</v>
      </c>
    </row>
    <row r="9547" spans="1:5" x14ac:dyDescent="0.2">
      <c r="A9547" t="s">
        <v>28603</v>
      </c>
      <c r="B9547" t="s">
        <v>28557</v>
      </c>
      <c r="C9547" t="s">
        <v>28604</v>
      </c>
      <c r="D9547" t="str">
        <f>HYPERLINK("https://zfin.org/ZDB-GENE-030616-631")</f>
        <v>https://zfin.org/ZDB-GENE-030616-631</v>
      </c>
      <c r="E9547" t="s">
        <v>28605</v>
      </c>
    </row>
    <row r="9548" spans="1:5" x14ac:dyDescent="0.2">
      <c r="A9548" t="s">
        <v>28606</v>
      </c>
      <c r="B9548" t="s">
        <v>28607</v>
      </c>
      <c r="C9548" t="s">
        <v>28607</v>
      </c>
      <c r="D9548" t="str">
        <f>HYPERLINK("https://zfin.org/ZDB-GENE-070705-363")</f>
        <v>https://zfin.org/ZDB-GENE-070705-363</v>
      </c>
      <c r="E9548" t="s">
        <v>28608</v>
      </c>
    </row>
    <row r="9549" spans="1:5" x14ac:dyDescent="0.2">
      <c r="A9549" t="s">
        <v>28609</v>
      </c>
      <c r="B9549" t="s">
        <v>28610</v>
      </c>
      <c r="C9549" t="s">
        <v>28610</v>
      </c>
      <c r="D9549" t="str">
        <f>HYPERLINK("https://zfin.org/ZDB-GENE-050522-155")</f>
        <v>https://zfin.org/ZDB-GENE-050522-155</v>
      </c>
      <c r="E9549" t="s">
        <v>28611</v>
      </c>
    </row>
    <row r="9550" spans="1:5" x14ac:dyDescent="0.2">
      <c r="A9550" t="s">
        <v>28612</v>
      </c>
      <c r="B9550" t="s">
        <v>28613</v>
      </c>
      <c r="C9550" t="s">
        <v>28613</v>
      </c>
      <c r="D9550" t="str">
        <f>HYPERLINK("https://zfin.org/ZDB-GENE-091204-389")</f>
        <v>https://zfin.org/ZDB-GENE-091204-389</v>
      </c>
      <c r="E9550" t="s">
        <v>28614</v>
      </c>
    </row>
    <row r="9551" spans="1:5" x14ac:dyDescent="0.2">
      <c r="A9551" t="s">
        <v>28615</v>
      </c>
      <c r="B9551" t="s">
        <v>28616</v>
      </c>
      <c r="C9551" t="s">
        <v>28616</v>
      </c>
      <c r="D9551" t="str">
        <f>HYPERLINK("https://zfin.org/ZDB-GENE-030131-4483")</f>
        <v>https://zfin.org/ZDB-GENE-030131-4483</v>
      </c>
      <c r="E9551" t="s">
        <v>28617</v>
      </c>
    </row>
    <row r="9552" spans="1:5" x14ac:dyDescent="0.2">
      <c r="A9552" t="s">
        <v>28618</v>
      </c>
      <c r="B9552" t="s">
        <v>28619</v>
      </c>
      <c r="C9552" t="s">
        <v>28619</v>
      </c>
      <c r="D9552" t="str">
        <f>HYPERLINK("https://zfin.org/ZDB-GENE-141211-62")</f>
        <v>https://zfin.org/ZDB-GENE-141211-62</v>
      </c>
      <c r="E9552" t="s">
        <v>28620</v>
      </c>
    </row>
    <row r="9553" spans="1:5" x14ac:dyDescent="0.2">
      <c r="A9553" t="s">
        <v>28621</v>
      </c>
      <c r="B9553" t="s">
        <v>28622</v>
      </c>
      <c r="C9553" t="s">
        <v>28622</v>
      </c>
      <c r="D9553" t="str">
        <f>HYPERLINK("https://zfin.org/ZDB-GENE-050208-393")</f>
        <v>https://zfin.org/ZDB-GENE-050208-393</v>
      </c>
      <c r="E9553" t="s">
        <v>28623</v>
      </c>
    </row>
    <row r="9554" spans="1:5" x14ac:dyDescent="0.2">
      <c r="A9554" t="s">
        <v>28624</v>
      </c>
      <c r="B9554" t="s">
        <v>28625</v>
      </c>
      <c r="C9554" t="s">
        <v>28625</v>
      </c>
      <c r="D9554" t="str">
        <f>HYPERLINK("https://zfin.org/ZDB-GENE-041001-111")</f>
        <v>https://zfin.org/ZDB-GENE-041001-111</v>
      </c>
      <c r="E9554" t="s">
        <v>28626</v>
      </c>
    </row>
    <row r="9555" spans="1:5" x14ac:dyDescent="0.2">
      <c r="A9555" t="s">
        <v>28627</v>
      </c>
      <c r="B9555" t="s">
        <v>28628</v>
      </c>
      <c r="C9555" t="s">
        <v>28628</v>
      </c>
      <c r="D9555" t="str">
        <f>HYPERLINK("https://zfin.org/ZDB-GENE-030616-153")</f>
        <v>https://zfin.org/ZDB-GENE-030616-153</v>
      </c>
      <c r="E9555" t="s">
        <v>28629</v>
      </c>
    </row>
    <row r="9556" spans="1:5" x14ac:dyDescent="0.2">
      <c r="A9556" t="s">
        <v>28630</v>
      </c>
      <c r="B9556" t="s">
        <v>28631</v>
      </c>
      <c r="C9556" t="s">
        <v>28631</v>
      </c>
      <c r="D9556" t="str">
        <f>HYPERLINK("https://zfin.org/ZDB-GENE-050417-226")</f>
        <v>https://zfin.org/ZDB-GENE-050417-226</v>
      </c>
      <c r="E9556" t="s">
        <v>28632</v>
      </c>
    </row>
    <row r="9557" spans="1:5" x14ac:dyDescent="0.2">
      <c r="A9557" t="s">
        <v>28633</v>
      </c>
      <c r="B9557" t="s">
        <v>28634</v>
      </c>
      <c r="C9557" t="s">
        <v>28634</v>
      </c>
      <c r="D9557" t="str">
        <f>HYPERLINK("https://zfin.org/ZDB-GENE-061215-136")</f>
        <v>https://zfin.org/ZDB-GENE-061215-136</v>
      </c>
      <c r="E9557" t="s">
        <v>28635</v>
      </c>
    </row>
    <row r="9558" spans="1:5" x14ac:dyDescent="0.2">
      <c r="A9558" t="s">
        <v>28636</v>
      </c>
      <c r="B9558" t="s">
        <v>28637</v>
      </c>
      <c r="C9558" t="s">
        <v>28637</v>
      </c>
      <c r="D9558" t="str">
        <f>HYPERLINK("https://zfin.org/ZDB-GENE-141212-262")</f>
        <v>https://zfin.org/ZDB-GENE-141212-262</v>
      </c>
      <c r="E9558" t="s">
        <v>28638</v>
      </c>
    </row>
    <row r="9559" spans="1:5" x14ac:dyDescent="0.2">
      <c r="A9559" t="s">
        <v>28639</v>
      </c>
      <c r="B9559" t="s">
        <v>28640</v>
      </c>
      <c r="C9559" t="s">
        <v>28640</v>
      </c>
      <c r="D9559" t="str">
        <f>HYPERLINK("https://zfin.org/ZDB-GENE-041014-360")</f>
        <v>https://zfin.org/ZDB-GENE-041014-360</v>
      </c>
      <c r="E9559" t="s">
        <v>28641</v>
      </c>
    </row>
    <row r="9560" spans="1:5" x14ac:dyDescent="0.2">
      <c r="A9560" t="s">
        <v>28642</v>
      </c>
      <c r="B9560" t="s">
        <v>28643</v>
      </c>
      <c r="C9560" t="s">
        <v>28643</v>
      </c>
      <c r="D9560" t="str">
        <f>HYPERLINK("https://zfin.org/ZDB-GENE-041210-325")</f>
        <v>https://zfin.org/ZDB-GENE-041210-325</v>
      </c>
      <c r="E9560" t="s">
        <v>28644</v>
      </c>
    </row>
    <row r="9561" spans="1:5" x14ac:dyDescent="0.2">
      <c r="A9561" t="s">
        <v>28645</v>
      </c>
      <c r="B9561" t="s">
        <v>28646</v>
      </c>
      <c r="C9561" t="s">
        <v>28646</v>
      </c>
      <c r="D9561" t="str">
        <f>HYPERLINK("https://zfin.org/")</f>
        <v>https://zfin.org/</v>
      </c>
    </row>
    <row r="9562" spans="1:5" x14ac:dyDescent="0.2">
      <c r="A9562" t="s">
        <v>28647</v>
      </c>
      <c r="B9562" t="s">
        <v>28648</v>
      </c>
      <c r="C9562" t="s">
        <v>28648</v>
      </c>
      <c r="D9562" t="str">
        <f>HYPERLINK("https://zfin.org/ZDB-GENE-020419-7")</f>
        <v>https://zfin.org/ZDB-GENE-020419-7</v>
      </c>
      <c r="E9562" t="s">
        <v>28649</v>
      </c>
    </row>
    <row r="9563" spans="1:5" x14ac:dyDescent="0.2">
      <c r="A9563" t="s">
        <v>28650</v>
      </c>
      <c r="B9563" t="s">
        <v>28651</v>
      </c>
      <c r="C9563" t="s">
        <v>28651</v>
      </c>
      <c r="D9563" t="str">
        <f>HYPERLINK("https://zfin.org/ZDB-GENE-030131-4174")</f>
        <v>https://zfin.org/ZDB-GENE-030131-4174</v>
      </c>
      <c r="E9563" t="s">
        <v>28652</v>
      </c>
    </row>
    <row r="9564" spans="1:5" x14ac:dyDescent="0.2">
      <c r="A9564" t="s">
        <v>28653</v>
      </c>
      <c r="B9564" t="s">
        <v>28654</v>
      </c>
      <c r="C9564" t="s">
        <v>28654</v>
      </c>
      <c r="D9564" t="str">
        <f>HYPERLINK("https://zfin.org/ZDB-GENE-040426-857")</f>
        <v>https://zfin.org/ZDB-GENE-040426-857</v>
      </c>
      <c r="E9564" t="s">
        <v>28655</v>
      </c>
    </row>
    <row r="9565" spans="1:5" x14ac:dyDescent="0.2">
      <c r="A9565" t="s">
        <v>28656</v>
      </c>
      <c r="B9565" t="s">
        <v>28657</v>
      </c>
      <c r="C9565" t="s">
        <v>28657</v>
      </c>
      <c r="D9565" t="str">
        <f>HYPERLINK("https://zfin.org/ZDB-GENE-081104-40")</f>
        <v>https://zfin.org/ZDB-GENE-081104-40</v>
      </c>
      <c r="E9565" t="s">
        <v>28658</v>
      </c>
    </row>
    <row r="9566" spans="1:5" x14ac:dyDescent="0.2">
      <c r="A9566" t="s">
        <v>28659</v>
      </c>
      <c r="B9566" t="s">
        <v>28660</v>
      </c>
      <c r="C9566" t="s">
        <v>28660</v>
      </c>
      <c r="D9566" t="str">
        <f>HYPERLINK("https://zfin.org/ZDB-GENE-130530-749")</f>
        <v>https://zfin.org/ZDB-GENE-130530-749</v>
      </c>
      <c r="E9566" t="s">
        <v>28661</v>
      </c>
    </row>
    <row r="9567" spans="1:5" x14ac:dyDescent="0.2">
      <c r="A9567" t="s">
        <v>28662</v>
      </c>
      <c r="B9567" t="s">
        <v>28663</v>
      </c>
      <c r="C9567" t="s">
        <v>28663</v>
      </c>
      <c r="D9567" t="str">
        <f>HYPERLINK("https://zfin.org/ZDB-GENE-070424-30")</f>
        <v>https://zfin.org/ZDB-GENE-070424-30</v>
      </c>
      <c r="E9567" t="s">
        <v>28664</v>
      </c>
    </row>
    <row r="9568" spans="1:5" x14ac:dyDescent="0.2">
      <c r="A9568" t="s">
        <v>28665</v>
      </c>
      <c r="B9568" t="s">
        <v>28666</v>
      </c>
      <c r="C9568" t="s">
        <v>28666</v>
      </c>
      <c r="D9568" t="str">
        <f>HYPERLINK("https://zfin.org/ZDB-GENE-041001-205")</f>
        <v>https://zfin.org/ZDB-GENE-041001-205</v>
      </c>
      <c r="E9568" t="s">
        <v>28667</v>
      </c>
    </row>
    <row r="9569" spans="1:5" x14ac:dyDescent="0.2">
      <c r="A9569" t="s">
        <v>28668</v>
      </c>
      <c r="B9569" t="s">
        <v>28669</v>
      </c>
      <c r="C9569" t="s">
        <v>28669</v>
      </c>
      <c r="D9569" t="str">
        <f>HYPERLINK("https://zfin.org/ZDB-GENE-040426-1203")</f>
        <v>https://zfin.org/ZDB-GENE-040426-1203</v>
      </c>
      <c r="E9569" t="s">
        <v>28670</v>
      </c>
    </row>
    <row r="9570" spans="1:5" x14ac:dyDescent="0.2">
      <c r="A9570" t="s">
        <v>28671</v>
      </c>
      <c r="B9570" t="s">
        <v>28672</v>
      </c>
      <c r="C9570" t="s">
        <v>28672</v>
      </c>
      <c r="D9570" t="str">
        <f>HYPERLINK("https://zfin.org/ZDB-GENE-040426-1153")</f>
        <v>https://zfin.org/ZDB-GENE-040426-1153</v>
      </c>
      <c r="E9570" t="s">
        <v>28673</v>
      </c>
    </row>
    <row r="9571" spans="1:5" x14ac:dyDescent="0.2">
      <c r="A9571" t="s">
        <v>28674</v>
      </c>
      <c r="B9571" t="s">
        <v>28675</v>
      </c>
      <c r="C9571" t="s">
        <v>28675</v>
      </c>
      <c r="D9571" t="str">
        <f>HYPERLINK("https://zfin.org/ZDB-GENE-051127-25")</f>
        <v>https://zfin.org/ZDB-GENE-051127-25</v>
      </c>
      <c r="E9571" t="s">
        <v>28676</v>
      </c>
    </row>
    <row r="9572" spans="1:5" x14ac:dyDescent="0.2">
      <c r="A9572" t="s">
        <v>28677</v>
      </c>
      <c r="B9572" t="s">
        <v>28678</v>
      </c>
      <c r="C9572" t="s">
        <v>28678</v>
      </c>
      <c r="D9572" t="str">
        <f>HYPERLINK("https://zfin.org/ZDB-GENE-050522-71")</f>
        <v>https://zfin.org/ZDB-GENE-050522-71</v>
      </c>
      <c r="E9572" t="s">
        <v>28679</v>
      </c>
    </row>
    <row r="9573" spans="1:5" x14ac:dyDescent="0.2">
      <c r="A9573" t="s">
        <v>28680</v>
      </c>
      <c r="B9573" t="s">
        <v>28681</v>
      </c>
      <c r="C9573" t="s">
        <v>28681</v>
      </c>
      <c r="D9573" t="str">
        <f>HYPERLINK("https://zfin.org/")</f>
        <v>https://zfin.org/</v>
      </c>
      <c r="E9573" t="s">
        <v>28682</v>
      </c>
    </row>
    <row r="9574" spans="1:5" x14ac:dyDescent="0.2">
      <c r="A9574" t="s">
        <v>28683</v>
      </c>
      <c r="B9574" t="s">
        <v>28684</v>
      </c>
      <c r="C9574" t="s">
        <v>28684</v>
      </c>
      <c r="D9574" t="str">
        <f>HYPERLINK("https://zfin.org/ZDB-GENE-030131-3187")</f>
        <v>https://zfin.org/ZDB-GENE-030131-3187</v>
      </c>
      <c r="E9574" t="s">
        <v>28685</v>
      </c>
    </row>
    <row r="9575" spans="1:5" x14ac:dyDescent="0.2">
      <c r="A9575" t="s">
        <v>28686</v>
      </c>
      <c r="B9575" t="s">
        <v>28687</v>
      </c>
      <c r="C9575" t="s">
        <v>28687</v>
      </c>
      <c r="D9575" t="str">
        <f>HYPERLINK("https://zfin.org/ZDB-GENE-061013-662")</f>
        <v>https://zfin.org/ZDB-GENE-061013-662</v>
      </c>
      <c r="E9575" t="s">
        <v>28688</v>
      </c>
    </row>
    <row r="9576" spans="1:5" x14ac:dyDescent="0.2">
      <c r="A9576" t="s">
        <v>28689</v>
      </c>
      <c r="B9576" t="s">
        <v>28690</v>
      </c>
      <c r="C9576" t="s">
        <v>28690</v>
      </c>
      <c r="D9576" t="str">
        <f>HYPERLINK("https://zfin.org/ZDB-GENE-080204-124")</f>
        <v>https://zfin.org/ZDB-GENE-080204-124</v>
      </c>
      <c r="E9576" t="s">
        <v>28691</v>
      </c>
    </row>
    <row r="9577" spans="1:5" x14ac:dyDescent="0.2">
      <c r="A9577" t="s">
        <v>28692</v>
      </c>
      <c r="B9577" t="s">
        <v>28693</v>
      </c>
      <c r="C9577" t="s">
        <v>28693</v>
      </c>
      <c r="D9577" t="str">
        <f>HYPERLINK("https://zfin.org/ZDB-GENE-040426-1917")</f>
        <v>https://zfin.org/ZDB-GENE-040426-1917</v>
      </c>
      <c r="E9577" t="s">
        <v>28694</v>
      </c>
    </row>
    <row r="9578" spans="1:5" x14ac:dyDescent="0.2">
      <c r="A9578" t="s">
        <v>28695</v>
      </c>
      <c r="B9578" t="s">
        <v>28696</v>
      </c>
      <c r="C9578" t="s">
        <v>28696</v>
      </c>
      <c r="D9578" t="str">
        <f>HYPERLINK("https://zfin.org/ZDB-GENE-041111-215")</f>
        <v>https://zfin.org/ZDB-GENE-041111-215</v>
      </c>
      <c r="E9578" t="s">
        <v>28697</v>
      </c>
    </row>
    <row r="9579" spans="1:5" x14ac:dyDescent="0.2">
      <c r="A9579" t="s">
        <v>28698</v>
      </c>
      <c r="B9579" t="s">
        <v>28699</v>
      </c>
      <c r="C9579" t="s">
        <v>28699</v>
      </c>
      <c r="D9579" t="str">
        <f>HYPERLINK("https://zfin.org/ZDB-GENE-071119-4")</f>
        <v>https://zfin.org/ZDB-GENE-071119-4</v>
      </c>
      <c r="E9579" t="s">
        <v>28700</v>
      </c>
    </row>
    <row r="9580" spans="1:5" x14ac:dyDescent="0.2">
      <c r="A9580" t="s">
        <v>28701</v>
      </c>
      <c r="B9580" t="s">
        <v>28702</v>
      </c>
      <c r="C9580" t="s">
        <v>28702</v>
      </c>
      <c r="D9580" t="str">
        <f>HYPERLINK("https://zfin.org/ZDB-GENE-030131-1332")</f>
        <v>https://zfin.org/ZDB-GENE-030131-1332</v>
      </c>
      <c r="E9580" t="s">
        <v>28703</v>
      </c>
    </row>
    <row r="9581" spans="1:5" x14ac:dyDescent="0.2">
      <c r="A9581" t="s">
        <v>28704</v>
      </c>
      <c r="B9581" t="s">
        <v>28705</v>
      </c>
      <c r="C9581" t="s">
        <v>28705</v>
      </c>
      <c r="D9581" t="str">
        <f>HYPERLINK("https://zfin.org/ZDB-GENE-040718-323")</f>
        <v>https://zfin.org/ZDB-GENE-040718-323</v>
      </c>
      <c r="E9581" t="s">
        <v>28706</v>
      </c>
    </row>
    <row r="9582" spans="1:5" x14ac:dyDescent="0.2">
      <c r="A9582" t="s">
        <v>28707</v>
      </c>
      <c r="B9582" t="s">
        <v>28708</v>
      </c>
      <c r="C9582" t="s">
        <v>28708</v>
      </c>
      <c r="D9582" t="str">
        <f>HYPERLINK("https://zfin.org/ZDB-GENE-160114-27")</f>
        <v>https://zfin.org/ZDB-GENE-160114-27</v>
      </c>
      <c r="E9582" t="s">
        <v>28709</v>
      </c>
    </row>
    <row r="9583" spans="1:5" x14ac:dyDescent="0.2">
      <c r="A9583" t="s">
        <v>28710</v>
      </c>
      <c r="B9583" t="s">
        <v>28711</v>
      </c>
      <c r="C9583" t="s">
        <v>28711</v>
      </c>
      <c r="D9583" t="str">
        <f>HYPERLINK("https://zfin.org/ZDB-GENE-030131-37")</f>
        <v>https://zfin.org/ZDB-GENE-030131-37</v>
      </c>
      <c r="E9583" t="s">
        <v>28712</v>
      </c>
    </row>
    <row r="9584" spans="1:5" x14ac:dyDescent="0.2">
      <c r="A9584" t="s">
        <v>28713</v>
      </c>
      <c r="B9584" t="s">
        <v>28714</v>
      </c>
      <c r="C9584" t="s">
        <v>28714</v>
      </c>
      <c r="D9584" t="str">
        <f>HYPERLINK("https://zfin.org/ZDB-GENE-130531-20")</f>
        <v>https://zfin.org/ZDB-GENE-130531-20</v>
      </c>
      <c r="E9584" t="s">
        <v>28715</v>
      </c>
    </row>
    <row r="9585" spans="1:5" x14ac:dyDescent="0.2">
      <c r="A9585" t="s">
        <v>28716</v>
      </c>
      <c r="B9585" t="s">
        <v>28717</v>
      </c>
      <c r="C9585" t="s">
        <v>28717</v>
      </c>
      <c r="D9585" t="str">
        <f>HYPERLINK("https://zfin.org/ZDB-GENE-080204-81")</f>
        <v>https://zfin.org/ZDB-GENE-080204-81</v>
      </c>
      <c r="E9585" t="s">
        <v>28718</v>
      </c>
    </row>
    <row r="9586" spans="1:5" x14ac:dyDescent="0.2">
      <c r="A9586" t="s">
        <v>28719</v>
      </c>
      <c r="B9586" t="s">
        <v>28720</v>
      </c>
      <c r="C9586" t="s">
        <v>28720</v>
      </c>
      <c r="D9586" t="str">
        <f>HYPERLINK("https://zfin.org/ZDB-GENE-090312-201")</f>
        <v>https://zfin.org/ZDB-GENE-090312-201</v>
      </c>
      <c r="E9586" t="s">
        <v>28721</v>
      </c>
    </row>
    <row r="9587" spans="1:5" x14ac:dyDescent="0.2">
      <c r="A9587" t="s">
        <v>28722</v>
      </c>
      <c r="B9587" t="s">
        <v>28723</v>
      </c>
      <c r="C9587" t="s">
        <v>28723</v>
      </c>
      <c r="D9587" t="str">
        <f>HYPERLINK("https://zfin.org/ZDB-GENE-081105-26")</f>
        <v>https://zfin.org/ZDB-GENE-081105-26</v>
      </c>
      <c r="E9587" t="s">
        <v>28724</v>
      </c>
    </row>
    <row r="9588" spans="1:5" x14ac:dyDescent="0.2">
      <c r="A9588" t="s">
        <v>28725</v>
      </c>
      <c r="B9588" t="s">
        <v>28726</v>
      </c>
      <c r="C9588" t="s">
        <v>28726</v>
      </c>
      <c r="D9588" t="str">
        <f>HYPERLINK("https://zfin.org/ZDB-GENE-110411-84")</f>
        <v>https://zfin.org/ZDB-GENE-110411-84</v>
      </c>
      <c r="E9588" t="s">
        <v>28727</v>
      </c>
    </row>
    <row r="9589" spans="1:5" x14ac:dyDescent="0.2">
      <c r="A9589" t="s">
        <v>28728</v>
      </c>
      <c r="B9589" t="s">
        <v>28729</v>
      </c>
      <c r="C9589" t="s">
        <v>28729</v>
      </c>
      <c r="D9589" t="str">
        <f>HYPERLINK("https://zfin.org/ZDB-GENE-061027-88")</f>
        <v>https://zfin.org/ZDB-GENE-061027-88</v>
      </c>
      <c r="E9589" t="s">
        <v>28730</v>
      </c>
    </row>
    <row r="9590" spans="1:5" x14ac:dyDescent="0.2">
      <c r="A9590" t="s">
        <v>28731</v>
      </c>
      <c r="B9590" t="s">
        <v>28732</v>
      </c>
      <c r="C9590" t="s">
        <v>28732</v>
      </c>
      <c r="D9590" t="str">
        <f>HYPERLINK("https://zfin.org/ZDB-GENE-050309-209")</f>
        <v>https://zfin.org/ZDB-GENE-050309-209</v>
      </c>
      <c r="E9590" t="s">
        <v>28733</v>
      </c>
    </row>
    <row r="9591" spans="1:5" x14ac:dyDescent="0.2">
      <c r="A9591" t="s">
        <v>28734</v>
      </c>
      <c r="B9591" t="s">
        <v>28735</v>
      </c>
      <c r="C9591" t="s">
        <v>28735</v>
      </c>
      <c r="D9591" t="str">
        <f>HYPERLINK("https://zfin.org/ZDB-GENE-030131-4741")</f>
        <v>https://zfin.org/ZDB-GENE-030131-4741</v>
      </c>
      <c r="E9591" t="s">
        <v>28736</v>
      </c>
    </row>
    <row r="9592" spans="1:5" x14ac:dyDescent="0.2">
      <c r="A9592" t="s">
        <v>28737</v>
      </c>
      <c r="B9592" t="s">
        <v>28738</v>
      </c>
      <c r="C9592" t="s">
        <v>28738</v>
      </c>
      <c r="D9592" t="str">
        <f>HYPERLINK("https://zfin.org/ZDB-GENE-040426-1090")</f>
        <v>https://zfin.org/ZDB-GENE-040426-1090</v>
      </c>
      <c r="E9592" t="s">
        <v>28739</v>
      </c>
    </row>
    <row r="9593" spans="1:5" x14ac:dyDescent="0.2">
      <c r="A9593" t="s">
        <v>28740</v>
      </c>
      <c r="B9593" t="s">
        <v>28741</v>
      </c>
      <c r="C9593" t="s">
        <v>28741</v>
      </c>
      <c r="D9593" t="str">
        <f>HYPERLINK("https://zfin.org/ZDB-GENE-040426-825")</f>
        <v>https://zfin.org/ZDB-GENE-040426-825</v>
      </c>
      <c r="E9593" t="s">
        <v>28742</v>
      </c>
    </row>
    <row r="9594" spans="1:5" x14ac:dyDescent="0.2">
      <c r="A9594" t="s">
        <v>28743</v>
      </c>
      <c r="B9594" t="s">
        <v>28744</v>
      </c>
      <c r="C9594" t="s">
        <v>28744</v>
      </c>
      <c r="D9594" t="str">
        <f>HYPERLINK("https://zfin.org/ZDB-GENE-060126-1")</f>
        <v>https://zfin.org/ZDB-GENE-060126-1</v>
      </c>
      <c r="E9594" t="s">
        <v>28745</v>
      </c>
    </row>
    <row r="9595" spans="1:5" x14ac:dyDescent="0.2">
      <c r="A9595" t="s">
        <v>28746</v>
      </c>
      <c r="B9595" t="s">
        <v>28747</v>
      </c>
      <c r="C9595" t="s">
        <v>28747</v>
      </c>
      <c r="D9595" t="str">
        <f>HYPERLINK("https://zfin.org/ZDB-GENE-050320-81")</f>
        <v>https://zfin.org/ZDB-GENE-050320-81</v>
      </c>
      <c r="E9595" t="s">
        <v>28748</v>
      </c>
    </row>
    <row r="9596" spans="1:5" x14ac:dyDescent="0.2">
      <c r="A9596" t="s">
        <v>28749</v>
      </c>
      <c r="B9596" t="s">
        <v>28750</v>
      </c>
      <c r="C9596" t="s">
        <v>28750</v>
      </c>
      <c r="D9596" t="str">
        <f>HYPERLINK("https://zfin.org/ZDB-GENE-011018-2")</f>
        <v>https://zfin.org/ZDB-GENE-011018-2</v>
      </c>
      <c r="E9596" t="s">
        <v>28751</v>
      </c>
    </row>
    <row r="9597" spans="1:5" x14ac:dyDescent="0.2">
      <c r="A9597" t="s">
        <v>28752</v>
      </c>
      <c r="B9597" t="s">
        <v>28753</v>
      </c>
      <c r="C9597" t="s">
        <v>28753</v>
      </c>
      <c r="D9597" t="str">
        <f>HYPERLINK("https://zfin.org/ZDB-GENE-090312-18")</f>
        <v>https://zfin.org/ZDB-GENE-090312-18</v>
      </c>
      <c r="E9597" t="s">
        <v>28754</v>
      </c>
    </row>
    <row r="9598" spans="1:5" x14ac:dyDescent="0.2">
      <c r="A9598" t="s">
        <v>28755</v>
      </c>
      <c r="B9598" t="s">
        <v>28756</v>
      </c>
      <c r="C9598" t="s">
        <v>28756</v>
      </c>
      <c r="D9598" t="str">
        <f>HYPERLINK("https://zfin.org/ZDB-GENE-050522-471")</f>
        <v>https://zfin.org/ZDB-GENE-050522-471</v>
      </c>
      <c r="E9598" t="s">
        <v>28757</v>
      </c>
    </row>
    <row r="9599" spans="1:5" x14ac:dyDescent="0.2">
      <c r="A9599" t="s">
        <v>28758</v>
      </c>
      <c r="B9599" t="s">
        <v>28759</v>
      </c>
      <c r="C9599" t="s">
        <v>28759</v>
      </c>
      <c r="D9599" t="str">
        <f>HYPERLINK("https://zfin.org/ZDB-GENE-030131-9858")</f>
        <v>https://zfin.org/ZDB-GENE-030131-9858</v>
      </c>
      <c r="E9599" t="s">
        <v>28760</v>
      </c>
    </row>
    <row r="9600" spans="1:5" x14ac:dyDescent="0.2">
      <c r="A9600" t="s">
        <v>28761</v>
      </c>
      <c r="B9600" t="s">
        <v>28762</v>
      </c>
      <c r="C9600" t="s">
        <v>28762</v>
      </c>
      <c r="D9600" t="str">
        <f>HYPERLINK("https://zfin.org/ZDB-GENE-041010-71")</f>
        <v>https://zfin.org/ZDB-GENE-041010-71</v>
      </c>
      <c r="E9600" t="s">
        <v>28763</v>
      </c>
    </row>
    <row r="9601" spans="1:5" x14ac:dyDescent="0.2">
      <c r="A9601" t="s">
        <v>28764</v>
      </c>
      <c r="B9601" t="s">
        <v>28765</v>
      </c>
      <c r="C9601" t="s">
        <v>28765</v>
      </c>
      <c r="D9601" t="str">
        <f>HYPERLINK("https://zfin.org/ZDB-GENE-040912-46")</f>
        <v>https://zfin.org/ZDB-GENE-040912-46</v>
      </c>
      <c r="E9601" t="s">
        <v>28766</v>
      </c>
    </row>
    <row r="9602" spans="1:5" x14ac:dyDescent="0.2">
      <c r="A9602" t="s">
        <v>28767</v>
      </c>
      <c r="B9602" t="s">
        <v>28768</v>
      </c>
      <c r="C9602" t="s">
        <v>28768</v>
      </c>
      <c r="D9602" t="str">
        <f>HYPERLINK("https://zfin.org/ZDB-GENE-030131-2810")</f>
        <v>https://zfin.org/ZDB-GENE-030131-2810</v>
      </c>
      <c r="E9602" t="s">
        <v>28769</v>
      </c>
    </row>
    <row r="9603" spans="1:5" x14ac:dyDescent="0.2">
      <c r="A9603" t="s">
        <v>28770</v>
      </c>
      <c r="B9603" t="s">
        <v>28771</v>
      </c>
      <c r="C9603" t="s">
        <v>28771</v>
      </c>
      <c r="D9603" t="str">
        <f>HYPERLINK("https://zfin.org/ZDB-GENE-090313-205")</f>
        <v>https://zfin.org/ZDB-GENE-090313-205</v>
      </c>
      <c r="E9603" t="s">
        <v>28772</v>
      </c>
    </row>
    <row r="9604" spans="1:5" x14ac:dyDescent="0.2">
      <c r="A9604" t="s">
        <v>28773</v>
      </c>
      <c r="B9604" t="s">
        <v>28774</v>
      </c>
      <c r="C9604" t="s">
        <v>28774</v>
      </c>
      <c r="D9604" t="str">
        <f>HYPERLINK("https://zfin.org/ZDB-GENE-060810-66")</f>
        <v>https://zfin.org/ZDB-GENE-060810-66</v>
      </c>
      <c r="E9604" t="s">
        <v>28775</v>
      </c>
    </row>
    <row r="9605" spans="1:5" x14ac:dyDescent="0.2">
      <c r="A9605" t="s">
        <v>28776</v>
      </c>
      <c r="B9605" t="s">
        <v>28777</v>
      </c>
      <c r="C9605" t="s">
        <v>28777</v>
      </c>
      <c r="D9605" t="str">
        <f>HYPERLINK("https://zfin.org/ZDB-GENE-050706-143")</f>
        <v>https://zfin.org/ZDB-GENE-050706-143</v>
      </c>
      <c r="E9605" t="s">
        <v>28778</v>
      </c>
    </row>
    <row r="9606" spans="1:5" x14ac:dyDescent="0.2">
      <c r="A9606" t="s">
        <v>28779</v>
      </c>
      <c r="B9606" t="s">
        <v>28780</v>
      </c>
      <c r="C9606" t="s">
        <v>28780</v>
      </c>
      <c r="D9606" t="str">
        <f>HYPERLINK("https://zfin.org/ZDB-GENE-070424-191")</f>
        <v>https://zfin.org/ZDB-GENE-070424-191</v>
      </c>
      <c r="E9606" t="s">
        <v>28781</v>
      </c>
    </row>
    <row r="9607" spans="1:5" x14ac:dyDescent="0.2">
      <c r="A9607" t="s">
        <v>28782</v>
      </c>
      <c r="B9607" t="s">
        <v>28783</v>
      </c>
      <c r="C9607" t="s">
        <v>28783</v>
      </c>
      <c r="D9607" t="str">
        <f>HYPERLINK("https://zfin.org/ZDB-GENE-030131-4486")</f>
        <v>https://zfin.org/ZDB-GENE-030131-4486</v>
      </c>
      <c r="E9607" t="s">
        <v>28784</v>
      </c>
    </row>
    <row r="9608" spans="1:5" x14ac:dyDescent="0.2">
      <c r="A9608" t="s">
        <v>28785</v>
      </c>
      <c r="B9608" t="s">
        <v>28786</v>
      </c>
      <c r="C9608" t="s">
        <v>28786</v>
      </c>
      <c r="D9608" t="str">
        <f>HYPERLINK("https://zfin.org/ZDB-GENE-130530-626")</f>
        <v>https://zfin.org/ZDB-GENE-130530-626</v>
      </c>
      <c r="E9608" t="s">
        <v>28787</v>
      </c>
    </row>
    <row r="9609" spans="1:5" x14ac:dyDescent="0.2">
      <c r="A9609" t="s">
        <v>28788</v>
      </c>
      <c r="B9609" t="s">
        <v>28789</v>
      </c>
      <c r="C9609" t="s">
        <v>28789</v>
      </c>
      <c r="D9609" t="str">
        <f>HYPERLINK("https://zfin.org/ZDB-GENE-091204-116")</f>
        <v>https://zfin.org/ZDB-GENE-091204-116</v>
      </c>
      <c r="E9609" t="s">
        <v>28790</v>
      </c>
    </row>
    <row r="9610" spans="1:5" x14ac:dyDescent="0.2">
      <c r="A9610" t="s">
        <v>28791</v>
      </c>
      <c r="B9610" t="s">
        <v>28792</v>
      </c>
      <c r="C9610" t="s">
        <v>28792</v>
      </c>
      <c r="D9610" t="str">
        <f>HYPERLINK("https://zfin.org/ZDB-GENE-110913-92")</f>
        <v>https://zfin.org/ZDB-GENE-110913-92</v>
      </c>
      <c r="E9610" t="s">
        <v>28793</v>
      </c>
    </row>
    <row r="9611" spans="1:5" x14ac:dyDescent="0.2">
      <c r="A9611" t="s">
        <v>28794</v>
      </c>
      <c r="B9611" t="s">
        <v>28795</v>
      </c>
      <c r="C9611" t="s">
        <v>28795</v>
      </c>
      <c r="D9611" t="str">
        <f>HYPERLINK("https://zfin.org/ZDB-GENE-040426-817")</f>
        <v>https://zfin.org/ZDB-GENE-040426-817</v>
      </c>
      <c r="E9611" t="s">
        <v>28796</v>
      </c>
    </row>
    <row r="9612" spans="1:5" x14ac:dyDescent="0.2">
      <c r="A9612" t="s">
        <v>28797</v>
      </c>
      <c r="B9612" t="s">
        <v>28798</v>
      </c>
      <c r="C9612" t="s">
        <v>28798</v>
      </c>
      <c r="D9612" t="str">
        <f>HYPERLINK("https://zfin.org/ZDB-GENE-030131-6367")</f>
        <v>https://zfin.org/ZDB-GENE-030131-6367</v>
      </c>
      <c r="E9612" t="s">
        <v>28799</v>
      </c>
    </row>
    <row r="9613" spans="1:5" x14ac:dyDescent="0.2">
      <c r="A9613" t="s">
        <v>28800</v>
      </c>
      <c r="B9613" t="s">
        <v>28801</v>
      </c>
      <c r="C9613" t="s">
        <v>28801</v>
      </c>
      <c r="D9613" t="str">
        <f>HYPERLINK("https://zfin.org/ZDB-GENE-040426-2606")</f>
        <v>https://zfin.org/ZDB-GENE-040426-2606</v>
      </c>
      <c r="E9613" t="s">
        <v>28802</v>
      </c>
    </row>
    <row r="9614" spans="1:5" x14ac:dyDescent="0.2">
      <c r="A9614" t="s">
        <v>28803</v>
      </c>
      <c r="B9614" t="s">
        <v>28804</v>
      </c>
      <c r="C9614" t="s">
        <v>28804</v>
      </c>
      <c r="D9614" t="str">
        <f>HYPERLINK("https://zfin.org/ZDB-GENE-030925-12")</f>
        <v>https://zfin.org/ZDB-GENE-030925-12</v>
      </c>
      <c r="E9614" t="s">
        <v>28805</v>
      </c>
    </row>
    <row r="9615" spans="1:5" x14ac:dyDescent="0.2">
      <c r="A9615" t="s">
        <v>28806</v>
      </c>
      <c r="B9615" t="s">
        <v>28807</v>
      </c>
      <c r="C9615" t="s">
        <v>28807</v>
      </c>
      <c r="D9615" t="str">
        <f>HYPERLINK("https://zfin.org/ZDB-GENE-030131-4865")</f>
        <v>https://zfin.org/ZDB-GENE-030131-4865</v>
      </c>
      <c r="E9615" t="s">
        <v>28808</v>
      </c>
    </row>
    <row r="9616" spans="1:5" x14ac:dyDescent="0.2">
      <c r="A9616" t="s">
        <v>28809</v>
      </c>
      <c r="B9616" t="s">
        <v>28810</v>
      </c>
      <c r="C9616" t="s">
        <v>28810</v>
      </c>
      <c r="D9616" t="str">
        <f>HYPERLINK("https://zfin.org/ZDB-GENE-041114-96")</f>
        <v>https://zfin.org/ZDB-GENE-041114-96</v>
      </c>
      <c r="E9616" t="s">
        <v>28811</v>
      </c>
    </row>
    <row r="9617" spans="1:5" x14ac:dyDescent="0.2">
      <c r="A9617" t="s">
        <v>28812</v>
      </c>
      <c r="B9617" t="s">
        <v>28813</v>
      </c>
      <c r="C9617" t="s">
        <v>28813</v>
      </c>
      <c r="D9617" t="str">
        <f>HYPERLINK("https://zfin.org/ZDB-GENE-040724-17")</f>
        <v>https://zfin.org/ZDB-GENE-040724-17</v>
      </c>
      <c r="E9617" t="s">
        <v>28814</v>
      </c>
    </row>
    <row r="9618" spans="1:5" x14ac:dyDescent="0.2">
      <c r="A9618" t="s">
        <v>28815</v>
      </c>
      <c r="B9618" t="s">
        <v>28816</v>
      </c>
      <c r="C9618" t="s">
        <v>28816</v>
      </c>
      <c r="D9618" t="str">
        <f>HYPERLINK("https://zfin.org/ZDB-GENE-030131-599")</f>
        <v>https://zfin.org/ZDB-GENE-030131-599</v>
      </c>
      <c r="E9618" t="s">
        <v>28817</v>
      </c>
    </row>
    <row r="9619" spans="1:5" x14ac:dyDescent="0.2">
      <c r="A9619" t="s">
        <v>28818</v>
      </c>
      <c r="B9619" t="s">
        <v>28819</v>
      </c>
      <c r="C9619" t="s">
        <v>28819</v>
      </c>
      <c r="D9619" t="str">
        <f>HYPERLINK("https://zfin.org/ZDB-GENE-040520-1")</f>
        <v>https://zfin.org/ZDB-GENE-040520-1</v>
      </c>
      <c r="E9619" t="s">
        <v>28820</v>
      </c>
    </row>
    <row r="9620" spans="1:5" x14ac:dyDescent="0.2">
      <c r="A9620" t="s">
        <v>28821</v>
      </c>
      <c r="B9620" t="s">
        <v>28822</v>
      </c>
      <c r="C9620" t="s">
        <v>28822</v>
      </c>
      <c r="D9620" t="str">
        <f>HYPERLINK("https://zfin.org/ZDB-GENE-110914-47")</f>
        <v>https://zfin.org/ZDB-GENE-110914-47</v>
      </c>
      <c r="E9620" t="s">
        <v>28823</v>
      </c>
    </row>
    <row r="9621" spans="1:5" x14ac:dyDescent="0.2">
      <c r="A9621" t="s">
        <v>28824</v>
      </c>
      <c r="B9621" t="s">
        <v>28825</v>
      </c>
      <c r="C9621" t="s">
        <v>28825</v>
      </c>
      <c r="D9621" t="str">
        <f>HYPERLINK("https://zfin.org/ZDB-GENE-050413-1")</f>
        <v>https://zfin.org/ZDB-GENE-050413-1</v>
      </c>
      <c r="E9621" t="s">
        <v>28826</v>
      </c>
    </row>
    <row r="9622" spans="1:5" x14ac:dyDescent="0.2">
      <c r="A9622" t="s">
        <v>28827</v>
      </c>
      <c r="B9622" t="s">
        <v>28828</v>
      </c>
      <c r="C9622" t="s">
        <v>28828</v>
      </c>
      <c r="D9622" t="str">
        <f>HYPERLINK("https://zfin.org/ZDB-GENE-070912-504")</f>
        <v>https://zfin.org/ZDB-GENE-070912-504</v>
      </c>
      <c r="E9622" t="s">
        <v>28829</v>
      </c>
    </row>
    <row r="9623" spans="1:5" x14ac:dyDescent="0.2">
      <c r="A9623" t="s">
        <v>28830</v>
      </c>
      <c r="B9623" t="s">
        <v>28831</v>
      </c>
      <c r="C9623" t="s">
        <v>28831</v>
      </c>
      <c r="D9623" t="str">
        <f>HYPERLINK("https://zfin.org/ZDB-GENE-070719-6")</f>
        <v>https://zfin.org/ZDB-GENE-070719-6</v>
      </c>
      <c r="E9623" t="s">
        <v>28832</v>
      </c>
    </row>
    <row r="9624" spans="1:5" x14ac:dyDescent="0.2">
      <c r="A9624" t="s">
        <v>28833</v>
      </c>
      <c r="B9624" t="s">
        <v>28834</v>
      </c>
      <c r="C9624" t="s">
        <v>28834</v>
      </c>
      <c r="D9624" t="str">
        <f>HYPERLINK("https://zfin.org/ZDB-GENE-070912-77")</f>
        <v>https://zfin.org/ZDB-GENE-070912-77</v>
      </c>
      <c r="E9624" t="s">
        <v>28835</v>
      </c>
    </row>
    <row r="9625" spans="1:5" x14ac:dyDescent="0.2">
      <c r="A9625" t="s">
        <v>28836</v>
      </c>
      <c r="B9625" t="s">
        <v>28837</v>
      </c>
      <c r="C9625" t="s">
        <v>28837</v>
      </c>
      <c r="D9625" t="str">
        <f>HYPERLINK("https://zfin.org/ZDB-GENE-030131-6400")</f>
        <v>https://zfin.org/ZDB-GENE-030131-6400</v>
      </c>
      <c r="E9625" t="s">
        <v>28838</v>
      </c>
    </row>
    <row r="9626" spans="1:5" x14ac:dyDescent="0.2">
      <c r="A9626" t="s">
        <v>28839</v>
      </c>
      <c r="B9626" t="s">
        <v>28840</v>
      </c>
      <c r="C9626" t="s">
        <v>28840</v>
      </c>
      <c r="D9626" t="str">
        <f>HYPERLINK("https://zfin.org/ZDB-GENE-070912-76")</f>
        <v>https://zfin.org/ZDB-GENE-070912-76</v>
      </c>
      <c r="E9626" t="s">
        <v>28841</v>
      </c>
    </row>
    <row r="9627" spans="1:5" x14ac:dyDescent="0.2">
      <c r="A9627" t="s">
        <v>28842</v>
      </c>
      <c r="B9627" t="s">
        <v>28843</v>
      </c>
      <c r="C9627" t="s">
        <v>28843</v>
      </c>
      <c r="D9627" t="str">
        <f>HYPERLINK("https://zfin.org/ZDB-GENE-061013-393")</f>
        <v>https://zfin.org/ZDB-GENE-061013-393</v>
      </c>
      <c r="E9627" t="s">
        <v>28844</v>
      </c>
    </row>
    <row r="9628" spans="1:5" x14ac:dyDescent="0.2">
      <c r="A9628" t="s">
        <v>28845</v>
      </c>
      <c r="B9628" t="s">
        <v>28846</v>
      </c>
      <c r="C9628" t="s">
        <v>28846</v>
      </c>
      <c r="D9628" t="str">
        <f>HYPERLINK("https://zfin.org/ZDB-GENE-040625-65")</f>
        <v>https://zfin.org/ZDB-GENE-040625-65</v>
      </c>
      <c r="E9628" t="s">
        <v>28847</v>
      </c>
    </row>
    <row r="9629" spans="1:5" x14ac:dyDescent="0.2">
      <c r="A9629" t="s">
        <v>28848</v>
      </c>
      <c r="B9629" t="s">
        <v>28849</v>
      </c>
      <c r="C9629" t="s">
        <v>28849</v>
      </c>
      <c r="D9629" t="str">
        <f>HYPERLINK("https://zfin.org/ZDB-GENE-040426-2033")</f>
        <v>https://zfin.org/ZDB-GENE-040426-2033</v>
      </c>
      <c r="E9629" t="s">
        <v>28850</v>
      </c>
    </row>
    <row r="9630" spans="1:5" x14ac:dyDescent="0.2">
      <c r="A9630" t="s">
        <v>28851</v>
      </c>
      <c r="B9630" t="s">
        <v>28852</v>
      </c>
      <c r="C9630" t="s">
        <v>28852</v>
      </c>
      <c r="D9630" t="str">
        <f>HYPERLINK("https://zfin.org/ZDB-GENE-060809-5")</f>
        <v>https://zfin.org/ZDB-GENE-060809-5</v>
      </c>
      <c r="E9630" t="s">
        <v>28853</v>
      </c>
    </row>
    <row r="9631" spans="1:5" x14ac:dyDescent="0.2">
      <c r="A9631" t="s">
        <v>28854</v>
      </c>
      <c r="B9631" t="s">
        <v>28855</v>
      </c>
      <c r="C9631" t="s">
        <v>28855</v>
      </c>
      <c r="D9631" t="str">
        <f>HYPERLINK("https://zfin.org/ZDB-GENE-040808-12")</f>
        <v>https://zfin.org/ZDB-GENE-040808-12</v>
      </c>
      <c r="E9631" t="s">
        <v>28856</v>
      </c>
    </row>
    <row r="9632" spans="1:5" x14ac:dyDescent="0.2">
      <c r="A9632" t="s">
        <v>28857</v>
      </c>
      <c r="B9632" t="s">
        <v>28858</v>
      </c>
      <c r="C9632" t="s">
        <v>28858</v>
      </c>
      <c r="D9632" t="str">
        <f>HYPERLINK("https://zfin.org/ZDB-GENE-070912-75")</f>
        <v>https://zfin.org/ZDB-GENE-070912-75</v>
      </c>
      <c r="E9632" t="s">
        <v>28859</v>
      </c>
    </row>
    <row r="9633" spans="1:5" x14ac:dyDescent="0.2">
      <c r="A9633" t="s">
        <v>28860</v>
      </c>
      <c r="B9633" t="s">
        <v>28861</v>
      </c>
      <c r="C9633" t="s">
        <v>28861</v>
      </c>
      <c r="D9633" t="str">
        <f>HYPERLINK("https://zfin.org/ZDB-GENE-131125-95")</f>
        <v>https://zfin.org/ZDB-GENE-131125-95</v>
      </c>
      <c r="E9633" t="s">
        <v>28862</v>
      </c>
    </row>
    <row r="9634" spans="1:5" x14ac:dyDescent="0.2">
      <c r="A9634" t="s">
        <v>28863</v>
      </c>
      <c r="B9634" t="s">
        <v>28864</v>
      </c>
      <c r="C9634" t="s">
        <v>28864</v>
      </c>
      <c r="D9634" t="str">
        <f>HYPERLINK("https://zfin.org/ZDB-GENE-040426-1658")</f>
        <v>https://zfin.org/ZDB-GENE-040426-1658</v>
      </c>
      <c r="E9634" t="s">
        <v>28865</v>
      </c>
    </row>
    <row r="9635" spans="1:5" x14ac:dyDescent="0.2">
      <c r="A9635" t="s">
        <v>28866</v>
      </c>
      <c r="B9635" t="s">
        <v>28867</v>
      </c>
      <c r="C9635" t="s">
        <v>28867</v>
      </c>
      <c r="D9635" t="str">
        <f>HYPERLINK("https://zfin.org/ZDB-GENE-091117-44")</f>
        <v>https://zfin.org/ZDB-GENE-091117-44</v>
      </c>
      <c r="E9635" t="s">
        <v>28868</v>
      </c>
    </row>
    <row r="9636" spans="1:5" x14ac:dyDescent="0.2">
      <c r="A9636" t="s">
        <v>28869</v>
      </c>
      <c r="B9636" t="s">
        <v>28870</v>
      </c>
      <c r="C9636" t="s">
        <v>28870</v>
      </c>
      <c r="D9636" t="str">
        <f>HYPERLINK("https://zfin.org/ZDB-GENE-131127-20")</f>
        <v>https://zfin.org/ZDB-GENE-131127-20</v>
      </c>
      <c r="E9636" t="s">
        <v>28871</v>
      </c>
    </row>
    <row r="9637" spans="1:5" x14ac:dyDescent="0.2">
      <c r="A9637" t="s">
        <v>28872</v>
      </c>
      <c r="B9637" t="s">
        <v>28873</v>
      </c>
      <c r="C9637" t="s">
        <v>28873</v>
      </c>
      <c r="D9637" t="str">
        <f>HYPERLINK("https://zfin.org/ZDB-GENE-110913-52")</f>
        <v>https://zfin.org/ZDB-GENE-110913-52</v>
      </c>
      <c r="E9637" t="s">
        <v>28874</v>
      </c>
    </row>
    <row r="9638" spans="1:5" x14ac:dyDescent="0.2">
      <c r="A9638" t="s">
        <v>28875</v>
      </c>
      <c r="B9638" t="s">
        <v>28876</v>
      </c>
      <c r="C9638" t="s">
        <v>28876</v>
      </c>
      <c r="D9638" t="str">
        <f>HYPERLINK("https://zfin.org/ZDB-GENE-030131-2939")</f>
        <v>https://zfin.org/ZDB-GENE-030131-2939</v>
      </c>
      <c r="E9638" t="s">
        <v>28877</v>
      </c>
    </row>
    <row r="9639" spans="1:5" x14ac:dyDescent="0.2">
      <c r="A9639" t="s">
        <v>28878</v>
      </c>
      <c r="B9639" t="s">
        <v>28879</v>
      </c>
      <c r="C9639" t="s">
        <v>28879</v>
      </c>
      <c r="D9639" t="str">
        <f>HYPERLINK("https://zfin.org/ZDB-GENE-010426-4")</f>
        <v>https://zfin.org/ZDB-GENE-010426-4</v>
      </c>
      <c r="E9639" t="s">
        <v>28880</v>
      </c>
    </row>
    <row r="9640" spans="1:5" x14ac:dyDescent="0.2">
      <c r="A9640" t="s">
        <v>28881</v>
      </c>
      <c r="B9640" t="s">
        <v>28882</v>
      </c>
      <c r="C9640" t="s">
        <v>28882</v>
      </c>
      <c r="D9640" t="str">
        <f>HYPERLINK("https://zfin.org/ZDB-GENE-030131-9588")</f>
        <v>https://zfin.org/ZDB-GENE-030131-9588</v>
      </c>
      <c r="E9640" t="s">
        <v>28883</v>
      </c>
    </row>
    <row r="9641" spans="1:5" x14ac:dyDescent="0.2">
      <c r="A9641" t="s">
        <v>28884</v>
      </c>
      <c r="B9641" t="s">
        <v>28885</v>
      </c>
      <c r="C9641" t="s">
        <v>28885</v>
      </c>
      <c r="D9641" t="str">
        <f>HYPERLINK("https://zfin.org/ZDB-GENE-040718-201")</f>
        <v>https://zfin.org/ZDB-GENE-040718-201</v>
      </c>
      <c r="E9641" t="s">
        <v>28886</v>
      </c>
    </row>
    <row r="9642" spans="1:5" x14ac:dyDescent="0.2">
      <c r="A9642" t="s">
        <v>28887</v>
      </c>
      <c r="B9642" t="s">
        <v>28888</v>
      </c>
      <c r="C9642" t="s">
        <v>28888</v>
      </c>
      <c r="D9642" t="str">
        <f>HYPERLINK("https://zfin.org/ZDB-GENE-081104-423")</f>
        <v>https://zfin.org/ZDB-GENE-081104-423</v>
      </c>
      <c r="E9642" t="s">
        <v>28889</v>
      </c>
    </row>
    <row r="9643" spans="1:5" x14ac:dyDescent="0.2">
      <c r="A9643" t="s">
        <v>28890</v>
      </c>
      <c r="B9643" t="s">
        <v>28891</v>
      </c>
      <c r="C9643" t="s">
        <v>28891</v>
      </c>
      <c r="D9643" t="str">
        <f>HYPERLINK("https://zfin.org/ZDB-GENE-030131-2808")</f>
        <v>https://zfin.org/ZDB-GENE-030131-2808</v>
      </c>
      <c r="E9643" t="s">
        <v>28892</v>
      </c>
    </row>
    <row r="9644" spans="1:5" x14ac:dyDescent="0.2">
      <c r="A9644" t="s">
        <v>28893</v>
      </c>
      <c r="B9644" t="s">
        <v>28894</v>
      </c>
      <c r="C9644" t="s">
        <v>28894</v>
      </c>
      <c r="D9644" t="str">
        <f>HYPERLINK("https://zfin.org/ZDB-GENE-050208-558")</f>
        <v>https://zfin.org/ZDB-GENE-050208-558</v>
      </c>
      <c r="E9644" t="s">
        <v>28895</v>
      </c>
    </row>
    <row r="9645" spans="1:5" x14ac:dyDescent="0.2">
      <c r="A9645" t="s">
        <v>28896</v>
      </c>
      <c r="B9645" t="s">
        <v>28897</v>
      </c>
      <c r="C9645" t="s">
        <v>28897</v>
      </c>
      <c r="D9645" t="str">
        <f>HYPERLINK("https://zfin.org/ZDB-GENE-131119-35")</f>
        <v>https://zfin.org/ZDB-GENE-131119-35</v>
      </c>
      <c r="E9645" t="s">
        <v>28898</v>
      </c>
    </row>
    <row r="9646" spans="1:5" x14ac:dyDescent="0.2">
      <c r="A9646" t="s">
        <v>28899</v>
      </c>
      <c r="B9646" t="s">
        <v>28900</v>
      </c>
      <c r="C9646" t="s">
        <v>28900</v>
      </c>
      <c r="D9646" t="str">
        <f>HYPERLINK("https://zfin.org/ZDB-GENE-061013-777")</f>
        <v>https://zfin.org/ZDB-GENE-061013-777</v>
      </c>
      <c r="E9646" t="s">
        <v>28901</v>
      </c>
    </row>
    <row r="9647" spans="1:5" x14ac:dyDescent="0.2">
      <c r="A9647" t="s">
        <v>28902</v>
      </c>
      <c r="B9647" t="s">
        <v>28903</v>
      </c>
      <c r="C9647" t="s">
        <v>28903</v>
      </c>
      <c r="D9647" t="str">
        <f>HYPERLINK("https://zfin.org/ZDB-GENE-061016-1")</f>
        <v>https://zfin.org/ZDB-GENE-061016-1</v>
      </c>
      <c r="E9647" t="s">
        <v>28904</v>
      </c>
    </row>
    <row r="9648" spans="1:5" x14ac:dyDescent="0.2">
      <c r="A9648" t="s">
        <v>28905</v>
      </c>
      <c r="B9648" t="s">
        <v>28906</v>
      </c>
      <c r="C9648" t="s">
        <v>28906</v>
      </c>
      <c r="D9648" t="str">
        <f>HYPERLINK("https://zfin.org/ZDB-GENE-120215-90")</f>
        <v>https://zfin.org/ZDB-GENE-120215-90</v>
      </c>
      <c r="E9648" t="s">
        <v>28907</v>
      </c>
    </row>
    <row r="9649" spans="1:5" x14ac:dyDescent="0.2">
      <c r="A9649" t="s">
        <v>28908</v>
      </c>
      <c r="B9649" t="s">
        <v>28909</v>
      </c>
      <c r="C9649" t="s">
        <v>28909</v>
      </c>
      <c r="D9649" t="str">
        <f>HYPERLINK("https://zfin.org/ZDB-GENE-030131-2283")</f>
        <v>https://zfin.org/ZDB-GENE-030131-2283</v>
      </c>
      <c r="E9649" t="s">
        <v>28910</v>
      </c>
    </row>
    <row r="9650" spans="1:5" x14ac:dyDescent="0.2">
      <c r="A9650" t="s">
        <v>28911</v>
      </c>
      <c r="B9650" t="s">
        <v>28912</v>
      </c>
      <c r="C9650" t="s">
        <v>28912</v>
      </c>
      <c r="D9650" t="str">
        <f>HYPERLINK("https://zfin.org/ZDB-GENE-010816-1")</f>
        <v>https://zfin.org/ZDB-GENE-010816-1</v>
      </c>
      <c r="E9650" t="s">
        <v>28913</v>
      </c>
    </row>
    <row r="9651" spans="1:5" x14ac:dyDescent="0.2">
      <c r="A9651" t="s">
        <v>28914</v>
      </c>
      <c r="B9651" t="s">
        <v>28915</v>
      </c>
      <c r="C9651" t="s">
        <v>28915</v>
      </c>
      <c r="D9651" t="str">
        <f>HYPERLINK("https://zfin.org/ZDB-GENE-010406-2")</f>
        <v>https://zfin.org/ZDB-GENE-010406-2</v>
      </c>
      <c r="E9651" t="s">
        <v>28916</v>
      </c>
    </row>
    <row r="9652" spans="1:5" x14ac:dyDescent="0.2">
      <c r="A9652" t="s">
        <v>28917</v>
      </c>
      <c r="B9652" t="s">
        <v>28918</v>
      </c>
      <c r="C9652" t="s">
        <v>28918</v>
      </c>
      <c r="D9652" t="str">
        <f>HYPERLINK("https://zfin.org/ZDB-GENE-131121-626")</f>
        <v>https://zfin.org/ZDB-GENE-131121-626</v>
      </c>
      <c r="E9652" t="s">
        <v>28919</v>
      </c>
    </row>
    <row r="9653" spans="1:5" x14ac:dyDescent="0.2">
      <c r="A9653" t="s">
        <v>28920</v>
      </c>
      <c r="B9653" t="s">
        <v>28921</v>
      </c>
      <c r="C9653" t="s">
        <v>28921</v>
      </c>
      <c r="D9653" t="str">
        <f>HYPERLINK("https://zfin.org/ZDB-GENE-030131-2987")</f>
        <v>https://zfin.org/ZDB-GENE-030131-2987</v>
      </c>
      <c r="E9653" t="s">
        <v>28922</v>
      </c>
    </row>
    <row r="9654" spans="1:5" x14ac:dyDescent="0.2">
      <c r="A9654" t="s">
        <v>28923</v>
      </c>
      <c r="B9654" t="s">
        <v>28924</v>
      </c>
      <c r="C9654" t="s">
        <v>28924</v>
      </c>
      <c r="D9654" t="str">
        <f>HYPERLINK("https://zfin.org/ZDB-GENE-040426-2953")</f>
        <v>https://zfin.org/ZDB-GENE-040426-2953</v>
      </c>
      <c r="E9654" t="s">
        <v>28925</v>
      </c>
    </row>
    <row r="9655" spans="1:5" x14ac:dyDescent="0.2">
      <c r="A9655" t="s">
        <v>28926</v>
      </c>
      <c r="B9655" t="s">
        <v>28927</v>
      </c>
      <c r="C9655" t="s">
        <v>28927</v>
      </c>
      <c r="D9655" t="str">
        <f>HYPERLINK("https://zfin.org/ZDB-GENE-040426-1268")</f>
        <v>https://zfin.org/ZDB-GENE-040426-1268</v>
      </c>
      <c r="E9655" t="s">
        <v>28928</v>
      </c>
    </row>
    <row r="9656" spans="1:5" x14ac:dyDescent="0.2">
      <c r="A9656" t="s">
        <v>28929</v>
      </c>
      <c r="B9656" t="s">
        <v>28930</v>
      </c>
      <c r="C9656" t="s">
        <v>28930</v>
      </c>
      <c r="D9656" t="str">
        <f>HYPERLINK("https://zfin.org/ZDB-GENE-091118-97")</f>
        <v>https://zfin.org/ZDB-GENE-091118-97</v>
      </c>
      <c r="E9656" t="s">
        <v>28931</v>
      </c>
    </row>
    <row r="9657" spans="1:5" x14ac:dyDescent="0.2">
      <c r="A9657" t="s">
        <v>28932</v>
      </c>
      <c r="B9657" t="s">
        <v>28933</v>
      </c>
      <c r="C9657" t="s">
        <v>28933</v>
      </c>
      <c r="D9657" t="str">
        <f>HYPERLINK("https://zfin.org/ZDB-GENE-060421-4694")</f>
        <v>https://zfin.org/ZDB-GENE-060421-4694</v>
      </c>
      <c r="E9657" t="s">
        <v>28934</v>
      </c>
    </row>
    <row r="9658" spans="1:5" x14ac:dyDescent="0.2">
      <c r="A9658" t="s">
        <v>28935</v>
      </c>
      <c r="B9658" t="s">
        <v>28936</v>
      </c>
      <c r="C9658" t="s">
        <v>28936</v>
      </c>
      <c r="D9658" t="str">
        <f>HYPERLINK("https://zfin.org/ZDB-GENE-030131-5975")</f>
        <v>https://zfin.org/ZDB-GENE-030131-5975</v>
      </c>
      <c r="E9658" t="s">
        <v>28937</v>
      </c>
    </row>
    <row r="9659" spans="1:5" x14ac:dyDescent="0.2">
      <c r="A9659" t="s">
        <v>28938</v>
      </c>
      <c r="B9659" t="s">
        <v>28939</v>
      </c>
      <c r="C9659" t="s">
        <v>28939</v>
      </c>
      <c r="D9659" t="str">
        <f>HYPERLINK("https://zfin.org/ZDB-GENE-081006-1")</f>
        <v>https://zfin.org/ZDB-GENE-081006-1</v>
      </c>
      <c r="E9659" t="s">
        <v>28940</v>
      </c>
    </row>
    <row r="9660" spans="1:5" x14ac:dyDescent="0.2">
      <c r="A9660" t="s">
        <v>28941</v>
      </c>
      <c r="B9660" t="s">
        <v>28942</v>
      </c>
      <c r="C9660" t="s">
        <v>28942</v>
      </c>
      <c r="D9660" t="str">
        <f>HYPERLINK("https://zfin.org/ZDB-GENE-090608-3")</f>
        <v>https://zfin.org/ZDB-GENE-090608-3</v>
      </c>
      <c r="E9660" t="s">
        <v>28943</v>
      </c>
    </row>
    <row r="9661" spans="1:5" x14ac:dyDescent="0.2">
      <c r="A9661" t="s">
        <v>28944</v>
      </c>
      <c r="B9661" t="s">
        <v>28945</v>
      </c>
      <c r="C9661" t="s">
        <v>28945</v>
      </c>
      <c r="D9661" t="str">
        <f>HYPERLINK("https://zfin.org/ZDB-GENE-010430-2")</f>
        <v>https://zfin.org/ZDB-GENE-010430-2</v>
      </c>
      <c r="E9661" t="s">
        <v>28946</v>
      </c>
    </row>
    <row r="9662" spans="1:5" x14ac:dyDescent="0.2">
      <c r="A9662" t="s">
        <v>28947</v>
      </c>
      <c r="B9662" t="s">
        <v>28948</v>
      </c>
      <c r="C9662" t="s">
        <v>28948</v>
      </c>
      <c r="D9662" t="str">
        <f>HYPERLINK("https://zfin.org/ZDB-GENE-071218-1")</f>
        <v>https://zfin.org/ZDB-GENE-071218-1</v>
      </c>
      <c r="E9662" t="s">
        <v>28949</v>
      </c>
    </row>
    <row r="9663" spans="1:5" x14ac:dyDescent="0.2">
      <c r="A9663" t="s">
        <v>28950</v>
      </c>
      <c r="B9663" t="s">
        <v>28951</v>
      </c>
      <c r="C9663" t="s">
        <v>28951</v>
      </c>
      <c r="D9663" t="str">
        <f>HYPERLINK("https://zfin.org/ZDB-GENE-070912-149")</f>
        <v>https://zfin.org/ZDB-GENE-070912-149</v>
      </c>
      <c r="E9663" t="s">
        <v>28952</v>
      </c>
    </row>
    <row r="9664" spans="1:5" x14ac:dyDescent="0.2">
      <c r="A9664" t="s">
        <v>28953</v>
      </c>
      <c r="B9664" t="s">
        <v>28954</v>
      </c>
      <c r="C9664" t="s">
        <v>28954</v>
      </c>
      <c r="D9664" t="str">
        <f>HYPERLINK("https://zfin.org/ZDB-GENE-131126-25")</f>
        <v>https://zfin.org/ZDB-GENE-131126-25</v>
      </c>
      <c r="E9664" t="s">
        <v>28955</v>
      </c>
    </row>
    <row r="9665" spans="1:5" x14ac:dyDescent="0.2">
      <c r="A9665" t="s">
        <v>28956</v>
      </c>
      <c r="B9665" t="s">
        <v>28957</v>
      </c>
      <c r="C9665" t="s">
        <v>28957</v>
      </c>
      <c r="D9665" t="str">
        <f>HYPERLINK("https://zfin.org/ZDB-GENE-030131-8103")</f>
        <v>https://zfin.org/ZDB-GENE-030131-8103</v>
      </c>
      <c r="E9665" t="s">
        <v>28958</v>
      </c>
    </row>
    <row r="9666" spans="1:5" x14ac:dyDescent="0.2">
      <c r="A9666" t="s">
        <v>28959</v>
      </c>
      <c r="B9666" t="s">
        <v>28960</v>
      </c>
      <c r="C9666" t="s">
        <v>28960</v>
      </c>
      <c r="D9666" t="str">
        <f>HYPERLINK("https://zfin.org/ZDB-GENE-050419-206")</f>
        <v>https://zfin.org/ZDB-GENE-050419-206</v>
      </c>
      <c r="E9666" t="s">
        <v>28961</v>
      </c>
    </row>
    <row r="9667" spans="1:5" x14ac:dyDescent="0.2">
      <c r="A9667" t="s">
        <v>28962</v>
      </c>
      <c r="B9667" t="s">
        <v>28963</v>
      </c>
      <c r="C9667" t="s">
        <v>28963</v>
      </c>
      <c r="D9667" t="str">
        <f>HYPERLINK("https://zfin.org/ZDB-GENE-080523-3")</f>
        <v>https://zfin.org/ZDB-GENE-080523-3</v>
      </c>
      <c r="E9667" t="s">
        <v>28964</v>
      </c>
    </row>
    <row r="9668" spans="1:5" x14ac:dyDescent="0.2">
      <c r="A9668" t="s">
        <v>28965</v>
      </c>
      <c r="B9668" t="s">
        <v>28966</v>
      </c>
      <c r="C9668" t="s">
        <v>28966</v>
      </c>
      <c r="D9668" t="str">
        <f>HYPERLINK("https://zfin.org/ZDB-GENE-070912-332")</f>
        <v>https://zfin.org/ZDB-GENE-070912-332</v>
      </c>
      <c r="E9668" t="s">
        <v>28967</v>
      </c>
    </row>
    <row r="9669" spans="1:5" x14ac:dyDescent="0.2">
      <c r="A9669" t="s">
        <v>28968</v>
      </c>
      <c r="B9669" t="s">
        <v>28969</v>
      </c>
      <c r="C9669" t="s">
        <v>28969</v>
      </c>
      <c r="D9669" t="str">
        <f>HYPERLINK("https://zfin.org/ZDB-GENE-060526-328")</f>
        <v>https://zfin.org/ZDB-GENE-060526-328</v>
      </c>
      <c r="E9669" t="s">
        <v>28970</v>
      </c>
    </row>
    <row r="9670" spans="1:5" x14ac:dyDescent="0.2">
      <c r="A9670" t="s">
        <v>28971</v>
      </c>
      <c r="B9670" t="s">
        <v>28972</v>
      </c>
      <c r="C9670" t="s">
        <v>28972</v>
      </c>
      <c r="D9670" t="str">
        <f>HYPERLINK("https://zfin.org/ZDB-GENE-141216-202")</f>
        <v>https://zfin.org/ZDB-GENE-141216-202</v>
      </c>
      <c r="E9670" t="s">
        <v>28973</v>
      </c>
    </row>
    <row r="9671" spans="1:5" x14ac:dyDescent="0.2">
      <c r="A9671" t="s">
        <v>28974</v>
      </c>
      <c r="B9671" t="s">
        <v>28975</v>
      </c>
      <c r="C9671" t="s">
        <v>28975</v>
      </c>
      <c r="D9671" t="str">
        <f>HYPERLINK("https://zfin.org/ZDB-GENE-090514-5")</f>
        <v>https://zfin.org/ZDB-GENE-090514-5</v>
      </c>
      <c r="E9671" t="s">
        <v>28976</v>
      </c>
    </row>
    <row r="9672" spans="1:5" x14ac:dyDescent="0.2">
      <c r="A9672" t="s">
        <v>28977</v>
      </c>
      <c r="B9672" t="s">
        <v>28978</v>
      </c>
      <c r="C9672" t="s">
        <v>28978</v>
      </c>
      <c r="D9672" t="str">
        <f>HYPERLINK("https://zfin.org/ZDB-GENE-030131-6682")</f>
        <v>https://zfin.org/ZDB-GENE-030131-6682</v>
      </c>
      <c r="E9672" t="s">
        <v>28979</v>
      </c>
    </row>
    <row r="9673" spans="1:5" x14ac:dyDescent="0.2">
      <c r="A9673" t="s">
        <v>28980</v>
      </c>
      <c r="B9673" t="s">
        <v>28981</v>
      </c>
      <c r="C9673" t="s">
        <v>28981</v>
      </c>
      <c r="D9673" t="str">
        <f>HYPERLINK("https://zfin.org/ZDB-GENE-131127-321")</f>
        <v>https://zfin.org/ZDB-GENE-131127-321</v>
      </c>
      <c r="E9673" t="s">
        <v>28982</v>
      </c>
    </row>
    <row r="9674" spans="1:5" x14ac:dyDescent="0.2">
      <c r="A9674" t="s">
        <v>28983</v>
      </c>
      <c r="B9674" t="s">
        <v>28984</v>
      </c>
      <c r="C9674" t="s">
        <v>28984</v>
      </c>
      <c r="D9674" t="str">
        <f>HYPERLINK("https://zfin.org/ZDB-GENE-040426-2784")</f>
        <v>https://zfin.org/ZDB-GENE-040426-2784</v>
      </c>
      <c r="E9674" t="s">
        <v>28985</v>
      </c>
    </row>
    <row r="9675" spans="1:5" x14ac:dyDescent="0.2">
      <c r="A9675" t="s">
        <v>28986</v>
      </c>
      <c r="B9675" t="s">
        <v>28987</v>
      </c>
      <c r="C9675" t="s">
        <v>28987</v>
      </c>
      <c r="D9675" t="str">
        <f>HYPERLINK("https://zfin.org/ZDB-GENE-041008-209")</f>
        <v>https://zfin.org/ZDB-GENE-041008-209</v>
      </c>
      <c r="E9675" t="s">
        <v>28988</v>
      </c>
    </row>
    <row r="9676" spans="1:5" x14ac:dyDescent="0.2">
      <c r="A9676" t="s">
        <v>28989</v>
      </c>
      <c r="B9676" t="s">
        <v>28990</v>
      </c>
      <c r="C9676" t="s">
        <v>28990</v>
      </c>
      <c r="D9676" t="str">
        <f>HYPERLINK("https://zfin.org/ZDB-GENE-030131-3509")</f>
        <v>https://zfin.org/ZDB-GENE-030131-3509</v>
      </c>
      <c r="E9676" t="s">
        <v>28991</v>
      </c>
    </row>
    <row r="9677" spans="1:5" x14ac:dyDescent="0.2">
      <c r="A9677" t="s">
        <v>28992</v>
      </c>
      <c r="B9677" t="s">
        <v>28993</v>
      </c>
      <c r="C9677" t="s">
        <v>28993</v>
      </c>
      <c r="D9677" t="str">
        <f>HYPERLINK("https://zfin.org/ZDB-GENE-030131-3038")</f>
        <v>https://zfin.org/ZDB-GENE-030131-3038</v>
      </c>
      <c r="E9677" t="s">
        <v>28994</v>
      </c>
    </row>
    <row r="9678" spans="1:5" x14ac:dyDescent="0.2">
      <c r="A9678" t="s">
        <v>28995</v>
      </c>
      <c r="B9678" t="s">
        <v>28996</v>
      </c>
      <c r="C9678" t="s">
        <v>28996</v>
      </c>
      <c r="D9678" t="str">
        <f>HYPERLINK("https://zfin.org/ZDB-GENE-041010-67")</f>
        <v>https://zfin.org/ZDB-GENE-041010-67</v>
      </c>
      <c r="E9678" t="s">
        <v>28997</v>
      </c>
    </row>
    <row r="9679" spans="1:5" x14ac:dyDescent="0.2">
      <c r="A9679" t="s">
        <v>28998</v>
      </c>
      <c r="B9679" t="s">
        <v>28999</v>
      </c>
      <c r="C9679" t="s">
        <v>28999</v>
      </c>
      <c r="D9679" t="str">
        <f>HYPERLINK("https://zfin.org/ZDB-GENE-030131-3402")</f>
        <v>https://zfin.org/ZDB-GENE-030131-3402</v>
      </c>
      <c r="E9679" t="s">
        <v>29000</v>
      </c>
    </row>
    <row r="9680" spans="1:5" x14ac:dyDescent="0.2">
      <c r="A9680" t="s">
        <v>29001</v>
      </c>
      <c r="B9680" t="s">
        <v>29002</v>
      </c>
      <c r="C9680" t="s">
        <v>29002</v>
      </c>
      <c r="D9680" t="str">
        <f>HYPERLINK("https://zfin.org/ZDB-GENE-000208-28")</f>
        <v>https://zfin.org/ZDB-GENE-000208-28</v>
      </c>
      <c r="E9680" t="s">
        <v>29003</v>
      </c>
    </row>
    <row r="9681" spans="1:5" x14ac:dyDescent="0.2">
      <c r="A9681" t="s">
        <v>29004</v>
      </c>
      <c r="B9681" t="s">
        <v>29005</v>
      </c>
      <c r="C9681" t="s">
        <v>29005</v>
      </c>
      <c r="D9681" t="str">
        <f>HYPERLINK("https://zfin.org/ZDB-GENE-041210-115")</f>
        <v>https://zfin.org/ZDB-GENE-041210-115</v>
      </c>
      <c r="E9681" t="s">
        <v>29006</v>
      </c>
    </row>
    <row r="9682" spans="1:5" x14ac:dyDescent="0.2">
      <c r="A9682" t="s">
        <v>29007</v>
      </c>
      <c r="B9682" t="s">
        <v>29008</v>
      </c>
      <c r="C9682" t="s">
        <v>29008</v>
      </c>
      <c r="D9682" t="str">
        <f>HYPERLINK("https://zfin.org/ZDB-GENE-040704-54")</f>
        <v>https://zfin.org/ZDB-GENE-040704-54</v>
      </c>
      <c r="E9682" t="s">
        <v>29009</v>
      </c>
    </row>
    <row r="9683" spans="1:5" x14ac:dyDescent="0.2">
      <c r="A9683" t="s">
        <v>29010</v>
      </c>
      <c r="B9683" t="s">
        <v>29011</v>
      </c>
      <c r="C9683" t="s">
        <v>29011</v>
      </c>
      <c r="D9683" t="str">
        <f>HYPERLINK("https://zfin.org/ZDB-GENE-040426-1837")</f>
        <v>https://zfin.org/ZDB-GENE-040426-1837</v>
      </c>
      <c r="E9683" t="s">
        <v>29012</v>
      </c>
    </row>
    <row r="9684" spans="1:5" x14ac:dyDescent="0.2">
      <c r="A9684" t="s">
        <v>29013</v>
      </c>
      <c r="B9684" t="s">
        <v>29014</v>
      </c>
      <c r="C9684" t="s">
        <v>29014</v>
      </c>
      <c r="D9684" t="str">
        <f>HYPERLINK("https://zfin.org/ZDB-GENE-090429-3")</f>
        <v>https://zfin.org/ZDB-GENE-090429-3</v>
      </c>
      <c r="E9684" t="s">
        <v>29015</v>
      </c>
    </row>
    <row r="9685" spans="1:5" x14ac:dyDescent="0.2">
      <c r="A9685" t="s">
        <v>29016</v>
      </c>
      <c r="B9685" t="s">
        <v>29017</v>
      </c>
      <c r="C9685" t="s">
        <v>29017</v>
      </c>
      <c r="D9685" t="str">
        <f>HYPERLINK("https://zfin.org/ZDB-GENE-041111-294")</f>
        <v>https://zfin.org/ZDB-GENE-041111-294</v>
      </c>
      <c r="E9685" t="s">
        <v>29018</v>
      </c>
    </row>
    <row r="9686" spans="1:5" x14ac:dyDescent="0.2">
      <c r="A9686" t="s">
        <v>29019</v>
      </c>
      <c r="B9686" t="s">
        <v>29020</v>
      </c>
      <c r="C9686" t="s">
        <v>29020</v>
      </c>
      <c r="D9686" t="str">
        <f>HYPERLINK("https://zfin.org/ZDB-GENE-140106-104")</f>
        <v>https://zfin.org/ZDB-GENE-140106-104</v>
      </c>
      <c r="E9686" t="s">
        <v>29021</v>
      </c>
    </row>
    <row r="9687" spans="1:5" x14ac:dyDescent="0.2">
      <c r="A9687" t="s">
        <v>29022</v>
      </c>
      <c r="B9687" t="s">
        <v>29023</v>
      </c>
      <c r="C9687" t="s">
        <v>29023</v>
      </c>
      <c r="D9687" t="str">
        <f>HYPERLINK("https://zfin.org/ZDB-GENE-080220-32")</f>
        <v>https://zfin.org/ZDB-GENE-080220-32</v>
      </c>
      <c r="E9687" t="s">
        <v>29024</v>
      </c>
    </row>
    <row r="9688" spans="1:5" x14ac:dyDescent="0.2">
      <c r="A9688" t="s">
        <v>29025</v>
      </c>
      <c r="B9688" t="s">
        <v>29026</v>
      </c>
      <c r="C9688" t="s">
        <v>29026</v>
      </c>
      <c r="D9688" t="str">
        <f>HYPERLINK("https://zfin.org/ZDB-GENE-050417-323")</f>
        <v>https://zfin.org/ZDB-GENE-050417-323</v>
      </c>
      <c r="E9688" t="s">
        <v>29027</v>
      </c>
    </row>
    <row r="9689" spans="1:5" x14ac:dyDescent="0.2">
      <c r="A9689" t="s">
        <v>29028</v>
      </c>
      <c r="B9689" t="s">
        <v>29029</v>
      </c>
      <c r="C9689" t="s">
        <v>29029</v>
      </c>
      <c r="D9689" t="str">
        <f>HYPERLINK("https://zfin.org/ZDB-GENE-131121-32")</f>
        <v>https://zfin.org/ZDB-GENE-131121-32</v>
      </c>
      <c r="E9689" t="s">
        <v>29030</v>
      </c>
    </row>
    <row r="9690" spans="1:5" x14ac:dyDescent="0.2">
      <c r="A9690" t="s">
        <v>29031</v>
      </c>
      <c r="B9690" t="s">
        <v>29032</v>
      </c>
      <c r="C9690" t="s">
        <v>29032</v>
      </c>
      <c r="D9690" t="str">
        <f>HYPERLINK("https://zfin.org/ZDB-GENE-090601-1")</f>
        <v>https://zfin.org/ZDB-GENE-090601-1</v>
      </c>
      <c r="E9690" t="s">
        <v>29033</v>
      </c>
    </row>
    <row r="9691" spans="1:5" x14ac:dyDescent="0.2">
      <c r="A9691" t="s">
        <v>29034</v>
      </c>
      <c r="B9691" t="s">
        <v>29035</v>
      </c>
      <c r="C9691" t="s">
        <v>29035</v>
      </c>
      <c r="D9691" t="str">
        <f>HYPERLINK("https://zfin.org/ZDB-GENE-071016-4")</f>
        <v>https://zfin.org/ZDB-GENE-071016-4</v>
      </c>
      <c r="E9691" t="s">
        <v>29036</v>
      </c>
    </row>
    <row r="9692" spans="1:5" x14ac:dyDescent="0.2">
      <c r="A9692" t="s">
        <v>29037</v>
      </c>
      <c r="B9692" t="s">
        <v>29038</v>
      </c>
      <c r="C9692" t="s">
        <v>29038</v>
      </c>
      <c r="D9692" t="str">
        <f>HYPERLINK("https://zfin.org/ZDB-GENE-121120-3")</f>
        <v>https://zfin.org/ZDB-GENE-121120-3</v>
      </c>
      <c r="E9692" t="s">
        <v>29039</v>
      </c>
    </row>
    <row r="9693" spans="1:5" x14ac:dyDescent="0.2">
      <c r="A9693" t="s">
        <v>29040</v>
      </c>
      <c r="B9693" t="s">
        <v>29041</v>
      </c>
      <c r="C9693" t="s">
        <v>29041</v>
      </c>
      <c r="D9693" t="str">
        <f>HYPERLINK("https://zfin.org/ZDB-GENE-030131-6531")</f>
        <v>https://zfin.org/ZDB-GENE-030131-6531</v>
      </c>
      <c r="E9693" t="s">
        <v>29042</v>
      </c>
    </row>
    <row r="9694" spans="1:5" x14ac:dyDescent="0.2">
      <c r="A9694" t="s">
        <v>29043</v>
      </c>
      <c r="B9694" t="s">
        <v>29044</v>
      </c>
      <c r="C9694" t="s">
        <v>29044</v>
      </c>
      <c r="D9694" t="str">
        <f>HYPERLINK("https://zfin.org/ZDB-GENE-040905-4")</f>
        <v>https://zfin.org/ZDB-GENE-040905-4</v>
      </c>
      <c r="E9694" t="s">
        <v>29045</v>
      </c>
    </row>
    <row r="9695" spans="1:5" x14ac:dyDescent="0.2">
      <c r="A9695" t="s">
        <v>29046</v>
      </c>
      <c r="B9695" t="s">
        <v>29047</v>
      </c>
      <c r="C9695" t="s">
        <v>29047</v>
      </c>
      <c r="D9695" t="str">
        <f>HYPERLINK("https://zfin.org/ZDB-GENE-041210-116")</f>
        <v>https://zfin.org/ZDB-GENE-041210-116</v>
      </c>
      <c r="E9695" t="s">
        <v>29048</v>
      </c>
    </row>
    <row r="9696" spans="1:5" x14ac:dyDescent="0.2">
      <c r="A9696" t="s">
        <v>29049</v>
      </c>
      <c r="B9696" t="s">
        <v>29050</v>
      </c>
      <c r="C9696" t="s">
        <v>29050</v>
      </c>
      <c r="D9696" t="str">
        <f>HYPERLINK("https://zfin.org/ZDB-GENE-060810-45")</f>
        <v>https://zfin.org/ZDB-GENE-060810-45</v>
      </c>
      <c r="E9696" t="s">
        <v>29051</v>
      </c>
    </row>
    <row r="9697" spans="1:5" x14ac:dyDescent="0.2">
      <c r="A9697" t="s">
        <v>29052</v>
      </c>
      <c r="B9697" t="s">
        <v>29053</v>
      </c>
      <c r="C9697" t="s">
        <v>29053</v>
      </c>
      <c r="D9697" t="str">
        <f>HYPERLINK("https://zfin.org/ZDB-GENE-030131-5721")</f>
        <v>https://zfin.org/ZDB-GENE-030131-5721</v>
      </c>
      <c r="E9697" t="s">
        <v>29054</v>
      </c>
    </row>
    <row r="9698" spans="1:5" x14ac:dyDescent="0.2">
      <c r="A9698" t="s">
        <v>29055</v>
      </c>
      <c r="B9698" t="s">
        <v>29056</v>
      </c>
      <c r="C9698" t="s">
        <v>29056</v>
      </c>
      <c r="D9698" t="str">
        <f>HYPERLINK("https://zfin.org/ZDB-GENE-040801-169")</f>
        <v>https://zfin.org/ZDB-GENE-040801-169</v>
      </c>
      <c r="E9698" t="s">
        <v>29057</v>
      </c>
    </row>
    <row r="9699" spans="1:5" x14ac:dyDescent="0.2">
      <c r="A9699" t="s">
        <v>29058</v>
      </c>
      <c r="B9699" t="s">
        <v>29059</v>
      </c>
      <c r="C9699" t="s">
        <v>29059</v>
      </c>
      <c r="D9699" t="str">
        <f>HYPERLINK("https://zfin.org/ZDB-GENE-050506-118")</f>
        <v>https://zfin.org/ZDB-GENE-050506-118</v>
      </c>
      <c r="E9699" t="s">
        <v>29060</v>
      </c>
    </row>
    <row r="9700" spans="1:5" x14ac:dyDescent="0.2">
      <c r="A9700" t="s">
        <v>29061</v>
      </c>
      <c r="B9700" t="s">
        <v>29062</v>
      </c>
      <c r="C9700" t="s">
        <v>29062</v>
      </c>
      <c r="D9700" t="str">
        <f>HYPERLINK("https://zfin.org/ZDB-GENE-070628-4")</f>
        <v>https://zfin.org/ZDB-GENE-070628-4</v>
      </c>
      <c r="E9700" t="s">
        <v>29063</v>
      </c>
    </row>
    <row r="9701" spans="1:5" x14ac:dyDescent="0.2">
      <c r="A9701" t="s">
        <v>29064</v>
      </c>
      <c r="B9701" t="s">
        <v>29065</v>
      </c>
      <c r="C9701" t="s">
        <v>29065</v>
      </c>
      <c r="D9701" t="str">
        <f>HYPERLINK("https://zfin.org/ZDB-GENE-070912-366")</f>
        <v>https://zfin.org/ZDB-GENE-070912-366</v>
      </c>
      <c r="E9701" t="s">
        <v>29066</v>
      </c>
    </row>
    <row r="9702" spans="1:5" x14ac:dyDescent="0.2">
      <c r="A9702" t="s">
        <v>29067</v>
      </c>
      <c r="B9702" t="s">
        <v>29068</v>
      </c>
      <c r="C9702" t="s">
        <v>29068</v>
      </c>
      <c r="D9702" t="str">
        <f>HYPERLINK("https://zfin.org/ZDB-GENE-040426-1801")</f>
        <v>https://zfin.org/ZDB-GENE-040426-1801</v>
      </c>
      <c r="E9702" t="s">
        <v>29069</v>
      </c>
    </row>
    <row r="9703" spans="1:5" x14ac:dyDescent="0.2">
      <c r="A9703" t="s">
        <v>29070</v>
      </c>
      <c r="B9703" t="s">
        <v>29071</v>
      </c>
      <c r="C9703" t="s">
        <v>29071</v>
      </c>
      <c r="D9703" t="str">
        <f>HYPERLINK("https://zfin.org/ZDB-GENE-030123-1")</f>
        <v>https://zfin.org/ZDB-GENE-030123-1</v>
      </c>
      <c r="E9703" t="s">
        <v>29072</v>
      </c>
    </row>
    <row r="9704" spans="1:5" x14ac:dyDescent="0.2">
      <c r="A9704" t="s">
        <v>29073</v>
      </c>
      <c r="B9704" t="s">
        <v>29074</v>
      </c>
      <c r="C9704" t="s">
        <v>29074</v>
      </c>
      <c r="D9704" t="str">
        <f>HYPERLINK("https://zfin.org/ZDB-GENE-081105-185")</f>
        <v>https://zfin.org/ZDB-GENE-081105-185</v>
      </c>
      <c r="E9704" t="s">
        <v>29075</v>
      </c>
    </row>
    <row r="9705" spans="1:5" x14ac:dyDescent="0.2">
      <c r="A9705" t="s">
        <v>29076</v>
      </c>
      <c r="B9705" t="s">
        <v>29077</v>
      </c>
      <c r="C9705" t="s">
        <v>29077</v>
      </c>
      <c r="D9705" t="str">
        <f>HYPERLINK("https://zfin.org/ZDB-GENE-030131-6913")</f>
        <v>https://zfin.org/ZDB-GENE-030131-6913</v>
      </c>
      <c r="E9705" t="s">
        <v>29078</v>
      </c>
    </row>
    <row r="9706" spans="1:5" x14ac:dyDescent="0.2">
      <c r="A9706" t="s">
        <v>29079</v>
      </c>
      <c r="B9706" t="s">
        <v>29080</v>
      </c>
      <c r="C9706" t="s">
        <v>29080</v>
      </c>
      <c r="D9706" t="str">
        <f>HYPERLINK("https://zfin.org/ZDB-GENE-050419-204")</f>
        <v>https://zfin.org/ZDB-GENE-050419-204</v>
      </c>
      <c r="E9706" t="s">
        <v>29081</v>
      </c>
    </row>
    <row r="9707" spans="1:5" x14ac:dyDescent="0.2">
      <c r="A9707" t="s">
        <v>29082</v>
      </c>
      <c r="B9707" t="s">
        <v>29083</v>
      </c>
      <c r="C9707" t="s">
        <v>29083</v>
      </c>
      <c r="D9707" t="str">
        <f>HYPERLINK("https://zfin.org/ZDB-GENE-030131-7791")</f>
        <v>https://zfin.org/ZDB-GENE-030131-7791</v>
      </c>
      <c r="E9707" t="s">
        <v>29084</v>
      </c>
    </row>
    <row r="9708" spans="1:5" x14ac:dyDescent="0.2">
      <c r="A9708" t="s">
        <v>29085</v>
      </c>
      <c r="B9708" t="s">
        <v>29086</v>
      </c>
      <c r="C9708" t="s">
        <v>29086</v>
      </c>
      <c r="D9708" t="str">
        <f>HYPERLINK("https://zfin.org/ZDB-GENE-030131-1873")</f>
        <v>https://zfin.org/ZDB-GENE-030131-1873</v>
      </c>
      <c r="E9708" t="s">
        <v>29087</v>
      </c>
    </row>
    <row r="9709" spans="1:5" x14ac:dyDescent="0.2">
      <c r="A9709" t="s">
        <v>29088</v>
      </c>
      <c r="B9709" t="s">
        <v>29089</v>
      </c>
      <c r="C9709" t="s">
        <v>29089</v>
      </c>
      <c r="D9709" t="str">
        <f>HYPERLINK("https://zfin.org/ZDB-GENE-030616-413")</f>
        <v>https://zfin.org/ZDB-GENE-030616-413</v>
      </c>
      <c r="E9709" t="s">
        <v>29090</v>
      </c>
    </row>
    <row r="9710" spans="1:5" x14ac:dyDescent="0.2">
      <c r="A9710" t="s">
        <v>29091</v>
      </c>
      <c r="B9710" t="s">
        <v>29092</v>
      </c>
      <c r="C9710" t="s">
        <v>29092</v>
      </c>
      <c r="D9710" t="str">
        <f>HYPERLINK("https://zfin.org/ZDB-GENE-100406-4")</f>
        <v>https://zfin.org/ZDB-GENE-100406-4</v>
      </c>
      <c r="E9710" t="s">
        <v>29093</v>
      </c>
    </row>
    <row r="9711" spans="1:5" x14ac:dyDescent="0.2">
      <c r="A9711" t="s">
        <v>29094</v>
      </c>
      <c r="B9711" t="s">
        <v>29095</v>
      </c>
      <c r="C9711" t="s">
        <v>29095</v>
      </c>
      <c r="D9711" t="str">
        <f>HYPERLINK("https://zfin.org/ZDB-GENE-040426-1939")</f>
        <v>https://zfin.org/ZDB-GENE-040426-1939</v>
      </c>
      <c r="E9711" t="s">
        <v>29096</v>
      </c>
    </row>
    <row r="9712" spans="1:5" x14ac:dyDescent="0.2">
      <c r="A9712" t="s">
        <v>29097</v>
      </c>
      <c r="B9712" t="s">
        <v>29098</v>
      </c>
      <c r="C9712" t="s">
        <v>29098</v>
      </c>
      <c r="D9712" t="str">
        <f>HYPERLINK("https://zfin.org/ZDB-GENE-050417-126")</f>
        <v>https://zfin.org/ZDB-GENE-050417-126</v>
      </c>
      <c r="E9712" t="s">
        <v>29099</v>
      </c>
    </row>
    <row r="9713" spans="1:5" x14ac:dyDescent="0.2">
      <c r="A9713" t="s">
        <v>29100</v>
      </c>
      <c r="B9713" t="s">
        <v>29101</v>
      </c>
      <c r="C9713" t="s">
        <v>29101</v>
      </c>
      <c r="D9713" t="str">
        <f>HYPERLINK("https://zfin.org/ZDB-GENE-990415-137")</f>
        <v>https://zfin.org/ZDB-GENE-990415-137</v>
      </c>
      <c r="E9713" t="s">
        <v>29102</v>
      </c>
    </row>
    <row r="9714" spans="1:5" x14ac:dyDescent="0.2">
      <c r="A9714" t="s">
        <v>29103</v>
      </c>
      <c r="B9714" t="s">
        <v>29104</v>
      </c>
      <c r="C9714" t="s">
        <v>29104</v>
      </c>
      <c r="D9714" t="str">
        <f>HYPERLINK("https://zfin.org/ZDB-GENE-031204-31")</f>
        <v>https://zfin.org/ZDB-GENE-031204-31</v>
      </c>
      <c r="E9714" t="s">
        <v>29105</v>
      </c>
    </row>
    <row r="9715" spans="1:5" x14ac:dyDescent="0.2">
      <c r="A9715" t="s">
        <v>29106</v>
      </c>
      <c r="B9715" t="s">
        <v>29107</v>
      </c>
      <c r="C9715" t="s">
        <v>29107</v>
      </c>
      <c r="D9715" t="str">
        <f>HYPERLINK("https://zfin.org/ZDB-GENE-060810-79")</f>
        <v>https://zfin.org/ZDB-GENE-060810-79</v>
      </c>
      <c r="E9715" t="s">
        <v>29108</v>
      </c>
    </row>
    <row r="9716" spans="1:5" x14ac:dyDescent="0.2">
      <c r="A9716" t="s">
        <v>29109</v>
      </c>
      <c r="B9716" t="s">
        <v>29110</v>
      </c>
      <c r="C9716" t="s">
        <v>29110</v>
      </c>
      <c r="D9716" t="str">
        <f>HYPERLINK("https://zfin.org/ZDB-GENE-100406-4")</f>
        <v>https://zfin.org/ZDB-GENE-100406-4</v>
      </c>
      <c r="E9716" t="s">
        <v>29111</v>
      </c>
    </row>
    <row r="9717" spans="1:5" x14ac:dyDescent="0.2">
      <c r="A9717" t="s">
        <v>29112</v>
      </c>
      <c r="B9717" t="s">
        <v>29113</v>
      </c>
      <c r="C9717" t="s">
        <v>29113</v>
      </c>
      <c r="D9717" t="str">
        <f>HYPERLINK("https://zfin.org/ZDB-GENE-060503-452")</f>
        <v>https://zfin.org/ZDB-GENE-060503-452</v>
      </c>
      <c r="E9717" t="s">
        <v>29114</v>
      </c>
    </row>
    <row r="9718" spans="1:5" x14ac:dyDescent="0.2">
      <c r="A9718" t="s">
        <v>29115</v>
      </c>
      <c r="B9718" t="s">
        <v>29116</v>
      </c>
      <c r="C9718" t="s">
        <v>29116</v>
      </c>
      <c r="D9718" t="str">
        <f>HYPERLINK("https://zfin.org/ZDB-GENE-131118-22")</f>
        <v>https://zfin.org/ZDB-GENE-131118-22</v>
      </c>
      <c r="E9718" t="s">
        <v>29117</v>
      </c>
    </row>
    <row r="9719" spans="1:5" x14ac:dyDescent="0.2">
      <c r="A9719" t="s">
        <v>29118</v>
      </c>
      <c r="B9719" t="s">
        <v>29119</v>
      </c>
      <c r="C9719" t="s">
        <v>29119</v>
      </c>
      <c r="D9719" t="str">
        <f>HYPERLINK("https://zfin.org/ZDB-GENE-100210-5")</f>
        <v>https://zfin.org/ZDB-GENE-100210-5</v>
      </c>
      <c r="E9719" t="s">
        <v>29120</v>
      </c>
    </row>
    <row r="9720" spans="1:5" x14ac:dyDescent="0.2">
      <c r="A9720" t="s">
        <v>29121</v>
      </c>
      <c r="B9720" t="s">
        <v>29122</v>
      </c>
      <c r="C9720" t="s">
        <v>29122</v>
      </c>
      <c r="D9720" t="str">
        <f>HYPERLINK("https://zfin.org/ZDB-GENE-061201-39")</f>
        <v>https://zfin.org/ZDB-GENE-061201-39</v>
      </c>
      <c r="E9720" t="s">
        <v>29123</v>
      </c>
    </row>
    <row r="9721" spans="1:5" x14ac:dyDescent="0.2">
      <c r="A9721" t="s">
        <v>29124</v>
      </c>
      <c r="B9721" t="s">
        <v>29125</v>
      </c>
      <c r="C9721" t="s">
        <v>29125</v>
      </c>
      <c r="D9721" t="str">
        <f>HYPERLINK("https://zfin.org/ZDB-GENE-070705-375")</f>
        <v>https://zfin.org/ZDB-GENE-070705-375</v>
      </c>
      <c r="E9721" t="s">
        <v>29126</v>
      </c>
    </row>
    <row r="9722" spans="1:5" x14ac:dyDescent="0.2">
      <c r="A9722" t="s">
        <v>29127</v>
      </c>
      <c r="B9722" t="s">
        <v>29128</v>
      </c>
      <c r="C9722" t="s">
        <v>29128</v>
      </c>
      <c r="D9722" t="str">
        <f>HYPERLINK("https://zfin.org/ZDB-GENE-070718-6")</f>
        <v>https://zfin.org/ZDB-GENE-070718-6</v>
      </c>
      <c r="E9722" t="s">
        <v>29129</v>
      </c>
    </row>
    <row r="9723" spans="1:5" x14ac:dyDescent="0.2">
      <c r="A9723" t="s">
        <v>29130</v>
      </c>
      <c r="B9723" t="s">
        <v>29131</v>
      </c>
      <c r="C9723" t="s">
        <v>29131</v>
      </c>
      <c r="D9723" t="str">
        <f>HYPERLINK("https://zfin.org/ZDB-GENE-070822-4")</f>
        <v>https://zfin.org/ZDB-GENE-070822-4</v>
      </c>
      <c r="E9723" t="s">
        <v>29132</v>
      </c>
    </row>
    <row r="9724" spans="1:5" x14ac:dyDescent="0.2">
      <c r="A9724" t="s">
        <v>29133</v>
      </c>
      <c r="B9724" t="s">
        <v>29134</v>
      </c>
      <c r="C9724" t="s">
        <v>29134</v>
      </c>
      <c r="D9724" t="str">
        <f>HYPERLINK("https://zfin.org/ZDB-GENE-081104-449")</f>
        <v>https://zfin.org/ZDB-GENE-081104-449</v>
      </c>
      <c r="E9724" t="s">
        <v>29135</v>
      </c>
    </row>
    <row r="9725" spans="1:5" x14ac:dyDescent="0.2">
      <c r="A9725" t="s">
        <v>29136</v>
      </c>
      <c r="B9725" t="s">
        <v>29137</v>
      </c>
      <c r="C9725" t="s">
        <v>29137</v>
      </c>
      <c r="D9725" t="str">
        <f>HYPERLINK("https://zfin.org/ZDB-GENE-120912-1")</f>
        <v>https://zfin.org/ZDB-GENE-120912-1</v>
      </c>
      <c r="E9725" t="s">
        <v>29138</v>
      </c>
    </row>
    <row r="9726" spans="1:5" x14ac:dyDescent="0.2">
      <c r="A9726" t="s">
        <v>29139</v>
      </c>
      <c r="B9726" t="s">
        <v>29140</v>
      </c>
      <c r="C9726" t="s">
        <v>29140</v>
      </c>
      <c r="D9726" t="str">
        <f>HYPERLINK("https://zfin.org/ZDB-GENE-101216-2")</f>
        <v>https://zfin.org/ZDB-GENE-101216-2</v>
      </c>
      <c r="E9726" t="s">
        <v>29141</v>
      </c>
    </row>
    <row r="9727" spans="1:5" x14ac:dyDescent="0.2">
      <c r="A9727" t="s">
        <v>29142</v>
      </c>
      <c r="B9727" t="s">
        <v>29143</v>
      </c>
      <c r="C9727" t="s">
        <v>29143</v>
      </c>
      <c r="D9727" t="str">
        <f>HYPERLINK("https://zfin.org/ZDB-GENE-030131-3406")</f>
        <v>https://zfin.org/ZDB-GENE-030131-3406</v>
      </c>
      <c r="E9727" t="s">
        <v>29144</v>
      </c>
    </row>
    <row r="9728" spans="1:5" x14ac:dyDescent="0.2">
      <c r="A9728" t="s">
        <v>29145</v>
      </c>
      <c r="B9728" t="s">
        <v>29146</v>
      </c>
      <c r="C9728" t="s">
        <v>29146</v>
      </c>
      <c r="D9728" t="str">
        <f>HYPERLINK("https://zfin.org/ZDB-GENE-030131-9054")</f>
        <v>https://zfin.org/ZDB-GENE-030131-9054</v>
      </c>
      <c r="E9728" t="s">
        <v>29147</v>
      </c>
    </row>
    <row r="9729" spans="1:5" x14ac:dyDescent="0.2">
      <c r="A9729" t="s">
        <v>29148</v>
      </c>
      <c r="B9729" t="s">
        <v>29149</v>
      </c>
      <c r="C9729" t="s">
        <v>29149</v>
      </c>
      <c r="D9729" t="str">
        <f>HYPERLINK("https://zfin.org/ZDB-GENE-091120-6")</f>
        <v>https://zfin.org/ZDB-GENE-091120-6</v>
      </c>
      <c r="E9729" t="s">
        <v>29150</v>
      </c>
    </row>
    <row r="9730" spans="1:5" x14ac:dyDescent="0.2">
      <c r="A9730" t="s">
        <v>29151</v>
      </c>
      <c r="B9730" t="s">
        <v>29152</v>
      </c>
      <c r="C9730" t="s">
        <v>29152</v>
      </c>
      <c r="D9730" t="str">
        <f>HYPERLINK("https://zfin.org/ZDB-GENE-080204-114")</f>
        <v>https://zfin.org/ZDB-GENE-080204-114</v>
      </c>
      <c r="E9730" t="s">
        <v>29153</v>
      </c>
    </row>
    <row r="9731" spans="1:5" x14ac:dyDescent="0.2">
      <c r="A9731" t="s">
        <v>29154</v>
      </c>
      <c r="B9731" t="s">
        <v>29155</v>
      </c>
      <c r="C9731" t="s">
        <v>29155</v>
      </c>
      <c r="D9731" t="str">
        <f>HYPERLINK("https://zfin.org/ZDB-GENE-110913-178")</f>
        <v>https://zfin.org/ZDB-GENE-110913-178</v>
      </c>
      <c r="E9731" t="s">
        <v>29156</v>
      </c>
    </row>
    <row r="9732" spans="1:5" x14ac:dyDescent="0.2">
      <c r="A9732" t="s">
        <v>29157</v>
      </c>
      <c r="B9732" t="s">
        <v>29158</v>
      </c>
      <c r="C9732" t="s">
        <v>29158</v>
      </c>
      <c r="D9732" t="str">
        <f>HYPERLINK("https://zfin.org/ZDB-GENE-040426-2777")</f>
        <v>https://zfin.org/ZDB-GENE-040426-2777</v>
      </c>
      <c r="E9732" t="s">
        <v>29159</v>
      </c>
    </row>
    <row r="9733" spans="1:5" x14ac:dyDescent="0.2">
      <c r="A9733" t="s">
        <v>29160</v>
      </c>
      <c r="B9733" t="s">
        <v>29161</v>
      </c>
      <c r="C9733" t="s">
        <v>29161</v>
      </c>
      <c r="D9733" t="str">
        <f>HYPERLINK("https://zfin.org/ZDB-GENE-061013-303")</f>
        <v>https://zfin.org/ZDB-GENE-061013-303</v>
      </c>
      <c r="E9733" t="s">
        <v>29162</v>
      </c>
    </row>
    <row r="9734" spans="1:5" x14ac:dyDescent="0.2">
      <c r="A9734" t="s">
        <v>29163</v>
      </c>
      <c r="B9734" t="s">
        <v>29164</v>
      </c>
      <c r="C9734" t="s">
        <v>29164</v>
      </c>
      <c r="D9734" t="str">
        <f>HYPERLINK("https://zfin.org/ZDB-GENE-041210-227")</f>
        <v>https://zfin.org/ZDB-GENE-041210-227</v>
      </c>
      <c r="E9734" t="s">
        <v>29165</v>
      </c>
    </row>
    <row r="9735" spans="1:5" x14ac:dyDescent="0.2">
      <c r="A9735" t="s">
        <v>29166</v>
      </c>
      <c r="B9735" t="s">
        <v>29167</v>
      </c>
      <c r="C9735" t="s">
        <v>29167</v>
      </c>
      <c r="D9735" t="str">
        <f>HYPERLINK("https://zfin.org/ZDB-GENEP-100406-1")</f>
        <v>https://zfin.org/ZDB-GENEP-100406-1</v>
      </c>
      <c r="E9735" t="s">
        <v>29168</v>
      </c>
    </row>
    <row r="9736" spans="1:5" x14ac:dyDescent="0.2">
      <c r="A9736" t="s">
        <v>29169</v>
      </c>
      <c r="B9736" t="s">
        <v>29170</v>
      </c>
      <c r="C9736" t="s">
        <v>29170</v>
      </c>
      <c r="D9736" t="str">
        <f>HYPERLINK("https://zfin.org/ZDB-GENE-041210-114")</f>
        <v>https://zfin.org/ZDB-GENE-041210-114</v>
      </c>
      <c r="E9736" t="s">
        <v>29171</v>
      </c>
    </row>
    <row r="9737" spans="1:5" x14ac:dyDescent="0.2">
      <c r="A9737" t="s">
        <v>29172</v>
      </c>
      <c r="B9737" t="s">
        <v>29173</v>
      </c>
      <c r="C9737" t="s">
        <v>29173</v>
      </c>
      <c r="D9737" t="str">
        <f>HYPERLINK("https://zfin.org/ZDB-GENE-060503-286")</f>
        <v>https://zfin.org/ZDB-GENE-060503-286</v>
      </c>
      <c r="E9737" t="s">
        <v>29174</v>
      </c>
    </row>
    <row r="9738" spans="1:5" x14ac:dyDescent="0.2">
      <c r="A9738" t="s">
        <v>29175</v>
      </c>
      <c r="B9738" t="s">
        <v>29176</v>
      </c>
      <c r="C9738" t="s">
        <v>29176</v>
      </c>
      <c r="D9738" t="str">
        <f>HYPERLINK("https://zfin.org/ZDB-GENE-090814-2")</f>
        <v>https://zfin.org/ZDB-GENE-090814-2</v>
      </c>
      <c r="E9738" t="s">
        <v>29177</v>
      </c>
    </row>
    <row r="9739" spans="1:5" x14ac:dyDescent="0.2">
      <c r="A9739" t="s">
        <v>29178</v>
      </c>
      <c r="B9739" t="s">
        <v>29092</v>
      </c>
      <c r="C9739" t="s">
        <v>29179</v>
      </c>
      <c r="D9739" t="str">
        <f>HYPERLINK("https://zfin.org/ZDB-GENE-100406-4")</f>
        <v>https://zfin.org/ZDB-GENE-100406-4</v>
      </c>
      <c r="E9739" t="s">
        <v>29093</v>
      </c>
    </row>
    <row r="9740" spans="1:5" x14ac:dyDescent="0.2">
      <c r="A9740" t="s">
        <v>29180</v>
      </c>
      <c r="B9740" t="s">
        <v>29181</v>
      </c>
      <c r="C9740" t="s">
        <v>29181</v>
      </c>
      <c r="D9740" t="str">
        <f>HYPERLINK("https://zfin.org/ZDB-GENE-030131-5725")</f>
        <v>https://zfin.org/ZDB-GENE-030131-5725</v>
      </c>
      <c r="E9740" t="s">
        <v>29182</v>
      </c>
    </row>
    <row r="9741" spans="1:5" x14ac:dyDescent="0.2">
      <c r="A9741" t="s">
        <v>29183</v>
      </c>
      <c r="B9741" t="s">
        <v>29184</v>
      </c>
      <c r="C9741" t="s">
        <v>29184</v>
      </c>
      <c r="D9741" t="str">
        <f>HYPERLINK("https://zfin.org/ZDB-GENE-040426-1601")</f>
        <v>https://zfin.org/ZDB-GENE-040426-1601</v>
      </c>
      <c r="E9741" t="s">
        <v>29185</v>
      </c>
    </row>
    <row r="9742" spans="1:5" x14ac:dyDescent="0.2">
      <c r="A9742" t="s">
        <v>29186</v>
      </c>
      <c r="B9742" t="s">
        <v>29187</v>
      </c>
      <c r="C9742" t="s">
        <v>29187</v>
      </c>
      <c r="D9742" t="str">
        <f>HYPERLINK("https://zfin.org/ZDB-GENE-030925-15")</f>
        <v>https://zfin.org/ZDB-GENE-030925-15</v>
      </c>
      <c r="E9742" t="s">
        <v>29188</v>
      </c>
    </row>
    <row r="9743" spans="1:5" x14ac:dyDescent="0.2">
      <c r="A9743" t="s">
        <v>29189</v>
      </c>
      <c r="B9743" t="s">
        <v>29190</v>
      </c>
      <c r="C9743" t="s">
        <v>29190</v>
      </c>
      <c r="D9743" t="str">
        <f>HYPERLINK("https://zfin.org/ZDB-GENE-010328-15")</f>
        <v>https://zfin.org/ZDB-GENE-010328-15</v>
      </c>
      <c r="E9743" t="s">
        <v>29191</v>
      </c>
    </row>
    <row r="9744" spans="1:5" x14ac:dyDescent="0.2">
      <c r="A9744" t="s">
        <v>29192</v>
      </c>
      <c r="B9744" t="s">
        <v>29193</v>
      </c>
      <c r="C9744" t="s">
        <v>29193</v>
      </c>
      <c r="D9744" t="str">
        <f>HYPERLINK("https://zfin.org/ZDB-GENE-031116-61")</f>
        <v>https://zfin.org/ZDB-GENE-031116-61</v>
      </c>
      <c r="E9744" t="s">
        <v>29194</v>
      </c>
    </row>
    <row r="9745" spans="1:5" x14ac:dyDescent="0.2">
      <c r="A9745" t="s">
        <v>29195</v>
      </c>
      <c r="B9745" t="s">
        <v>29196</v>
      </c>
      <c r="C9745" t="s">
        <v>29196</v>
      </c>
      <c r="D9745" t="str">
        <f>HYPERLINK("https://zfin.org/ZDB-GENE-100406-5")</f>
        <v>https://zfin.org/ZDB-GENE-100406-5</v>
      </c>
      <c r="E9745" t="s">
        <v>29197</v>
      </c>
    </row>
    <row r="9746" spans="1:5" x14ac:dyDescent="0.2">
      <c r="A9746" t="s">
        <v>29198</v>
      </c>
      <c r="B9746" t="s">
        <v>29199</v>
      </c>
      <c r="C9746" t="s">
        <v>29199</v>
      </c>
      <c r="D9746" t="str">
        <f>HYPERLINK("https://zfin.org/ZDB-GENE-061103-511")</f>
        <v>https://zfin.org/ZDB-GENE-061103-511</v>
      </c>
      <c r="E9746" t="s">
        <v>29200</v>
      </c>
    </row>
    <row r="9747" spans="1:5" x14ac:dyDescent="0.2">
      <c r="A9747" t="s">
        <v>29201</v>
      </c>
      <c r="B9747" t="s">
        <v>29202</v>
      </c>
      <c r="C9747" t="s">
        <v>29202</v>
      </c>
      <c r="D9747" t="str">
        <f>HYPERLINK("https://zfin.org/ZDB-GENE-110913-135")</f>
        <v>https://zfin.org/ZDB-GENE-110913-135</v>
      </c>
      <c r="E9747" t="s">
        <v>29203</v>
      </c>
    </row>
    <row r="9748" spans="1:5" x14ac:dyDescent="0.2">
      <c r="A9748" t="s">
        <v>29204</v>
      </c>
      <c r="B9748" t="s">
        <v>29205</v>
      </c>
      <c r="C9748" t="s">
        <v>29205</v>
      </c>
      <c r="D9748" t="str">
        <f>HYPERLINK("https://zfin.org/ZDB-GENE-070912-131")</f>
        <v>https://zfin.org/ZDB-GENE-070912-131</v>
      </c>
      <c r="E9748" t="s">
        <v>29206</v>
      </c>
    </row>
    <row r="9749" spans="1:5" x14ac:dyDescent="0.2">
      <c r="A9749" t="s">
        <v>29207</v>
      </c>
      <c r="B9749" t="s">
        <v>29208</v>
      </c>
      <c r="C9749" t="s">
        <v>29208</v>
      </c>
      <c r="D9749" t="str">
        <f>HYPERLINK("https://zfin.org/ZDB-GENE-040426-1010")</f>
        <v>https://zfin.org/ZDB-GENE-040426-1010</v>
      </c>
      <c r="E9749" t="s">
        <v>29209</v>
      </c>
    </row>
    <row r="9750" spans="1:5" x14ac:dyDescent="0.2">
      <c r="A9750" t="s">
        <v>29210</v>
      </c>
      <c r="B9750" t="s">
        <v>29211</v>
      </c>
      <c r="C9750" t="s">
        <v>29211</v>
      </c>
      <c r="D9750" t="str">
        <f>HYPERLINK("https://zfin.org/ZDB-GENE-110914-39")</f>
        <v>https://zfin.org/ZDB-GENE-110914-39</v>
      </c>
      <c r="E9750" t="s">
        <v>29212</v>
      </c>
    </row>
    <row r="9751" spans="1:5" x14ac:dyDescent="0.2">
      <c r="A9751" t="s">
        <v>29213</v>
      </c>
      <c r="B9751" t="s">
        <v>29214</v>
      </c>
      <c r="C9751" t="s">
        <v>29214</v>
      </c>
      <c r="D9751" t="str">
        <f>HYPERLINK("https://zfin.org/ZDB-GENE-110914-27")</f>
        <v>https://zfin.org/ZDB-GENE-110914-27</v>
      </c>
      <c r="E9751" t="s">
        <v>29215</v>
      </c>
    </row>
    <row r="9752" spans="1:5" x14ac:dyDescent="0.2">
      <c r="A9752" t="s">
        <v>29216</v>
      </c>
      <c r="B9752" t="s">
        <v>29217</v>
      </c>
      <c r="C9752" t="s">
        <v>29217</v>
      </c>
      <c r="D9752" t="str">
        <f>HYPERLINK("https://zfin.org/ZDB-GENE-030131-6226")</f>
        <v>https://zfin.org/ZDB-GENE-030131-6226</v>
      </c>
      <c r="E9752" t="s">
        <v>29218</v>
      </c>
    </row>
    <row r="9753" spans="1:5" x14ac:dyDescent="0.2">
      <c r="A9753" t="s">
        <v>29219</v>
      </c>
      <c r="B9753" t="s">
        <v>29220</v>
      </c>
      <c r="C9753" t="s">
        <v>29220</v>
      </c>
      <c r="D9753" t="str">
        <f>HYPERLINK("https://zfin.org/ZDB-GENE-040426-1933")</f>
        <v>https://zfin.org/ZDB-GENE-040426-1933</v>
      </c>
      <c r="E9753" t="s">
        <v>29221</v>
      </c>
    </row>
    <row r="9754" spans="1:5" x14ac:dyDescent="0.2">
      <c r="A9754" t="s">
        <v>29222</v>
      </c>
      <c r="B9754" t="s">
        <v>29223</v>
      </c>
      <c r="C9754" t="s">
        <v>29223</v>
      </c>
      <c r="D9754" t="str">
        <f>HYPERLINK("https://zfin.org/ZDB-GENE-050417-157")</f>
        <v>https://zfin.org/ZDB-GENE-050417-157</v>
      </c>
      <c r="E9754" t="s">
        <v>29224</v>
      </c>
    </row>
    <row r="9755" spans="1:5" x14ac:dyDescent="0.2">
      <c r="A9755" t="s">
        <v>29225</v>
      </c>
      <c r="B9755" t="s">
        <v>29226</v>
      </c>
      <c r="C9755" t="s">
        <v>29226</v>
      </c>
      <c r="D9755" t="str">
        <f>HYPERLINK("https://zfin.org/ZDB-GENE-030131-3165")</f>
        <v>https://zfin.org/ZDB-GENE-030131-3165</v>
      </c>
      <c r="E9755" t="s">
        <v>29227</v>
      </c>
    </row>
    <row r="9756" spans="1:5" x14ac:dyDescent="0.2">
      <c r="A9756" t="s">
        <v>29228</v>
      </c>
      <c r="B9756" t="s">
        <v>29229</v>
      </c>
      <c r="C9756" t="s">
        <v>29229</v>
      </c>
      <c r="D9756" t="str">
        <f>HYPERLINK("https://zfin.org/ZDB-GENE-030131-5499")</f>
        <v>https://zfin.org/ZDB-GENE-030131-5499</v>
      </c>
      <c r="E9756" t="s">
        <v>29230</v>
      </c>
    </row>
    <row r="9757" spans="1:5" x14ac:dyDescent="0.2">
      <c r="A9757" t="s">
        <v>29231</v>
      </c>
      <c r="B9757" t="s">
        <v>29232</v>
      </c>
      <c r="C9757" t="s">
        <v>29232</v>
      </c>
      <c r="D9757" t="str">
        <f>HYPERLINK("https://zfin.org/ZDB-GENE-010726-1")</f>
        <v>https://zfin.org/ZDB-GENE-010726-1</v>
      </c>
      <c r="E9757" t="s">
        <v>29233</v>
      </c>
    </row>
    <row r="9758" spans="1:5" x14ac:dyDescent="0.2">
      <c r="A9758" t="s">
        <v>29234</v>
      </c>
      <c r="B9758" t="s">
        <v>29235</v>
      </c>
      <c r="C9758" t="s">
        <v>29235</v>
      </c>
      <c r="D9758" t="str">
        <f>HYPERLINK("https://zfin.org/ZDB-GENE-060929-160")</f>
        <v>https://zfin.org/ZDB-GENE-060929-160</v>
      </c>
      <c r="E9758" t="s">
        <v>29236</v>
      </c>
    </row>
    <row r="9759" spans="1:5" x14ac:dyDescent="0.2">
      <c r="A9759" t="s">
        <v>29237</v>
      </c>
      <c r="B9759" t="s">
        <v>29238</v>
      </c>
      <c r="C9759" t="s">
        <v>29238</v>
      </c>
      <c r="D9759" t="str">
        <f>HYPERLINK("https://zfin.org/ZDB-GENE-030131-6911")</f>
        <v>https://zfin.org/ZDB-GENE-030131-6911</v>
      </c>
      <c r="E9759" t="s">
        <v>29239</v>
      </c>
    </row>
    <row r="9760" spans="1:5" x14ac:dyDescent="0.2">
      <c r="A9760" t="s">
        <v>29240</v>
      </c>
      <c r="B9760" t="s">
        <v>29241</v>
      </c>
      <c r="C9760" t="s">
        <v>29241</v>
      </c>
      <c r="D9760" t="str">
        <f>HYPERLINK("https://zfin.org/ZDB-GENE-030131-5999")</f>
        <v>https://zfin.org/ZDB-GENE-030131-5999</v>
      </c>
      <c r="E9760" t="s">
        <v>29242</v>
      </c>
    </row>
    <row r="9761" spans="1:5" x14ac:dyDescent="0.2">
      <c r="A9761" t="s">
        <v>29243</v>
      </c>
      <c r="B9761" t="s">
        <v>29244</v>
      </c>
      <c r="C9761" t="s">
        <v>29244</v>
      </c>
      <c r="D9761" t="str">
        <f>HYPERLINK("https://zfin.org/ZDB-GENE-050327-81")</f>
        <v>https://zfin.org/ZDB-GENE-050327-81</v>
      </c>
      <c r="E9761" t="s">
        <v>29245</v>
      </c>
    </row>
    <row r="9762" spans="1:5" x14ac:dyDescent="0.2">
      <c r="A9762" t="s">
        <v>29246</v>
      </c>
      <c r="B9762" t="s">
        <v>29247</v>
      </c>
      <c r="C9762" t="s">
        <v>29247</v>
      </c>
      <c r="D9762" t="str">
        <f>HYPERLINK("https://zfin.org/ZDB-GENE-991102-14")</f>
        <v>https://zfin.org/ZDB-GENE-991102-14</v>
      </c>
      <c r="E9762" t="s">
        <v>29248</v>
      </c>
    </row>
    <row r="9763" spans="1:5" x14ac:dyDescent="0.2">
      <c r="A9763" t="s">
        <v>29249</v>
      </c>
      <c r="B9763" t="s">
        <v>29250</v>
      </c>
      <c r="C9763" t="s">
        <v>29250</v>
      </c>
      <c r="D9763" t="str">
        <f>HYPERLINK("https://zfin.org/ZDB-GENE-130603-5")</f>
        <v>https://zfin.org/ZDB-GENE-130603-5</v>
      </c>
      <c r="E9763" t="s">
        <v>29251</v>
      </c>
    </row>
    <row r="9764" spans="1:5" x14ac:dyDescent="0.2">
      <c r="A9764" t="s">
        <v>29252</v>
      </c>
      <c r="B9764" t="s">
        <v>29253</v>
      </c>
      <c r="C9764" t="s">
        <v>29253</v>
      </c>
      <c r="D9764" t="str">
        <f>HYPERLINK("https://zfin.org/ZDB-GENE-050208-732")</f>
        <v>https://zfin.org/ZDB-GENE-050208-732</v>
      </c>
      <c r="E9764" t="s">
        <v>29254</v>
      </c>
    </row>
    <row r="9765" spans="1:5" x14ac:dyDescent="0.2">
      <c r="A9765" t="s">
        <v>29255</v>
      </c>
      <c r="B9765" t="s">
        <v>29256</v>
      </c>
      <c r="C9765" t="s">
        <v>29256</v>
      </c>
      <c r="D9765" t="str">
        <f>HYPERLINK("https://zfin.org/ZDB-GENE-040426-1709")</f>
        <v>https://zfin.org/ZDB-GENE-040426-1709</v>
      </c>
      <c r="E9765" t="s">
        <v>29257</v>
      </c>
    </row>
    <row r="9766" spans="1:5" x14ac:dyDescent="0.2">
      <c r="A9766" t="s">
        <v>29258</v>
      </c>
      <c r="B9766" t="s">
        <v>29259</v>
      </c>
      <c r="C9766" t="s">
        <v>29259</v>
      </c>
      <c r="D9766" t="str">
        <f>HYPERLINK("https://zfin.org/ZDB-GENE-040426-979")</f>
        <v>https://zfin.org/ZDB-GENE-040426-979</v>
      </c>
      <c r="E9766" t="s">
        <v>29260</v>
      </c>
    </row>
    <row r="9767" spans="1:5" x14ac:dyDescent="0.2">
      <c r="A9767" t="s">
        <v>29261</v>
      </c>
      <c r="B9767" t="s">
        <v>29262</v>
      </c>
      <c r="C9767" t="s">
        <v>29262</v>
      </c>
      <c r="D9767" t="str">
        <f>HYPERLINK("https://zfin.org/ZDB-GENE-060929-232")</f>
        <v>https://zfin.org/ZDB-GENE-060929-232</v>
      </c>
      <c r="E9767" t="s">
        <v>29263</v>
      </c>
    </row>
    <row r="9768" spans="1:5" x14ac:dyDescent="0.2">
      <c r="A9768" t="s">
        <v>29264</v>
      </c>
      <c r="B9768" t="s">
        <v>29265</v>
      </c>
      <c r="C9768" t="s">
        <v>29265</v>
      </c>
      <c r="D9768" t="str">
        <f>HYPERLINK("https://zfin.org/ZDB-GENE-040426-875")</f>
        <v>https://zfin.org/ZDB-GENE-040426-875</v>
      </c>
      <c r="E9768" t="s">
        <v>29266</v>
      </c>
    </row>
    <row r="9769" spans="1:5" x14ac:dyDescent="0.2">
      <c r="A9769" t="s">
        <v>29267</v>
      </c>
      <c r="B9769" t="s">
        <v>29268</v>
      </c>
      <c r="C9769" t="s">
        <v>29268</v>
      </c>
      <c r="D9769" t="str">
        <f>HYPERLINK("https://zfin.org/ZDB-GENE-061108-3")</f>
        <v>https://zfin.org/ZDB-GENE-061108-3</v>
      </c>
      <c r="E9769" t="s">
        <v>29269</v>
      </c>
    </row>
    <row r="9770" spans="1:5" x14ac:dyDescent="0.2">
      <c r="A9770" t="s">
        <v>29270</v>
      </c>
      <c r="B9770" t="s">
        <v>29271</v>
      </c>
      <c r="C9770" t="s">
        <v>29271</v>
      </c>
      <c r="D9770" t="str">
        <f>HYPERLINK("https://zfin.org/ZDB-GENE-020416-3")</f>
        <v>https://zfin.org/ZDB-GENE-020416-3</v>
      </c>
      <c r="E9770" t="s">
        <v>29272</v>
      </c>
    </row>
    <row r="9771" spans="1:5" x14ac:dyDescent="0.2">
      <c r="A9771" t="s">
        <v>29273</v>
      </c>
      <c r="B9771" t="s">
        <v>29274</v>
      </c>
      <c r="C9771" t="s">
        <v>29274</v>
      </c>
      <c r="D9771" t="str">
        <f>HYPERLINK("https://zfin.org/ZDB-GENE-090313-262")</f>
        <v>https://zfin.org/ZDB-GENE-090313-262</v>
      </c>
      <c r="E9771" t="s">
        <v>29275</v>
      </c>
    </row>
    <row r="9772" spans="1:5" x14ac:dyDescent="0.2">
      <c r="A9772" t="s">
        <v>29276</v>
      </c>
      <c r="B9772" t="s">
        <v>29277</v>
      </c>
      <c r="C9772" t="s">
        <v>29277</v>
      </c>
      <c r="D9772" t="str">
        <f>HYPERLINK("https://zfin.org/ZDB-GENE-030131-13")</f>
        <v>https://zfin.org/ZDB-GENE-030131-13</v>
      </c>
      <c r="E9772" t="s">
        <v>29278</v>
      </c>
    </row>
    <row r="9773" spans="1:5" x14ac:dyDescent="0.2">
      <c r="A9773" t="s">
        <v>29279</v>
      </c>
      <c r="B9773" t="s">
        <v>29280</v>
      </c>
      <c r="C9773" t="s">
        <v>29280</v>
      </c>
      <c r="D9773" t="str">
        <f>HYPERLINK("https://zfin.org/ZDB-GENE-991008-16")</f>
        <v>https://zfin.org/ZDB-GENE-991008-16</v>
      </c>
      <c r="E9773" t="s">
        <v>29281</v>
      </c>
    </row>
    <row r="9774" spans="1:5" x14ac:dyDescent="0.2">
      <c r="A9774" t="s">
        <v>29282</v>
      </c>
      <c r="B9774" t="s">
        <v>29283</v>
      </c>
      <c r="C9774" t="s">
        <v>29283</v>
      </c>
      <c r="D9774" t="str">
        <f>HYPERLINK("https://zfin.org/ZDB-GENE-040801-26")</f>
        <v>https://zfin.org/ZDB-GENE-040801-26</v>
      </c>
      <c r="E9774" t="s">
        <v>29284</v>
      </c>
    </row>
    <row r="9775" spans="1:5" x14ac:dyDescent="0.2">
      <c r="A9775" t="s">
        <v>29285</v>
      </c>
      <c r="B9775" t="s">
        <v>29286</v>
      </c>
      <c r="C9775" t="s">
        <v>29286</v>
      </c>
      <c r="D9775" t="str">
        <f>HYPERLINK("https://zfin.org/ZDB-GENE-080220-29")</f>
        <v>https://zfin.org/ZDB-GENE-080220-29</v>
      </c>
      <c r="E9775" t="s">
        <v>29287</v>
      </c>
    </row>
    <row r="9776" spans="1:5" x14ac:dyDescent="0.2">
      <c r="A9776" t="s">
        <v>29288</v>
      </c>
      <c r="B9776" t="s">
        <v>29289</v>
      </c>
      <c r="C9776" t="s">
        <v>29289</v>
      </c>
      <c r="D9776" t="str">
        <f>HYPERLINK("https://zfin.org/ZDB-GENE-101005-1")</f>
        <v>https://zfin.org/ZDB-GENE-101005-1</v>
      </c>
      <c r="E9776" t="s">
        <v>29290</v>
      </c>
    </row>
    <row r="9777" spans="1:5" x14ac:dyDescent="0.2">
      <c r="A9777" t="s">
        <v>29291</v>
      </c>
      <c r="B9777" t="s">
        <v>29292</v>
      </c>
      <c r="C9777" t="s">
        <v>29292</v>
      </c>
      <c r="D9777" t="str">
        <f>HYPERLINK("https://zfin.org/ZDB-GENE-120709-101")</f>
        <v>https://zfin.org/ZDB-GENE-120709-101</v>
      </c>
      <c r="E9777" t="s">
        <v>29293</v>
      </c>
    </row>
    <row r="9778" spans="1:5" x14ac:dyDescent="0.2">
      <c r="A9778" t="s">
        <v>29294</v>
      </c>
      <c r="B9778" t="s">
        <v>29295</v>
      </c>
      <c r="C9778" t="s">
        <v>29295</v>
      </c>
      <c r="D9778" t="str">
        <f>HYPERLINK("https://zfin.org/ZDB-GENE-031006-10")</f>
        <v>https://zfin.org/ZDB-GENE-031006-10</v>
      </c>
      <c r="E9778" t="s">
        <v>29296</v>
      </c>
    </row>
    <row r="9779" spans="1:5" x14ac:dyDescent="0.2">
      <c r="A9779" t="s">
        <v>29297</v>
      </c>
      <c r="B9779" t="s">
        <v>29298</v>
      </c>
      <c r="C9779" t="s">
        <v>29298</v>
      </c>
      <c r="D9779" t="str">
        <f>HYPERLINK("https://zfin.org/ZDB-GENE-040426-2396")</f>
        <v>https://zfin.org/ZDB-GENE-040426-2396</v>
      </c>
      <c r="E9779" t="s">
        <v>29299</v>
      </c>
    </row>
    <row r="9780" spans="1:5" x14ac:dyDescent="0.2">
      <c r="A9780" t="s">
        <v>29300</v>
      </c>
      <c r="B9780" t="s">
        <v>29301</v>
      </c>
      <c r="C9780" t="s">
        <v>29301</v>
      </c>
      <c r="D9780" t="str">
        <f>HYPERLINK("https://zfin.org/ZDB-GENE-090312-194")</f>
        <v>https://zfin.org/ZDB-GENE-090312-194</v>
      </c>
      <c r="E9780" t="s">
        <v>29302</v>
      </c>
    </row>
    <row r="9781" spans="1:5" x14ac:dyDescent="0.2">
      <c r="A9781" t="s">
        <v>29303</v>
      </c>
      <c r="B9781" t="s">
        <v>29304</v>
      </c>
      <c r="C9781" t="s">
        <v>29304</v>
      </c>
      <c r="D9781" t="str">
        <f>HYPERLINK("https://zfin.org/ZDB-GENE-070605-1")</f>
        <v>https://zfin.org/ZDB-GENE-070605-1</v>
      </c>
      <c r="E9781" t="s">
        <v>29305</v>
      </c>
    </row>
    <row r="9782" spans="1:5" x14ac:dyDescent="0.2">
      <c r="A9782" t="s">
        <v>29306</v>
      </c>
      <c r="B9782" t="s">
        <v>29307</v>
      </c>
      <c r="C9782" t="s">
        <v>29307</v>
      </c>
      <c r="D9782" t="str">
        <f>HYPERLINK("https://zfin.org/ZDB-GENE-070501-9")</f>
        <v>https://zfin.org/ZDB-GENE-070501-9</v>
      </c>
      <c r="E9782" t="s">
        <v>29308</v>
      </c>
    </row>
    <row r="9783" spans="1:5" x14ac:dyDescent="0.2">
      <c r="A9783" t="s">
        <v>29309</v>
      </c>
      <c r="B9783" t="s">
        <v>29310</v>
      </c>
      <c r="C9783" t="s">
        <v>29310</v>
      </c>
      <c r="D9783" t="str">
        <f>HYPERLINK("https://zfin.org/ZDB-GENE-091112-20")</f>
        <v>https://zfin.org/ZDB-GENE-091112-20</v>
      </c>
      <c r="E9783" t="s">
        <v>29311</v>
      </c>
    </row>
    <row r="9784" spans="1:5" x14ac:dyDescent="0.2">
      <c r="A9784" t="s">
        <v>29312</v>
      </c>
      <c r="B9784" t="s">
        <v>29313</v>
      </c>
      <c r="C9784" t="s">
        <v>29313</v>
      </c>
      <c r="D9784" t="str">
        <f>HYPERLINK("https://zfin.org/ZDB-GENE-030131-4477")</f>
        <v>https://zfin.org/ZDB-GENE-030131-4477</v>
      </c>
      <c r="E9784" t="s">
        <v>29314</v>
      </c>
    </row>
    <row r="9785" spans="1:5" x14ac:dyDescent="0.2">
      <c r="A9785" t="s">
        <v>29315</v>
      </c>
      <c r="B9785" t="s">
        <v>29316</v>
      </c>
      <c r="C9785" t="s">
        <v>29316</v>
      </c>
      <c r="D9785" t="str">
        <f>HYPERLINK("https://zfin.org/ZDB-GENE-070912-179")</f>
        <v>https://zfin.org/ZDB-GENE-070912-179</v>
      </c>
      <c r="E9785" t="s">
        <v>29317</v>
      </c>
    </row>
    <row r="9786" spans="1:5" x14ac:dyDescent="0.2">
      <c r="A9786" t="s">
        <v>29318</v>
      </c>
      <c r="B9786" t="s">
        <v>29319</v>
      </c>
      <c r="C9786" t="s">
        <v>29319</v>
      </c>
      <c r="D9786" t="str">
        <f>HYPERLINK("https://zfin.org/ZDB-GENE-041212-71")</f>
        <v>https://zfin.org/ZDB-GENE-041212-71</v>
      </c>
      <c r="E9786" t="s">
        <v>29320</v>
      </c>
    </row>
    <row r="9787" spans="1:5" x14ac:dyDescent="0.2">
      <c r="A9787" t="s">
        <v>29321</v>
      </c>
      <c r="B9787" t="s">
        <v>29322</v>
      </c>
      <c r="C9787" t="s">
        <v>29322</v>
      </c>
      <c r="D9787" t="str">
        <f>HYPERLINK("https://zfin.org/ZDB-GENE-030515-1")</f>
        <v>https://zfin.org/ZDB-GENE-030515-1</v>
      </c>
      <c r="E9787" t="s">
        <v>29323</v>
      </c>
    </row>
    <row r="9788" spans="1:5" x14ac:dyDescent="0.2">
      <c r="A9788" t="s">
        <v>29324</v>
      </c>
      <c r="B9788" t="s">
        <v>29325</v>
      </c>
      <c r="C9788" t="s">
        <v>29325</v>
      </c>
      <c r="D9788" t="str">
        <f>HYPERLINK("https://zfin.org/ZDB-GENE-070424-47")</f>
        <v>https://zfin.org/ZDB-GENE-070424-47</v>
      </c>
      <c r="E9788" t="s">
        <v>29326</v>
      </c>
    </row>
    <row r="9789" spans="1:5" x14ac:dyDescent="0.2">
      <c r="A9789" t="s">
        <v>29327</v>
      </c>
      <c r="B9789" t="s">
        <v>29328</v>
      </c>
      <c r="C9789" t="s">
        <v>29328</v>
      </c>
      <c r="D9789" t="str">
        <f>HYPERLINK("https://zfin.org/ZDB-GENE-040625-6")</f>
        <v>https://zfin.org/ZDB-GENE-040625-6</v>
      </c>
      <c r="E9789" t="s">
        <v>29329</v>
      </c>
    </row>
    <row r="9790" spans="1:5" x14ac:dyDescent="0.2">
      <c r="A9790" t="s">
        <v>29330</v>
      </c>
      <c r="B9790" t="s">
        <v>29331</v>
      </c>
      <c r="C9790" t="s">
        <v>29331</v>
      </c>
      <c r="D9790" t="str">
        <f>HYPERLINK("https://zfin.org/ZDB-GENE-090311-5")</f>
        <v>https://zfin.org/ZDB-GENE-090311-5</v>
      </c>
      <c r="E9790" t="s">
        <v>29332</v>
      </c>
    </row>
    <row r="9791" spans="1:5" x14ac:dyDescent="0.2">
      <c r="A9791" t="s">
        <v>29333</v>
      </c>
      <c r="B9791" t="s">
        <v>29334</v>
      </c>
      <c r="C9791" t="s">
        <v>29334</v>
      </c>
      <c r="D9791" t="str">
        <f>HYPERLINK("https://zfin.org/")</f>
        <v>https://zfin.org/</v>
      </c>
    </row>
    <row r="9792" spans="1:5" x14ac:dyDescent="0.2">
      <c r="A9792" t="s">
        <v>29335</v>
      </c>
      <c r="B9792" t="s">
        <v>29336</v>
      </c>
      <c r="C9792" t="s">
        <v>29336</v>
      </c>
      <c r="D9792" t="str">
        <f>HYPERLINK("https://zfin.org/ZDB-GENE-050522-402")</f>
        <v>https://zfin.org/ZDB-GENE-050522-402</v>
      </c>
      <c r="E9792" t="s">
        <v>29337</v>
      </c>
    </row>
    <row r="9793" spans="1:5" x14ac:dyDescent="0.2">
      <c r="A9793" t="s">
        <v>29338</v>
      </c>
      <c r="B9793" t="s">
        <v>29339</v>
      </c>
      <c r="C9793" t="s">
        <v>29339</v>
      </c>
      <c r="D9793" t="str">
        <f>HYPERLINK("https://zfin.org/ZDB-GENE-060929-688")</f>
        <v>https://zfin.org/ZDB-GENE-060929-688</v>
      </c>
      <c r="E9793" t="s">
        <v>29340</v>
      </c>
    </row>
    <row r="9794" spans="1:5" x14ac:dyDescent="0.2">
      <c r="A9794" t="s">
        <v>29341</v>
      </c>
      <c r="B9794" t="s">
        <v>29342</v>
      </c>
      <c r="C9794" t="s">
        <v>29342</v>
      </c>
      <c r="D9794" t="str">
        <f>HYPERLINK("https://zfin.org/ZDB-GENE-050706-68")</f>
        <v>https://zfin.org/ZDB-GENE-050706-68</v>
      </c>
      <c r="E9794" t="s">
        <v>29343</v>
      </c>
    </row>
    <row r="9795" spans="1:5" x14ac:dyDescent="0.2">
      <c r="A9795" t="s">
        <v>29344</v>
      </c>
      <c r="B9795" t="s">
        <v>17213</v>
      </c>
      <c r="C9795" t="s">
        <v>29345</v>
      </c>
      <c r="D9795" t="str">
        <f>HYPERLINK("https://zfin.org/ZDB-GENE-081028-27")</f>
        <v>https://zfin.org/ZDB-GENE-081028-27</v>
      </c>
      <c r="E9795" t="s">
        <v>29346</v>
      </c>
    </row>
    <row r="9796" spans="1:5" x14ac:dyDescent="0.2">
      <c r="A9796" t="s">
        <v>29347</v>
      </c>
      <c r="B9796" t="s">
        <v>29348</v>
      </c>
      <c r="C9796" t="s">
        <v>29348</v>
      </c>
      <c r="D9796" t="str">
        <f>HYPERLINK("https://zfin.org/ZDB-GENE-141222-18")</f>
        <v>https://zfin.org/ZDB-GENE-141222-18</v>
      </c>
      <c r="E9796" t="s">
        <v>29349</v>
      </c>
    </row>
    <row r="9797" spans="1:5" x14ac:dyDescent="0.2">
      <c r="A9797" t="s">
        <v>29350</v>
      </c>
      <c r="B9797" t="s">
        <v>29351</v>
      </c>
      <c r="C9797" t="s">
        <v>29351</v>
      </c>
      <c r="D9797" t="str">
        <f>HYPERLINK("https://zfin.org/ZDB-GENE-081105-44")</f>
        <v>https://zfin.org/ZDB-GENE-081105-44</v>
      </c>
      <c r="E9797" t="s">
        <v>29352</v>
      </c>
    </row>
    <row r="9798" spans="1:5" x14ac:dyDescent="0.2">
      <c r="A9798" t="s">
        <v>29353</v>
      </c>
      <c r="B9798" t="s">
        <v>29354</v>
      </c>
      <c r="C9798" t="s">
        <v>29354</v>
      </c>
      <c r="D9798" t="str">
        <f>HYPERLINK("https://zfin.org/ZDB-GENE-040426-2173")</f>
        <v>https://zfin.org/ZDB-GENE-040426-2173</v>
      </c>
      <c r="E9798" t="s">
        <v>29355</v>
      </c>
    </row>
    <row r="9799" spans="1:5" x14ac:dyDescent="0.2">
      <c r="A9799" t="s">
        <v>29356</v>
      </c>
      <c r="B9799" t="s">
        <v>29357</v>
      </c>
      <c r="C9799" t="s">
        <v>29357</v>
      </c>
      <c r="D9799" t="str">
        <f>HYPERLINK("https://zfin.org/ZDB-GENE-041114-111")</f>
        <v>https://zfin.org/ZDB-GENE-041114-111</v>
      </c>
      <c r="E9799" t="s">
        <v>29358</v>
      </c>
    </row>
    <row r="9800" spans="1:5" x14ac:dyDescent="0.2">
      <c r="A9800" t="s">
        <v>29359</v>
      </c>
      <c r="B9800" t="s">
        <v>29360</v>
      </c>
      <c r="C9800" t="s">
        <v>29360</v>
      </c>
      <c r="D9800" t="str">
        <f>HYPERLINK("https://zfin.org/ZDB-GENE-081105-110")</f>
        <v>https://zfin.org/ZDB-GENE-081105-110</v>
      </c>
      <c r="E9800" t="s">
        <v>29361</v>
      </c>
    </row>
    <row r="9801" spans="1:5" x14ac:dyDescent="0.2">
      <c r="A9801" t="s">
        <v>29362</v>
      </c>
      <c r="B9801" t="s">
        <v>29363</v>
      </c>
      <c r="C9801" t="s">
        <v>29363</v>
      </c>
      <c r="D9801" t="str">
        <f>HYPERLINK("https://zfin.org/ZDB-GENE-040426-1281")</f>
        <v>https://zfin.org/ZDB-GENE-040426-1281</v>
      </c>
      <c r="E9801" t="s">
        <v>29364</v>
      </c>
    </row>
    <row r="9802" spans="1:5" x14ac:dyDescent="0.2">
      <c r="A9802" t="s">
        <v>29365</v>
      </c>
      <c r="B9802" t="s">
        <v>29366</v>
      </c>
      <c r="C9802" t="s">
        <v>29366</v>
      </c>
      <c r="D9802" t="str">
        <f>HYPERLINK("https://zfin.org/ZDB-GENE-030616-499")</f>
        <v>https://zfin.org/ZDB-GENE-030616-499</v>
      </c>
      <c r="E9802" t="s">
        <v>29367</v>
      </c>
    </row>
    <row r="9803" spans="1:5" x14ac:dyDescent="0.2">
      <c r="A9803" t="s">
        <v>29368</v>
      </c>
      <c r="B9803" t="s">
        <v>29369</v>
      </c>
      <c r="C9803" t="s">
        <v>29369</v>
      </c>
      <c r="D9803" t="str">
        <f>HYPERLINK("https://zfin.org/ZDB-GENE-060929-1158")</f>
        <v>https://zfin.org/ZDB-GENE-060929-1158</v>
      </c>
      <c r="E9803" t="s">
        <v>29370</v>
      </c>
    </row>
    <row r="9804" spans="1:5" x14ac:dyDescent="0.2">
      <c r="A9804" t="s">
        <v>29371</v>
      </c>
      <c r="B9804" t="s">
        <v>29372</v>
      </c>
      <c r="C9804" t="s">
        <v>29372</v>
      </c>
      <c r="D9804" t="str">
        <f>HYPERLINK("https://zfin.org/ZDB-GENE-081107-28")</f>
        <v>https://zfin.org/ZDB-GENE-081107-28</v>
      </c>
      <c r="E9804" t="s">
        <v>29373</v>
      </c>
    </row>
    <row r="9805" spans="1:5" x14ac:dyDescent="0.2">
      <c r="A9805" t="s">
        <v>29374</v>
      </c>
      <c r="B9805" t="s">
        <v>29375</v>
      </c>
      <c r="C9805" t="s">
        <v>29375</v>
      </c>
      <c r="D9805" t="str">
        <f>HYPERLINK("https://zfin.org/ZDB-GENE-050417-407")</f>
        <v>https://zfin.org/ZDB-GENE-050417-407</v>
      </c>
      <c r="E9805" t="s">
        <v>29376</v>
      </c>
    </row>
    <row r="9806" spans="1:5" x14ac:dyDescent="0.2">
      <c r="A9806" t="s">
        <v>29377</v>
      </c>
      <c r="B9806" t="s">
        <v>29378</v>
      </c>
      <c r="C9806" t="s">
        <v>29378</v>
      </c>
      <c r="D9806" t="str">
        <f>HYPERLINK("https://zfin.org/ZDB-GENE-050417-436")</f>
        <v>https://zfin.org/ZDB-GENE-050417-436</v>
      </c>
      <c r="E9806" t="s">
        <v>29379</v>
      </c>
    </row>
    <row r="9807" spans="1:5" x14ac:dyDescent="0.2">
      <c r="A9807" t="s">
        <v>29380</v>
      </c>
      <c r="B9807" t="s">
        <v>29381</v>
      </c>
      <c r="C9807" t="s">
        <v>29381</v>
      </c>
      <c r="D9807" t="str">
        <f>HYPERLINK("https://zfin.org/ZDB-GENE-030131-7667")</f>
        <v>https://zfin.org/ZDB-GENE-030131-7667</v>
      </c>
      <c r="E9807" t="s">
        <v>29382</v>
      </c>
    </row>
    <row r="9808" spans="1:5" x14ac:dyDescent="0.2">
      <c r="A9808" t="s">
        <v>29383</v>
      </c>
      <c r="B9808" t="s">
        <v>29384</v>
      </c>
      <c r="C9808" t="s">
        <v>29384</v>
      </c>
      <c r="D9808" t="str">
        <f>HYPERLINK("https://zfin.org/ZDB-GENE-021206-13")</f>
        <v>https://zfin.org/ZDB-GENE-021206-13</v>
      </c>
      <c r="E9808" t="s">
        <v>29385</v>
      </c>
    </row>
    <row r="9809" spans="1:5" x14ac:dyDescent="0.2">
      <c r="A9809" t="s">
        <v>29386</v>
      </c>
      <c r="B9809" t="s">
        <v>29387</v>
      </c>
      <c r="C9809" t="s">
        <v>29387</v>
      </c>
      <c r="D9809" t="str">
        <f>HYPERLINK("https://zfin.org/ZDB-GENE-041007-2")</f>
        <v>https://zfin.org/ZDB-GENE-041007-2</v>
      </c>
      <c r="E9809" t="s">
        <v>29388</v>
      </c>
    </row>
    <row r="9810" spans="1:5" x14ac:dyDescent="0.2">
      <c r="A9810" t="s">
        <v>29389</v>
      </c>
      <c r="B9810" t="s">
        <v>29390</v>
      </c>
      <c r="C9810" t="s">
        <v>29390</v>
      </c>
      <c r="D9810" t="str">
        <f>HYPERLINK("https://zfin.org/ZDB-GENE-100427-3")</f>
        <v>https://zfin.org/ZDB-GENE-100427-3</v>
      </c>
      <c r="E9810" t="s">
        <v>29391</v>
      </c>
    </row>
    <row r="9811" spans="1:5" x14ac:dyDescent="0.2">
      <c r="A9811" t="s">
        <v>29392</v>
      </c>
      <c r="B9811" t="s">
        <v>29393</v>
      </c>
      <c r="C9811" t="s">
        <v>29393</v>
      </c>
      <c r="D9811" t="str">
        <f>HYPERLINK("https://zfin.org/ZDB-GENE-040426-2799")</f>
        <v>https://zfin.org/ZDB-GENE-040426-2799</v>
      </c>
      <c r="E9811" t="s">
        <v>29394</v>
      </c>
    </row>
    <row r="9812" spans="1:5" x14ac:dyDescent="0.2">
      <c r="A9812" t="s">
        <v>29395</v>
      </c>
      <c r="B9812" t="s">
        <v>29396</v>
      </c>
      <c r="C9812" t="s">
        <v>29396</v>
      </c>
      <c r="D9812" t="str">
        <f>HYPERLINK("https://zfin.org/ZDB-GENE-980526-488")</f>
        <v>https://zfin.org/ZDB-GENE-980526-488</v>
      </c>
      <c r="E9812" t="s">
        <v>29397</v>
      </c>
    </row>
    <row r="9813" spans="1:5" x14ac:dyDescent="0.2">
      <c r="A9813" t="s">
        <v>29398</v>
      </c>
      <c r="B9813" t="s">
        <v>29399</v>
      </c>
      <c r="C9813" t="s">
        <v>29399</v>
      </c>
      <c r="D9813" t="str">
        <f>HYPERLINK("https://zfin.org/ZDB-GENE-050913-79")</f>
        <v>https://zfin.org/ZDB-GENE-050913-79</v>
      </c>
      <c r="E9813" t="s">
        <v>29400</v>
      </c>
    </row>
    <row r="9814" spans="1:5" x14ac:dyDescent="0.2">
      <c r="A9814" t="s">
        <v>29401</v>
      </c>
      <c r="B9814" t="s">
        <v>29402</v>
      </c>
      <c r="C9814" t="s">
        <v>29402</v>
      </c>
      <c r="D9814" t="str">
        <f>HYPERLINK("https://zfin.org/ZDB-GENE-081104-484")</f>
        <v>https://zfin.org/ZDB-GENE-081104-484</v>
      </c>
      <c r="E9814" t="s">
        <v>29403</v>
      </c>
    </row>
    <row r="9815" spans="1:5" x14ac:dyDescent="0.2">
      <c r="A9815" t="s">
        <v>29404</v>
      </c>
      <c r="B9815" t="s">
        <v>29405</v>
      </c>
      <c r="C9815" t="s">
        <v>29405</v>
      </c>
      <c r="D9815" t="str">
        <f>HYPERLINK("https://zfin.org/ZDB-GENE-040822-22")</f>
        <v>https://zfin.org/ZDB-GENE-040822-22</v>
      </c>
      <c r="E9815" t="s">
        <v>29406</v>
      </c>
    </row>
    <row r="9816" spans="1:5" x14ac:dyDescent="0.2">
      <c r="A9816" t="s">
        <v>29407</v>
      </c>
      <c r="B9816" t="s">
        <v>29408</v>
      </c>
      <c r="C9816" t="s">
        <v>29408</v>
      </c>
      <c r="D9816" t="str">
        <f>HYPERLINK("https://zfin.org/ZDB-GENE-131121-4")</f>
        <v>https://zfin.org/ZDB-GENE-131121-4</v>
      </c>
      <c r="E9816" t="s">
        <v>29409</v>
      </c>
    </row>
    <row r="9817" spans="1:5" x14ac:dyDescent="0.2">
      <c r="A9817" t="s">
        <v>29410</v>
      </c>
      <c r="B9817" t="s">
        <v>29411</v>
      </c>
      <c r="C9817" t="s">
        <v>29411</v>
      </c>
      <c r="D9817" t="str">
        <f>HYPERLINK("https://zfin.org/ZDB-GENE-040426-2038")</f>
        <v>https://zfin.org/ZDB-GENE-040426-2038</v>
      </c>
      <c r="E9817" t="s">
        <v>29412</v>
      </c>
    </row>
    <row r="9818" spans="1:5" x14ac:dyDescent="0.2">
      <c r="A9818" t="s">
        <v>29413</v>
      </c>
      <c r="B9818" t="s">
        <v>29414</v>
      </c>
      <c r="C9818" t="s">
        <v>29414</v>
      </c>
      <c r="D9818" t="str">
        <f>HYPERLINK("https://zfin.org/ZDB-GENE-070112-2282")</f>
        <v>https://zfin.org/ZDB-GENE-070112-2282</v>
      </c>
      <c r="E9818" t="s">
        <v>29415</v>
      </c>
    </row>
    <row r="9819" spans="1:5" x14ac:dyDescent="0.2">
      <c r="A9819" t="s">
        <v>29416</v>
      </c>
      <c r="B9819" t="s">
        <v>29417</v>
      </c>
      <c r="C9819" t="s">
        <v>29417</v>
      </c>
      <c r="D9819" t="str">
        <f>HYPERLINK("https://zfin.org/ZDB-GENE-040426-1757")</f>
        <v>https://zfin.org/ZDB-GENE-040426-1757</v>
      </c>
      <c r="E9819" t="s">
        <v>29418</v>
      </c>
    </row>
    <row r="9820" spans="1:5" x14ac:dyDescent="0.2">
      <c r="A9820" t="s">
        <v>29419</v>
      </c>
      <c r="B9820" t="s">
        <v>29420</v>
      </c>
      <c r="C9820" t="s">
        <v>29420</v>
      </c>
      <c r="D9820" t="str">
        <f>HYPERLINK("https://zfin.org/ZDB-GENE-081119-3")</f>
        <v>https://zfin.org/ZDB-GENE-081119-3</v>
      </c>
      <c r="E9820" t="s">
        <v>29421</v>
      </c>
    </row>
    <row r="9821" spans="1:5" x14ac:dyDescent="0.2">
      <c r="A9821" t="s">
        <v>29422</v>
      </c>
      <c r="B9821" t="s">
        <v>29423</v>
      </c>
      <c r="C9821" t="s">
        <v>29423</v>
      </c>
      <c r="D9821" t="str">
        <f>HYPERLINK("https://zfin.org/ZDB-GENE-040426-1324")</f>
        <v>https://zfin.org/ZDB-GENE-040426-1324</v>
      </c>
      <c r="E9821" t="s">
        <v>29424</v>
      </c>
    </row>
    <row r="9822" spans="1:5" x14ac:dyDescent="0.2">
      <c r="A9822" t="s">
        <v>29425</v>
      </c>
      <c r="B9822" t="s">
        <v>29426</v>
      </c>
      <c r="C9822" t="s">
        <v>29426</v>
      </c>
      <c r="D9822" t="str">
        <f>HYPERLINK("https://zfin.org/ZDB-GENE-030131-4803")</f>
        <v>https://zfin.org/ZDB-GENE-030131-4803</v>
      </c>
      <c r="E9822" t="s">
        <v>29427</v>
      </c>
    </row>
    <row r="9823" spans="1:5" x14ac:dyDescent="0.2">
      <c r="A9823" t="s">
        <v>29428</v>
      </c>
      <c r="B9823" t="s">
        <v>29429</v>
      </c>
      <c r="C9823" t="s">
        <v>29429</v>
      </c>
      <c r="D9823" t="str">
        <f>HYPERLINK("https://zfin.org/ZDB-GENE-070912-559")</f>
        <v>https://zfin.org/ZDB-GENE-070912-559</v>
      </c>
      <c r="E9823" t="s">
        <v>28345</v>
      </c>
    </row>
    <row r="9824" spans="1:5" x14ac:dyDescent="0.2">
      <c r="A9824" t="s">
        <v>29430</v>
      </c>
      <c r="B9824" t="s">
        <v>29431</v>
      </c>
      <c r="C9824" t="s">
        <v>29431</v>
      </c>
      <c r="D9824" t="str">
        <f>HYPERLINK("https://zfin.org/ZDB-GENE-131126-4")</f>
        <v>https://zfin.org/ZDB-GENE-131126-4</v>
      </c>
      <c r="E9824" t="s">
        <v>29432</v>
      </c>
    </row>
    <row r="9825" spans="1:5" x14ac:dyDescent="0.2">
      <c r="A9825" t="s">
        <v>29433</v>
      </c>
      <c r="B9825" t="s">
        <v>29434</v>
      </c>
      <c r="C9825" t="s">
        <v>29434</v>
      </c>
      <c r="D9825" t="str">
        <f>HYPERLINK("https://zfin.org/ZDB-GENE-040426-2394")</f>
        <v>https://zfin.org/ZDB-GENE-040426-2394</v>
      </c>
      <c r="E9825" t="s">
        <v>29435</v>
      </c>
    </row>
    <row r="9826" spans="1:5" x14ac:dyDescent="0.2">
      <c r="A9826" t="s">
        <v>29436</v>
      </c>
      <c r="B9826" t="s">
        <v>29437</v>
      </c>
      <c r="C9826" t="s">
        <v>29437</v>
      </c>
      <c r="D9826" t="str">
        <f>HYPERLINK("https://zfin.org/ZDB-GENE-030826-3")</f>
        <v>https://zfin.org/ZDB-GENE-030826-3</v>
      </c>
      <c r="E9826" t="s">
        <v>29438</v>
      </c>
    </row>
    <row r="9827" spans="1:5" x14ac:dyDescent="0.2">
      <c r="A9827" t="s">
        <v>29439</v>
      </c>
      <c r="B9827" t="s">
        <v>29440</v>
      </c>
      <c r="C9827" t="s">
        <v>29440</v>
      </c>
      <c r="D9827" t="str">
        <f>HYPERLINK("https://zfin.org/ZDB-GENE-040401-3")</f>
        <v>https://zfin.org/ZDB-GENE-040401-3</v>
      </c>
      <c r="E9827" t="s">
        <v>29441</v>
      </c>
    </row>
    <row r="9828" spans="1:5" x14ac:dyDescent="0.2">
      <c r="A9828" t="s">
        <v>29442</v>
      </c>
      <c r="B9828" t="s">
        <v>29443</v>
      </c>
      <c r="C9828" t="s">
        <v>29443</v>
      </c>
      <c r="D9828" t="str">
        <f>HYPERLINK("https://zfin.org/ZDB-GENE-061110-49")</f>
        <v>https://zfin.org/ZDB-GENE-061110-49</v>
      </c>
      <c r="E9828" t="s">
        <v>29444</v>
      </c>
    </row>
    <row r="9829" spans="1:5" x14ac:dyDescent="0.2">
      <c r="A9829" t="s">
        <v>29445</v>
      </c>
      <c r="B9829" t="s">
        <v>29446</v>
      </c>
      <c r="C9829" t="s">
        <v>29446</v>
      </c>
      <c r="D9829" t="str">
        <f>HYPERLINK("https://zfin.org/ZDB-GENE-080219-7")</f>
        <v>https://zfin.org/ZDB-GENE-080219-7</v>
      </c>
      <c r="E9829" t="s">
        <v>29447</v>
      </c>
    </row>
    <row r="9830" spans="1:5" x14ac:dyDescent="0.2">
      <c r="A9830" t="s">
        <v>29448</v>
      </c>
      <c r="B9830" t="s">
        <v>29449</v>
      </c>
      <c r="C9830" t="s">
        <v>29449</v>
      </c>
      <c r="D9830" t="str">
        <f>HYPERLINK("https://zfin.org/ZDB-GENE-060929-244")</f>
        <v>https://zfin.org/ZDB-GENE-060929-244</v>
      </c>
      <c r="E9830" t="s">
        <v>29450</v>
      </c>
    </row>
    <row r="9831" spans="1:5" x14ac:dyDescent="0.2">
      <c r="A9831" t="s">
        <v>29451</v>
      </c>
      <c r="B9831" t="s">
        <v>29452</v>
      </c>
      <c r="C9831" t="s">
        <v>29452</v>
      </c>
      <c r="D9831" t="str">
        <f>HYPERLINK("https://zfin.org/ZDB-GENE-030131-5889")</f>
        <v>https://zfin.org/ZDB-GENE-030131-5889</v>
      </c>
      <c r="E9831" t="s">
        <v>29453</v>
      </c>
    </row>
    <row r="9832" spans="1:5" x14ac:dyDescent="0.2">
      <c r="A9832" t="s">
        <v>29454</v>
      </c>
      <c r="B9832" t="s">
        <v>29455</v>
      </c>
      <c r="C9832" t="s">
        <v>29455</v>
      </c>
      <c r="D9832" t="str">
        <f>HYPERLINK("https://zfin.org/ZDB-GENE-010724-8")</f>
        <v>https://zfin.org/ZDB-GENE-010724-8</v>
      </c>
      <c r="E9832" t="s">
        <v>29456</v>
      </c>
    </row>
    <row r="9833" spans="1:5" x14ac:dyDescent="0.2">
      <c r="A9833" t="s">
        <v>29457</v>
      </c>
      <c r="B9833" t="s">
        <v>29458</v>
      </c>
      <c r="C9833" t="s">
        <v>29458</v>
      </c>
      <c r="D9833" t="str">
        <f>HYPERLINK("https://zfin.org/ZDB-GENE-050913-12")</f>
        <v>https://zfin.org/ZDB-GENE-050913-12</v>
      </c>
      <c r="E9833" t="s">
        <v>29459</v>
      </c>
    </row>
    <row r="9834" spans="1:5" x14ac:dyDescent="0.2">
      <c r="A9834" t="s">
        <v>29460</v>
      </c>
      <c r="B9834" t="s">
        <v>29461</v>
      </c>
      <c r="C9834" t="s">
        <v>29461</v>
      </c>
      <c r="D9834" t="str">
        <f>HYPERLINK("https://zfin.org/ZDB-GENE-050913-122")</f>
        <v>https://zfin.org/ZDB-GENE-050913-122</v>
      </c>
      <c r="E9834" t="s">
        <v>29462</v>
      </c>
    </row>
    <row r="9835" spans="1:5" x14ac:dyDescent="0.2">
      <c r="A9835" t="s">
        <v>29463</v>
      </c>
      <c r="B9835" t="s">
        <v>29464</v>
      </c>
      <c r="C9835" t="s">
        <v>29464</v>
      </c>
      <c r="D9835" t="str">
        <f>HYPERLINK("https://zfin.org/ZDB-GENE-070705-376")</f>
        <v>https://zfin.org/ZDB-GENE-070705-376</v>
      </c>
      <c r="E9835" t="s">
        <v>29465</v>
      </c>
    </row>
    <row r="9836" spans="1:5" x14ac:dyDescent="0.2">
      <c r="A9836" t="s">
        <v>29466</v>
      </c>
      <c r="B9836" t="s">
        <v>29467</v>
      </c>
      <c r="C9836" t="s">
        <v>29467</v>
      </c>
      <c r="D9836" t="str">
        <f>HYPERLINK("https://zfin.org/ZDB-GENE-070809-1")</f>
        <v>https://zfin.org/ZDB-GENE-070809-1</v>
      </c>
      <c r="E9836" t="s">
        <v>29468</v>
      </c>
    </row>
    <row r="9837" spans="1:5" x14ac:dyDescent="0.2">
      <c r="A9837" t="s">
        <v>29469</v>
      </c>
      <c r="B9837" t="s">
        <v>29470</v>
      </c>
      <c r="C9837" t="s">
        <v>29470</v>
      </c>
      <c r="D9837" t="str">
        <f>HYPERLINK("https://zfin.org/ZDB-GENE-050927-1")</f>
        <v>https://zfin.org/ZDB-GENE-050927-1</v>
      </c>
      <c r="E9837" t="s">
        <v>29471</v>
      </c>
    </row>
    <row r="9838" spans="1:5" x14ac:dyDescent="0.2">
      <c r="A9838" t="s">
        <v>29472</v>
      </c>
      <c r="B9838" t="s">
        <v>29473</v>
      </c>
      <c r="C9838" t="s">
        <v>29473</v>
      </c>
      <c r="D9838" t="str">
        <f>HYPERLINK("https://zfin.org/ZDB-GENE-040912-56")</f>
        <v>https://zfin.org/ZDB-GENE-040912-56</v>
      </c>
      <c r="E9838" t="s">
        <v>29474</v>
      </c>
    </row>
    <row r="9839" spans="1:5" x14ac:dyDescent="0.2">
      <c r="A9839" t="s">
        <v>29475</v>
      </c>
      <c r="B9839" t="s">
        <v>29476</v>
      </c>
      <c r="C9839" t="s">
        <v>29476</v>
      </c>
      <c r="D9839" t="str">
        <f>HYPERLINK("https://zfin.org/ZDB-GENE-051120-177")</f>
        <v>https://zfin.org/ZDB-GENE-051120-177</v>
      </c>
      <c r="E9839" t="s">
        <v>29477</v>
      </c>
    </row>
    <row r="9840" spans="1:5" x14ac:dyDescent="0.2">
      <c r="A9840" t="s">
        <v>29478</v>
      </c>
      <c r="B9840" t="s">
        <v>29479</v>
      </c>
      <c r="C9840" t="s">
        <v>29479</v>
      </c>
      <c r="D9840" t="str">
        <f>HYPERLINK("https://zfin.org/ZDB-GENE-040801-146")</f>
        <v>https://zfin.org/ZDB-GENE-040801-146</v>
      </c>
      <c r="E9840" t="s">
        <v>29480</v>
      </c>
    </row>
    <row r="9841" spans="1:5" x14ac:dyDescent="0.2">
      <c r="A9841" t="s">
        <v>29481</v>
      </c>
      <c r="B9841" t="s">
        <v>29482</v>
      </c>
      <c r="C9841" t="s">
        <v>29482</v>
      </c>
      <c r="D9841" t="str">
        <f>HYPERLINK("https://zfin.org/ZDB-GENE-060331-105")</f>
        <v>https://zfin.org/ZDB-GENE-060331-105</v>
      </c>
      <c r="E9841" t="s">
        <v>29483</v>
      </c>
    </row>
    <row r="9842" spans="1:5" x14ac:dyDescent="0.2">
      <c r="A9842" t="s">
        <v>29484</v>
      </c>
      <c r="B9842" t="s">
        <v>29485</v>
      </c>
      <c r="C9842" t="s">
        <v>29485</v>
      </c>
      <c r="D9842" t="str">
        <f>HYPERLINK("https://zfin.org/ZDB-GENE-980526-29")</f>
        <v>https://zfin.org/ZDB-GENE-980526-29</v>
      </c>
      <c r="E9842" t="s">
        <v>29486</v>
      </c>
    </row>
    <row r="9843" spans="1:5" x14ac:dyDescent="0.2">
      <c r="A9843" t="s">
        <v>29487</v>
      </c>
      <c r="B9843" t="s">
        <v>29488</v>
      </c>
      <c r="C9843" t="s">
        <v>29488</v>
      </c>
      <c r="D9843" t="str">
        <f>HYPERLINK("https://zfin.org/ZDB-GENE-040426-765")</f>
        <v>https://zfin.org/ZDB-GENE-040426-765</v>
      </c>
      <c r="E9843" t="s">
        <v>29489</v>
      </c>
    </row>
    <row r="9844" spans="1:5" x14ac:dyDescent="0.2">
      <c r="A9844" t="s">
        <v>29490</v>
      </c>
      <c r="B9844" t="s">
        <v>29491</v>
      </c>
      <c r="C9844" t="s">
        <v>29491</v>
      </c>
      <c r="D9844" t="str">
        <f>HYPERLINK("https://zfin.org/ZDB-GENE-040426-2344")</f>
        <v>https://zfin.org/ZDB-GENE-040426-2344</v>
      </c>
      <c r="E9844" t="s">
        <v>29492</v>
      </c>
    </row>
    <row r="9845" spans="1:5" x14ac:dyDescent="0.2">
      <c r="A9845" t="s">
        <v>29493</v>
      </c>
      <c r="B9845" t="s">
        <v>29494</v>
      </c>
      <c r="C9845" t="s">
        <v>29494</v>
      </c>
      <c r="D9845" t="str">
        <f>HYPERLINK("https://zfin.org/ZDB-GENE-050417-419")</f>
        <v>https://zfin.org/ZDB-GENE-050417-419</v>
      </c>
      <c r="E9845" t="s">
        <v>29495</v>
      </c>
    </row>
    <row r="9846" spans="1:5" x14ac:dyDescent="0.2">
      <c r="A9846" t="s">
        <v>29496</v>
      </c>
      <c r="B9846" t="s">
        <v>29497</v>
      </c>
      <c r="C9846" t="s">
        <v>29497</v>
      </c>
      <c r="D9846" t="str">
        <f>HYPERLINK("https://zfin.org/ZDB-GENE-081104-314")</f>
        <v>https://zfin.org/ZDB-GENE-081104-314</v>
      </c>
      <c r="E9846" t="s">
        <v>29498</v>
      </c>
    </row>
    <row r="9847" spans="1:5" x14ac:dyDescent="0.2">
      <c r="A9847" t="s">
        <v>29499</v>
      </c>
      <c r="B9847" t="s">
        <v>29500</v>
      </c>
      <c r="C9847" t="s">
        <v>29500</v>
      </c>
      <c r="D9847" t="str">
        <f>HYPERLINK("https://zfin.org/ZDB-GENE-130530-633")</f>
        <v>https://zfin.org/ZDB-GENE-130530-633</v>
      </c>
      <c r="E9847" t="s">
        <v>29501</v>
      </c>
    </row>
    <row r="9848" spans="1:5" x14ac:dyDescent="0.2">
      <c r="A9848" t="s">
        <v>29502</v>
      </c>
      <c r="B9848" t="s">
        <v>29503</v>
      </c>
      <c r="C9848" t="s">
        <v>29503</v>
      </c>
      <c r="D9848" t="str">
        <f>HYPERLINK("https://zfin.org/ZDB-GENE-030219-83")</f>
        <v>https://zfin.org/ZDB-GENE-030219-83</v>
      </c>
      <c r="E9848" t="s">
        <v>29504</v>
      </c>
    </row>
    <row r="9849" spans="1:5" x14ac:dyDescent="0.2">
      <c r="A9849" t="s">
        <v>29505</v>
      </c>
      <c r="B9849" t="s">
        <v>29506</v>
      </c>
      <c r="C9849" t="s">
        <v>29506</v>
      </c>
      <c r="D9849" t="str">
        <f>HYPERLINK("https://zfin.org/ZDB-GENE-131121-365")</f>
        <v>https://zfin.org/ZDB-GENE-131121-365</v>
      </c>
      <c r="E9849" t="s">
        <v>29507</v>
      </c>
    </row>
    <row r="9850" spans="1:5" x14ac:dyDescent="0.2">
      <c r="A9850" t="s">
        <v>29508</v>
      </c>
      <c r="B9850" t="s">
        <v>29509</v>
      </c>
      <c r="C9850" t="s">
        <v>29509</v>
      </c>
      <c r="D9850" t="str">
        <f>HYPERLINK("https://zfin.org/ZDB-GENE-041008-119")</f>
        <v>https://zfin.org/ZDB-GENE-041008-119</v>
      </c>
      <c r="E9850" t="s">
        <v>29510</v>
      </c>
    </row>
    <row r="9851" spans="1:5" x14ac:dyDescent="0.2">
      <c r="A9851" t="s">
        <v>29511</v>
      </c>
      <c r="B9851" t="s">
        <v>29512</v>
      </c>
      <c r="C9851" t="s">
        <v>29512</v>
      </c>
      <c r="D9851" t="str">
        <f>HYPERLINK("https://zfin.org/ZDB-GENE-030131-105")</f>
        <v>https://zfin.org/ZDB-GENE-030131-105</v>
      </c>
      <c r="E9851" t="s">
        <v>29513</v>
      </c>
    </row>
    <row r="9852" spans="1:5" x14ac:dyDescent="0.2">
      <c r="A9852" t="s">
        <v>29514</v>
      </c>
      <c r="B9852" t="s">
        <v>29515</v>
      </c>
      <c r="C9852" t="s">
        <v>29515</v>
      </c>
      <c r="D9852" t="str">
        <f>HYPERLINK("https://zfin.org/ZDB-GENE-070705-378")</f>
        <v>https://zfin.org/ZDB-GENE-070705-378</v>
      </c>
      <c r="E9852" t="s">
        <v>29516</v>
      </c>
    </row>
    <row r="9853" spans="1:5" x14ac:dyDescent="0.2">
      <c r="A9853" t="s">
        <v>29517</v>
      </c>
      <c r="B9853" t="s">
        <v>29518</v>
      </c>
      <c r="C9853" t="s">
        <v>29518</v>
      </c>
      <c r="D9853" t="str">
        <f>HYPERLINK("https://zfin.org/ZDB-GENE-090311-47")</f>
        <v>https://zfin.org/ZDB-GENE-090311-47</v>
      </c>
      <c r="E9853" t="s">
        <v>29519</v>
      </c>
    </row>
    <row r="9854" spans="1:5" x14ac:dyDescent="0.2">
      <c r="A9854" t="s">
        <v>29520</v>
      </c>
      <c r="B9854" t="s">
        <v>29521</v>
      </c>
      <c r="C9854" t="s">
        <v>29521</v>
      </c>
      <c r="D9854" t="str">
        <f>HYPERLINK("https://zfin.org/ZDB-GENE-001030-4")</f>
        <v>https://zfin.org/ZDB-GENE-001030-4</v>
      </c>
      <c r="E9854" t="s">
        <v>29522</v>
      </c>
    </row>
    <row r="9855" spans="1:5" x14ac:dyDescent="0.2">
      <c r="A9855" t="s">
        <v>29523</v>
      </c>
      <c r="B9855" t="s">
        <v>29524</v>
      </c>
      <c r="C9855" t="s">
        <v>29524</v>
      </c>
      <c r="D9855" t="str">
        <f>HYPERLINK("https://zfin.org/ZDB-GENE-030131-4933")</f>
        <v>https://zfin.org/ZDB-GENE-030131-4933</v>
      </c>
      <c r="E9855" t="s">
        <v>29525</v>
      </c>
    </row>
    <row r="9856" spans="1:5" x14ac:dyDescent="0.2">
      <c r="A9856" t="s">
        <v>29526</v>
      </c>
      <c r="B9856" t="s">
        <v>29527</v>
      </c>
      <c r="C9856" t="s">
        <v>29527</v>
      </c>
      <c r="D9856" t="str">
        <f>HYPERLINK("https://zfin.org/ZDB-GENE-050417-147")</f>
        <v>https://zfin.org/ZDB-GENE-050417-147</v>
      </c>
      <c r="E9856" t="s">
        <v>29528</v>
      </c>
    </row>
    <row r="9857" spans="1:5" x14ac:dyDescent="0.2">
      <c r="A9857" t="s">
        <v>29529</v>
      </c>
      <c r="B9857" t="s">
        <v>29530</v>
      </c>
      <c r="C9857" t="s">
        <v>29530</v>
      </c>
      <c r="D9857" t="str">
        <f>HYPERLINK("https://zfin.org/ZDB-GENE-990630-13")</f>
        <v>https://zfin.org/ZDB-GENE-990630-13</v>
      </c>
      <c r="E9857" t="s">
        <v>29531</v>
      </c>
    </row>
    <row r="9858" spans="1:5" x14ac:dyDescent="0.2">
      <c r="A9858" t="s">
        <v>29532</v>
      </c>
      <c r="B9858" t="s">
        <v>29533</v>
      </c>
      <c r="C9858" t="s">
        <v>29533</v>
      </c>
      <c r="D9858" t="str">
        <f>HYPERLINK("https://zfin.org/ZDB-GENE-050522-64")</f>
        <v>https://zfin.org/ZDB-GENE-050522-64</v>
      </c>
      <c r="E9858" t="s">
        <v>29534</v>
      </c>
    </row>
    <row r="9859" spans="1:5" x14ac:dyDescent="0.2">
      <c r="A9859" t="s">
        <v>29535</v>
      </c>
      <c r="B9859" t="s">
        <v>29536</v>
      </c>
      <c r="C9859" t="s">
        <v>29536</v>
      </c>
      <c r="D9859" t="str">
        <f>HYPERLINK("https://zfin.org/ZDB-GENE-030829-26")</f>
        <v>https://zfin.org/ZDB-GENE-030829-26</v>
      </c>
      <c r="E9859" t="s">
        <v>29537</v>
      </c>
    </row>
    <row r="9860" spans="1:5" x14ac:dyDescent="0.2">
      <c r="A9860" t="s">
        <v>29538</v>
      </c>
      <c r="B9860" t="s">
        <v>29539</v>
      </c>
      <c r="C9860" t="s">
        <v>29539</v>
      </c>
      <c r="D9860" t="str">
        <f>HYPERLINK("https://zfin.org/ZDB-GENE-030131-3026")</f>
        <v>https://zfin.org/ZDB-GENE-030131-3026</v>
      </c>
      <c r="E9860" t="s">
        <v>29540</v>
      </c>
    </row>
    <row r="9861" spans="1:5" x14ac:dyDescent="0.2">
      <c r="A9861" t="s">
        <v>29541</v>
      </c>
      <c r="B9861" t="s">
        <v>29542</v>
      </c>
      <c r="C9861" t="s">
        <v>29542</v>
      </c>
      <c r="D9861" t="str">
        <f>HYPERLINK("https://zfin.org/ZDB-GENE-040426-1739")</f>
        <v>https://zfin.org/ZDB-GENE-040426-1739</v>
      </c>
      <c r="E9861" t="s">
        <v>29543</v>
      </c>
    </row>
    <row r="9862" spans="1:5" x14ac:dyDescent="0.2">
      <c r="A9862" t="s">
        <v>29544</v>
      </c>
      <c r="B9862" t="s">
        <v>29545</v>
      </c>
      <c r="C9862" t="s">
        <v>29545</v>
      </c>
      <c r="D9862" t="str">
        <f>HYPERLINK("https://zfin.org/ZDB-GENE-131127-55")</f>
        <v>https://zfin.org/ZDB-GENE-131127-55</v>
      </c>
      <c r="E9862" t="s">
        <v>29546</v>
      </c>
    </row>
    <row r="9863" spans="1:5" x14ac:dyDescent="0.2">
      <c r="A9863" t="s">
        <v>29547</v>
      </c>
      <c r="B9863" t="s">
        <v>29548</v>
      </c>
      <c r="C9863" t="s">
        <v>29548</v>
      </c>
      <c r="D9863" t="str">
        <f>HYPERLINK("https://zfin.org/ZDB-GENE-050513-2")</f>
        <v>https://zfin.org/ZDB-GENE-050513-2</v>
      </c>
      <c r="E9863" t="s">
        <v>29549</v>
      </c>
    </row>
    <row r="9864" spans="1:5" x14ac:dyDescent="0.2">
      <c r="A9864" t="s">
        <v>29550</v>
      </c>
      <c r="B9864" t="s">
        <v>29551</v>
      </c>
      <c r="C9864" t="s">
        <v>29551</v>
      </c>
      <c r="D9864" t="str">
        <f>HYPERLINK("https://zfin.org/ZDB-GENE-131122-77")</f>
        <v>https://zfin.org/ZDB-GENE-131122-77</v>
      </c>
      <c r="E9864" t="s">
        <v>29552</v>
      </c>
    </row>
    <row r="9865" spans="1:5" x14ac:dyDescent="0.2">
      <c r="A9865" t="s">
        <v>29553</v>
      </c>
      <c r="B9865" t="s">
        <v>29554</v>
      </c>
      <c r="C9865" t="s">
        <v>29554</v>
      </c>
      <c r="D9865" t="str">
        <f>HYPERLINK("https://zfin.org/ZDB-GENE-120215-81")</f>
        <v>https://zfin.org/ZDB-GENE-120215-81</v>
      </c>
      <c r="E9865" t="s">
        <v>29555</v>
      </c>
    </row>
    <row r="9866" spans="1:5" x14ac:dyDescent="0.2">
      <c r="A9866" t="s">
        <v>29556</v>
      </c>
      <c r="B9866" t="s">
        <v>29557</v>
      </c>
      <c r="C9866" t="s">
        <v>29557</v>
      </c>
      <c r="D9866" t="str">
        <f>HYPERLINK("https://zfin.org/ZDB-GENE-060503-693")</f>
        <v>https://zfin.org/ZDB-GENE-060503-693</v>
      </c>
      <c r="E9866" t="s">
        <v>29558</v>
      </c>
    </row>
    <row r="9867" spans="1:5" x14ac:dyDescent="0.2">
      <c r="A9867" t="s">
        <v>29559</v>
      </c>
      <c r="B9867" t="s">
        <v>17213</v>
      </c>
      <c r="C9867" t="s">
        <v>29560</v>
      </c>
      <c r="D9867" t="str">
        <f>HYPERLINK("https://zfin.org/ZDB-GENE-081028-32")</f>
        <v>https://zfin.org/ZDB-GENE-081028-32</v>
      </c>
      <c r="E9867" t="s">
        <v>29561</v>
      </c>
    </row>
    <row r="9868" spans="1:5" x14ac:dyDescent="0.2">
      <c r="A9868" t="s">
        <v>29562</v>
      </c>
      <c r="B9868" t="s">
        <v>2859</v>
      </c>
      <c r="C9868" t="s">
        <v>29563</v>
      </c>
      <c r="D9868" t="str">
        <f>HYPERLINK("https://zfin.org/ZDB-GENE-131126-11")</f>
        <v>https://zfin.org/ZDB-GENE-131126-11</v>
      </c>
      <c r="E9868" t="s">
        <v>29564</v>
      </c>
    </row>
    <row r="9869" spans="1:5" x14ac:dyDescent="0.2">
      <c r="A9869" t="s">
        <v>29565</v>
      </c>
      <c r="B9869" t="s">
        <v>29566</v>
      </c>
      <c r="C9869" t="s">
        <v>29566</v>
      </c>
      <c r="D9869" t="str">
        <f>HYPERLINK("https://zfin.org/ZDB-GENE-040912-45")</f>
        <v>https://zfin.org/ZDB-GENE-040912-45</v>
      </c>
      <c r="E9869" t="s">
        <v>29567</v>
      </c>
    </row>
    <row r="9870" spans="1:5" x14ac:dyDescent="0.2">
      <c r="A9870" t="s">
        <v>29568</v>
      </c>
      <c r="B9870" t="s">
        <v>29569</v>
      </c>
      <c r="C9870" t="s">
        <v>29569</v>
      </c>
      <c r="D9870" t="str">
        <f>HYPERLINK("https://zfin.org/ZDB-GENE-030131-913")</f>
        <v>https://zfin.org/ZDB-GENE-030131-913</v>
      </c>
      <c r="E9870" t="s">
        <v>29570</v>
      </c>
    </row>
    <row r="9871" spans="1:5" x14ac:dyDescent="0.2">
      <c r="A9871" t="s">
        <v>29571</v>
      </c>
      <c r="B9871" t="s">
        <v>29572</v>
      </c>
      <c r="C9871" t="s">
        <v>29572</v>
      </c>
      <c r="D9871" t="str">
        <f>HYPERLINK("https://zfin.org/ZDB-GENE-090313-215")</f>
        <v>https://zfin.org/ZDB-GENE-090313-215</v>
      </c>
      <c r="E9871" t="s">
        <v>29573</v>
      </c>
    </row>
    <row r="9872" spans="1:5" x14ac:dyDescent="0.2">
      <c r="A9872" t="s">
        <v>29574</v>
      </c>
      <c r="B9872" t="s">
        <v>29575</v>
      </c>
      <c r="C9872" t="s">
        <v>29575</v>
      </c>
      <c r="D9872" t="str">
        <f>HYPERLINK("https://zfin.org/ZDB-GENE-030131-4787")</f>
        <v>https://zfin.org/ZDB-GENE-030131-4787</v>
      </c>
      <c r="E9872" t="s">
        <v>29576</v>
      </c>
    </row>
    <row r="9873" spans="1:5" x14ac:dyDescent="0.2">
      <c r="A9873" t="s">
        <v>29577</v>
      </c>
      <c r="B9873" t="s">
        <v>29578</v>
      </c>
      <c r="C9873" t="s">
        <v>29578</v>
      </c>
      <c r="D9873" t="str">
        <f>HYPERLINK("https://zfin.org/ZDB-GENE-030131-6134")</f>
        <v>https://zfin.org/ZDB-GENE-030131-6134</v>
      </c>
      <c r="E9873" t="s">
        <v>29579</v>
      </c>
    </row>
    <row r="9874" spans="1:5" x14ac:dyDescent="0.2">
      <c r="A9874" t="s">
        <v>29580</v>
      </c>
      <c r="B9874" t="s">
        <v>29581</v>
      </c>
      <c r="C9874" t="s">
        <v>29581</v>
      </c>
      <c r="D9874" t="str">
        <f>HYPERLINK("https://zfin.org/ZDB-GENE-041010-45")</f>
        <v>https://zfin.org/ZDB-GENE-041010-45</v>
      </c>
      <c r="E9874" t="s">
        <v>29582</v>
      </c>
    </row>
    <row r="9875" spans="1:5" x14ac:dyDescent="0.2">
      <c r="A9875" t="s">
        <v>29583</v>
      </c>
      <c r="B9875" t="s">
        <v>29584</v>
      </c>
      <c r="C9875" t="s">
        <v>29584</v>
      </c>
      <c r="D9875" t="str">
        <f>HYPERLINK("https://zfin.org/ZDB-GENE-060526-327")</f>
        <v>https://zfin.org/ZDB-GENE-060526-327</v>
      </c>
      <c r="E9875" t="s">
        <v>29585</v>
      </c>
    </row>
    <row r="9876" spans="1:5" x14ac:dyDescent="0.2">
      <c r="A9876" t="s">
        <v>29586</v>
      </c>
      <c r="B9876" t="s">
        <v>29587</v>
      </c>
      <c r="C9876" t="s">
        <v>29587</v>
      </c>
      <c r="D9876" t="str">
        <f>HYPERLINK("https://zfin.org/ZDB-GENE-110411-40")</f>
        <v>https://zfin.org/ZDB-GENE-110411-40</v>
      </c>
      <c r="E9876" t="s">
        <v>29588</v>
      </c>
    </row>
    <row r="9877" spans="1:5" x14ac:dyDescent="0.2">
      <c r="A9877" t="s">
        <v>29589</v>
      </c>
      <c r="B9877" t="s">
        <v>29590</v>
      </c>
      <c r="C9877" t="s">
        <v>29590</v>
      </c>
      <c r="D9877" t="str">
        <f>HYPERLINK("https://zfin.org/ZDB-GENE-030131-1428")</f>
        <v>https://zfin.org/ZDB-GENE-030131-1428</v>
      </c>
      <c r="E9877" t="s">
        <v>29591</v>
      </c>
    </row>
    <row r="9878" spans="1:5" x14ac:dyDescent="0.2">
      <c r="A9878" t="s">
        <v>29592</v>
      </c>
      <c r="B9878" t="s">
        <v>29593</v>
      </c>
      <c r="C9878" t="s">
        <v>29593</v>
      </c>
      <c r="D9878" t="str">
        <f>HYPERLINK("https://zfin.org/ZDB-GENE-050417-118")</f>
        <v>https://zfin.org/ZDB-GENE-050417-118</v>
      </c>
      <c r="E9878" t="s">
        <v>29594</v>
      </c>
    </row>
    <row r="9879" spans="1:5" x14ac:dyDescent="0.2">
      <c r="A9879" t="s">
        <v>29595</v>
      </c>
      <c r="B9879" t="s">
        <v>29596</v>
      </c>
      <c r="C9879" t="s">
        <v>29596</v>
      </c>
      <c r="D9879" t="str">
        <f>HYPERLINK("https://zfin.org/ZDB-GENE-030131-5841")</f>
        <v>https://zfin.org/ZDB-GENE-030131-5841</v>
      </c>
      <c r="E9879" t="s">
        <v>29597</v>
      </c>
    </row>
    <row r="9880" spans="1:5" x14ac:dyDescent="0.2">
      <c r="A9880" t="s">
        <v>29598</v>
      </c>
      <c r="B9880" t="s">
        <v>29599</v>
      </c>
      <c r="C9880" t="s">
        <v>29599</v>
      </c>
      <c r="D9880" t="str">
        <f>HYPERLINK("https://zfin.org/ZDB-GENE-050522-320")</f>
        <v>https://zfin.org/ZDB-GENE-050522-320</v>
      </c>
      <c r="E9880" t="s">
        <v>29600</v>
      </c>
    </row>
    <row r="9881" spans="1:5" x14ac:dyDescent="0.2">
      <c r="A9881" t="s">
        <v>29601</v>
      </c>
      <c r="B9881" t="s">
        <v>29602</v>
      </c>
      <c r="C9881" t="s">
        <v>29602</v>
      </c>
      <c r="D9881" t="str">
        <f>HYPERLINK("https://zfin.org/ZDB-GENE-050522-67")</f>
        <v>https://zfin.org/ZDB-GENE-050522-67</v>
      </c>
      <c r="E9881" t="s">
        <v>29603</v>
      </c>
    </row>
    <row r="9882" spans="1:5" x14ac:dyDescent="0.2">
      <c r="A9882" t="s">
        <v>29604</v>
      </c>
      <c r="B9882" t="s">
        <v>29605</v>
      </c>
      <c r="C9882" t="s">
        <v>29605</v>
      </c>
      <c r="D9882" t="str">
        <f>HYPERLINK("https://zfin.org/ZDB-GENE-070912-243")</f>
        <v>https://zfin.org/ZDB-GENE-070912-243</v>
      </c>
      <c r="E9882" t="s">
        <v>29606</v>
      </c>
    </row>
    <row r="9883" spans="1:5" x14ac:dyDescent="0.2">
      <c r="A9883" t="s">
        <v>29607</v>
      </c>
      <c r="B9883" t="s">
        <v>29608</v>
      </c>
      <c r="C9883" t="s">
        <v>29608</v>
      </c>
      <c r="D9883" t="str">
        <f>HYPERLINK("https://zfin.org/ZDB-GENE-040426-1063")</f>
        <v>https://zfin.org/ZDB-GENE-040426-1063</v>
      </c>
      <c r="E9883" t="s">
        <v>29609</v>
      </c>
    </row>
    <row r="9884" spans="1:5" x14ac:dyDescent="0.2">
      <c r="A9884" t="s">
        <v>29610</v>
      </c>
      <c r="B9884" t="s">
        <v>29611</v>
      </c>
      <c r="C9884" t="s">
        <v>29611</v>
      </c>
      <c r="D9884" t="str">
        <f>HYPERLINK("https://zfin.org/ZDB-GENE-091113-49")</f>
        <v>https://zfin.org/ZDB-GENE-091113-49</v>
      </c>
      <c r="E9884" t="s">
        <v>29612</v>
      </c>
    </row>
    <row r="9885" spans="1:5" x14ac:dyDescent="0.2">
      <c r="A9885" t="s">
        <v>29613</v>
      </c>
      <c r="B9885" t="s">
        <v>29614</v>
      </c>
      <c r="C9885" t="s">
        <v>29614</v>
      </c>
      <c r="D9885" t="str">
        <f>HYPERLINK("https://zfin.org/ZDB-GENE-000607-16")</f>
        <v>https://zfin.org/ZDB-GENE-000607-16</v>
      </c>
      <c r="E9885" t="s">
        <v>29615</v>
      </c>
    </row>
    <row r="9886" spans="1:5" x14ac:dyDescent="0.2">
      <c r="A9886" t="s">
        <v>29616</v>
      </c>
      <c r="B9886" t="s">
        <v>29617</v>
      </c>
      <c r="C9886" t="s">
        <v>29617</v>
      </c>
      <c r="D9886" t="str">
        <f>HYPERLINK("https://zfin.org/ZDB-GENE-081105-65")</f>
        <v>https://zfin.org/ZDB-GENE-081105-65</v>
      </c>
      <c r="E9886" t="s">
        <v>29618</v>
      </c>
    </row>
    <row r="9887" spans="1:5" x14ac:dyDescent="0.2">
      <c r="A9887" t="s">
        <v>29619</v>
      </c>
      <c r="B9887" t="s">
        <v>29620</v>
      </c>
      <c r="C9887" t="s">
        <v>29620</v>
      </c>
      <c r="D9887" t="str">
        <f>HYPERLINK("https://zfin.org/ZDB-GENE-041210-328")</f>
        <v>https://zfin.org/ZDB-GENE-041210-328</v>
      </c>
      <c r="E9887" t="s">
        <v>29621</v>
      </c>
    </row>
    <row r="9888" spans="1:5" x14ac:dyDescent="0.2">
      <c r="A9888" t="s">
        <v>29622</v>
      </c>
      <c r="B9888" t="s">
        <v>29623</v>
      </c>
      <c r="C9888" t="s">
        <v>29623</v>
      </c>
      <c r="D9888" t="str">
        <f>HYPERLINK("https://zfin.org/ZDB-GENE-081104-443")</f>
        <v>https://zfin.org/ZDB-GENE-081104-443</v>
      </c>
      <c r="E9888" t="s">
        <v>29624</v>
      </c>
    </row>
    <row r="9889" spans="1:5" x14ac:dyDescent="0.2">
      <c r="A9889" t="s">
        <v>29625</v>
      </c>
      <c r="B9889" t="s">
        <v>29626</v>
      </c>
      <c r="C9889" t="s">
        <v>29626</v>
      </c>
      <c r="D9889" t="str">
        <f>HYPERLINK("https://zfin.org/ZDB-GENE-990630-14")</f>
        <v>https://zfin.org/ZDB-GENE-990630-14</v>
      </c>
      <c r="E9889" t="s">
        <v>29627</v>
      </c>
    </row>
    <row r="9890" spans="1:5" x14ac:dyDescent="0.2">
      <c r="A9890" t="s">
        <v>29628</v>
      </c>
      <c r="B9890" t="s">
        <v>29629</v>
      </c>
      <c r="C9890" t="s">
        <v>29629</v>
      </c>
      <c r="D9890" t="str">
        <f>HYPERLINK("https://zfin.org/ZDB-GENE-030131-7691")</f>
        <v>https://zfin.org/ZDB-GENE-030131-7691</v>
      </c>
      <c r="E9890" t="s">
        <v>29630</v>
      </c>
    </row>
    <row r="9891" spans="1:5" x14ac:dyDescent="0.2">
      <c r="A9891" t="s">
        <v>29631</v>
      </c>
      <c r="B9891" t="s">
        <v>29632</v>
      </c>
      <c r="C9891" t="s">
        <v>29632</v>
      </c>
      <c r="D9891" t="str">
        <f>HYPERLINK("https://zfin.org/ZDB-GENE-050417-214")</f>
        <v>https://zfin.org/ZDB-GENE-050417-214</v>
      </c>
      <c r="E9891" t="s">
        <v>29633</v>
      </c>
    </row>
    <row r="9892" spans="1:5" x14ac:dyDescent="0.2">
      <c r="A9892" t="s">
        <v>29634</v>
      </c>
      <c r="B9892" t="s">
        <v>29635</v>
      </c>
      <c r="C9892" t="s">
        <v>29635</v>
      </c>
      <c r="D9892" t="str">
        <f>HYPERLINK("https://zfin.org/ZDB-GENE-081104-424")</f>
        <v>https://zfin.org/ZDB-GENE-081104-424</v>
      </c>
      <c r="E9892" t="s">
        <v>29636</v>
      </c>
    </row>
    <row r="9893" spans="1:5" x14ac:dyDescent="0.2">
      <c r="A9893" t="s">
        <v>29637</v>
      </c>
      <c r="B9893" t="s">
        <v>29638</v>
      </c>
      <c r="C9893" t="s">
        <v>29638</v>
      </c>
      <c r="D9893" t="str">
        <f>HYPERLINK("https://zfin.org/ZDB-GENE-040718-97")</f>
        <v>https://zfin.org/ZDB-GENE-040718-97</v>
      </c>
      <c r="E9893" t="s">
        <v>29639</v>
      </c>
    </row>
    <row r="9894" spans="1:5" x14ac:dyDescent="0.2">
      <c r="A9894" t="s">
        <v>29640</v>
      </c>
      <c r="B9894" t="s">
        <v>29641</v>
      </c>
      <c r="C9894" t="s">
        <v>29641</v>
      </c>
      <c r="D9894" t="str">
        <f>HYPERLINK("https://zfin.org/ZDB-GENE-070424-83")</f>
        <v>https://zfin.org/ZDB-GENE-070424-83</v>
      </c>
      <c r="E9894" t="s">
        <v>29642</v>
      </c>
    </row>
    <row r="9895" spans="1:5" x14ac:dyDescent="0.2">
      <c r="A9895" t="s">
        <v>29643</v>
      </c>
      <c r="B9895" t="s">
        <v>17213</v>
      </c>
      <c r="C9895" t="s">
        <v>29644</v>
      </c>
      <c r="D9895" t="str">
        <f>HYPERLINK("https://zfin.org/ZDB-GENE-081028-43")</f>
        <v>https://zfin.org/ZDB-GENE-081028-43</v>
      </c>
      <c r="E9895" t="s">
        <v>29645</v>
      </c>
    </row>
    <row r="9896" spans="1:5" x14ac:dyDescent="0.2">
      <c r="A9896" t="s">
        <v>29646</v>
      </c>
      <c r="B9896" t="s">
        <v>29647</v>
      </c>
      <c r="C9896" t="s">
        <v>29647</v>
      </c>
      <c r="D9896" t="str">
        <f>HYPERLINK("https://zfin.org/ZDB-GENE-030131-9790")</f>
        <v>https://zfin.org/ZDB-GENE-030131-9790</v>
      </c>
      <c r="E9896" t="s">
        <v>29648</v>
      </c>
    </row>
    <row r="9897" spans="1:5" x14ac:dyDescent="0.2">
      <c r="A9897" t="s">
        <v>29649</v>
      </c>
      <c r="B9897" t="s">
        <v>29650</v>
      </c>
      <c r="C9897" t="s">
        <v>29650</v>
      </c>
      <c r="D9897" t="str">
        <f>HYPERLINK("https://zfin.org/ZDB-GENE-081104-179")</f>
        <v>https://zfin.org/ZDB-GENE-081104-179</v>
      </c>
      <c r="E9897" t="s">
        <v>29651</v>
      </c>
    </row>
    <row r="9898" spans="1:5" x14ac:dyDescent="0.2">
      <c r="A9898" t="s">
        <v>29652</v>
      </c>
      <c r="B9898" t="s">
        <v>29653</v>
      </c>
      <c r="C9898" t="s">
        <v>29653</v>
      </c>
      <c r="D9898" t="str">
        <f>HYPERLINK("https://zfin.org/ZDB-GENE-040724-128")</f>
        <v>https://zfin.org/ZDB-GENE-040724-128</v>
      </c>
      <c r="E9898" t="s">
        <v>29654</v>
      </c>
    </row>
    <row r="9899" spans="1:5" x14ac:dyDescent="0.2">
      <c r="A9899" t="s">
        <v>29655</v>
      </c>
      <c r="B9899" t="s">
        <v>29656</v>
      </c>
      <c r="C9899" t="s">
        <v>29656</v>
      </c>
      <c r="D9899" t="str">
        <f>HYPERLINK("https://zfin.org/ZDB-GENE-040625-113")</f>
        <v>https://zfin.org/ZDB-GENE-040625-113</v>
      </c>
      <c r="E9899" t="s">
        <v>29657</v>
      </c>
    </row>
    <row r="9900" spans="1:5" x14ac:dyDescent="0.2">
      <c r="A9900" t="s">
        <v>29658</v>
      </c>
      <c r="B9900" t="s">
        <v>29659</v>
      </c>
      <c r="C9900" t="s">
        <v>29659</v>
      </c>
      <c r="D9900" t="str">
        <f>HYPERLINK("https://zfin.org/ZDB-GENE-091204-298")</f>
        <v>https://zfin.org/ZDB-GENE-091204-298</v>
      </c>
      <c r="E9900" t="s">
        <v>29660</v>
      </c>
    </row>
    <row r="9901" spans="1:5" x14ac:dyDescent="0.2">
      <c r="A9901" t="s">
        <v>29661</v>
      </c>
      <c r="B9901" t="s">
        <v>29662</v>
      </c>
      <c r="C9901" t="s">
        <v>29662</v>
      </c>
      <c r="D9901" t="str">
        <f>HYPERLINK("https://zfin.org/ZDB-GENE-081105-64")</f>
        <v>https://zfin.org/ZDB-GENE-081105-64</v>
      </c>
      <c r="E9901" t="s">
        <v>29663</v>
      </c>
    </row>
    <row r="9902" spans="1:5" x14ac:dyDescent="0.2">
      <c r="A9902" t="s">
        <v>29664</v>
      </c>
      <c r="B9902" t="s">
        <v>29665</v>
      </c>
      <c r="C9902" t="s">
        <v>29665</v>
      </c>
      <c r="D9902" t="str">
        <f>HYPERLINK("https://zfin.org/ZDB-GENE-080125-1")</f>
        <v>https://zfin.org/ZDB-GENE-080125-1</v>
      </c>
      <c r="E9902" t="s">
        <v>29666</v>
      </c>
    </row>
    <row r="9903" spans="1:5" x14ac:dyDescent="0.2">
      <c r="A9903" t="s">
        <v>29667</v>
      </c>
      <c r="B9903" t="s">
        <v>29668</v>
      </c>
      <c r="C9903" t="s">
        <v>29668</v>
      </c>
      <c r="D9903" t="str">
        <f>HYPERLINK("https://zfin.org/ZDB-GENE-131121-206")</f>
        <v>https://zfin.org/ZDB-GENE-131121-206</v>
      </c>
      <c r="E9903" t="s">
        <v>29669</v>
      </c>
    </row>
    <row r="9904" spans="1:5" x14ac:dyDescent="0.2">
      <c r="A9904" t="s">
        <v>29670</v>
      </c>
      <c r="B9904" t="s">
        <v>29671</v>
      </c>
      <c r="C9904" t="s">
        <v>29671</v>
      </c>
      <c r="D9904" t="str">
        <f>HYPERLINK("https://zfin.org/ZDB-GENE-040718-409")</f>
        <v>https://zfin.org/ZDB-GENE-040718-409</v>
      </c>
      <c r="E9904" t="s">
        <v>29672</v>
      </c>
    </row>
    <row r="9905" spans="1:5" x14ac:dyDescent="0.2">
      <c r="A9905" t="s">
        <v>29673</v>
      </c>
      <c r="B9905" t="s">
        <v>29674</v>
      </c>
      <c r="C9905" t="s">
        <v>29674</v>
      </c>
      <c r="D9905" t="str">
        <f>HYPERLINK("https://zfin.org/ZDB-GENE-050327-67")</f>
        <v>https://zfin.org/ZDB-GENE-050327-67</v>
      </c>
      <c r="E9905" t="s">
        <v>29675</v>
      </c>
    </row>
    <row r="9906" spans="1:5" x14ac:dyDescent="0.2">
      <c r="A9906" t="s">
        <v>29676</v>
      </c>
      <c r="B9906" t="s">
        <v>29677</v>
      </c>
      <c r="C9906" t="s">
        <v>29677</v>
      </c>
      <c r="D9906" t="str">
        <f>HYPERLINK("https://zfin.org/ZDB-GENE-040426-2687")</f>
        <v>https://zfin.org/ZDB-GENE-040426-2687</v>
      </c>
      <c r="E9906" t="s">
        <v>29678</v>
      </c>
    </row>
    <row r="9907" spans="1:5" x14ac:dyDescent="0.2">
      <c r="A9907" t="s">
        <v>29679</v>
      </c>
      <c r="B9907" t="s">
        <v>29680</v>
      </c>
      <c r="C9907" t="s">
        <v>29680</v>
      </c>
      <c r="D9907" t="str">
        <f>HYPERLINK("https://zfin.org/ZDB-GENE-090312-68")</f>
        <v>https://zfin.org/ZDB-GENE-090312-68</v>
      </c>
      <c r="E9907" t="s">
        <v>29681</v>
      </c>
    </row>
    <row r="9908" spans="1:5" x14ac:dyDescent="0.2">
      <c r="A9908" t="s">
        <v>29682</v>
      </c>
      <c r="B9908" t="s">
        <v>29683</v>
      </c>
      <c r="C9908" t="s">
        <v>29683</v>
      </c>
      <c r="D9908" t="str">
        <f>HYPERLINK("https://zfin.org/ZDB-GENE-040426-792")</f>
        <v>https://zfin.org/ZDB-GENE-040426-792</v>
      </c>
      <c r="E9908" t="s">
        <v>29684</v>
      </c>
    </row>
    <row r="9909" spans="1:5" x14ac:dyDescent="0.2">
      <c r="A9909" t="s">
        <v>29685</v>
      </c>
      <c r="B9909" t="s">
        <v>29686</v>
      </c>
      <c r="C9909" t="s">
        <v>29686</v>
      </c>
      <c r="D9909" t="str">
        <f>HYPERLINK("https://zfin.org/ZDB-GENE-040801-25")</f>
        <v>https://zfin.org/ZDB-GENE-040801-25</v>
      </c>
      <c r="E9909" t="s">
        <v>29687</v>
      </c>
    </row>
    <row r="9910" spans="1:5" x14ac:dyDescent="0.2">
      <c r="A9910" t="s">
        <v>29688</v>
      </c>
      <c r="B9910" t="s">
        <v>29689</v>
      </c>
      <c r="C9910" t="s">
        <v>29689</v>
      </c>
      <c r="D9910" t="str">
        <f>HYPERLINK("https://zfin.org/ZDB-GENE-100422-4")</f>
        <v>https://zfin.org/ZDB-GENE-100422-4</v>
      </c>
      <c r="E9910" t="s">
        <v>29690</v>
      </c>
    </row>
    <row r="9911" spans="1:5" x14ac:dyDescent="0.2">
      <c r="A9911" t="s">
        <v>29691</v>
      </c>
      <c r="B9911" t="s">
        <v>29692</v>
      </c>
      <c r="C9911" t="s">
        <v>29692</v>
      </c>
      <c r="D9911" t="str">
        <f>HYPERLINK("https://zfin.org/ZDB-GENE-041014-323")</f>
        <v>https://zfin.org/ZDB-GENE-041014-323</v>
      </c>
      <c r="E9911" t="s">
        <v>29693</v>
      </c>
    </row>
    <row r="9912" spans="1:5" x14ac:dyDescent="0.2">
      <c r="A9912" t="s">
        <v>29694</v>
      </c>
      <c r="B9912" t="s">
        <v>29695</v>
      </c>
      <c r="C9912" t="s">
        <v>29695</v>
      </c>
      <c r="D9912" t="str">
        <f>HYPERLINK("https://zfin.org/ZDB-GENE-081031-83")</f>
        <v>https://zfin.org/ZDB-GENE-081031-83</v>
      </c>
      <c r="E9912" t="s">
        <v>29696</v>
      </c>
    </row>
    <row r="9913" spans="1:5" x14ac:dyDescent="0.2">
      <c r="A9913" t="s">
        <v>29697</v>
      </c>
      <c r="B9913" t="s">
        <v>29698</v>
      </c>
      <c r="C9913" t="s">
        <v>29698</v>
      </c>
      <c r="D9913" t="str">
        <f>HYPERLINK("https://zfin.org/ZDB-GENE-120613-1")</f>
        <v>https://zfin.org/ZDB-GENE-120613-1</v>
      </c>
      <c r="E9913" t="s">
        <v>29699</v>
      </c>
    </row>
    <row r="9914" spans="1:5" x14ac:dyDescent="0.2">
      <c r="A9914" t="s">
        <v>29700</v>
      </c>
      <c r="B9914" t="s">
        <v>29701</v>
      </c>
      <c r="C9914" t="s">
        <v>29701</v>
      </c>
      <c r="D9914" t="str">
        <f>HYPERLINK("https://zfin.org/ZDB-GENE-031118-211")</f>
        <v>https://zfin.org/ZDB-GENE-031118-211</v>
      </c>
      <c r="E9914" t="s">
        <v>29702</v>
      </c>
    </row>
    <row r="9915" spans="1:5" x14ac:dyDescent="0.2">
      <c r="A9915" t="s">
        <v>29703</v>
      </c>
      <c r="B9915" t="s">
        <v>29704</v>
      </c>
      <c r="C9915" t="s">
        <v>29704</v>
      </c>
      <c r="D9915" t="str">
        <f>HYPERLINK("https://zfin.org/ZDB-GENE-030131-2056")</f>
        <v>https://zfin.org/ZDB-GENE-030131-2056</v>
      </c>
      <c r="E9915" t="s">
        <v>29705</v>
      </c>
    </row>
    <row r="9916" spans="1:5" x14ac:dyDescent="0.2">
      <c r="A9916" t="s">
        <v>29706</v>
      </c>
      <c r="B9916" t="s">
        <v>29707</v>
      </c>
      <c r="C9916" t="s">
        <v>29707</v>
      </c>
      <c r="D9916" t="str">
        <f>HYPERLINK("https://zfin.org/ZDB-GENE-040426-2032")</f>
        <v>https://zfin.org/ZDB-GENE-040426-2032</v>
      </c>
      <c r="E9916" t="s">
        <v>29708</v>
      </c>
    </row>
    <row r="9917" spans="1:5" x14ac:dyDescent="0.2">
      <c r="A9917" t="s">
        <v>29709</v>
      </c>
      <c r="B9917" t="s">
        <v>29710</v>
      </c>
      <c r="C9917" t="s">
        <v>29710</v>
      </c>
      <c r="D9917" t="str">
        <f>HYPERLINK("https://zfin.org/ZDB-GENE-060526-137")</f>
        <v>https://zfin.org/ZDB-GENE-060526-137</v>
      </c>
      <c r="E9917" t="s">
        <v>29711</v>
      </c>
    </row>
    <row r="9918" spans="1:5" x14ac:dyDescent="0.2">
      <c r="A9918" t="s">
        <v>29712</v>
      </c>
      <c r="B9918" t="s">
        <v>29713</v>
      </c>
      <c r="C9918" t="s">
        <v>29713</v>
      </c>
      <c r="D9918" t="str">
        <f>HYPERLINK("https://zfin.org/ZDB-GENE-050506-32")</f>
        <v>https://zfin.org/ZDB-GENE-050506-32</v>
      </c>
      <c r="E9918" t="s">
        <v>29714</v>
      </c>
    </row>
    <row r="9919" spans="1:5" x14ac:dyDescent="0.2">
      <c r="A9919" t="s">
        <v>29715</v>
      </c>
      <c r="B9919" t="s">
        <v>29716</v>
      </c>
      <c r="C9919" t="s">
        <v>29716</v>
      </c>
      <c r="D9919" t="str">
        <f>HYPERLINK("https://zfin.org/ZDB-GENE-050320-132")</f>
        <v>https://zfin.org/ZDB-GENE-050320-132</v>
      </c>
      <c r="E9919" t="s">
        <v>29717</v>
      </c>
    </row>
    <row r="9920" spans="1:5" x14ac:dyDescent="0.2">
      <c r="A9920" t="s">
        <v>29718</v>
      </c>
      <c r="B9920" t="s">
        <v>29719</v>
      </c>
      <c r="C9920" t="s">
        <v>29719</v>
      </c>
      <c r="D9920" t="str">
        <f>HYPERLINK("https://zfin.org/ZDB-GENE-081106-1")</f>
        <v>https://zfin.org/ZDB-GENE-081106-1</v>
      </c>
      <c r="E9920" t="s">
        <v>29720</v>
      </c>
    </row>
    <row r="9921" spans="1:5" x14ac:dyDescent="0.2">
      <c r="A9921" t="s">
        <v>29721</v>
      </c>
      <c r="B9921" t="s">
        <v>29722</v>
      </c>
      <c r="C9921" t="s">
        <v>29722</v>
      </c>
      <c r="D9921" t="str">
        <f>HYPERLINK("https://zfin.org/ZDB-GENE-000208-21")</f>
        <v>https://zfin.org/ZDB-GENE-000208-21</v>
      </c>
      <c r="E9921" t="s">
        <v>29723</v>
      </c>
    </row>
    <row r="9922" spans="1:5" x14ac:dyDescent="0.2">
      <c r="A9922" t="s">
        <v>29724</v>
      </c>
      <c r="B9922" t="s">
        <v>29725</v>
      </c>
      <c r="C9922" t="s">
        <v>29725</v>
      </c>
      <c r="D9922" t="str">
        <f>HYPERLINK("https://zfin.org/ZDB-GENE-040724-224")</f>
        <v>https://zfin.org/ZDB-GENE-040724-224</v>
      </c>
      <c r="E9922" t="s">
        <v>29726</v>
      </c>
    </row>
    <row r="9923" spans="1:5" x14ac:dyDescent="0.2">
      <c r="A9923" t="s">
        <v>29727</v>
      </c>
      <c r="B9923" t="s">
        <v>29728</v>
      </c>
      <c r="C9923" t="s">
        <v>29728</v>
      </c>
      <c r="D9923" t="str">
        <f>HYPERLINK("https://zfin.org/ZDB-GENE-060503-157")</f>
        <v>https://zfin.org/ZDB-GENE-060503-157</v>
      </c>
      <c r="E9923" t="s">
        <v>29729</v>
      </c>
    </row>
    <row r="9924" spans="1:5" x14ac:dyDescent="0.2">
      <c r="A9924" t="s">
        <v>29730</v>
      </c>
      <c r="B9924" t="s">
        <v>29731</v>
      </c>
      <c r="C9924" t="s">
        <v>29731</v>
      </c>
      <c r="D9924" t="str">
        <f>HYPERLINK("https://zfin.org/ZDB-GENE-040718-439")</f>
        <v>https://zfin.org/ZDB-GENE-040718-439</v>
      </c>
      <c r="E9924" t="s">
        <v>29732</v>
      </c>
    </row>
    <row r="9925" spans="1:5" x14ac:dyDescent="0.2">
      <c r="A9925" t="s">
        <v>29733</v>
      </c>
      <c r="B9925" t="s">
        <v>29734</v>
      </c>
      <c r="C9925" t="s">
        <v>29734</v>
      </c>
      <c r="D9925" t="str">
        <f>HYPERLINK("https://zfin.org/ZDB-GENE-111031-2")</f>
        <v>https://zfin.org/ZDB-GENE-111031-2</v>
      </c>
      <c r="E9925" t="s">
        <v>29735</v>
      </c>
    </row>
    <row r="9926" spans="1:5" x14ac:dyDescent="0.2">
      <c r="A9926" t="s">
        <v>29736</v>
      </c>
      <c r="B9926" t="s">
        <v>29737</v>
      </c>
      <c r="C9926" t="s">
        <v>29737</v>
      </c>
      <c r="D9926" t="str">
        <f>HYPERLINK("https://zfin.org/ZDB-GENE-090303-6")</f>
        <v>https://zfin.org/ZDB-GENE-090303-6</v>
      </c>
      <c r="E9926" t="s">
        <v>29738</v>
      </c>
    </row>
    <row r="9927" spans="1:5" x14ac:dyDescent="0.2">
      <c r="A9927" t="s">
        <v>29739</v>
      </c>
      <c r="B9927" t="s">
        <v>29740</v>
      </c>
      <c r="C9927" t="s">
        <v>29740</v>
      </c>
      <c r="D9927" t="str">
        <f>HYPERLINK("https://zfin.org/ZDB-GENE-070410-90")</f>
        <v>https://zfin.org/ZDB-GENE-070410-90</v>
      </c>
      <c r="E9927" t="s">
        <v>29741</v>
      </c>
    </row>
    <row r="9928" spans="1:5" x14ac:dyDescent="0.2">
      <c r="A9928" t="s">
        <v>29742</v>
      </c>
      <c r="B9928" t="s">
        <v>29743</v>
      </c>
      <c r="C9928" t="s">
        <v>29743</v>
      </c>
      <c r="D9928" t="str">
        <f>HYPERLINK("https://zfin.org/ZDB-GENE-040426-1343")</f>
        <v>https://zfin.org/ZDB-GENE-040426-1343</v>
      </c>
      <c r="E9928" t="s">
        <v>29744</v>
      </c>
    </row>
    <row r="9929" spans="1:5" x14ac:dyDescent="0.2">
      <c r="A9929" t="s">
        <v>29745</v>
      </c>
      <c r="B9929" t="s">
        <v>29746</v>
      </c>
      <c r="C9929" t="s">
        <v>29746</v>
      </c>
      <c r="D9929" t="str">
        <f>HYPERLINK("https://zfin.org/ZDB-GENE-131127-230")</f>
        <v>https://zfin.org/ZDB-GENE-131127-230</v>
      </c>
      <c r="E9929" t="s">
        <v>29747</v>
      </c>
    </row>
    <row r="9930" spans="1:5" x14ac:dyDescent="0.2">
      <c r="A9930" t="s">
        <v>29748</v>
      </c>
      <c r="B9930" t="s">
        <v>29749</v>
      </c>
      <c r="C9930" t="s">
        <v>29749</v>
      </c>
      <c r="D9930" t="str">
        <f>HYPERLINK("https://zfin.org/ZDB-GENE-081104-3")</f>
        <v>https://zfin.org/ZDB-GENE-081104-3</v>
      </c>
      <c r="E9930" t="s">
        <v>29750</v>
      </c>
    </row>
    <row r="9931" spans="1:5" x14ac:dyDescent="0.2">
      <c r="A9931" t="s">
        <v>29751</v>
      </c>
      <c r="B9931" t="s">
        <v>29752</v>
      </c>
      <c r="C9931" t="s">
        <v>29752</v>
      </c>
      <c r="D9931" t="str">
        <f>HYPERLINK("https://zfin.org/ZDB-GENE-081104-516")</f>
        <v>https://zfin.org/ZDB-GENE-081104-516</v>
      </c>
      <c r="E9931" t="s">
        <v>29753</v>
      </c>
    </row>
    <row r="9932" spans="1:5" x14ac:dyDescent="0.2">
      <c r="A9932" t="s">
        <v>29754</v>
      </c>
      <c r="B9932" t="s">
        <v>29755</v>
      </c>
      <c r="C9932" t="s">
        <v>29755</v>
      </c>
      <c r="D9932" t="str">
        <f>HYPERLINK("https://zfin.org/ZDB-GENE-040426-713")</f>
        <v>https://zfin.org/ZDB-GENE-040426-713</v>
      </c>
      <c r="E9932" t="s">
        <v>29756</v>
      </c>
    </row>
    <row r="9933" spans="1:5" x14ac:dyDescent="0.2">
      <c r="A9933" t="s">
        <v>29757</v>
      </c>
      <c r="B9933" t="s">
        <v>29758</v>
      </c>
      <c r="C9933" t="s">
        <v>29758</v>
      </c>
      <c r="D9933" t="str">
        <f>HYPERLINK("https://zfin.org/ZDB-GENE-131121-30")</f>
        <v>https://zfin.org/ZDB-GENE-131121-30</v>
      </c>
      <c r="E9933" t="s">
        <v>29759</v>
      </c>
    </row>
    <row r="9934" spans="1:5" x14ac:dyDescent="0.2">
      <c r="A9934" t="s">
        <v>29760</v>
      </c>
      <c r="B9934" t="s">
        <v>29761</v>
      </c>
      <c r="C9934" t="s">
        <v>29761</v>
      </c>
      <c r="D9934" t="str">
        <f>HYPERLINK("https://zfin.org/ZDB-GENE-030131-9793")</f>
        <v>https://zfin.org/ZDB-GENE-030131-9793</v>
      </c>
      <c r="E9934" t="s">
        <v>29762</v>
      </c>
    </row>
    <row r="9935" spans="1:5" x14ac:dyDescent="0.2">
      <c r="A9935" t="s">
        <v>29763</v>
      </c>
      <c r="B9935" t="s">
        <v>29764</v>
      </c>
      <c r="C9935" t="s">
        <v>29764</v>
      </c>
      <c r="D9935" t="str">
        <f>HYPERLINK("https://zfin.org/ZDB-GENE-070912-543")</f>
        <v>https://zfin.org/ZDB-GENE-070912-543</v>
      </c>
      <c r="E9935" t="s">
        <v>29765</v>
      </c>
    </row>
    <row r="9936" spans="1:5" x14ac:dyDescent="0.2">
      <c r="A9936" t="s">
        <v>29766</v>
      </c>
      <c r="B9936" t="s">
        <v>29767</v>
      </c>
      <c r="C9936" t="s">
        <v>29767</v>
      </c>
      <c r="D9936" t="str">
        <f>HYPERLINK("https://zfin.org/ZDB-GENE-060526-175")</f>
        <v>https://zfin.org/ZDB-GENE-060526-175</v>
      </c>
      <c r="E9936" t="s">
        <v>29768</v>
      </c>
    </row>
    <row r="9937" spans="1:5" x14ac:dyDescent="0.2">
      <c r="A9937" t="s">
        <v>29769</v>
      </c>
      <c r="B9937" t="s">
        <v>29770</v>
      </c>
      <c r="C9937" t="s">
        <v>29770</v>
      </c>
      <c r="D9937" t="str">
        <f>HYPERLINK("https://zfin.org/ZDB-GENE-980605-30")</f>
        <v>https://zfin.org/ZDB-GENE-980605-30</v>
      </c>
      <c r="E9937" t="s">
        <v>29771</v>
      </c>
    </row>
    <row r="9938" spans="1:5" x14ac:dyDescent="0.2">
      <c r="A9938" t="s">
        <v>29772</v>
      </c>
      <c r="B9938" t="s">
        <v>29773</v>
      </c>
      <c r="C9938" t="s">
        <v>29773</v>
      </c>
      <c r="D9938" t="str">
        <f>HYPERLINK("https://zfin.org/ZDB-GENE-131127-156")</f>
        <v>https://zfin.org/ZDB-GENE-131127-156</v>
      </c>
      <c r="E9938" t="s">
        <v>29774</v>
      </c>
    </row>
    <row r="9939" spans="1:5" x14ac:dyDescent="0.2">
      <c r="A9939" t="s">
        <v>29775</v>
      </c>
      <c r="B9939" t="s">
        <v>29776</v>
      </c>
      <c r="C9939" t="s">
        <v>29776</v>
      </c>
      <c r="D9939" t="str">
        <f>HYPERLINK("https://zfin.org/ZDB-GENE-041008-208")</f>
        <v>https://zfin.org/ZDB-GENE-041008-208</v>
      </c>
      <c r="E9939" t="s">
        <v>29777</v>
      </c>
    </row>
    <row r="9940" spans="1:5" x14ac:dyDescent="0.2">
      <c r="A9940" t="s">
        <v>29778</v>
      </c>
      <c r="B9940" t="s">
        <v>29779</v>
      </c>
      <c r="C9940" t="s">
        <v>29779</v>
      </c>
      <c r="D9940" t="str">
        <f>HYPERLINK("https://zfin.org/ZDB-GENE-030131-8319")</f>
        <v>https://zfin.org/ZDB-GENE-030131-8319</v>
      </c>
      <c r="E9940" t="s">
        <v>29780</v>
      </c>
    </row>
    <row r="9941" spans="1:5" x14ac:dyDescent="0.2">
      <c r="A9941" t="s">
        <v>29781</v>
      </c>
      <c r="B9941" t="s">
        <v>29782</v>
      </c>
      <c r="C9941" t="s">
        <v>29782</v>
      </c>
      <c r="D9941" t="str">
        <f>HYPERLINK("https://zfin.org/ZDB-GENE-040426-2672")</f>
        <v>https://zfin.org/ZDB-GENE-040426-2672</v>
      </c>
      <c r="E9941" t="s">
        <v>29783</v>
      </c>
    </row>
    <row r="9942" spans="1:5" x14ac:dyDescent="0.2">
      <c r="A9942" t="s">
        <v>29784</v>
      </c>
      <c r="B9942" t="s">
        <v>29785</v>
      </c>
      <c r="C9942" t="s">
        <v>29785</v>
      </c>
      <c r="D9942" t="str">
        <f>HYPERLINK("https://zfin.org/ZDB-GENE-091113-18")</f>
        <v>https://zfin.org/ZDB-GENE-091113-18</v>
      </c>
      <c r="E9942" t="s">
        <v>29786</v>
      </c>
    </row>
    <row r="9943" spans="1:5" x14ac:dyDescent="0.2">
      <c r="A9943" t="s">
        <v>29787</v>
      </c>
      <c r="B9943" t="s">
        <v>29788</v>
      </c>
      <c r="C9943" t="s">
        <v>29788</v>
      </c>
      <c r="D9943" t="str">
        <f>HYPERLINK("https://zfin.org/ZDB-GENE-040801-120")</f>
        <v>https://zfin.org/ZDB-GENE-040801-120</v>
      </c>
      <c r="E9943" t="s">
        <v>29789</v>
      </c>
    </row>
    <row r="9944" spans="1:5" x14ac:dyDescent="0.2">
      <c r="A9944" t="s">
        <v>29790</v>
      </c>
      <c r="B9944" t="s">
        <v>29791</v>
      </c>
      <c r="C9944" t="s">
        <v>29791</v>
      </c>
      <c r="D9944" t="str">
        <f>HYPERLINK("https://zfin.org/ZDB-GENE-050419-20")</f>
        <v>https://zfin.org/ZDB-GENE-050419-20</v>
      </c>
      <c r="E9944" t="s">
        <v>29792</v>
      </c>
    </row>
    <row r="9945" spans="1:5" x14ac:dyDescent="0.2">
      <c r="A9945" t="s">
        <v>29793</v>
      </c>
      <c r="B9945" t="s">
        <v>29794</v>
      </c>
      <c r="C9945" t="s">
        <v>29794</v>
      </c>
      <c r="D9945" t="str">
        <f>HYPERLINK("https://zfin.org/ZDB-GENE-081104-3")</f>
        <v>https://zfin.org/ZDB-GENE-081104-3</v>
      </c>
      <c r="E9945" t="s">
        <v>29795</v>
      </c>
    </row>
    <row r="9946" spans="1:5" x14ac:dyDescent="0.2">
      <c r="A9946" t="s">
        <v>29796</v>
      </c>
      <c r="B9946" t="s">
        <v>29797</v>
      </c>
      <c r="C9946" t="s">
        <v>29797</v>
      </c>
      <c r="D9946" t="str">
        <f>HYPERLINK("https://zfin.org/ZDB-GENE-030131-1598")</f>
        <v>https://zfin.org/ZDB-GENE-030131-1598</v>
      </c>
      <c r="E9946" t="s">
        <v>29798</v>
      </c>
    </row>
    <row r="9947" spans="1:5" x14ac:dyDescent="0.2">
      <c r="A9947" t="s">
        <v>29799</v>
      </c>
      <c r="B9947" t="s">
        <v>29800</v>
      </c>
      <c r="C9947" t="s">
        <v>29800</v>
      </c>
      <c r="D9947" t="str">
        <f>HYPERLINK("https://zfin.org/ZDB-GENE-061027-358")</f>
        <v>https://zfin.org/ZDB-GENE-061027-358</v>
      </c>
      <c r="E9947" t="s">
        <v>29801</v>
      </c>
    </row>
    <row r="9948" spans="1:5" x14ac:dyDescent="0.2">
      <c r="A9948" t="s">
        <v>29802</v>
      </c>
      <c r="B9948" t="s">
        <v>29803</v>
      </c>
      <c r="C9948" t="s">
        <v>29803</v>
      </c>
      <c r="D9948" t="str">
        <f>HYPERLINK("https://zfin.org/ZDB-GENE-081103-14")</f>
        <v>https://zfin.org/ZDB-GENE-081103-14</v>
      </c>
      <c r="E9948" t="s">
        <v>29804</v>
      </c>
    </row>
    <row r="9949" spans="1:5" x14ac:dyDescent="0.2">
      <c r="A9949" t="s">
        <v>29805</v>
      </c>
      <c r="B9949" t="s">
        <v>29806</v>
      </c>
      <c r="C9949" t="s">
        <v>29806</v>
      </c>
      <c r="D9949" t="str">
        <f>HYPERLINK("https://zfin.org/ZDB-GENE-060825-190")</f>
        <v>https://zfin.org/ZDB-GENE-060825-190</v>
      </c>
      <c r="E9949" t="s">
        <v>29807</v>
      </c>
    </row>
    <row r="9950" spans="1:5" x14ac:dyDescent="0.2">
      <c r="A9950" t="s">
        <v>29808</v>
      </c>
      <c r="B9950" t="s">
        <v>29809</v>
      </c>
      <c r="C9950" t="s">
        <v>29809</v>
      </c>
      <c r="D9950" t="str">
        <f>HYPERLINK("https://zfin.org/ZDB-GENE-030710-3")</f>
        <v>https://zfin.org/ZDB-GENE-030710-3</v>
      </c>
      <c r="E9950" t="s">
        <v>29810</v>
      </c>
    </row>
    <row r="9951" spans="1:5" x14ac:dyDescent="0.2">
      <c r="A9951" t="s">
        <v>29811</v>
      </c>
      <c r="B9951" t="s">
        <v>29812</v>
      </c>
      <c r="C9951" t="s">
        <v>29812</v>
      </c>
      <c r="D9951" t="str">
        <f>HYPERLINK("https://zfin.org/ZDB-GENE-120215-49")</f>
        <v>https://zfin.org/ZDB-GENE-120215-49</v>
      </c>
      <c r="E9951" t="s">
        <v>29813</v>
      </c>
    </row>
    <row r="9952" spans="1:5" x14ac:dyDescent="0.2">
      <c r="A9952" t="s">
        <v>29814</v>
      </c>
      <c r="B9952" t="s">
        <v>29815</v>
      </c>
      <c r="C9952" t="s">
        <v>29815</v>
      </c>
      <c r="D9952" t="str">
        <f>HYPERLINK("https://zfin.org/ZDB-GENE-040625-141")</f>
        <v>https://zfin.org/ZDB-GENE-040625-141</v>
      </c>
      <c r="E9952" t="s">
        <v>29816</v>
      </c>
    </row>
    <row r="9953" spans="1:5" x14ac:dyDescent="0.2">
      <c r="A9953" t="s">
        <v>29817</v>
      </c>
      <c r="B9953" t="s">
        <v>29818</v>
      </c>
      <c r="C9953" t="s">
        <v>29818</v>
      </c>
      <c r="D9953" t="str">
        <f>HYPERLINK("https://zfin.org/ZDB-GENE-050522-195")</f>
        <v>https://zfin.org/ZDB-GENE-050522-195</v>
      </c>
      <c r="E9953" t="s">
        <v>29819</v>
      </c>
    </row>
    <row r="9954" spans="1:5" x14ac:dyDescent="0.2">
      <c r="A9954" t="s">
        <v>29820</v>
      </c>
      <c r="B9954" t="s">
        <v>29821</v>
      </c>
      <c r="C9954" t="s">
        <v>29821</v>
      </c>
      <c r="D9954" t="str">
        <f>HYPERLINK("https://zfin.org/ZDB-GENE-141222-31")</f>
        <v>https://zfin.org/ZDB-GENE-141222-31</v>
      </c>
      <c r="E9954" t="s">
        <v>29822</v>
      </c>
    </row>
    <row r="9955" spans="1:5" x14ac:dyDescent="0.2">
      <c r="A9955" t="s">
        <v>29823</v>
      </c>
      <c r="B9955" t="s">
        <v>29824</v>
      </c>
      <c r="C9955" t="s">
        <v>29824</v>
      </c>
      <c r="D9955" t="str">
        <f>HYPERLINK("https://zfin.org/ZDB-GENE-131127-570")</f>
        <v>https://zfin.org/ZDB-GENE-131127-570</v>
      </c>
      <c r="E9955" t="s">
        <v>29825</v>
      </c>
    </row>
    <row r="9956" spans="1:5" x14ac:dyDescent="0.2">
      <c r="A9956" t="s">
        <v>29826</v>
      </c>
      <c r="B9956" t="s">
        <v>29827</v>
      </c>
      <c r="C9956" t="s">
        <v>29827</v>
      </c>
      <c r="D9956" t="str">
        <f>HYPERLINK("https://zfin.org/ZDB-GENE-030131-1057")</f>
        <v>https://zfin.org/ZDB-GENE-030131-1057</v>
      </c>
      <c r="E9956" t="s">
        <v>29828</v>
      </c>
    </row>
    <row r="9957" spans="1:5" x14ac:dyDescent="0.2">
      <c r="A9957" t="s">
        <v>29829</v>
      </c>
      <c r="B9957" t="s">
        <v>29830</v>
      </c>
      <c r="C9957" t="s">
        <v>29830</v>
      </c>
      <c r="D9957" t="str">
        <f>HYPERLINK("https://zfin.org/ZDB-GENE-040426-728")</f>
        <v>https://zfin.org/ZDB-GENE-040426-728</v>
      </c>
      <c r="E9957" t="s">
        <v>29831</v>
      </c>
    </row>
    <row r="9958" spans="1:5" x14ac:dyDescent="0.2">
      <c r="A9958" t="s">
        <v>29832</v>
      </c>
      <c r="B9958" t="s">
        <v>29833</v>
      </c>
      <c r="C9958" t="s">
        <v>29833</v>
      </c>
      <c r="D9958" t="str">
        <f>HYPERLINK("https://zfin.org/ZDB-GENE-030131-8470")</f>
        <v>https://zfin.org/ZDB-GENE-030131-8470</v>
      </c>
      <c r="E9958" t="s">
        <v>29834</v>
      </c>
    </row>
    <row r="9959" spans="1:5" x14ac:dyDescent="0.2">
      <c r="A9959" t="s">
        <v>29835</v>
      </c>
      <c r="B9959" t="s">
        <v>29836</v>
      </c>
      <c r="C9959" t="s">
        <v>29836</v>
      </c>
      <c r="D9959" t="str">
        <f>HYPERLINK("https://zfin.org/ZDB-GENE-100921-71")</f>
        <v>https://zfin.org/ZDB-GENE-100921-71</v>
      </c>
      <c r="E9959" t="s">
        <v>29837</v>
      </c>
    </row>
    <row r="9960" spans="1:5" x14ac:dyDescent="0.2">
      <c r="A9960" t="s">
        <v>29838</v>
      </c>
      <c r="B9960" t="s">
        <v>29839</v>
      </c>
      <c r="C9960" t="s">
        <v>29839</v>
      </c>
      <c r="D9960" t="str">
        <f>HYPERLINK("https://zfin.org/ZDB-GENE-060616-298")</f>
        <v>https://zfin.org/ZDB-GENE-060616-298</v>
      </c>
      <c r="E9960" t="s">
        <v>29840</v>
      </c>
    </row>
    <row r="9961" spans="1:5" x14ac:dyDescent="0.2">
      <c r="A9961" t="s">
        <v>29841</v>
      </c>
      <c r="B9961" t="s">
        <v>29842</v>
      </c>
      <c r="C9961" t="s">
        <v>29842</v>
      </c>
      <c r="D9961" t="str">
        <f>HYPERLINK("https://zfin.org/ZDB-GENE-141216-361")</f>
        <v>https://zfin.org/ZDB-GENE-141216-361</v>
      </c>
      <c r="E9961" t="s">
        <v>29843</v>
      </c>
    </row>
    <row r="9962" spans="1:5" x14ac:dyDescent="0.2">
      <c r="A9962" t="s">
        <v>29844</v>
      </c>
      <c r="B9962" t="s">
        <v>29845</v>
      </c>
      <c r="C9962" t="s">
        <v>29845</v>
      </c>
      <c r="D9962" t="str">
        <f>HYPERLINK("https://zfin.org/ZDB-GENE-060531-56")</f>
        <v>https://zfin.org/ZDB-GENE-060531-56</v>
      </c>
      <c r="E9962" t="s">
        <v>29846</v>
      </c>
    </row>
    <row r="9963" spans="1:5" x14ac:dyDescent="0.2">
      <c r="A9963" t="s">
        <v>29847</v>
      </c>
      <c r="B9963" t="s">
        <v>29848</v>
      </c>
      <c r="C9963" t="s">
        <v>29848</v>
      </c>
      <c r="D9963" t="str">
        <f>HYPERLINK("https://zfin.org/ZDB-GENE-100812-1")</f>
        <v>https://zfin.org/ZDB-GENE-100812-1</v>
      </c>
      <c r="E9963" t="s">
        <v>29849</v>
      </c>
    </row>
    <row r="9964" spans="1:5" x14ac:dyDescent="0.2">
      <c r="A9964" t="s">
        <v>29850</v>
      </c>
      <c r="B9964" t="s">
        <v>29851</v>
      </c>
      <c r="C9964" t="s">
        <v>29851</v>
      </c>
      <c r="D9964" t="str">
        <f>HYPERLINK("https://zfin.org/ZDB-GENE-030131-5680")</f>
        <v>https://zfin.org/ZDB-GENE-030131-5680</v>
      </c>
      <c r="E9964" t="s">
        <v>29852</v>
      </c>
    </row>
    <row r="9965" spans="1:5" x14ac:dyDescent="0.2">
      <c r="A9965" t="s">
        <v>29853</v>
      </c>
      <c r="B9965" t="s">
        <v>29854</v>
      </c>
      <c r="C9965" t="s">
        <v>29854</v>
      </c>
      <c r="D9965" t="str">
        <f>HYPERLINK("https://zfin.org/ZDB-GENE-060421-6275")</f>
        <v>https://zfin.org/ZDB-GENE-060421-6275</v>
      </c>
      <c r="E9965" t="s">
        <v>29855</v>
      </c>
    </row>
    <row r="9966" spans="1:5" x14ac:dyDescent="0.2">
      <c r="A9966" t="s">
        <v>29856</v>
      </c>
      <c r="B9966" t="s">
        <v>29857</v>
      </c>
      <c r="C9966" t="s">
        <v>29857</v>
      </c>
      <c r="D9966" t="str">
        <f>HYPERLINK("https://zfin.org/ZDB-GENE-070510-3")</f>
        <v>https://zfin.org/ZDB-GENE-070510-3</v>
      </c>
      <c r="E9966" t="s">
        <v>29858</v>
      </c>
    </row>
    <row r="9967" spans="1:5" x14ac:dyDescent="0.2">
      <c r="A9967" t="s">
        <v>29859</v>
      </c>
      <c r="B9967" t="s">
        <v>29860</v>
      </c>
      <c r="C9967" t="s">
        <v>29860</v>
      </c>
      <c r="D9967" t="str">
        <f>HYPERLINK("https://zfin.org/ZDB-GENE-080303-3")</f>
        <v>https://zfin.org/ZDB-GENE-080303-3</v>
      </c>
      <c r="E9967" t="s">
        <v>29861</v>
      </c>
    </row>
    <row r="9968" spans="1:5" x14ac:dyDescent="0.2">
      <c r="A9968" t="s">
        <v>29862</v>
      </c>
      <c r="B9968" t="s">
        <v>29863</v>
      </c>
      <c r="C9968" t="s">
        <v>29863</v>
      </c>
      <c r="D9968" t="str">
        <f>HYPERLINK("https://zfin.org/ZDB-GENE-060526-209")</f>
        <v>https://zfin.org/ZDB-GENE-060526-209</v>
      </c>
      <c r="E9968" t="s">
        <v>29864</v>
      </c>
    </row>
    <row r="9969" spans="1:5" x14ac:dyDescent="0.2">
      <c r="A9969" t="s">
        <v>29865</v>
      </c>
      <c r="B9969" t="s">
        <v>29866</v>
      </c>
      <c r="C9969" t="s">
        <v>29866</v>
      </c>
      <c r="D9969" t="str">
        <f>HYPERLINK("https://zfin.org/ZDB-GENE-040426-1435")</f>
        <v>https://zfin.org/ZDB-GENE-040426-1435</v>
      </c>
      <c r="E9969" t="s">
        <v>29867</v>
      </c>
    </row>
    <row r="9970" spans="1:5" x14ac:dyDescent="0.2">
      <c r="A9970" t="s">
        <v>29868</v>
      </c>
      <c r="B9970" t="s">
        <v>29869</v>
      </c>
      <c r="C9970" t="s">
        <v>29869</v>
      </c>
      <c r="D9970" t="str">
        <f>HYPERLINK("https://zfin.org/ZDB-GENE-020423-3")</f>
        <v>https://zfin.org/ZDB-GENE-020423-3</v>
      </c>
      <c r="E9970" t="s">
        <v>29870</v>
      </c>
    </row>
    <row r="9971" spans="1:5" x14ac:dyDescent="0.2">
      <c r="A9971" t="s">
        <v>29871</v>
      </c>
      <c r="B9971" t="s">
        <v>29872</v>
      </c>
      <c r="C9971" t="s">
        <v>29872</v>
      </c>
      <c r="D9971" t="str">
        <f>HYPERLINK("https://zfin.org/ZDB-GENE-060901-6")</f>
        <v>https://zfin.org/ZDB-GENE-060901-6</v>
      </c>
      <c r="E9971" t="s">
        <v>29873</v>
      </c>
    </row>
    <row r="9972" spans="1:5" x14ac:dyDescent="0.2">
      <c r="A9972" t="s">
        <v>29874</v>
      </c>
      <c r="B9972" t="s">
        <v>29875</v>
      </c>
      <c r="C9972" t="s">
        <v>29875</v>
      </c>
      <c r="D9972" t="str">
        <f>HYPERLINK("https://zfin.org/ZDB-GENE-050420-171")</f>
        <v>https://zfin.org/ZDB-GENE-050420-171</v>
      </c>
      <c r="E9972" t="s">
        <v>29876</v>
      </c>
    </row>
    <row r="9973" spans="1:5" x14ac:dyDescent="0.2">
      <c r="A9973" t="s">
        <v>29877</v>
      </c>
      <c r="B9973" t="s">
        <v>29878</v>
      </c>
      <c r="C9973" t="s">
        <v>29878</v>
      </c>
      <c r="D9973" t="str">
        <f>HYPERLINK("https://zfin.org/ZDB-GENE-060929-1094")</f>
        <v>https://zfin.org/ZDB-GENE-060929-1094</v>
      </c>
      <c r="E9973" t="s">
        <v>29879</v>
      </c>
    </row>
    <row r="9974" spans="1:5" x14ac:dyDescent="0.2">
      <c r="A9974" t="s">
        <v>29880</v>
      </c>
      <c r="B9974" t="s">
        <v>29881</v>
      </c>
      <c r="C9974" t="s">
        <v>29881</v>
      </c>
      <c r="D9974" t="str">
        <f>HYPERLINK("https://zfin.org/ZDB-GENE-040724-165")</f>
        <v>https://zfin.org/ZDB-GENE-040724-165</v>
      </c>
      <c r="E9974" t="s">
        <v>29882</v>
      </c>
    </row>
    <row r="9975" spans="1:5" x14ac:dyDescent="0.2">
      <c r="A9975" t="s">
        <v>29883</v>
      </c>
      <c r="B9975" t="s">
        <v>29884</v>
      </c>
      <c r="C9975" t="s">
        <v>29884</v>
      </c>
      <c r="D9975" t="str">
        <f>HYPERLINK("https://zfin.org/ZDB-GENE-071116-9")</f>
        <v>https://zfin.org/ZDB-GENE-071116-9</v>
      </c>
      <c r="E9975" t="s">
        <v>29885</v>
      </c>
    </row>
    <row r="9976" spans="1:5" x14ac:dyDescent="0.2">
      <c r="A9976" t="s">
        <v>29886</v>
      </c>
      <c r="B9976" t="s">
        <v>29887</v>
      </c>
      <c r="C9976" t="s">
        <v>29887</v>
      </c>
      <c r="D9976" t="str">
        <f>HYPERLINK("https://zfin.org/ZDB-GENE-041111-291")</f>
        <v>https://zfin.org/ZDB-GENE-041111-291</v>
      </c>
      <c r="E9976" t="s">
        <v>29888</v>
      </c>
    </row>
    <row r="9977" spans="1:5" x14ac:dyDescent="0.2">
      <c r="A9977" t="s">
        <v>29889</v>
      </c>
      <c r="B9977" t="s">
        <v>29890</v>
      </c>
      <c r="C9977" t="s">
        <v>29890</v>
      </c>
      <c r="D9977" t="str">
        <f>HYPERLINK("https://zfin.org/ZDB-GENE-060503-310")</f>
        <v>https://zfin.org/ZDB-GENE-060503-310</v>
      </c>
      <c r="E9977" t="s">
        <v>29891</v>
      </c>
    </row>
    <row r="9978" spans="1:5" x14ac:dyDescent="0.2">
      <c r="A9978" t="s">
        <v>29892</v>
      </c>
      <c r="B9978" t="s">
        <v>29893</v>
      </c>
      <c r="C9978" t="s">
        <v>29894</v>
      </c>
      <c r="D9978" t="str">
        <f>HYPERLINK("https://zfin.org/ZDB-GENE-120214-25")</f>
        <v>https://zfin.org/ZDB-GENE-120214-25</v>
      </c>
      <c r="E9978" t="s">
        <v>29895</v>
      </c>
    </row>
    <row r="9979" spans="1:5" x14ac:dyDescent="0.2">
      <c r="A9979" t="s">
        <v>29896</v>
      </c>
      <c r="B9979" t="s">
        <v>29897</v>
      </c>
      <c r="C9979" t="s">
        <v>29897</v>
      </c>
      <c r="D9979" t="str">
        <f>HYPERLINK("https://zfin.org/ZDB-GENE-030131-7517")</f>
        <v>https://zfin.org/ZDB-GENE-030131-7517</v>
      </c>
      <c r="E9979" t="s">
        <v>29898</v>
      </c>
    </row>
    <row r="9980" spans="1:5" x14ac:dyDescent="0.2">
      <c r="A9980" t="s">
        <v>29899</v>
      </c>
      <c r="B9980" t="s">
        <v>29900</v>
      </c>
      <c r="C9980" t="s">
        <v>29900</v>
      </c>
      <c r="D9980" t="str">
        <f>HYPERLINK("https://zfin.org/ZDB-GENE-041210-93")</f>
        <v>https://zfin.org/ZDB-GENE-041210-93</v>
      </c>
      <c r="E9980" t="s">
        <v>29901</v>
      </c>
    </row>
    <row r="9981" spans="1:5" x14ac:dyDescent="0.2">
      <c r="A9981" t="s">
        <v>29902</v>
      </c>
      <c r="B9981" t="s">
        <v>29903</v>
      </c>
      <c r="C9981" t="s">
        <v>29903</v>
      </c>
      <c r="D9981" t="str">
        <f>HYPERLINK("https://zfin.org/ZDB-GENE-030131-4637")</f>
        <v>https://zfin.org/ZDB-GENE-030131-4637</v>
      </c>
      <c r="E9981" t="s">
        <v>29904</v>
      </c>
    </row>
    <row r="9982" spans="1:5" x14ac:dyDescent="0.2">
      <c r="A9982" t="s">
        <v>29905</v>
      </c>
      <c r="B9982" t="s">
        <v>29906</v>
      </c>
      <c r="C9982" t="s">
        <v>29906</v>
      </c>
      <c r="D9982" t="str">
        <f>HYPERLINK("https://zfin.org/ZDB-GENE-070202-4")</f>
        <v>https://zfin.org/ZDB-GENE-070202-4</v>
      </c>
      <c r="E9982" t="s">
        <v>29907</v>
      </c>
    </row>
    <row r="9983" spans="1:5" x14ac:dyDescent="0.2">
      <c r="A9983" t="s">
        <v>29908</v>
      </c>
      <c r="B9983" t="s">
        <v>29909</v>
      </c>
      <c r="C9983" t="s">
        <v>29909</v>
      </c>
      <c r="D9983" t="str">
        <f>HYPERLINK("https://zfin.org/ZDB-GENE-070209-259")</f>
        <v>https://zfin.org/ZDB-GENE-070209-259</v>
      </c>
      <c r="E9983" t="s">
        <v>29910</v>
      </c>
    </row>
    <row r="9984" spans="1:5" x14ac:dyDescent="0.2">
      <c r="A9984" t="s">
        <v>29911</v>
      </c>
      <c r="B9984" t="s">
        <v>29912</v>
      </c>
      <c r="C9984" t="s">
        <v>29912</v>
      </c>
      <c r="D9984" t="str">
        <f>HYPERLINK("https://zfin.org/ZDB-GENE-081104-432")</f>
        <v>https://zfin.org/ZDB-GENE-081104-432</v>
      </c>
      <c r="E9984" t="s">
        <v>29913</v>
      </c>
    </row>
    <row r="9985" spans="1:5" x14ac:dyDescent="0.2">
      <c r="A9985" t="s">
        <v>29914</v>
      </c>
      <c r="B9985" t="s">
        <v>29915</v>
      </c>
      <c r="C9985" t="s">
        <v>29915</v>
      </c>
      <c r="D9985" t="str">
        <f>HYPERLINK("https://zfin.org/ZDB-GENE-050102-1")</f>
        <v>https://zfin.org/ZDB-GENE-050102-1</v>
      </c>
      <c r="E9985" t="s">
        <v>29916</v>
      </c>
    </row>
    <row r="9986" spans="1:5" x14ac:dyDescent="0.2">
      <c r="A9986" t="s">
        <v>29917</v>
      </c>
      <c r="B9986" t="s">
        <v>29918</v>
      </c>
      <c r="C9986" t="s">
        <v>29918</v>
      </c>
      <c r="D9986" t="str">
        <f>HYPERLINK("https://zfin.org/ZDB-GENE-050208-612")</f>
        <v>https://zfin.org/ZDB-GENE-050208-612</v>
      </c>
      <c r="E9986" t="s">
        <v>29919</v>
      </c>
    </row>
    <row r="9987" spans="1:5" x14ac:dyDescent="0.2">
      <c r="A9987" t="s">
        <v>29920</v>
      </c>
      <c r="B9987" t="s">
        <v>29921</v>
      </c>
      <c r="C9987" t="s">
        <v>29921</v>
      </c>
      <c r="D9987" t="str">
        <f>HYPERLINK("https://zfin.org/ZDB-GENE-030826-8")</f>
        <v>https://zfin.org/ZDB-GENE-030826-8</v>
      </c>
      <c r="E9987" t="s">
        <v>29922</v>
      </c>
    </row>
    <row r="9988" spans="1:5" x14ac:dyDescent="0.2">
      <c r="A9988" t="s">
        <v>29923</v>
      </c>
      <c r="B9988" t="s">
        <v>29924</v>
      </c>
      <c r="C9988" t="s">
        <v>29924</v>
      </c>
      <c r="D9988" t="str">
        <f>HYPERLINK("https://zfin.org/ZDB-GENE-040426-1359")</f>
        <v>https://zfin.org/ZDB-GENE-040426-1359</v>
      </c>
      <c r="E9988" t="s">
        <v>29925</v>
      </c>
    </row>
    <row r="9989" spans="1:5" x14ac:dyDescent="0.2">
      <c r="A9989" t="s">
        <v>29926</v>
      </c>
      <c r="B9989" t="s">
        <v>29927</v>
      </c>
      <c r="C9989" t="s">
        <v>29927</v>
      </c>
      <c r="D9989" t="str">
        <f>HYPERLINK("https://zfin.org/ZDB-GENE-131121-282")</f>
        <v>https://zfin.org/ZDB-GENE-131121-282</v>
      </c>
      <c r="E9989" t="s">
        <v>29928</v>
      </c>
    </row>
    <row r="9990" spans="1:5" x14ac:dyDescent="0.2">
      <c r="A9990" t="s">
        <v>29929</v>
      </c>
      <c r="B9990" t="s">
        <v>29930</v>
      </c>
      <c r="C9990" t="s">
        <v>29930</v>
      </c>
      <c r="D9990" t="str">
        <f>HYPERLINK("https://zfin.org/ZDB-GENE-030131-8284")</f>
        <v>https://zfin.org/ZDB-GENE-030131-8284</v>
      </c>
      <c r="E9990" t="s">
        <v>29931</v>
      </c>
    </row>
    <row r="9991" spans="1:5" x14ac:dyDescent="0.2">
      <c r="A9991" t="s">
        <v>29932</v>
      </c>
      <c r="B9991" t="s">
        <v>29933</v>
      </c>
      <c r="C9991" t="s">
        <v>29933</v>
      </c>
      <c r="D9991" t="str">
        <f>HYPERLINK("https://zfin.org/ZDB-GENE-060824-3")</f>
        <v>https://zfin.org/ZDB-GENE-060824-3</v>
      </c>
      <c r="E9991" t="s">
        <v>29934</v>
      </c>
    </row>
    <row r="9992" spans="1:5" x14ac:dyDescent="0.2">
      <c r="A9992" t="s">
        <v>29935</v>
      </c>
      <c r="B9992" t="s">
        <v>29936</v>
      </c>
      <c r="C9992" t="s">
        <v>29936</v>
      </c>
      <c r="D9992" t="str">
        <f>HYPERLINK("https://zfin.org/ZDB-GENE-041014-356")</f>
        <v>https://zfin.org/ZDB-GENE-041014-356</v>
      </c>
      <c r="E9992" t="s">
        <v>29937</v>
      </c>
    </row>
    <row r="9993" spans="1:5" x14ac:dyDescent="0.2">
      <c r="A9993" t="s">
        <v>29938</v>
      </c>
      <c r="B9993" t="s">
        <v>29939</v>
      </c>
      <c r="C9993" t="s">
        <v>29939</v>
      </c>
      <c r="D9993" t="str">
        <f>HYPERLINK("https://zfin.org/ZDB-GENE-030131-7393")</f>
        <v>https://zfin.org/ZDB-GENE-030131-7393</v>
      </c>
      <c r="E9993" t="s">
        <v>29940</v>
      </c>
    </row>
    <row r="9994" spans="1:5" x14ac:dyDescent="0.2">
      <c r="A9994" t="s">
        <v>29941</v>
      </c>
      <c r="B9994" t="s">
        <v>29942</v>
      </c>
      <c r="C9994" t="s">
        <v>29942</v>
      </c>
      <c r="D9994" t="str">
        <f>HYPERLINK("https://zfin.org/ZDB-GENE-070112-2212")</f>
        <v>https://zfin.org/ZDB-GENE-070112-2212</v>
      </c>
      <c r="E9994" t="s">
        <v>29943</v>
      </c>
    </row>
    <row r="9995" spans="1:5" x14ac:dyDescent="0.2">
      <c r="A9995" t="s">
        <v>29944</v>
      </c>
      <c r="B9995" t="s">
        <v>29945</v>
      </c>
      <c r="C9995" t="s">
        <v>29945</v>
      </c>
      <c r="D9995" t="str">
        <f>HYPERLINK("https://zfin.org/ZDB-GENE-121130-1")</f>
        <v>https://zfin.org/ZDB-GENE-121130-1</v>
      </c>
      <c r="E9995" t="s">
        <v>29946</v>
      </c>
    </row>
    <row r="9996" spans="1:5" x14ac:dyDescent="0.2">
      <c r="A9996" t="s">
        <v>29947</v>
      </c>
      <c r="B9996" t="s">
        <v>29948</v>
      </c>
      <c r="C9996" t="s">
        <v>29948</v>
      </c>
      <c r="D9996" t="str">
        <f>HYPERLINK("https://zfin.org/ZDB-GENE-060301-1")</f>
        <v>https://zfin.org/ZDB-GENE-060301-1</v>
      </c>
      <c r="E9996" t="s">
        <v>29949</v>
      </c>
    </row>
    <row r="9997" spans="1:5" x14ac:dyDescent="0.2">
      <c r="A9997" t="s">
        <v>29950</v>
      </c>
      <c r="B9997" t="s">
        <v>29951</v>
      </c>
      <c r="C9997" t="s">
        <v>29951</v>
      </c>
      <c r="D9997" t="str">
        <f>HYPERLINK("https://zfin.org/ZDB-GENE-040822-33")</f>
        <v>https://zfin.org/ZDB-GENE-040822-33</v>
      </c>
      <c r="E9997" t="s">
        <v>29952</v>
      </c>
    </row>
    <row r="9998" spans="1:5" x14ac:dyDescent="0.2">
      <c r="A9998" t="s">
        <v>29953</v>
      </c>
      <c r="B9998" t="s">
        <v>29954</v>
      </c>
      <c r="C9998" t="s">
        <v>29954</v>
      </c>
      <c r="D9998" t="str">
        <f>HYPERLINK("https://zfin.org/ZDB-GENE-070112-1062")</f>
        <v>https://zfin.org/ZDB-GENE-070112-1062</v>
      </c>
      <c r="E9998" t="s">
        <v>29955</v>
      </c>
    </row>
    <row r="9999" spans="1:5" x14ac:dyDescent="0.2">
      <c r="A9999" t="s">
        <v>29956</v>
      </c>
      <c r="B9999" t="s">
        <v>29957</v>
      </c>
      <c r="C9999" t="s">
        <v>29957</v>
      </c>
      <c r="D9999" t="str">
        <f>HYPERLINK("https://zfin.org/ZDB-GENE-051113-288")</f>
        <v>https://zfin.org/ZDB-GENE-051113-288</v>
      </c>
      <c r="E9999" t="s">
        <v>29958</v>
      </c>
    </row>
    <row r="10000" spans="1:5" x14ac:dyDescent="0.2">
      <c r="A10000" t="s">
        <v>29959</v>
      </c>
      <c r="B10000" t="s">
        <v>29960</v>
      </c>
      <c r="C10000" t="s">
        <v>29960</v>
      </c>
      <c r="D10000" t="str">
        <f>HYPERLINK("https://zfin.org/ZDB-GENE-030131-9056")</f>
        <v>https://zfin.org/ZDB-GENE-030131-9056</v>
      </c>
      <c r="E10000" t="s">
        <v>29961</v>
      </c>
    </row>
    <row r="10001" spans="1:5" x14ac:dyDescent="0.2">
      <c r="A10001" t="s">
        <v>29962</v>
      </c>
      <c r="B10001" t="s">
        <v>29963</v>
      </c>
      <c r="C10001" t="s">
        <v>29963</v>
      </c>
      <c r="D10001" t="str">
        <f>HYPERLINK("https://zfin.org/ZDB-GENE-120215-181")</f>
        <v>https://zfin.org/ZDB-GENE-120215-181</v>
      </c>
      <c r="E10001" t="s">
        <v>29964</v>
      </c>
    </row>
    <row r="10002" spans="1:5" x14ac:dyDescent="0.2">
      <c r="A10002" t="s">
        <v>29965</v>
      </c>
      <c r="B10002" t="s">
        <v>29966</v>
      </c>
      <c r="C10002" t="s">
        <v>29966</v>
      </c>
      <c r="D10002" t="str">
        <f>HYPERLINK("https://zfin.org/ZDB-GENE-090107-1")</f>
        <v>https://zfin.org/ZDB-GENE-090107-1</v>
      </c>
      <c r="E10002" t="s">
        <v>29967</v>
      </c>
    </row>
    <row r="10003" spans="1:5" x14ac:dyDescent="0.2">
      <c r="A10003" t="s">
        <v>29968</v>
      </c>
      <c r="B10003" t="s">
        <v>29969</v>
      </c>
      <c r="C10003" t="s">
        <v>29969</v>
      </c>
      <c r="D10003" t="str">
        <f>HYPERLINK("https://zfin.org/ZDB-GENE-041014-362")</f>
        <v>https://zfin.org/ZDB-GENE-041014-362</v>
      </c>
      <c r="E10003" t="s">
        <v>29970</v>
      </c>
    </row>
    <row r="10004" spans="1:5" x14ac:dyDescent="0.2">
      <c r="A10004" t="s">
        <v>29971</v>
      </c>
      <c r="B10004" t="s">
        <v>29972</v>
      </c>
      <c r="C10004" t="s">
        <v>29972</v>
      </c>
      <c r="D10004" t="str">
        <f>HYPERLINK("https://zfin.org/ZDB-GENE-050309-90")</f>
        <v>https://zfin.org/ZDB-GENE-050309-90</v>
      </c>
      <c r="E10004" t="s">
        <v>29973</v>
      </c>
    </row>
    <row r="10005" spans="1:5" x14ac:dyDescent="0.2">
      <c r="A10005" t="s">
        <v>29974</v>
      </c>
      <c r="B10005" t="s">
        <v>29975</v>
      </c>
      <c r="C10005" t="s">
        <v>29975</v>
      </c>
      <c r="D10005" t="str">
        <f>HYPERLINK("https://zfin.org/ZDB-GENE-061220-4")</f>
        <v>https://zfin.org/ZDB-GENE-061220-4</v>
      </c>
      <c r="E10005" t="s">
        <v>29976</v>
      </c>
    </row>
    <row r="10006" spans="1:5" x14ac:dyDescent="0.2">
      <c r="A10006" t="s">
        <v>29977</v>
      </c>
      <c r="B10006" t="s">
        <v>29978</v>
      </c>
      <c r="C10006" t="s">
        <v>29978</v>
      </c>
      <c r="D10006" t="str">
        <f>HYPERLINK("https://zfin.org/ZDB-GENE-050208-692")</f>
        <v>https://zfin.org/ZDB-GENE-050208-692</v>
      </c>
      <c r="E10006" t="s">
        <v>29979</v>
      </c>
    </row>
    <row r="10007" spans="1:5" x14ac:dyDescent="0.2">
      <c r="A10007" t="s">
        <v>29980</v>
      </c>
      <c r="B10007" t="s">
        <v>26292</v>
      </c>
      <c r="C10007" t="s">
        <v>29981</v>
      </c>
      <c r="D10007" t="str">
        <f>HYPERLINK("https://zfin.org/ZDB-GENE-100921-87")</f>
        <v>https://zfin.org/ZDB-GENE-100921-87</v>
      </c>
      <c r="E10007" t="s">
        <v>29982</v>
      </c>
    </row>
    <row r="10008" spans="1:5" x14ac:dyDescent="0.2">
      <c r="A10008" t="s">
        <v>29983</v>
      </c>
      <c r="B10008" t="s">
        <v>29984</v>
      </c>
      <c r="C10008" t="s">
        <v>29984</v>
      </c>
      <c r="D10008" t="str">
        <f>HYPERLINK("https://zfin.org/ZDB-GENE-040426-1303")</f>
        <v>https://zfin.org/ZDB-GENE-040426-1303</v>
      </c>
      <c r="E10008" t="s">
        <v>29985</v>
      </c>
    </row>
    <row r="10009" spans="1:5" x14ac:dyDescent="0.2">
      <c r="A10009" t="s">
        <v>29986</v>
      </c>
      <c r="B10009" t="s">
        <v>29987</v>
      </c>
      <c r="C10009" t="s">
        <v>29987</v>
      </c>
      <c r="D10009" t="str">
        <f>HYPERLINK("https://zfin.org/ZDB-GENE-040718-15")</f>
        <v>https://zfin.org/ZDB-GENE-040718-15</v>
      </c>
      <c r="E10009" t="s">
        <v>29988</v>
      </c>
    </row>
    <row r="10010" spans="1:5" x14ac:dyDescent="0.2">
      <c r="A10010" t="s">
        <v>29989</v>
      </c>
      <c r="B10010" t="s">
        <v>29990</v>
      </c>
      <c r="C10010" t="s">
        <v>29990</v>
      </c>
      <c r="D10010" t="str">
        <f>HYPERLINK("https://zfin.org/ZDB-GENE-040426-1711")</f>
        <v>https://zfin.org/ZDB-GENE-040426-1711</v>
      </c>
      <c r="E10010" t="s">
        <v>29991</v>
      </c>
    </row>
    <row r="10011" spans="1:5" x14ac:dyDescent="0.2">
      <c r="A10011" t="s">
        <v>29992</v>
      </c>
      <c r="B10011" t="s">
        <v>29993</v>
      </c>
      <c r="C10011" t="s">
        <v>29993</v>
      </c>
      <c r="D10011" t="str">
        <f>HYPERLINK("https://zfin.org/ZDB-GENE-050208-474")</f>
        <v>https://zfin.org/ZDB-GENE-050208-474</v>
      </c>
      <c r="E10011" t="s">
        <v>29994</v>
      </c>
    </row>
    <row r="10012" spans="1:5" x14ac:dyDescent="0.2">
      <c r="A10012" t="s">
        <v>29995</v>
      </c>
      <c r="B10012" t="s">
        <v>29996</v>
      </c>
      <c r="C10012" t="s">
        <v>29996</v>
      </c>
      <c r="D10012" t="str">
        <f>HYPERLINK("https://zfin.org/ZDB-GENE-070615-31")</f>
        <v>https://zfin.org/ZDB-GENE-070615-31</v>
      </c>
      <c r="E10012" t="s">
        <v>29997</v>
      </c>
    </row>
    <row r="10013" spans="1:5" x14ac:dyDescent="0.2">
      <c r="A10013" t="s">
        <v>29998</v>
      </c>
      <c r="B10013" t="s">
        <v>29999</v>
      </c>
      <c r="C10013" t="s">
        <v>29999</v>
      </c>
      <c r="D10013" t="str">
        <f>HYPERLINK("https://zfin.org/ZDB-GENE-050227-4")</f>
        <v>https://zfin.org/ZDB-GENE-050227-4</v>
      </c>
      <c r="E10013" t="s">
        <v>30000</v>
      </c>
    </row>
    <row r="10014" spans="1:5" x14ac:dyDescent="0.2">
      <c r="A10014" t="s">
        <v>30001</v>
      </c>
      <c r="B10014" t="s">
        <v>30002</v>
      </c>
      <c r="C10014" t="s">
        <v>30002</v>
      </c>
      <c r="D10014" t="str">
        <f>HYPERLINK("https://zfin.org/ZDB-GENE-030131-3299")</f>
        <v>https://zfin.org/ZDB-GENE-030131-3299</v>
      </c>
      <c r="E10014" t="s">
        <v>30003</v>
      </c>
    </row>
    <row r="10015" spans="1:5" x14ac:dyDescent="0.2">
      <c r="A10015" t="s">
        <v>30004</v>
      </c>
      <c r="B10015" t="s">
        <v>30005</v>
      </c>
      <c r="C10015" t="s">
        <v>30005</v>
      </c>
      <c r="D10015" t="str">
        <f>HYPERLINK("https://zfin.org/ZDB-GENE-040426-2191")</f>
        <v>https://zfin.org/ZDB-GENE-040426-2191</v>
      </c>
      <c r="E10015" t="s">
        <v>30006</v>
      </c>
    </row>
    <row r="10016" spans="1:5" x14ac:dyDescent="0.2">
      <c r="A10016" t="s">
        <v>30007</v>
      </c>
      <c r="B10016" t="s">
        <v>30008</v>
      </c>
      <c r="C10016" t="s">
        <v>30008</v>
      </c>
      <c r="D10016" t="str">
        <f>HYPERLINK("https://zfin.org/ZDB-GENE-020419-15")</f>
        <v>https://zfin.org/ZDB-GENE-020419-15</v>
      </c>
      <c r="E10016" t="s">
        <v>30009</v>
      </c>
    </row>
    <row r="10017" spans="1:5" x14ac:dyDescent="0.2">
      <c r="A10017" t="s">
        <v>30010</v>
      </c>
      <c r="B10017" t="s">
        <v>30011</v>
      </c>
      <c r="C10017" t="s">
        <v>30011</v>
      </c>
      <c r="D10017" t="str">
        <f>HYPERLINK("https://zfin.org/ZDB-GENE-030131-3375")</f>
        <v>https://zfin.org/ZDB-GENE-030131-3375</v>
      </c>
      <c r="E10017" t="s">
        <v>30012</v>
      </c>
    </row>
    <row r="10018" spans="1:5" x14ac:dyDescent="0.2">
      <c r="A10018" t="s">
        <v>30013</v>
      </c>
      <c r="B10018" t="s">
        <v>30014</v>
      </c>
      <c r="C10018" t="s">
        <v>30014</v>
      </c>
      <c r="D10018" t="str">
        <f>HYPERLINK("https://zfin.org/ZDB-GENE-040426-964")</f>
        <v>https://zfin.org/ZDB-GENE-040426-964</v>
      </c>
      <c r="E10018" t="s">
        <v>30015</v>
      </c>
    </row>
    <row r="10019" spans="1:5" x14ac:dyDescent="0.2">
      <c r="A10019" t="s">
        <v>30016</v>
      </c>
      <c r="B10019" t="s">
        <v>30017</v>
      </c>
      <c r="C10019" t="s">
        <v>30017</v>
      </c>
      <c r="D10019" t="str">
        <f>HYPERLINK("https://zfin.org/ZDB-GENE-030721-7")</f>
        <v>https://zfin.org/ZDB-GENE-030721-7</v>
      </c>
      <c r="E10019" t="s">
        <v>30018</v>
      </c>
    </row>
    <row r="10020" spans="1:5" x14ac:dyDescent="0.2">
      <c r="A10020" t="s">
        <v>30019</v>
      </c>
      <c r="B10020" t="s">
        <v>30020</v>
      </c>
      <c r="C10020" t="s">
        <v>30020</v>
      </c>
      <c r="D10020" t="str">
        <f>HYPERLINK("https://zfin.org/ZDB-GENE-141216-162")</f>
        <v>https://zfin.org/ZDB-GENE-141216-162</v>
      </c>
      <c r="E10020" t="s">
        <v>30021</v>
      </c>
    </row>
    <row r="10021" spans="1:5" x14ac:dyDescent="0.2">
      <c r="A10021" t="s">
        <v>30022</v>
      </c>
      <c r="B10021" t="s">
        <v>30023</v>
      </c>
      <c r="C10021" t="s">
        <v>30023</v>
      </c>
      <c r="D10021" t="str">
        <f>HYPERLINK("https://zfin.org/ZDB-GENE-081104-425")</f>
        <v>https://zfin.org/ZDB-GENE-081104-425</v>
      </c>
      <c r="E10021" t="s">
        <v>30024</v>
      </c>
    </row>
    <row r="10022" spans="1:5" x14ac:dyDescent="0.2">
      <c r="A10022" t="s">
        <v>30025</v>
      </c>
      <c r="B10022" t="s">
        <v>30026</v>
      </c>
      <c r="C10022" t="s">
        <v>30026</v>
      </c>
      <c r="D10022" t="str">
        <f>HYPERLINK("https://zfin.org/ZDB-GENE-040704-69")</f>
        <v>https://zfin.org/ZDB-GENE-040704-69</v>
      </c>
      <c r="E10022" t="s">
        <v>30027</v>
      </c>
    </row>
    <row r="10023" spans="1:5" x14ac:dyDescent="0.2">
      <c r="A10023" t="s">
        <v>30028</v>
      </c>
      <c r="B10023" t="s">
        <v>30029</v>
      </c>
      <c r="C10023" t="s">
        <v>30029</v>
      </c>
      <c r="D10023" t="str">
        <f>HYPERLINK("https://zfin.org/ZDB-GENE-050320-9")</f>
        <v>https://zfin.org/ZDB-GENE-050320-9</v>
      </c>
      <c r="E10023" t="s">
        <v>30030</v>
      </c>
    </row>
    <row r="10024" spans="1:5" x14ac:dyDescent="0.2">
      <c r="A10024" t="s">
        <v>30031</v>
      </c>
      <c r="B10024" t="s">
        <v>30032</v>
      </c>
      <c r="C10024" t="s">
        <v>30032</v>
      </c>
      <c r="D10024" t="str">
        <f>HYPERLINK("https://zfin.org/ZDB-GENE-041026-4")</f>
        <v>https://zfin.org/ZDB-GENE-041026-4</v>
      </c>
      <c r="E10024" t="s">
        <v>30033</v>
      </c>
    </row>
    <row r="10025" spans="1:5" x14ac:dyDescent="0.2">
      <c r="A10025" t="s">
        <v>30034</v>
      </c>
      <c r="B10025" t="s">
        <v>30035</v>
      </c>
      <c r="C10025" t="s">
        <v>30035</v>
      </c>
      <c r="D10025" t="str">
        <f>HYPERLINK("https://zfin.org/ZDB-GENE-060825-15")</f>
        <v>https://zfin.org/ZDB-GENE-060825-15</v>
      </c>
      <c r="E10025" t="s">
        <v>30036</v>
      </c>
    </row>
    <row r="10026" spans="1:5" x14ac:dyDescent="0.2">
      <c r="A10026" t="s">
        <v>30037</v>
      </c>
      <c r="B10026" t="s">
        <v>30038</v>
      </c>
      <c r="C10026" t="s">
        <v>30038</v>
      </c>
      <c r="D10026" t="str">
        <f>HYPERLINK("https://zfin.org/ZDB-GENE-040426-2649")</f>
        <v>https://zfin.org/ZDB-GENE-040426-2649</v>
      </c>
      <c r="E10026" t="s">
        <v>30039</v>
      </c>
    </row>
    <row r="10027" spans="1:5" x14ac:dyDescent="0.2">
      <c r="A10027" t="s">
        <v>30040</v>
      </c>
      <c r="B10027" t="s">
        <v>30041</v>
      </c>
      <c r="C10027" t="s">
        <v>30041</v>
      </c>
      <c r="D10027" t="str">
        <f>HYPERLINK("https://zfin.org/ZDB-GENE-070424-157")</f>
        <v>https://zfin.org/ZDB-GENE-070424-157</v>
      </c>
      <c r="E10027" t="s">
        <v>30042</v>
      </c>
    </row>
    <row r="10028" spans="1:5" x14ac:dyDescent="0.2">
      <c r="A10028" t="s">
        <v>30043</v>
      </c>
      <c r="B10028" t="s">
        <v>30044</v>
      </c>
      <c r="C10028" t="s">
        <v>30044</v>
      </c>
      <c r="D10028" t="str">
        <f>HYPERLINK("https://zfin.org/ZDB-GENE-040426-836")</f>
        <v>https://zfin.org/ZDB-GENE-040426-836</v>
      </c>
      <c r="E10028" t="s">
        <v>30045</v>
      </c>
    </row>
    <row r="10029" spans="1:5" x14ac:dyDescent="0.2">
      <c r="A10029" t="s">
        <v>30046</v>
      </c>
      <c r="B10029" t="s">
        <v>30047</v>
      </c>
      <c r="C10029" t="s">
        <v>30047</v>
      </c>
      <c r="D10029" t="str">
        <f>HYPERLINK("https://zfin.org/ZDB-GENE-030131-304")</f>
        <v>https://zfin.org/ZDB-GENE-030131-304</v>
      </c>
      <c r="E10029" t="s">
        <v>30048</v>
      </c>
    </row>
    <row r="10030" spans="1:5" x14ac:dyDescent="0.2">
      <c r="A10030" t="s">
        <v>30049</v>
      </c>
      <c r="B10030" t="s">
        <v>30050</v>
      </c>
      <c r="C10030" t="s">
        <v>30050</v>
      </c>
      <c r="D10030" t="str">
        <f>HYPERLINK("https://zfin.org/ZDB-GENE-060825-144")</f>
        <v>https://zfin.org/ZDB-GENE-060825-144</v>
      </c>
      <c r="E10030" t="s">
        <v>30051</v>
      </c>
    </row>
    <row r="10031" spans="1:5" x14ac:dyDescent="0.2">
      <c r="A10031" t="s">
        <v>30052</v>
      </c>
      <c r="B10031" t="s">
        <v>30053</v>
      </c>
      <c r="C10031" t="s">
        <v>30053</v>
      </c>
      <c r="D10031" t="str">
        <f>HYPERLINK("https://zfin.org/ZDB-GENE-041010-170")</f>
        <v>https://zfin.org/ZDB-GENE-041010-170</v>
      </c>
      <c r="E10031" t="s">
        <v>30054</v>
      </c>
    </row>
    <row r="10032" spans="1:5" x14ac:dyDescent="0.2">
      <c r="A10032" t="s">
        <v>30055</v>
      </c>
      <c r="B10032" t="s">
        <v>30056</v>
      </c>
      <c r="C10032" t="s">
        <v>30056</v>
      </c>
      <c r="D10032" t="str">
        <f>HYPERLINK("https://zfin.org/ZDB-GENE-060929-628")</f>
        <v>https://zfin.org/ZDB-GENE-060929-628</v>
      </c>
      <c r="E10032" t="s">
        <v>30057</v>
      </c>
    </row>
    <row r="10033" spans="1:5" x14ac:dyDescent="0.2">
      <c r="A10033" t="s">
        <v>30058</v>
      </c>
      <c r="B10033" t="s">
        <v>30059</v>
      </c>
      <c r="C10033" t="s">
        <v>30059</v>
      </c>
      <c r="D10033" t="str">
        <f>HYPERLINK("https://zfin.org/ZDB-GENE-990415-46")</f>
        <v>https://zfin.org/ZDB-GENE-990415-46</v>
      </c>
      <c r="E10033" t="s">
        <v>30060</v>
      </c>
    </row>
    <row r="10034" spans="1:5" x14ac:dyDescent="0.2">
      <c r="A10034" t="s">
        <v>30061</v>
      </c>
      <c r="B10034" t="s">
        <v>27616</v>
      </c>
      <c r="C10034" t="s">
        <v>30062</v>
      </c>
      <c r="D10034" t="str">
        <f>HYPERLINK("https://zfin.org/ZDB-GENE-131125-19")</f>
        <v>https://zfin.org/ZDB-GENE-131125-19</v>
      </c>
      <c r="E10034" t="s">
        <v>27617</v>
      </c>
    </row>
    <row r="10035" spans="1:5" x14ac:dyDescent="0.2">
      <c r="A10035" t="s">
        <v>30063</v>
      </c>
      <c r="B10035" t="s">
        <v>30064</v>
      </c>
      <c r="C10035" t="s">
        <v>30064</v>
      </c>
      <c r="D10035" t="str">
        <f>HYPERLINK("https://zfin.org/ZDB-GENE-060503-291")</f>
        <v>https://zfin.org/ZDB-GENE-060503-291</v>
      </c>
      <c r="E10035" t="s">
        <v>30065</v>
      </c>
    </row>
    <row r="10036" spans="1:5" x14ac:dyDescent="0.2">
      <c r="A10036" t="s">
        <v>30066</v>
      </c>
      <c r="B10036" t="s">
        <v>7040</v>
      </c>
      <c r="C10036" t="s">
        <v>30067</v>
      </c>
      <c r="D10036" t="str">
        <f>HYPERLINK("https://zfin.org/ZDB-GENE-091113-22")</f>
        <v>https://zfin.org/ZDB-GENE-091113-22</v>
      </c>
      <c r="E10036" t="s">
        <v>30068</v>
      </c>
    </row>
    <row r="10037" spans="1:5" x14ac:dyDescent="0.2">
      <c r="A10037" t="s">
        <v>30069</v>
      </c>
      <c r="B10037" t="s">
        <v>30070</v>
      </c>
      <c r="C10037" t="s">
        <v>30070</v>
      </c>
      <c r="D10037" t="str">
        <f>HYPERLINK("https://zfin.org/ZDB-GENE-041130-1")</f>
        <v>https://zfin.org/ZDB-GENE-041130-1</v>
      </c>
      <c r="E10037" t="s">
        <v>30071</v>
      </c>
    </row>
    <row r="10038" spans="1:5" x14ac:dyDescent="0.2">
      <c r="A10038" t="s">
        <v>30072</v>
      </c>
      <c r="B10038" t="s">
        <v>30073</v>
      </c>
      <c r="C10038" t="s">
        <v>30073</v>
      </c>
      <c r="D10038" t="str">
        <f>HYPERLINK("https://zfin.org/ZDB-GENE-070531-2")</f>
        <v>https://zfin.org/ZDB-GENE-070531-2</v>
      </c>
      <c r="E10038" t="s">
        <v>30074</v>
      </c>
    </row>
    <row r="10039" spans="1:5" x14ac:dyDescent="0.2">
      <c r="A10039" t="s">
        <v>30075</v>
      </c>
      <c r="B10039" t="s">
        <v>30076</v>
      </c>
      <c r="C10039" t="s">
        <v>30076</v>
      </c>
      <c r="D10039" t="str">
        <f>HYPERLINK("https://zfin.org/ZDB-GENE-030131-8335")</f>
        <v>https://zfin.org/ZDB-GENE-030131-8335</v>
      </c>
      <c r="E10039" t="s">
        <v>30077</v>
      </c>
    </row>
    <row r="10040" spans="1:5" x14ac:dyDescent="0.2">
      <c r="A10040" t="s">
        <v>30078</v>
      </c>
      <c r="B10040" t="s">
        <v>30079</v>
      </c>
      <c r="C10040" t="s">
        <v>30079</v>
      </c>
      <c r="D10040" t="str">
        <f>HYPERLINK("https://zfin.org/ZDB-GENE-050417-59")</f>
        <v>https://zfin.org/ZDB-GENE-050417-59</v>
      </c>
      <c r="E10040" t="s">
        <v>30080</v>
      </c>
    </row>
    <row r="10041" spans="1:5" x14ac:dyDescent="0.2">
      <c r="A10041" t="s">
        <v>30081</v>
      </c>
      <c r="B10041" t="s">
        <v>30082</v>
      </c>
      <c r="C10041" t="s">
        <v>30082</v>
      </c>
      <c r="D10041" t="str">
        <f>HYPERLINK("https://zfin.org/ZDB-GENE-050417-371")</f>
        <v>https://zfin.org/ZDB-GENE-050417-371</v>
      </c>
      <c r="E10041" t="s">
        <v>30083</v>
      </c>
    </row>
    <row r="10042" spans="1:5" x14ac:dyDescent="0.2">
      <c r="A10042" t="s">
        <v>30084</v>
      </c>
      <c r="B10042" t="s">
        <v>30085</v>
      </c>
      <c r="C10042" t="s">
        <v>30085</v>
      </c>
      <c r="D10042" t="str">
        <f>HYPERLINK("https://zfin.org/ZDB-GENE-060728-1")</f>
        <v>https://zfin.org/ZDB-GENE-060728-1</v>
      </c>
      <c r="E10042" t="s">
        <v>30086</v>
      </c>
    </row>
    <row r="10043" spans="1:5" x14ac:dyDescent="0.2">
      <c r="A10043" t="s">
        <v>30087</v>
      </c>
      <c r="B10043" t="s">
        <v>30088</v>
      </c>
      <c r="C10043" t="s">
        <v>30088</v>
      </c>
      <c r="D10043" t="str">
        <f>HYPERLINK("https://zfin.org/ZDB-GENE-030131-8278")</f>
        <v>https://zfin.org/ZDB-GENE-030131-8278</v>
      </c>
      <c r="E10043" t="s">
        <v>30089</v>
      </c>
    </row>
    <row r="10044" spans="1:5" x14ac:dyDescent="0.2">
      <c r="A10044" t="s">
        <v>30090</v>
      </c>
      <c r="B10044" t="s">
        <v>30091</v>
      </c>
      <c r="C10044" t="s">
        <v>30091</v>
      </c>
      <c r="D10044" t="str">
        <f>HYPERLINK("https://zfin.org/ZDB-GENE-040912-72")</f>
        <v>https://zfin.org/ZDB-GENE-040912-72</v>
      </c>
      <c r="E10044" t="s">
        <v>30092</v>
      </c>
    </row>
    <row r="10045" spans="1:5" x14ac:dyDescent="0.2">
      <c r="A10045" t="s">
        <v>30093</v>
      </c>
      <c r="B10045" t="s">
        <v>30094</v>
      </c>
      <c r="C10045" t="s">
        <v>30094</v>
      </c>
      <c r="D10045" t="str">
        <f>HYPERLINK("https://zfin.org/ZDB-GENE-040801-167")</f>
        <v>https://zfin.org/ZDB-GENE-040801-167</v>
      </c>
      <c r="E10045" t="s">
        <v>30095</v>
      </c>
    </row>
    <row r="10046" spans="1:5" x14ac:dyDescent="0.2">
      <c r="A10046" t="s">
        <v>30096</v>
      </c>
      <c r="B10046" t="s">
        <v>30097</v>
      </c>
      <c r="C10046" t="s">
        <v>30097</v>
      </c>
      <c r="D10046" t="str">
        <f>HYPERLINK("https://zfin.org/ZDB-GENE-030616-594")</f>
        <v>https://zfin.org/ZDB-GENE-030616-594</v>
      </c>
      <c r="E10046" t="s">
        <v>30098</v>
      </c>
    </row>
    <row r="10047" spans="1:5" x14ac:dyDescent="0.2">
      <c r="A10047" t="s">
        <v>30099</v>
      </c>
      <c r="B10047" t="s">
        <v>30100</v>
      </c>
      <c r="C10047" t="s">
        <v>30100</v>
      </c>
      <c r="D10047" t="str">
        <f>HYPERLINK("https://zfin.org/ZDB-GENE-040808-27")</f>
        <v>https://zfin.org/ZDB-GENE-040808-27</v>
      </c>
      <c r="E10047" t="s">
        <v>30101</v>
      </c>
    </row>
    <row r="10048" spans="1:5" x14ac:dyDescent="0.2">
      <c r="A10048" t="s">
        <v>30102</v>
      </c>
      <c r="B10048" t="s">
        <v>30103</v>
      </c>
      <c r="C10048" t="s">
        <v>30103</v>
      </c>
      <c r="D10048" t="str">
        <f>HYPERLINK("https://zfin.org/ZDB-GENE-030131-5404")</f>
        <v>https://zfin.org/ZDB-GENE-030131-5404</v>
      </c>
      <c r="E10048" t="s">
        <v>30104</v>
      </c>
    </row>
    <row r="10049" spans="1:5" x14ac:dyDescent="0.2">
      <c r="A10049" t="s">
        <v>30105</v>
      </c>
      <c r="B10049" t="s">
        <v>30106</v>
      </c>
      <c r="C10049" t="s">
        <v>30106</v>
      </c>
      <c r="D10049" t="str">
        <f>HYPERLINK("https://zfin.org/ZDB-GENE-040426-1032")</f>
        <v>https://zfin.org/ZDB-GENE-040426-1032</v>
      </c>
      <c r="E10049" t="s">
        <v>30107</v>
      </c>
    </row>
    <row r="10050" spans="1:5" x14ac:dyDescent="0.2">
      <c r="A10050" t="s">
        <v>30108</v>
      </c>
      <c r="B10050" t="s">
        <v>30109</v>
      </c>
      <c r="C10050" t="s">
        <v>30109</v>
      </c>
      <c r="D10050" t="str">
        <f>HYPERLINK("https://zfin.org/ZDB-GENE-030131-6313")</f>
        <v>https://zfin.org/ZDB-GENE-030131-6313</v>
      </c>
      <c r="E10050" t="s">
        <v>30110</v>
      </c>
    </row>
    <row r="10051" spans="1:5" x14ac:dyDescent="0.2">
      <c r="A10051" t="s">
        <v>30111</v>
      </c>
      <c r="B10051" t="s">
        <v>30112</v>
      </c>
      <c r="C10051" t="s">
        <v>30112</v>
      </c>
      <c r="D10051" t="str">
        <f>HYPERLINK("https://zfin.org/ZDB-GENE-041111-162")</f>
        <v>https://zfin.org/ZDB-GENE-041111-162</v>
      </c>
      <c r="E10051" t="s">
        <v>30113</v>
      </c>
    </row>
    <row r="10052" spans="1:5" x14ac:dyDescent="0.2">
      <c r="A10052" t="s">
        <v>30114</v>
      </c>
      <c r="B10052" t="s">
        <v>30115</v>
      </c>
      <c r="C10052" t="s">
        <v>30115</v>
      </c>
      <c r="D10052" t="str">
        <f>HYPERLINK("https://zfin.org/ZDB-GENE-030131-8625")</f>
        <v>https://zfin.org/ZDB-GENE-030131-8625</v>
      </c>
      <c r="E10052" t="s">
        <v>30116</v>
      </c>
    </row>
    <row r="10053" spans="1:5" x14ac:dyDescent="0.2">
      <c r="A10053" t="s">
        <v>30117</v>
      </c>
      <c r="B10053" t="s">
        <v>30118</v>
      </c>
      <c r="C10053" t="s">
        <v>30118</v>
      </c>
      <c r="D10053" t="str">
        <f>HYPERLINK("https://zfin.org/ZDB-GENE-070912-526")</f>
        <v>https://zfin.org/ZDB-GENE-070912-526</v>
      </c>
      <c r="E10053" t="s">
        <v>30119</v>
      </c>
    </row>
    <row r="10054" spans="1:5" x14ac:dyDescent="0.2">
      <c r="A10054" t="s">
        <v>30120</v>
      </c>
      <c r="B10054" t="s">
        <v>30121</v>
      </c>
      <c r="C10054" t="s">
        <v>30121</v>
      </c>
      <c r="D10054" t="str">
        <f>HYPERLINK("https://zfin.org/ZDB-GENE-050522-51")</f>
        <v>https://zfin.org/ZDB-GENE-050522-51</v>
      </c>
      <c r="E10054" t="s">
        <v>30122</v>
      </c>
    </row>
    <row r="10055" spans="1:5" x14ac:dyDescent="0.2">
      <c r="A10055" t="s">
        <v>30123</v>
      </c>
      <c r="B10055" t="s">
        <v>30124</v>
      </c>
      <c r="C10055" t="s">
        <v>30124</v>
      </c>
      <c r="D10055" t="str">
        <f>HYPERLINK("https://zfin.org/ZDB-GENE-030131-840")</f>
        <v>https://zfin.org/ZDB-GENE-030131-840</v>
      </c>
      <c r="E10055" t="s">
        <v>30125</v>
      </c>
    </row>
    <row r="10056" spans="1:5" x14ac:dyDescent="0.2">
      <c r="A10056" t="s">
        <v>30126</v>
      </c>
      <c r="B10056" t="s">
        <v>30127</v>
      </c>
      <c r="C10056" t="s">
        <v>30127</v>
      </c>
      <c r="D10056" t="str">
        <f>HYPERLINK("https://zfin.org/ZDB-GENE-040426-2811")</f>
        <v>https://zfin.org/ZDB-GENE-040426-2811</v>
      </c>
      <c r="E10056" t="s">
        <v>30128</v>
      </c>
    </row>
    <row r="10057" spans="1:5" x14ac:dyDescent="0.2">
      <c r="A10057" t="s">
        <v>30129</v>
      </c>
      <c r="B10057" t="s">
        <v>30130</v>
      </c>
      <c r="C10057" t="s">
        <v>30130</v>
      </c>
      <c r="D10057" t="str">
        <f>HYPERLINK("https://zfin.org/ZDB-GENE-100326-1")</f>
        <v>https://zfin.org/ZDB-GENE-100326-1</v>
      </c>
      <c r="E10057" t="s">
        <v>30131</v>
      </c>
    </row>
    <row r="10058" spans="1:5" x14ac:dyDescent="0.2">
      <c r="A10058" t="s">
        <v>30132</v>
      </c>
      <c r="B10058" t="s">
        <v>30133</v>
      </c>
      <c r="C10058" t="s">
        <v>30133</v>
      </c>
      <c r="D10058" t="str">
        <f>HYPERLINK("https://zfin.org/ZDB-GENE-061220-3")</f>
        <v>https://zfin.org/ZDB-GENE-061220-3</v>
      </c>
      <c r="E10058" t="s">
        <v>30134</v>
      </c>
    </row>
    <row r="10059" spans="1:5" x14ac:dyDescent="0.2">
      <c r="A10059" t="s">
        <v>30135</v>
      </c>
      <c r="B10059" t="s">
        <v>30136</v>
      </c>
      <c r="C10059" t="s">
        <v>30136</v>
      </c>
      <c r="D10059" t="str">
        <f>HYPERLINK("https://zfin.org/ZDB-GENE-060503-628")</f>
        <v>https://zfin.org/ZDB-GENE-060503-628</v>
      </c>
      <c r="E10059" t="s">
        <v>30137</v>
      </c>
    </row>
    <row r="10060" spans="1:5" x14ac:dyDescent="0.2">
      <c r="A10060" t="s">
        <v>30138</v>
      </c>
      <c r="B10060" t="s">
        <v>17213</v>
      </c>
      <c r="C10060" t="s">
        <v>30139</v>
      </c>
      <c r="D10060" t="str">
        <f>HYPERLINK("https://zfin.org/ZDB-GENE-081028-29")</f>
        <v>https://zfin.org/ZDB-GENE-081028-29</v>
      </c>
      <c r="E10060" t="s">
        <v>30140</v>
      </c>
    </row>
    <row r="10061" spans="1:5" x14ac:dyDescent="0.2">
      <c r="A10061" t="s">
        <v>30141</v>
      </c>
      <c r="B10061" t="s">
        <v>30142</v>
      </c>
      <c r="C10061" t="s">
        <v>30142</v>
      </c>
      <c r="D10061" t="str">
        <f>HYPERLINK("https://zfin.org/ZDB-GENE-030131-6607")</f>
        <v>https://zfin.org/ZDB-GENE-030131-6607</v>
      </c>
      <c r="E10061" t="s">
        <v>30143</v>
      </c>
    </row>
    <row r="10062" spans="1:5" x14ac:dyDescent="0.2">
      <c r="A10062" t="s">
        <v>30144</v>
      </c>
      <c r="B10062" t="s">
        <v>30145</v>
      </c>
      <c r="C10062" t="s">
        <v>30145</v>
      </c>
      <c r="D10062" t="str">
        <f>HYPERLINK("https://zfin.org/ZDB-GENE-100922-89")</f>
        <v>https://zfin.org/ZDB-GENE-100922-89</v>
      </c>
      <c r="E10062" t="s">
        <v>30146</v>
      </c>
    </row>
    <row r="10063" spans="1:5" x14ac:dyDescent="0.2">
      <c r="A10063" t="s">
        <v>30147</v>
      </c>
      <c r="B10063" t="s">
        <v>30148</v>
      </c>
      <c r="C10063" t="s">
        <v>30148</v>
      </c>
      <c r="D10063" t="str">
        <f>HYPERLINK("https://zfin.org/ZDB-GENE-040426-2074")</f>
        <v>https://zfin.org/ZDB-GENE-040426-2074</v>
      </c>
      <c r="E10063" t="s">
        <v>30149</v>
      </c>
    </row>
    <row r="10064" spans="1:5" x14ac:dyDescent="0.2">
      <c r="A10064" t="s">
        <v>30150</v>
      </c>
      <c r="B10064" t="s">
        <v>30151</v>
      </c>
      <c r="C10064" t="s">
        <v>30151</v>
      </c>
      <c r="D10064" t="str">
        <f>HYPERLINK("https://zfin.org/ZDB-GENE-080516-10")</f>
        <v>https://zfin.org/ZDB-GENE-080516-10</v>
      </c>
      <c r="E10064" t="s">
        <v>30152</v>
      </c>
    </row>
    <row r="10065" spans="1:5" x14ac:dyDescent="0.2">
      <c r="A10065" t="s">
        <v>30153</v>
      </c>
      <c r="B10065" t="s">
        <v>30154</v>
      </c>
      <c r="C10065" t="s">
        <v>30154</v>
      </c>
      <c r="D10065" t="str">
        <f>HYPERLINK("https://zfin.org/ZDB-GENE-030820-3")</f>
        <v>https://zfin.org/ZDB-GENE-030820-3</v>
      </c>
      <c r="E10065" t="s">
        <v>30155</v>
      </c>
    </row>
    <row r="10066" spans="1:5" x14ac:dyDescent="0.2">
      <c r="A10066" t="s">
        <v>30156</v>
      </c>
      <c r="B10066" t="s">
        <v>30157</v>
      </c>
      <c r="C10066" t="s">
        <v>30157</v>
      </c>
      <c r="D10066" t="str">
        <f>HYPERLINK("https://zfin.org/ZDB-GENE-040801-205")</f>
        <v>https://zfin.org/ZDB-GENE-040801-205</v>
      </c>
      <c r="E10066" t="s">
        <v>30158</v>
      </c>
    </row>
    <row r="10067" spans="1:5" x14ac:dyDescent="0.2">
      <c r="A10067" t="s">
        <v>30159</v>
      </c>
      <c r="B10067" t="s">
        <v>30160</v>
      </c>
      <c r="C10067" t="s">
        <v>30160</v>
      </c>
      <c r="D10067" t="str">
        <f>HYPERLINK("https://zfin.org/ZDB-GENE-030131-6240")</f>
        <v>https://zfin.org/ZDB-GENE-030131-6240</v>
      </c>
      <c r="E10067" t="s">
        <v>30161</v>
      </c>
    </row>
    <row r="10068" spans="1:5" x14ac:dyDescent="0.2">
      <c r="A10068" t="s">
        <v>30162</v>
      </c>
      <c r="B10068" t="s">
        <v>30163</v>
      </c>
      <c r="C10068" t="s">
        <v>30163</v>
      </c>
      <c r="D10068" t="str">
        <f>HYPERLINK("https://zfin.org/ZDB-GENE-080204-7")</f>
        <v>https://zfin.org/ZDB-GENE-080204-7</v>
      </c>
      <c r="E10068" t="s">
        <v>30164</v>
      </c>
    </row>
    <row r="10069" spans="1:5" x14ac:dyDescent="0.2">
      <c r="A10069" t="s">
        <v>30165</v>
      </c>
      <c r="B10069" t="s">
        <v>30166</v>
      </c>
      <c r="C10069" t="s">
        <v>30166</v>
      </c>
      <c r="D10069" t="str">
        <f>HYPERLINK("https://zfin.org/ZDB-GENE-091118-2")</f>
        <v>https://zfin.org/ZDB-GENE-091118-2</v>
      </c>
      <c r="E10069" t="s">
        <v>30167</v>
      </c>
    </row>
    <row r="10070" spans="1:5" x14ac:dyDescent="0.2">
      <c r="A10070" t="s">
        <v>30168</v>
      </c>
      <c r="B10070" t="s">
        <v>30169</v>
      </c>
      <c r="C10070" t="s">
        <v>30169</v>
      </c>
      <c r="D10070" t="str">
        <f>HYPERLINK("https://zfin.org/ZDB-GENE-030131-2560")</f>
        <v>https://zfin.org/ZDB-GENE-030131-2560</v>
      </c>
      <c r="E10070" t="s">
        <v>30170</v>
      </c>
    </row>
    <row r="10071" spans="1:5" x14ac:dyDescent="0.2">
      <c r="A10071" t="s">
        <v>30171</v>
      </c>
      <c r="B10071" t="s">
        <v>30172</v>
      </c>
      <c r="C10071" t="s">
        <v>30172</v>
      </c>
      <c r="D10071" t="str">
        <f>HYPERLINK("https://zfin.org/ZDB-GENE-131121-486")</f>
        <v>https://zfin.org/ZDB-GENE-131121-486</v>
      </c>
      <c r="E10071" t="s">
        <v>30173</v>
      </c>
    </row>
    <row r="10072" spans="1:5" x14ac:dyDescent="0.2">
      <c r="A10072" t="s">
        <v>30174</v>
      </c>
      <c r="B10072" t="s">
        <v>30175</v>
      </c>
      <c r="C10072" t="s">
        <v>30175</v>
      </c>
      <c r="D10072" t="str">
        <f>HYPERLINK("https://zfin.org/ZDB-GENE-120215-138")</f>
        <v>https://zfin.org/ZDB-GENE-120215-138</v>
      </c>
      <c r="E10072" t="s">
        <v>30176</v>
      </c>
    </row>
    <row r="10073" spans="1:5" x14ac:dyDescent="0.2">
      <c r="A10073" t="s">
        <v>30177</v>
      </c>
      <c r="B10073" t="s">
        <v>30178</v>
      </c>
      <c r="C10073" t="s">
        <v>30178</v>
      </c>
      <c r="D10073" t="str">
        <f>HYPERLINK("https://zfin.org/ZDB-GENE-030131-6779")</f>
        <v>https://zfin.org/ZDB-GENE-030131-6779</v>
      </c>
      <c r="E10073" t="s">
        <v>30179</v>
      </c>
    </row>
    <row r="10074" spans="1:5" x14ac:dyDescent="0.2">
      <c r="A10074" t="s">
        <v>30180</v>
      </c>
      <c r="B10074" t="s">
        <v>30181</v>
      </c>
      <c r="C10074" t="s">
        <v>30181</v>
      </c>
      <c r="D10074" t="str">
        <f>HYPERLINK("https://zfin.org/ZDB-GENE-030131-5264")</f>
        <v>https://zfin.org/ZDB-GENE-030131-5264</v>
      </c>
      <c r="E10074" t="s">
        <v>30182</v>
      </c>
    </row>
    <row r="10075" spans="1:5" x14ac:dyDescent="0.2">
      <c r="A10075" t="s">
        <v>30183</v>
      </c>
      <c r="B10075" t="s">
        <v>30184</v>
      </c>
      <c r="C10075" t="s">
        <v>30184</v>
      </c>
      <c r="D10075" t="str">
        <f>HYPERLINK("https://zfin.org/ZDB-GENE-030131-9686")</f>
        <v>https://zfin.org/ZDB-GENE-030131-9686</v>
      </c>
      <c r="E10075" t="s">
        <v>30185</v>
      </c>
    </row>
    <row r="10076" spans="1:5" x14ac:dyDescent="0.2">
      <c r="A10076" t="s">
        <v>30186</v>
      </c>
      <c r="B10076" t="s">
        <v>30187</v>
      </c>
      <c r="C10076" t="s">
        <v>30187</v>
      </c>
      <c r="D10076" t="str">
        <f>HYPERLINK("https://zfin.org/ZDB-GENE-040801-267")</f>
        <v>https://zfin.org/ZDB-GENE-040801-267</v>
      </c>
      <c r="E10076" t="s">
        <v>30188</v>
      </c>
    </row>
    <row r="10077" spans="1:5" x14ac:dyDescent="0.2">
      <c r="A10077" t="s">
        <v>30189</v>
      </c>
      <c r="B10077" t="s">
        <v>30190</v>
      </c>
      <c r="C10077" t="s">
        <v>30190</v>
      </c>
      <c r="D10077" t="str">
        <f>HYPERLINK("https://zfin.org/ZDB-GENE-040801-213")</f>
        <v>https://zfin.org/ZDB-GENE-040801-213</v>
      </c>
      <c r="E10077" t="s">
        <v>30191</v>
      </c>
    </row>
    <row r="10078" spans="1:5" x14ac:dyDescent="0.2">
      <c r="A10078" t="s">
        <v>30192</v>
      </c>
      <c r="B10078" t="s">
        <v>30193</v>
      </c>
      <c r="C10078" t="s">
        <v>30193</v>
      </c>
      <c r="D10078" t="str">
        <f>HYPERLINK("https://zfin.org/ZDB-GENE-040316-1")</f>
        <v>https://zfin.org/ZDB-GENE-040316-1</v>
      </c>
      <c r="E10078" t="s">
        <v>30194</v>
      </c>
    </row>
    <row r="10079" spans="1:5" x14ac:dyDescent="0.2">
      <c r="A10079" t="s">
        <v>30195</v>
      </c>
      <c r="B10079" t="s">
        <v>30196</v>
      </c>
      <c r="C10079" t="s">
        <v>30196</v>
      </c>
      <c r="D10079" t="str">
        <f>HYPERLINK("https://zfin.org/ZDB-GENE-061103-463")</f>
        <v>https://zfin.org/ZDB-GENE-061103-463</v>
      </c>
      <c r="E10079" t="s">
        <v>30197</v>
      </c>
    </row>
    <row r="10080" spans="1:5" x14ac:dyDescent="0.2">
      <c r="A10080" t="s">
        <v>30198</v>
      </c>
      <c r="B10080" t="s">
        <v>30199</v>
      </c>
      <c r="C10080" t="s">
        <v>30199</v>
      </c>
      <c r="D10080" t="str">
        <f>HYPERLINK("https://zfin.org/ZDB-GENE-030102-1")</f>
        <v>https://zfin.org/ZDB-GENE-030102-1</v>
      </c>
      <c r="E10080" t="s">
        <v>30200</v>
      </c>
    </row>
    <row r="10081" spans="1:5" x14ac:dyDescent="0.2">
      <c r="A10081" t="s">
        <v>30201</v>
      </c>
      <c r="B10081" t="s">
        <v>30202</v>
      </c>
      <c r="C10081" t="s">
        <v>30202</v>
      </c>
      <c r="D10081" t="str">
        <f>HYPERLINK("https://zfin.org/ZDB-GENE-040426-2317")</f>
        <v>https://zfin.org/ZDB-GENE-040426-2317</v>
      </c>
      <c r="E10081" t="s">
        <v>30203</v>
      </c>
    </row>
    <row r="10082" spans="1:5" x14ac:dyDescent="0.2">
      <c r="A10082" t="s">
        <v>30204</v>
      </c>
      <c r="B10082" t="s">
        <v>30205</v>
      </c>
      <c r="C10082" t="s">
        <v>30205</v>
      </c>
      <c r="D10082" t="str">
        <f>HYPERLINK("https://zfin.org/ZDB-GENE-141211-22")</f>
        <v>https://zfin.org/ZDB-GENE-141211-22</v>
      </c>
      <c r="E10082" t="s">
        <v>30206</v>
      </c>
    </row>
    <row r="10083" spans="1:5" x14ac:dyDescent="0.2">
      <c r="A10083" t="s">
        <v>30207</v>
      </c>
      <c r="B10083" t="s">
        <v>30208</v>
      </c>
      <c r="C10083" t="s">
        <v>30208</v>
      </c>
      <c r="D10083" t="str">
        <f>HYPERLINK("https://zfin.org/ZDB-GENE-050522-80")</f>
        <v>https://zfin.org/ZDB-GENE-050522-80</v>
      </c>
      <c r="E10083" t="s">
        <v>30209</v>
      </c>
    </row>
    <row r="10084" spans="1:5" x14ac:dyDescent="0.2">
      <c r="A10084" t="s">
        <v>30210</v>
      </c>
      <c r="B10084" t="s">
        <v>30211</v>
      </c>
      <c r="C10084" t="s">
        <v>30211</v>
      </c>
      <c r="D10084" t="str">
        <f>HYPERLINK("https://zfin.org/ZDB-GENE-050208-341")</f>
        <v>https://zfin.org/ZDB-GENE-050208-341</v>
      </c>
      <c r="E10084" t="s">
        <v>30212</v>
      </c>
    </row>
    <row r="10085" spans="1:5" x14ac:dyDescent="0.2">
      <c r="A10085" t="s">
        <v>30213</v>
      </c>
      <c r="B10085" t="s">
        <v>30214</v>
      </c>
      <c r="C10085" t="s">
        <v>30214</v>
      </c>
      <c r="D10085" t="str">
        <f>HYPERLINK("https://zfin.org/ZDB-GENE-040718-163")</f>
        <v>https://zfin.org/ZDB-GENE-040718-163</v>
      </c>
      <c r="E10085" t="s">
        <v>30215</v>
      </c>
    </row>
    <row r="10086" spans="1:5" x14ac:dyDescent="0.2">
      <c r="A10086" t="s">
        <v>30216</v>
      </c>
      <c r="B10086" t="s">
        <v>30217</v>
      </c>
      <c r="C10086" t="s">
        <v>30217</v>
      </c>
      <c r="D10086" t="str">
        <f>HYPERLINK("https://zfin.org/ZDB-GENE-061215-33")</f>
        <v>https://zfin.org/ZDB-GENE-061215-33</v>
      </c>
      <c r="E10086" t="s">
        <v>30218</v>
      </c>
    </row>
    <row r="10087" spans="1:5" x14ac:dyDescent="0.2">
      <c r="A10087" t="s">
        <v>30219</v>
      </c>
      <c r="B10087" t="s">
        <v>30220</v>
      </c>
      <c r="C10087" t="s">
        <v>30220</v>
      </c>
      <c r="D10087" t="str">
        <f>HYPERLINK("https://zfin.org/ZDB-GENE-050522-163")</f>
        <v>https://zfin.org/ZDB-GENE-050522-163</v>
      </c>
      <c r="E10087" t="s">
        <v>30221</v>
      </c>
    </row>
    <row r="10088" spans="1:5" x14ac:dyDescent="0.2">
      <c r="A10088" t="s">
        <v>30222</v>
      </c>
      <c r="B10088" t="s">
        <v>30223</v>
      </c>
      <c r="C10088" t="s">
        <v>30223</v>
      </c>
      <c r="D10088" t="str">
        <f>HYPERLINK("https://zfin.org/ZDB-GENE-030131-904")</f>
        <v>https://zfin.org/ZDB-GENE-030131-904</v>
      </c>
      <c r="E10088" t="s">
        <v>30224</v>
      </c>
    </row>
    <row r="10089" spans="1:5" x14ac:dyDescent="0.2">
      <c r="A10089" t="s">
        <v>30225</v>
      </c>
      <c r="B10089" t="s">
        <v>30226</v>
      </c>
      <c r="C10089" t="s">
        <v>30226</v>
      </c>
      <c r="D10089" t="str">
        <f>HYPERLINK("https://zfin.org/ZDB-GENE-050522-192")</f>
        <v>https://zfin.org/ZDB-GENE-050522-192</v>
      </c>
      <c r="E10089" t="s">
        <v>30227</v>
      </c>
    </row>
    <row r="10090" spans="1:5" x14ac:dyDescent="0.2">
      <c r="A10090" t="s">
        <v>30228</v>
      </c>
      <c r="B10090" t="s">
        <v>30229</v>
      </c>
      <c r="C10090" t="s">
        <v>30229</v>
      </c>
      <c r="D10090" t="str">
        <f>HYPERLINK("https://zfin.org/ZDB-GENE-131127-474")</f>
        <v>https://zfin.org/ZDB-GENE-131127-474</v>
      </c>
      <c r="E10090" t="s">
        <v>30230</v>
      </c>
    </row>
    <row r="10091" spans="1:5" x14ac:dyDescent="0.2">
      <c r="A10091" t="s">
        <v>30231</v>
      </c>
      <c r="B10091" t="s">
        <v>30232</v>
      </c>
      <c r="C10091" t="s">
        <v>30232</v>
      </c>
      <c r="D10091" t="str">
        <f>HYPERLINK("https://zfin.org/ZDB-GENE-081105-128")</f>
        <v>https://zfin.org/ZDB-GENE-081105-128</v>
      </c>
      <c r="E10091" t="s">
        <v>30233</v>
      </c>
    </row>
    <row r="10092" spans="1:5" x14ac:dyDescent="0.2">
      <c r="A10092" t="s">
        <v>30234</v>
      </c>
      <c r="B10092" t="s">
        <v>30235</v>
      </c>
      <c r="C10092" t="s">
        <v>30235</v>
      </c>
      <c r="D10092" t="str">
        <f>HYPERLINK("https://zfin.org/ZDB-GENE-030131-1668")</f>
        <v>https://zfin.org/ZDB-GENE-030131-1668</v>
      </c>
      <c r="E10092" t="s">
        <v>30236</v>
      </c>
    </row>
    <row r="10093" spans="1:5" x14ac:dyDescent="0.2">
      <c r="A10093" t="s">
        <v>30237</v>
      </c>
      <c r="B10093" t="s">
        <v>30238</v>
      </c>
      <c r="C10093" t="s">
        <v>30238</v>
      </c>
      <c r="D10093" t="str">
        <f>HYPERLINK("https://zfin.org/ZDB-GENE-060503-431")</f>
        <v>https://zfin.org/ZDB-GENE-060503-431</v>
      </c>
      <c r="E10093" t="s">
        <v>30239</v>
      </c>
    </row>
    <row r="10094" spans="1:5" x14ac:dyDescent="0.2">
      <c r="A10094" t="s">
        <v>30240</v>
      </c>
      <c r="B10094" t="s">
        <v>30241</v>
      </c>
      <c r="C10094" t="s">
        <v>30241</v>
      </c>
      <c r="D10094" t="str">
        <f>HYPERLINK("https://zfin.org/ZDB-GENE-050417-28")</f>
        <v>https://zfin.org/ZDB-GENE-050417-28</v>
      </c>
      <c r="E10094" t="s">
        <v>30242</v>
      </c>
    </row>
    <row r="10095" spans="1:5" x14ac:dyDescent="0.2">
      <c r="A10095" t="s">
        <v>30243</v>
      </c>
      <c r="B10095" t="s">
        <v>30244</v>
      </c>
      <c r="C10095" t="s">
        <v>30244</v>
      </c>
      <c r="D10095" t="str">
        <f>HYPERLINK("https://zfin.org/ZDB-GENE-141212-253")</f>
        <v>https://zfin.org/ZDB-GENE-141212-253</v>
      </c>
      <c r="E10095" t="s">
        <v>30245</v>
      </c>
    </row>
    <row r="10096" spans="1:5" x14ac:dyDescent="0.2">
      <c r="A10096" t="s">
        <v>30246</v>
      </c>
      <c r="B10096" t="s">
        <v>30247</v>
      </c>
      <c r="C10096" t="s">
        <v>30247</v>
      </c>
      <c r="D10096" t="str">
        <f>HYPERLINK("https://zfin.org/ZDB-GENE-070912-622")</f>
        <v>https://zfin.org/ZDB-GENE-070912-622</v>
      </c>
      <c r="E10096" t="s">
        <v>30248</v>
      </c>
    </row>
    <row r="10097" spans="1:5" x14ac:dyDescent="0.2">
      <c r="A10097" t="s">
        <v>30249</v>
      </c>
      <c r="B10097" t="s">
        <v>30250</v>
      </c>
      <c r="C10097" t="s">
        <v>30250</v>
      </c>
      <c r="D10097" t="str">
        <f>HYPERLINK("https://zfin.org/ZDB-GENE-130531-12")</f>
        <v>https://zfin.org/ZDB-GENE-130531-12</v>
      </c>
      <c r="E10097" t="s">
        <v>30251</v>
      </c>
    </row>
    <row r="10098" spans="1:5" x14ac:dyDescent="0.2">
      <c r="A10098" t="s">
        <v>30252</v>
      </c>
      <c r="B10098" t="s">
        <v>30253</v>
      </c>
      <c r="C10098" t="s">
        <v>30253</v>
      </c>
      <c r="D10098" t="str">
        <f>HYPERLINK("https://zfin.org/ZDB-GENE-040426-2049")</f>
        <v>https://zfin.org/ZDB-GENE-040426-2049</v>
      </c>
      <c r="E10098" t="s">
        <v>30254</v>
      </c>
    </row>
    <row r="10099" spans="1:5" x14ac:dyDescent="0.2">
      <c r="A10099" t="s">
        <v>30255</v>
      </c>
      <c r="B10099" t="s">
        <v>30256</v>
      </c>
      <c r="C10099" t="s">
        <v>30256</v>
      </c>
      <c r="D10099" t="str">
        <f>HYPERLINK("https://zfin.org/ZDB-GENE-061226-3")</f>
        <v>https://zfin.org/ZDB-GENE-061226-3</v>
      </c>
      <c r="E10099" t="s">
        <v>30257</v>
      </c>
    </row>
    <row r="10100" spans="1:5" x14ac:dyDescent="0.2">
      <c r="A10100" t="s">
        <v>30258</v>
      </c>
      <c r="B10100" t="s">
        <v>30259</v>
      </c>
      <c r="C10100" t="s">
        <v>30259</v>
      </c>
      <c r="D10100" t="str">
        <f>HYPERLINK("https://zfin.org/ZDB-GENE-030131-5366")</f>
        <v>https://zfin.org/ZDB-GENE-030131-5366</v>
      </c>
      <c r="E10100" t="s">
        <v>30260</v>
      </c>
    </row>
    <row r="10101" spans="1:5" x14ac:dyDescent="0.2">
      <c r="A10101" t="s">
        <v>30261</v>
      </c>
      <c r="B10101" t="s">
        <v>30262</v>
      </c>
      <c r="C10101" t="s">
        <v>30262</v>
      </c>
      <c r="D10101" t="str">
        <f>HYPERLINK("https://zfin.org/ZDB-GENE-041114-204")</f>
        <v>https://zfin.org/ZDB-GENE-041114-204</v>
      </c>
      <c r="E10101" t="s">
        <v>30263</v>
      </c>
    </row>
    <row r="10102" spans="1:5" x14ac:dyDescent="0.2">
      <c r="A10102" t="s">
        <v>30264</v>
      </c>
      <c r="B10102" t="s">
        <v>30265</v>
      </c>
      <c r="C10102" t="s">
        <v>30265</v>
      </c>
      <c r="D10102" t="str">
        <f>HYPERLINK("https://zfin.org/ZDB-GENE-121214-253")</f>
        <v>https://zfin.org/ZDB-GENE-121214-253</v>
      </c>
      <c r="E10102" t="s">
        <v>30266</v>
      </c>
    </row>
    <row r="10103" spans="1:5" x14ac:dyDescent="0.2">
      <c r="A10103" t="s">
        <v>30267</v>
      </c>
      <c r="B10103" t="s">
        <v>30268</v>
      </c>
      <c r="C10103" t="s">
        <v>30268</v>
      </c>
      <c r="D10103" t="str">
        <f>HYPERLINK("https://zfin.org/ZDB-GENE-141212-248")</f>
        <v>https://zfin.org/ZDB-GENE-141212-248</v>
      </c>
      <c r="E10103" t="s">
        <v>30269</v>
      </c>
    </row>
    <row r="10104" spans="1:5" x14ac:dyDescent="0.2">
      <c r="A10104" t="s">
        <v>30270</v>
      </c>
      <c r="B10104" t="s">
        <v>30271</v>
      </c>
      <c r="C10104" t="s">
        <v>30271</v>
      </c>
      <c r="D10104" t="str">
        <f>HYPERLINK("https://zfin.org/ZDB-GENE-060531-23")</f>
        <v>https://zfin.org/ZDB-GENE-060531-23</v>
      </c>
      <c r="E10104" t="s">
        <v>30272</v>
      </c>
    </row>
    <row r="10105" spans="1:5" x14ac:dyDescent="0.2">
      <c r="A10105" t="s">
        <v>30273</v>
      </c>
      <c r="B10105" t="s">
        <v>30274</v>
      </c>
      <c r="C10105" t="s">
        <v>30274</v>
      </c>
      <c r="D10105" t="str">
        <f>HYPERLINK("https://zfin.org/ZDB-GENE-110317-2")</f>
        <v>https://zfin.org/ZDB-GENE-110317-2</v>
      </c>
      <c r="E10105" t="s">
        <v>30275</v>
      </c>
    </row>
    <row r="10106" spans="1:5" x14ac:dyDescent="0.2">
      <c r="A10106" t="s">
        <v>30276</v>
      </c>
      <c r="B10106" t="s">
        <v>30277</v>
      </c>
      <c r="C10106" t="s">
        <v>30277</v>
      </c>
      <c r="D10106" t="str">
        <f>HYPERLINK("https://zfin.org/ZDB-GENE-040426-1000")</f>
        <v>https://zfin.org/ZDB-GENE-040426-1000</v>
      </c>
      <c r="E10106" t="s">
        <v>30278</v>
      </c>
    </row>
    <row r="10107" spans="1:5" x14ac:dyDescent="0.2">
      <c r="A10107" t="s">
        <v>30279</v>
      </c>
      <c r="B10107" t="s">
        <v>30280</v>
      </c>
      <c r="C10107" t="s">
        <v>30280</v>
      </c>
      <c r="D10107" t="str">
        <f>HYPERLINK("https://zfin.org/ZDB-GENE-031006-11")</f>
        <v>https://zfin.org/ZDB-GENE-031006-11</v>
      </c>
      <c r="E10107" t="s">
        <v>30281</v>
      </c>
    </row>
    <row r="10108" spans="1:5" x14ac:dyDescent="0.2">
      <c r="A10108" t="s">
        <v>30282</v>
      </c>
      <c r="B10108" t="s">
        <v>30283</v>
      </c>
      <c r="C10108" t="s">
        <v>30283</v>
      </c>
      <c r="D10108" t="str">
        <f>HYPERLINK("https://zfin.org/ZDB-GENE-040426-1055")</f>
        <v>https://zfin.org/ZDB-GENE-040426-1055</v>
      </c>
      <c r="E10108" t="s">
        <v>30284</v>
      </c>
    </row>
    <row r="10109" spans="1:5" x14ac:dyDescent="0.2">
      <c r="A10109" t="s">
        <v>30285</v>
      </c>
      <c r="B10109" t="s">
        <v>30286</v>
      </c>
      <c r="C10109" t="s">
        <v>30286</v>
      </c>
      <c r="D10109" t="str">
        <f>HYPERLINK("https://zfin.org/ZDB-GENE-990708-5")</f>
        <v>https://zfin.org/ZDB-GENE-990708-5</v>
      </c>
      <c r="E10109" t="s">
        <v>30287</v>
      </c>
    </row>
    <row r="10110" spans="1:5" x14ac:dyDescent="0.2">
      <c r="A10110" t="s">
        <v>30288</v>
      </c>
      <c r="B10110" t="s">
        <v>30289</v>
      </c>
      <c r="C10110" t="s">
        <v>30289</v>
      </c>
      <c r="D10110" t="str">
        <f>HYPERLINK("https://zfin.org/ZDB-GENE-040718-199")</f>
        <v>https://zfin.org/ZDB-GENE-040718-199</v>
      </c>
      <c r="E10110" t="s">
        <v>30290</v>
      </c>
    </row>
    <row r="10111" spans="1:5" x14ac:dyDescent="0.2">
      <c r="A10111" t="s">
        <v>30291</v>
      </c>
      <c r="B10111" t="s">
        <v>30292</v>
      </c>
      <c r="C10111" t="s">
        <v>30292</v>
      </c>
      <c r="D10111" t="str">
        <f>HYPERLINK("https://zfin.org/ZDB-GENE-030131-5129")</f>
        <v>https://zfin.org/ZDB-GENE-030131-5129</v>
      </c>
      <c r="E10111" t="s">
        <v>30293</v>
      </c>
    </row>
    <row r="10112" spans="1:5" x14ac:dyDescent="0.2">
      <c r="A10112" t="s">
        <v>30294</v>
      </c>
      <c r="B10112" t="s">
        <v>30295</v>
      </c>
      <c r="C10112" t="s">
        <v>30295</v>
      </c>
      <c r="D10112" t="str">
        <f>HYPERLINK("https://zfin.org/ZDB-GENE-040704-42")</f>
        <v>https://zfin.org/ZDB-GENE-040704-42</v>
      </c>
      <c r="E10112" t="s">
        <v>30296</v>
      </c>
    </row>
    <row r="10113" spans="1:5" x14ac:dyDescent="0.2">
      <c r="A10113" t="s">
        <v>30297</v>
      </c>
      <c r="B10113" t="s">
        <v>30298</v>
      </c>
      <c r="C10113" t="s">
        <v>30298</v>
      </c>
      <c r="D10113" t="str">
        <f>HYPERLINK("https://zfin.org/ZDB-GENE-040912-162")</f>
        <v>https://zfin.org/ZDB-GENE-040912-162</v>
      </c>
      <c r="E10113" t="s">
        <v>30299</v>
      </c>
    </row>
    <row r="10114" spans="1:5" x14ac:dyDescent="0.2">
      <c r="A10114" t="s">
        <v>30300</v>
      </c>
      <c r="B10114" t="s">
        <v>30301</v>
      </c>
      <c r="C10114" t="s">
        <v>30301</v>
      </c>
      <c r="D10114" t="str">
        <f>HYPERLINK("https://zfin.org/ZDB-GENE-081105-92")</f>
        <v>https://zfin.org/ZDB-GENE-081105-92</v>
      </c>
      <c r="E10114" t="s">
        <v>30302</v>
      </c>
    </row>
    <row r="10115" spans="1:5" x14ac:dyDescent="0.2">
      <c r="A10115" t="s">
        <v>30303</v>
      </c>
      <c r="B10115" t="s">
        <v>30304</v>
      </c>
      <c r="C10115" t="s">
        <v>30304</v>
      </c>
      <c r="D10115" t="str">
        <f>HYPERLINK("https://zfin.org/ZDB-GENE-070705-424")</f>
        <v>https://zfin.org/ZDB-GENE-070705-424</v>
      </c>
      <c r="E10115" t="s">
        <v>30305</v>
      </c>
    </row>
    <row r="10116" spans="1:5" x14ac:dyDescent="0.2">
      <c r="A10116" t="s">
        <v>30306</v>
      </c>
      <c r="B10116" t="s">
        <v>30307</v>
      </c>
      <c r="C10116" t="s">
        <v>30307</v>
      </c>
      <c r="D10116" t="str">
        <f>HYPERLINK("https://zfin.org/ZDB-GENE-030131-6794")</f>
        <v>https://zfin.org/ZDB-GENE-030131-6794</v>
      </c>
      <c r="E10116" t="s">
        <v>30308</v>
      </c>
    </row>
    <row r="10117" spans="1:5" x14ac:dyDescent="0.2">
      <c r="A10117" t="s">
        <v>30309</v>
      </c>
      <c r="B10117" t="s">
        <v>30310</v>
      </c>
      <c r="C10117" t="s">
        <v>30310</v>
      </c>
      <c r="D10117" t="str">
        <f>HYPERLINK("https://zfin.org/ZDB-GENE-040724-82")</f>
        <v>https://zfin.org/ZDB-GENE-040724-82</v>
      </c>
      <c r="E10117" t="s">
        <v>30311</v>
      </c>
    </row>
    <row r="10118" spans="1:5" x14ac:dyDescent="0.2">
      <c r="A10118" t="s">
        <v>30312</v>
      </c>
      <c r="B10118" t="s">
        <v>30313</v>
      </c>
      <c r="C10118" t="s">
        <v>30313</v>
      </c>
      <c r="D10118" t="str">
        <f>HYPERLINK("https://zfin.org/ZDB-GENE-030131-3022")</f>
        <v>https://zfin.org/ZDB-GENE-030131-3022</v>
      </c>
      <c r="E10118" t="s">
        <v>30314</v>
      </c>
    </row>
    <row r="10119" spans="1:5" x14ac:dyDescent="0.2">
      <c r="A10119" t="s">
        <v>30315</v>
      </c>
      <c r="B10119" t="s">
        <v>30316</v>
      </c>
      <c r="C10119" t="s">
        <v>30316</v>
      </c>
      <c r="D10119" t="str">
        <f>HYPERLINK("https://zfin.org/ZDB-GENE-041014-297")</f>
        <v>https://zfin.org/ZDB-GENE-041014-297</v>
      </c>
      <c r="E10119" t="s">
        <v>30317</v>
      </c>
    </row>
    <row r="10120" spans="1:5" x14ac:dyDescent="0.2">
      <c r="A10120" t="s">
        <v>30318</v>
      </c>
      <c r="B10120" t="s">
        <v>30319</v>
      </c>
      <c r="C10120" t="s">
        <v>30319</v>
      </c>
      <c r="D10120" t="str">
        <f>HYPERLINK("https://zfin.org/ZDB-GENE-030131-6331")</f>
        <v>https://zfin.org/ZDB-GENE-030131-6331</v>
      </c>
      <c r="E10120" t="s">
        <v>30320</v>
      </c>
    </row>
    <row r="10121" spans="1:5" x14ac:dyDescent="0.2">
      <c r="A10121" t="s">
        <v>30321</v>
      </c>
      <c r="B10121" t="s">
        <v>30322</v>
      </c>
      <c r="C10121" t="s">
        <v>30322</v>
      </c>
      <c r="D10121" t="str">
        <f>HYPERLINK("https://zfin.org/ZDB-GENE-100712-1")</f>
        <v>https://zfin.org/ZDB-GENE-100712-1</v>
      </c>
      <c r="E10121" t="s">
        <v>30323</v>
      </c>
    </row>
    <row r="10122" spans="1:5" x14ac:dyDescent="0.2">
      <c r="A10122" t="s">
        <v>30324</v>
      </c>
      <c r="B10122" t="s">
        <v>30325</v>
      </c>
      <c r="C10122" t="s">
        <v>30325</v>
      </c>
      <c r="D10122" t="str">
        <f>HYPERLINK("https://zfin.org/ZDB-GENE-131119-99")</f>
        <v>https://zfin.org/ZDB-GENE-131119-99</v>
      </c>
      <c r="E10122" t="s">
        <v>30326</v>
      </c>
    </row>
    <row r="10123" spans="1:5" x14ac:dyDescent="0.2">
      <c r="A10123" t="s">
        <v>30327</v>
      </c>
      <c r="B10123" t="s">
        <v>30328</v>
      </c>
      <c r="C10123" t="s">
        <v>30328</v>
      </c>
      <c r="D10123" t="str">
        <f>HYPERLINK("https://zfin.org/ZDB-GENE-030729-8")</f>
        <v>https://zfin.org/ZDB-GENE-030729-8</v>
      </c>
      <c r="E10123" t="s">
        <v>30329</v>
      </c>
    </row>
    <row r="10124" spans="1:5" x14ac:dyDescent="0.2">
      <c r="A10124" t="s">
        <v>30330</v>
      </c>
      <c r="B10124" t="s">
        <v>30331</v>
      </c>
      <c r="C10124" t="s">
        <v>30331</v>
      </c>
      <c r="D10124" t="str">
        <f>HYPERLINK("https://zfin.org/ZDB-GENE-131120-41")</f>
        <v>https://zfin.org/ZDB-GENE-131120-41</v>
      </c>
      <c r="E10124" t="s">
        <v>30332</v>
      </c>
    </row>
    <row r="10125" spans="1:5" x14ac:dyDescent="0.2">
      <c r="A10125" t="s">
        <v>30333</v>
      </c>
      <c r="B10125" t="s">
        <v>30334</v>
      </c>
      <c r="C10125" t="s">
        <v>30334</v>
      </c>
      <c r="D10125" t="str">
        <f>HYPERLINK("https://zfin.org/ZDB-GENE-041114-163")</f>
        <v>https://zfin.org/ZDB-GENE-041114-163</v>
      </c>
      <c r="E10125" t="s">
        <v>30335</v>
      </c>
    </row>
    <row r="10126" spans="1:5" x14ac:dyDescent="0.2">
      <c r="A10126" t="s">
        <v>30336</v>
      </c>
      <c r="B10126" t="s">
        <v>30337</v>
      </c>
      <c r="C10126" t="s">
        <v>30337</v>
      </c>
      <c r="D10126" t="str">
        <f>HYPERLINK("https://zfin.org/ZDB-GENE-131118-31")</f>
        <v>https://zfin.org/ZDB-GENE-131118-31</v>
      </c>
      <c r="E10126" t="s">
        <v>30338</v>
      </c>
    </row>
    <row r="10127" spans="1:5" x14ac:dyDescent="0.2">
      <c r="A10127" t="s">
        <v>30339</v>
      </c>
      <c r="B10127" t="s">
        <v>30340</v>
      </c>
      <c r="C10127" t="s">
        <v>30340</v>
      </c>
      <c r="D10127" t="str">
        <f>HYPERLINK("https://zfin.org/ZDB-GENE-070112-2032")</f>
        <v>https://zfin.org/ZDB-GENE-070112-2032</v>
      </c>
      <c r="E10127" t="s">
        <v>30341</v>
      </c>
    </row>
    <row r="10128" spans="1:5" x14ac:dyDescent="0.2">
      <c r="A10128" t="s">
        <v>30342</v>
      </c>
      <c r="B10128" t="s">
        <v>30343</v>
      </c>
      <c r="C10128" t="s">
        <v>30343</v>
      </c>
      <c r="D10128" t="str">
        <f>HYPERLINK("https://zfin.org/ZDB-GENE-040426-1494")</f>
        <v>https://zfin.org/ZDB-GENE-040426-1494</v>
      </c>
      <c r="E10128" t="s">
        <v>30344</v>
      </c>
    </row>
    <row r="10129" spans="1:5" x14ac:dyDescent="0.2">
      <c r="A10129" t="s">
        <v>30345</v>
      </c>
      <c r="B10129" t="s">
        <v>30346</v>
      </c>
      <c r="C10129" t="s">
        <v>30346</v>
      </c>
      <c r="D10129" t="str">
        <f>HYPERLINK("https://zfin.org/ZDB-GENE-081104-86")</f>
        <v>https://zfin.org/ZDB-GENE-081104-86</v>
      </c>
      <c r="E10129" t="s">
        <v>30347</v>
      </c>
    </row>
    <row r="10130" spans="1:5" x14ac:dyDescent="0.2">
      <c r="A10130" t="s">
        <v>30348</v>
      </c>
      <c r="B10130" t="s">
        <v>30349</v>
      </c>
      <c r="C10130" t="s">
        <v>30349</v>
      </c>
      <c r="D10130" t="str">
        <f>HYPERLINK("https://zfin.org/ZDB-GENE-131120-136")</f>
        <v>https://zfin.org/ZDB-GENE-131120-136</v>
      </c>
      <c r="E10130" t="s">
        <v>30350</v>
      </c>
    </row>
    <row r="10131" spans="1:5" x14ac:dyDescent="0.2">
      <c r="A10131" t="s">
        <v>30351</v>
      </c>
      <c r="B10131" t="s">
        <v>30352</v>
      </c>
      <c r="C10131" t="s">
        <v>30352</v>
      </c>
      <c r="D10131" t="str">
        <f>HYPERLINK("https://zfin.org/ZDB-GENE-030616-630")</f>
        <v>https://zfin.org/ZDB-GENE-030616-630</v>
      </c>
      <c r="E10131" t="s">
        <v>30353</v>
      </c>
    </row>
    <row r="10132" spans="1:5" x14ac:dyDescent="0.2">
      <c r="A10132" t="s">
        <v>30354</v>
      </c>
      <c r="B10132" t="s">
        <v>30355</v>
      </c>
      <c r="C10132" t="s">
        <v>30355</v>
      </c>
      <c r="D10132" t="str">
        <f>HYPERLINK("https://zfin.org/ZDB-GENE-100922-33")</f>
        <v>https://zfin.org/ZDB-GENE-100922-33</v>
      </c>
      <c r="E10132" t="s">
        <v>30356</v>
      </c>
    </row>
    <row r="10133" spans="1:5" x14ac:dyDescent="0.2">
      <c r="A10133" t="s">
        <v>30357</v>
      </c>
      <c r="B10133" t="s">
        <v>30358</v>
      </c>
      <c r="C10133" t="s">
        <v>30358</v>
      </c>
      <c r="D10133" t="str">
        <f>HYPERLINK("https://zfin.org/ZDB-GENE-081104-86")</f>
        <v>https://zfin.org/ZDB-GENE-081104-86</v>
      </c>
      <c r="E10133" t="s">
        <v>30359</v>
      </c>
    </row>
    <row r="10134" spans="1:5" x14ac:dyDescent="0.2">
      <c r="A10134" t="s">
        <v>30360</v>
      </c>
      <c r="B10134" t="s">
        <v>30361</v>
      </c>
      <c r="C10134" t="s">
        <v>30361</v>
      </c>
      <c r="D10134" t="str">
        <f>HYPERLINK("https://zfin.org/ZDB-GENE-130531-9")</f>
        <v>https://zfin.org/ZDB-GENE-130531-9</v>
      </c>
      <c r="E10134" t="s">
        <v>30362</v>
      </c>
    </row>
    <row r="10135" spans="1:5" x14ac:dyDescent="0.2">
      <c r="A10135" t="s">
        <v>30363</v>
      </c>
      <c r="B10135" t="s">
        <v>30364</v>
      </c>
      <c r="C10135" t="s">
        <v>30364</v>
      </c>
      <c r="D10135" t="str">
        <f>HYPERLINK("https://zfin.org/ZDB-GENE-060503-194")</f>
        <v>https://zfin.org/ZDB-GENE-060503-194</v>
      </c>
      <c r="E10135" t="s">
        <v>30365</v>
      </c>
    </row>
    <row r="10136" spans="1:5" x14ac:dyDescent="0.2">
      <c r="A10136" t="s">
        <v>30366</v>
      </c>
      <c r="B10136" t="s">
        <v>30367</v>
      </c>
      <c r="C10136" t="s">
        <v>30367</v>
      </c>
      <c r="D10136" t="str">
        <f>HYPERLINK("https://zfin.org/ZDB-GENE-131120-99")</f>
        <v>https://zfin.org/ZDB-GENE-131120-99</v>
      </c>
      <c r="E10136" t="s">
        <v>30368</v>
      </c>
    </row>
    <row r="10137" spans="1:5" x14ac:dyDescent="0.2">
      <c r="A10137" t="s">
        <v>30369</v>
      </c>
      <c r="B10137" t="s">
        <v>30370</v>
      </c>
      <c r="C10137" t="s">
        <v>30371</v>
      </c>
      <c r="D10137" t="str">
        <f>HYPERLINK("https://zfin.org/ZDB-GENE-040426-1174")</f>
        <v>https://zfin.org/ZDB-GENE-040426-1174</v>
      </c>
      <c r="E10137" t="s">
        <v>30372</v>
      </c>
    </row>
    <row r="10138" spans="1:5" x14ac:dyDescent="0.2">
      <c r="A10138" t="s">
        <v>30373</v>
      </c>
      <c r="B10138" t="s">
        <v>30374</v>
      </c>
      <c r="C10138" t="s">
        <v>30374</v>
      </c>
      <c r="D10138" t="str">
        <f>HYPERLINK("https://zfin.org/ZDB-GENE-980526-440")</f>
        <v>https://zfin.org/ZDB-GENE-980526-440</v>
      </c>
      <c r="E10138" t="s">
        <v>30375</v>
      </c>
    </row>
    <row r="10139" spans="1:5" x14ac:dyDescent="0.2">
      <c r="A10139" t="s">
        <v>30376</v>
      </c>
      <c r="B10139" t="s">
        <v>30377</v>
      </c>
      <c r="C10139" t="s">
        <v>30377</v>
      </c>
      <c r="D10139" t="str">
        <f>HYPERLINK("https://zfin.org/ZDB-GENE-131120-102")</f>
        <v>https://zfin.org/ZDB-GENE-131120-102</v>
      </c>
      <c r="E10139" t="s">
        <v>30378</v>
      </c>
    </row>
    <row r="10140" spans="1:5" x14ac:dyDescent="0.2">
      <c r="A10140" t="s">
        <v>30379</v>
      </c>
      <c r="B10140" t="s">
        <v>30380</v>
      </c>
      <c r="C10140" t="s">
        <v>30380</v>
      </c>
      <c r="D10140" t="str">
        <f>HYPERLINK("https://zfin.org/ZDB-GENE-091204-213")</f>
        <v>https://zfin.org/ZDB-GENE-091204-213</v>
      </c>
      <c r="E10140" t="s">
        <v>30381</v>
      </c>
    </row>
    <row r="10141" spans="1:5" x14ac:dyDescent="0.2">
      <c r="A10141" t="s">
        <v>30382</v>
      </c>
      <c r="B10141" t="s">
        <v>30383</v>
      </c>
      <c r="C10141" t="s">
        <v>30383</v>
      </c>
      <c r="D10141" t="str">
        <f>HYPERLINK("https://zfin.org/ZDB-GENE-131120-155")</f>
        <v>https://zfin.org/ZDB-GENE-131120-155</v>
      </c>
      <c r="E10141" t="s">
        <v>30384</v>
      </c>
    </row>
    <row r="10142" spans="1:5" x14ac:dyDescent="0.2">
      <c r="A10142" t="s">
        <v>30385</v>
      </c>
      <c r="B10142" t="s">
        <v>30386</v>
      </c>
      <c r="C10142" t="s">
        <v>30386</v>
      </c>
      <c r="D10142" t="str">
        <f>HYPERLINK("https://zfin.org/ZDB-GENE-131121-545")</f>
        <v>https://zfin.org/ZDB-GENE-131121-545</v>
      </c>
      <c r="E10142" t="s">
        <v>30387</v>
      </c>
    </row>
    <row r="10143" spans="1:5" x14ac:dyDescent="0.2">
      <c r="A10143" t="s">
        <v>30388</v>
      </c>
      <c r="B10143" t="s">
        <v>30389</v>
      </c>
      <c r="C10143" t="s">
        <v>30389</v>
      </c>
      <c r="D10143" t="str">
        <f>HYPERLINK("https://zfin.org/ZDB-GENE-030131-6208")</f>
        <v>https://zfin.org/ZDB-GENE-030131-6208</v>
      </c>
      <c r="E10143" t="s">
        <v>30390</v>
      </c>
    </row>
    <row r="10144" spans="1:5" x14ac:dyDescent="0.2">
      <c r="A10144" t="s">
        <v>30391</v>
      </c>
      <c r="B10144" t="s">
        <v>30392</v>
      </c>
      <c r="C10144" t="s">
        <v>30392</v>
      </c>
      <c r="D10144" t="str">
        <f>HYPERLINK("https://zfin.org/ZDB-GENE-131119-71")</f>
        <v>https://zfin.org/ZDB-GENE-131119-71</v>
      </c>
      <c r="E10144" t="s">
        <v>30393</v>
      </c>
    </row>
    <row r="10145" spans="1:5" x14ac:dyDescent="0.2">
      <c r="A10145" t="s">
        <v>30394</v>
      </c>
      <c r="B10145" t="s">
        <v>30395</v>
      </c>
      <c r="C10145" t="s">
        <v>30395</v>
      </c>
      <c r="D10145" t="str">
        <f>HYPERLINK("https://zfin.org/ZDB-GENE-040426-2855")</f>
        <v>https://zfin.org/ZDB-GENE-040426-2855</v>
      </c>
      <c r="E10145" t="s">
        <v>30396</v>
      </c>
    </row>
    <row r="10146" spans="1:5" x14ac:dyDescent="0.2">
      <c r="A10146" t="s">
        <v>30397</v>
      </c>
      <c r="B10146" t="s">
        <v>30398</v>
      </c>
      <c r="C10146" t="s">
        <v>30398</v>
      </c>
      <c r="D10146" t="str">
        <f>HYPERLINK("https://zfin.org/ZDB-GENE-050417-89")</f>
        <v>https://zfin.org/ZDB-GENE-050417-89</v>
      </c>
      <c r="E10146" t="s">
        <v>30399</v>
      </c>
    </row>
    <row r="10147" spans="1:5" x14ac:dyDescent="0.2">
      <c r="A10147" t="s">
        <v>30400</v>
      </c>
      <c r="B10147" t="s">
        <v>30401</v>
      </c>
      <c r="C10147" t="s">
        <v>30401</v>
      </c>
      <c r="D10147" t="str">
        <f>HYPERLINK("https://zfin.org/ZDB-GENE-070410-70")</f>
        <v>https://zfin.org/ZDB-GENE-070410-70</v>
      </c>
      <c r="E10147" t="s">
        <v>30402</v>
      </c>
    </row>
    <row r="10148" spans="1:5" x14ac:dyDescent="0.2">
      <c r="A10148" t="s">
        <v>30403</v>
      </c>
      <c r="B10148" t="s">
        <v>30404</v>
      </c>
      <c r="C10148" t="s">
        <v>30404</v>
      </c>
      <c r="D10148" t="str">
        <f>HYPERLINK("https://zfin.org/ZDB-GENE-120406-2")</f>
        <v>https://zfin.org/ZDB-GENE-120406-2</v>
      </c>
      <c r="E10148" t="s">
        <v>30405</v>
      </c>
    </row>
    <row r="10149" spans="1:5" x14ac:dyDescent="0.2">
      <c r="A10149" t="s">
        <v>30406</v>
      </c>
      <c r="B10149" t="s">
        <v>30407</v>
      </c>
      <c r="C10149" t="s">
        <v>30407</v>
      </c>
      <c r="D10149" t="str">
        <f>HYPERLINK("https://zfin.org/ZDB-GENE-131121-523")</f>
        <v>https://zfin.org/ZDB-GENE-131121-523</v>
      </c>
      <c r="E10149" t="s">
        <v>30408</v>
      </c>
    </row>
    <row r="10150" spans="1:5" x14ac:dyDescent="0.2">
      <c r="A10150" t="s">
        <v>30409</v>
      </c>
      <c r="B10150" t="s">
        <v>30410</v>
      </c>
      <c r="C10150" t="s">
        <v>30410</v>
      </c>
      <c r="D10150" t="str">
        <f>HYPERLINK("https://zfin.org/ZDB-GENE-060512-226")</f>
        <v>https://zfin.org/ZDB-GENE-060512-226</v>
      </c>
      <c r="E10150" t="s">
        <v>30411</v>
      </c>
    </row>
    <row r="10151" spans="1:5" x14ac:dyDescent="0.2">
      <c r="A10151" t="s">
        <v>30412</v>
      </c>
      <c r="B10151" t="s">
        <v>30413</v>
      </c>
      <c r="C10151" t="s">
        <v>30413</v>
      </c>
      <c r="D10151" t="str">
        <f>HYPERLINK("https://zfin.org/ZDB-GENE-050320-124")</f>
        <v>https://zfin.org/ZDB-GENE-050320-124</v>
      </c>
      <c r="E10151" t="s">
        <v>30414</v>
      </c>
    </row>
    <row r="10152" spans="1:5" x14ac:dyDescent="0.2">
      <c r="A10152" t="s">
        <v>30415</v>
      </c>
      <c r="B10152" t="s">
        <v>30416</v>
      </c>
      <c r="C10152" t="s">
        <v>30416</v>
      </c>
      <c r="D10152" t="str">
        <f>HYPERLINK("https://zfin.org/ZDB-GENE-030131-423")</f>
        <v>https://zfin.org/ZDB-GENE-030131-423</v>
      </c>
      <c r="E10152" t="s">
        <v>30417</v>
      </c>
    </row>
    <row r="10153" spans="1:5" x14ac:dyDescent="0.2">
      <c r="A10153" t="s">
        <v>30418</v>
      </c>
      <c r="B10153" t="s">
        <v>30419</v>
      </c>
      <c r="C10153" t="s">
        <v>30419</v>
      </c>
      <c r="D10153" t="str">
        <f>HYPERLINK("https://zfin.org/ZDB-GENE-100922-176")</f>
        <v>https://zfin.org/ZDB-GENE-100922-176</v>
      </c>
      <c r="E10153" t="s">
        <v>30420</v>
      </c>
    </row>
    <row r="10154" spans="1:5" x14ac:dyDescent="0.2">
      <c r="A10154" t="s">
        <v>30421</v>
      </c>
      <c r="B10154" t="s">
        <v>30422</v>
      </c>
      <c r="C10154" t="s">
        <v>30422</v>
      </c>
      <c r="D10154" t="str">
        <f>HYPERLINK("https://zfin.org/ZDB-GENE-070620-26")</f>
        <v>https://zfin.org/ZDB-GENE-070620-26</v>
      </c>
      <c r="E10154" t="s">
        <v>30423</v>
      </c>
    </row>
    <row r="10155" spans="1:5" x14ac:dyDescent="0.2">
      <c r="A10155" t="s">
        <v>30424</v>
      </c>
      <c r="B10155" t="s">
        <v>30425</v>
      </c>
      <c r="C10155" t="s">
        <v>30425</v>
      </c>
      <c r="D10155" t="str">
        <f>HYPERLINK("https://zfin.org/ZDB-GENE-081105-101")</f>
        <v>https://zfin.org/ZDB-GENE-081105-101</v>
      </c>
      <c r="E10155" t="s">
        <v>30426</v>
      </c>
    </row>
    <row r="10156" spans="1:5" x14ac:dyDescent="0.2">
      <c r="A10156" t="s">
        <v>30427</v>
      </c>
      <c r="B10156" t="s">
        <v>30428</v>
      </c>
      <c r="C10156" t="s">
        <v>30428</v>
      </c>
      <c r="D10156" t="str">
        <f>HYPERLINK("https://zfin.org/ZDB-GENE-131127-112")</f>
        <v>https://zfin.org/ZDB-GENE-131127-112</v>
      </c>
      <c r="E10156" t="s">
        <v>30429</v>
      </c>
    </row>
    <row r="10157" spans="1:5" x14ac:dyDescent="0.2">
      <c r="A10157" t="s">
        <v>30430</v>
      </c>
      <c r="B10157" t="s">
        <v>30431</v>
      </c>
      <c r="C10157" t="s">
        <v>30431</v>
      </c>
      <c r="D10157" t="str">
        <f>HYPERLINK("https://zfin.org/ZDB-GENE-040426-1689")</f>
        <v>https://zfin.org/ZDB-GENE-040426-1689</v>
      </c>
      <c r="E10157" t="s">
        <v>30432</v>
      </c>
    </row>
    <row r="10158" spans="1:5" x14ac:dyDescent="0.2">
      <c r="A10158" t="s">
        <v>30433</v>
      </c>
      <c r="B10158" t="s">
        <v>30434</v>
      </c>
      <c r="C10158" t="s">
        <v>30434</v>
      </c>
      <c r="D10158" t="str">
        <f>HYPERLINK("https://zfin.org/ZDB-GENE-080829-2")</f>
        <v>https://zfin.org/ZDB-GENE-080829-2</v>
      </c>
      <c r="E10158" t="s">
        <v>30435</v>
      </c>
    </row>
    <row r="10159" spans="1:5" x14ac:dyDescent="0.2">
      <c r="A10159" t="s">
        <v>30436</v>
      </c>
      <c r="B10159" t="s">
        <v>30437</v>
      </c>
      <c r="C10159" t="s">
        <v>30437</v>
      </c>
      <c r="D10159" t="str">
        <f>HYPERLINK("https://zfin.org/ZDB-GENE-030131-2123")</f>
        <v>https://zfin.org/ZDB-GENE-030131-2123</v>
      </c>
      <c r="E10159" t="s">
        <v>30438</v>
      </c>
    </row>
    <row r="10160" spans="1:5" x14ac:dyDescent="0.2">
      <c r="A10160" t="s">
        <v>30439</v>
      </c>
      <c r="B10160" t="s">
        <v>30440</v>
      </c>
      <c r="C10160" t="s">
        <v>30440</v>
      </c>
      <c r="D10160" t="str">
        <f>HYPERLINK("https://zfin.org/ZDB-GENE-040914-66")</f>
        <v>https://zfin.org/ZDB-GENE-040914-66</v>
      </c>
      <c r="E10160" t="s">
        <v>30441</v>
      </c>
    </row>
    <row r="10161" spans="1:5" x14ac:dyDescent="0.2">
      <c r="A10161" t="s">
        <v>30442</v>
      </c>
      <c r="B10161" t="s">
        <v>30443</v>
      </c>
      <c r="C10161" t="s">
        <v>30443</v>
      </c>
      <c r="D10161" t="str">
        <f>HYPERLINK("https://zfin.org/ZDB-GENE-030131-2656")</f>
        <v>https://zfin.org/ZDB-GENE-030131-2656</v>
      </c>
      <c r="E10161" t="s">
        <v>30444</v>
      </c>
    </row>
    <row r="10162" spans="1:5" x14ac:dyDescent="0.2">
      <c r="A10162" t="s">
        <v>30445</v>
      </c>
      <c r="B10162" t="s">
        <v>30446</v>
      </c>
      <c r="C10162" t="s">
        <v>30446</v>
      </c>
      <c r="D10162" t="str">
        <f>HYPERLINK("https://zfin.org/ZDB-GENE-040808-20")</f>
        <v>https://zfin.org/ZDB-GENE-040808-20</v>
      </c>
      <c r="E10162" t="s">
        <v>30447</v>
      </c>
    </row>
    <row r="10163" spans="1:5" x14ac:dyDescent="0.2">
      <c r="A10163" t="s">
        <v>30448</v>
      </c>
      <c r="B10163" t="s">
        <v>30449</v>
      </c>
      <c r="C10163" t="s">
        <v>30449</v>
      </c>
      <c r="D10163" t="str">
        <f>HYPERLINK("https://zfin.org/ZDB-GENE-050324-2")</f>
        <v>https://zfin.org/ZDB-GENE-050324-2</v>
      </c>
      <c r="E10163" t="s">
        <v>30450</v>
      </c>
    </row>
    <row r="10164" spans="1:5" x14ac:dyDescent="0.2">
      <c r="A10164" t="s">
        <v>30451</v>
      </c>
      <c r="B10164" t="s">
        <v>30452</v>
      </c>
      <c r="C10164" t="s">
        <v>30453</v>
      </c>
      <c r="D10164" t="str">
        <f>HYPERLINK("https://zfin.org/ZDB-GENE-030131-4716")</f>
        <v>https://zfin.org/ZDB-GENE-030131-4716</v>
      </c>
      <c r="E10164" t="s">
        <v>30454</v>
      </c>
    </row>
    <row r="10165" spans="1:5" x14ac:dyDescent="0.2">
      <c r="A10165" t="s">
        <v>30455</v>
      </c>
      <c r="B10165" t="s">
        <v>30456</v>
      </c>
      <c r="C10165" t="s">
        <v>30456</v>
      </c>
      <c r="D10165" t="str">
        <f>HYPERLINK("https://zfin.org/ZDB-GENE-050417-307")</f>
        <v>https://zfin.org/ZDB-GENE-050417-307</v>
      </c>
      <c r="E10165" t="s">
        <v>30457</v>
      </c>
    </row>
    <row r="10166" spans="1:5" x14ac:dyDescent="0.2">
      <c r="A10166" t="s">
        <v>30458</v>
      </c>
      <c r="B10166" t="s">
        <v>30459</v>
      </c>
      <c r="C10166" t="s">
        <v>30459</v>
      </c>
      <c r="D10166" t="str">
        <f>HYPERLINK("https://zfin.org/ZDB-GENE-040426-951")</f>
        <v>https://zfin.org/ZDB-GENE-040426-951</v>
      </c>
      <c r="E10166" t="s">
        <v>30460</v>
      </c>
    </row>
    <row r="10167" spans="1:5" x14ac:dyDescent="0.2">
      <c r="A10167" t="s">
        <v>30461</v>
      </c>
      <c r="B10167" t="s">
        <v>30462</v>
      </c>
      <c r="C10167" t="s">
        <v>30462</v>
      </c>
      <c r="D10167" t="str">
        <f>HYPERLINK("https://zfin.org/ZDB-GENE-030131-4265")</f>
        <v>https://zfin.org/ZDB-GENE-030131-4265</v>
      </c>
      <c r="E10167" t="s">
        <v>30463</v>
      </c>
    </row>
    <row r="10168" spans="1:5" x14ac:dyDescent="0.2">
      <c r="A10168" t="s">
        <v>30464</v>
      </c>
      <c r="B10168" t="s">
        <v>30465</v>
      </c>
      <c r="C10168" t="s">
        <v>30465</v>
      </c>
      <c r="D10168" t="str">
        <f>HYPERLINK("https://zfin.org/ZDB-GENE-061215-102")</f>
        <v>https://zfin.org/ZDB-GENE-061215-102</v>
      </c>
      <c r="E10168" t="s">
        <v>30466</v>
      </c>
    </row>
    <row r="10169" spans="1:5" x14ac:dyDescent="0.2">
      <c r="A10169" t="s">
        <v>30467</v>
      </c>
      <c r="B10169" t="s">
        <v>30468</v>
      </c>
      <c r="C10169" t="s">
        <v>30468</v>
      </c>
      <c r="D10169" t="str">
        <f>HYPERLINK("https://zfin.org/ZDB-GENE-040718-167")</f>
        <v>https://zfin.org/ZDB-GENE-040718-167</v>
      </c>
      <c r="E10169" t="s">
        <v>30469</v>
      </c>
    </row>
    <row r="10170" spans="1:5" x14ac:dyDescent="0.2">
      <c r="A10170" t="s">
        <v>30470</v>
      </c>
      <c r="B10170" t="s">
        <v>30471</v>
      </c>
      <c r="C10170" t="s">
        <v>30471</v>
      </c>
      <c r="D10170" t="str">
        <f>HYPERLINK("https://zfin.org/ZDB-GENE-060503-430")</f>
        <v>https://zfin.org/ZDB-GENE-060503-430</v>
      </c>
      <c r="E10170" t="s">
        <v>30472</v>
      </c>
    </row>
    <row r="10171" spans="1:5" x14ac:dyDescent="0.2">
      <c r="A10171" t="s">
        <v>30473</v>
      </c>
      <c r="B10171" t="s">
        <v>30474</v>
      </c>
      <c r="C10171" t="s">
        <v>30474</v>
      </c>
      <c r="D10171" t="str">
        <f>HYPERLINK("https://zfin.org/ZDB-GENE-070209-83")</f>
        <v>https://zfin.org/ZDB-GENE-070209-83</v>
      </c>
      <c r="E10171" t="s">
        <v>30475</v>
      </c>
    </row>
    <row r="10172" spans="1:5" x14ac:dyDescent="0.2">
      <c r="A10172" t="s">
        <v>30476</v>
      </c>
      <c r="B10172" t="s">
        <v>30477</v>
      </c>
      <c r="C10172" t="s">
        <v>30477</v>
      </c>
      <c r="D10172" t="str">
        <f>HYPERLINK("https://zfin.org/ZDB-GENE-050522-396")</f>
        <v>https://zfin.org/ZDB-GENE-050522-396</v>
      </c>
      <c r="E10172" t="s">
        <v>30478</v>
      </c>
    </row>
    <row r="10173" spans="1:5" x14ac:dyDescent="0.2">
      <c r="A10173" t="s">
        <v>30479</v>
      </c>
      <c r="B10173" t="s">
        <v>30480</v>
      </c>
      <c r="C10173" t="s">
        <v>30480</v>
      </c>
      <c r="D10173" t="str">
        <f>HYPERLINK("https://zfin.org/ZDB-GENE-040927-28")</f>
        <v>https://zfin.org/ZDB-GENE-040927-28</v>
      </c>
      <c r="E10173" t="s">
        <v>30481</v>
      </c>
    </row>
    <row r="10174" spans="1:5" x14ac:dyDescent="0.2">
      <c r="A10174" t="s">
        <v>30482</v>
      </c>
      <c r="B10174" t="s">
        <v>30483</v>
      </c>
      <c r="C10174" t="s">
        <v>30483</v>
      </c>
      <c r="D10174" t="str">
        <f>HYPERLINK("https://zfin.org/ZDB-GENE-030131-5443")</f>
        <v>https://zfin.org/ZDB-GENE-030131-5443</v>
      </c>
      <c r="E10174" t="s">
        <v>30484</v>
      </c>
    </row>
    <row r="10175" spans="1:5" x14ac:dyDescent="0.2">
      <c r="A10175" t="s">
        <v>30485</v>
      </c>
      <c r="B10175" t="s">
        <v>30486</v>
      </c>
      <c r="C10175" t="s">
        <v>30486</v>
      </c>
      <c r="D10175" t="str">
        <f>HYPERLINK("https://zfin.org/ZDB-GENE-000209-4")</f>
        <v>https://zfin.org/ZDB-GENE-000209-4</v>
      </c>
      <c r="E10175" t="s">
        <v>30487</v>
      </c>
    </row>
    <row r="10176" spans="1:5" x14ac:dyDescent="0.2">
      <c r="A10176" t="s">
        <v>30488</v>
      </c>
      <c r="B10176" t="s">
        <v>30489</v>
      </c>
      <c r="C10176" t="s">
        <v>30489</v>
      </c>
      <c r="D10176" t="str">
        <f>HYPERLINK("https://zfin.org/ZDB-GENE-070705-365")</f>
        <v>https://zfin.org/ZDB-GENE-070705-365</v>
      </c>
      <c r="E10176" t="s">
        <v>30490</v>
      </c>
    </row>
    <row r="10177" spans="1:5" x14ac:dyDescent="0.2">
      <c r="A10177" t="s">
        <v>30491</v>
      </c>
      <c r="B10177" t="s">
        <v>30492</v>
      </c>
      <c r="C10177" t="s">
        <v>30492</v>
      </c>
      <c r="D10177" t="str">
        <f>HYPERLINK("https://zfin.org/ZDB-GENE-060929-436")</f>
        <v>https://zfin.org/ZDB-GENE-060929-436</v>
      </c>
      <c r="E10177" t="s">
        <v>30493</v>
      </c>
    </row>
    <row r="10178" spans="1:5" x14ac:dyDescent="0.2">
      <c r="A10178" t="s">
        <v>30494</v>
      </c>
      <c r="B10178" t="s">
        <v>30495</v>
      </c>
      <c r="C10178" t="s">
        <v>30495</v>
      </c>
      <c r="D10178" t="str">
        <f>HYPERLINK("https://zfin.org/ZDB-GENE-070820-14")</f>
        <v>https://zfin.org/ZDB-GENE-070820-14</v>
      </c>
      <c r="E10178" t="s">
        <v>30496</v>
      </c>
    </row>
    <row r="10179" spans="1:5" x14ac:dyDescent="0.2">
      <c r="A10179" t="s">
        <v>30497</v>
      </c>
      <c r="B10179" t="s">
        <v>30498</v>
      </c>
      <c r="C10179" t="s">
        <v>30498</v>
      </c>
      <c r="D10179" t="str">
        <f>HYPERLINK("https://zfin.org/ZDB-GENE-050208-573")</f>
        <v>https://zfin.org/ZDB-GENE-050208-573</v>
      </c>
      <c r="E10179" t="s">
        <v>30499</v>
      </c>
    </row>
    <row r="10180" spans="1:5" x14ac:dyDescent="0.2">
      <c r="A10180" t="s">
        <v>30500</v>
      </c>
      <c r="B10180" t="s">
        <v>30501</v>
      </c>
      <c r="C10180" t="s">
        <v>30501</v>
      </c>
      <c r="D10180" t="str">
        <f>HYPERLINK("https://zfin.org/ZDB-GENE-030131-7099")</f>
        <v>https://zfin.org/ZDB-GENE-030131-7099</v>
      </c>
      <c r="E10180" t="s">
        <v>30502</v>
      </c>
    </row>
    <row r="10181" spans="1:5" x14ac:dyDescent="0.2">
      <c r="A10181" t="s">
        <v>30503</v>
      </c>
      <c r="B10181" t="s">
        <v>30504</v>
      </c>
      <c r="C10181" t="s">
        <v>30504</v>
      </c>
      <c r="D10181" t="str">
        <f>HYPERLINK("https://zfin.org/ZDB-GENE-050309-7")</f>
        <v>https://zfin.org/ZDB-GENE-050309-7</v>
      </c>
      <c r="E10181" t="s">
        <v>30505</v>
      </c>
    </row>
    <row r="10182" spans="1:5" x14ac:dyDescent="0.2">
      <c r="A10182" t="s">
        <v>30506</v>
      </c>
      <c r="B10182" t="s">
        <v>30507</v>
      </c>
      <c r="C10182" t="s">
        <v>30507</v>
      </c>
      <c r="D10182" t="str">
        <f>HYPERLINK("https://zfin.org/ZDB-GENE-030131-5355")</f>
        <v>https://zfin.org/ZDB-GENE-030131-5355</v>
      </c>
      <c r="E10182" t="s">
        <v>30508</v>
      </c>
    </row>
    <row r="10183" spans="1:5" x14ac:dyDescent="0.2">
      <c r="A10183" t="s">
        <v>30509</v>
      </c>
      <c r="B10183" t="s">
        <v>30510</v>
      </c>
      <c r="C10183" t="s">
        <v>30510</v>
      </c>
      <c r="D10183" t="str">
        <f>HYPERLINK("https://zfin.org/ZDB-GENE-131122-80")</f>
        <v>https://zfin.org/ZDB-GENE-131122-80</v>
      </c>
      <c r="E10183" t="s">
        <v>30511</v>
      </c>
    </row>
    <row r="10184" spans="1:5" x14ac:dyDescent="0.2">
      <c r="A10184" t="s">
        <v>30512</v>
      </c>
      <c r="B10184" t="s">
        <v>30513</v>
      </c>
      <c r="C10184" t="s">
        <v>30513</v>
      </c>
      <c r="D10184" t="str">
        <f>HYPERLINK("https://zfin.org/ZDB-GENE-040426-1260")</f>
        <v>https://zfin.org/ZDB-GENE-040426-1260</v>
      </c>
      <c r="E10184" t="s">
        <v>30514</v>
      </c>
    </row>
    <row r="10185" spans="1:5" x14ac:dyDescent="0.2">
      <c r="A10185" t="s">
        <v>30515</v>
      </c>
      <c r="B10185" t="s">
        <v>30516</v>
      </c>
      <c r="C10185" t="s">
        <v>30516</v>
      </c>
      <c r="D10185" t="str">
        <f>HYPERLINK("https://zfin.org/ZDB-GENE-030131-8719")</f>
        <v>https://zfin.org/ZDB-GENE-030131-8719</v>
      </c>
      <c r="E10185" t="s">
        <v>30517</v>
      </c>
    </row>
    <row r="10186" spans="1:5" x14ac:dyDescent="0.2">
      <c r="A10186" t="s">
        <v>30518</v>
      </c>
      <c r="B10186" t="s">
        <v>30519</v>
      </c>
      <c r="C10186" t="s">
        <v>30519</v>
      </c>
      <c r="D10186" t="str">
        <f>HYPERLINK("https://zfin.org/ZDB-GENE-041001-151")</f>
        <v>https://zfin.org/ZDB-GENE-041001-151</v>
      </c>
      <c r="E10186" t="s">
        <v>30520</v>
      </c>
    </row>
    <row r="10187" spans="1:5" x14ac:dyDescent="0.2">
      <c r="A10187" t="s">
        <v>30521</v>
      </c>
      <c r="B10187" t="s">
        <v>30522</v>
      </c>
      <c r="C10187" t="s">
        <v>30522</v>
      </c>
      <c r="D10187" t="str">
        <f>HYPERLINK("https://zfin.org/ZDB-GENE-030131-8215")</f>
        <v>https://zfin.org/ZDB-GENE-030131-8215</v>
      </c>
      <c r="E10187" t="s">
        <v>30523</v>
      </c>
    </row>
    <row r="10188" spans="1:5" x14ac:dyDescent="0.2">
      <c r="A10188" t="s">
        <v>30524</v>
      </c>
      <c r="B10188" t="s">
        <v>30525</v>
      </c>
      <c r="C10188" t="s">
        <v>30525</v>
      </c>
      <c r="D10188" t="str">
        <f>HYPERLINK("https://zfin.org/ZDB-GENE-070202-3")</f>
        <v>https://zfin.org/ZDB-GENE-070202-3</v>
      </c>
      <c r="E10188" t="s">
        <v>30526</v>
      </c>
    </row>
    <row r="10189" spans="1:5" x14ac:dyDescent="0.2">
      <c r="A10189" t="s">
        <v>30527</v>
      </c>
      <c r="B10189" t="s">
        <v>30528</v>
      </c>
      <c r="C10189" t="s">
        <v>30528</v>
      </c>
      <c r="D10189" t="str">
        <f>HYPERLINK("https://zfin.org/ZDB-GENE-050320-79")</f>
        <v>https://zfin.org/ZDB-GENE-050320-79</v>
      </c>
      <c r="E10189" t="s">
        <v>30529</v>
      </c>
    </row>
    <row r="10190" spans="1:5" x14ac:dyDescent="0.2">
      <c r="A10190" t="s">
        <v>30530</v>
      </c>
      <c r="B10190" t="s">
        <v>30531</v>
      </c>
      <c r="C10190" t="s">
        <v>30531</v>
      </c>
      <c r="D10190" t="str">
        <f>HYPERLINK("https://zfin.org/ZDB-GENE-041210-166")</f>
        <v>https://zfin.org/ZDB-GENE-041210-166</v>
      </c>
      <c r="E10190" t="s">
        <v>30532</v>
      </c>
    </row>
    <row r="10191" spans="1:5" x14ac:dyDescent="0.2">
      <c r="A10191" t="s">
        <v>30533</v>
      </c>
      <c r="B10191" t="s">
        <v>30534</v>
      </c>
      <c r="C10191" t="s">
        <v>30534</v>
      </c>
      <c r="D10191" t="str">
        <f>HYPERLINK("https://zfin.org/ZDB-GENE-141222-80")</f>
        <v>https://zfin.org/ZDB-GENE-141222-80</v>
      </c>
      <c r="E10191" t="s">
        <v>30535</v>
      </c>
    </row>
    <row r="10192" spans="1:5" x14ac:dyDescent="0.2">
      <c r="A10192" t="s">
        <v>30536</v>
      </c>
      <c r="B10192" t="s">
        <v>30537</v>
      </c>
      <c r="C10192" t="s">
        <v>30537</v>
      </c>
      <c r="D10192" t="str">
        <f>HYPERLINK("https://zfin.org/ZDB-GENE-060825-119")</f>
        <v>https://zfin.org/ZDB-GENE-060825-119</v>
      </c>
      <c r="E10192" t="s">
        <v>30538</v>
      </c>
    </row>
    <row r="10193" spans="1:5" x14ac:dyDescent="0.2">
      <c r="A10193" t="s">
        <v>30539</v>
      </c>
      <c r="B10193" t="s">
        <v>30540</v>
      </c>
      <c r="C10193" t="s">
        <v>30540</v>
      </c>
      <c r="D10193" t="str">
        <f>HYPERLINK("https://zfin.org/ZDB-GENE-030131-9827")</f>
        <v>https://zfin.org/ZDB-GENE-030131-9827</v>
      </c>
      <c r="E10193" t="s">
        <v>30541</v>
      </c>
    </row>
    <row r="10194" spans="1:5" x14ac:dyDescent="0.2">
      <c r="A10194" t="s">
        <v>30542</v>
      </c>
      <c r="B10194" t="s">
        <v>30543</v>
      </c>
      <c r="C10194" t="s">
        <v>30543</v>
      </c>
      <c r="D10194" t="str">
        <f>HYPERLINK("https://zfin.org/ZDB-GENE-050508-2")</f>
        <v>https://zfin.org/ZDB-GENE-050508-2</v>
      </c>
      <c r="E10194" t="s">
        <v>30544</v>
      </c>
    </row>
    <row r="10195" spans="1:5" x14ac:dyDescent="0.2">
      <c r="A10195" t="s">
        <v>30545</v>
      </c>
      <c r="B10195" t="s">
        <v>30546</v>
      </c>
      <c r="C10195" t="s">
        <v>30546</v>
      </c>
      <c r="D10195" t="str">
        <f>HYPERLINK("https://zfin.org/ZDB-GENE-100422-14")</f>
        <v>https://zfin.org/ZDB-GENE-100422-14</v>
      </c>
      <c r="E10195" t="s">
        <v>30547</v>
      </c>
    </row>
    <row r="10196" spans="1:5" x14ac:dyDescent="0.2">
      <c r="A10196" t="s">
        <v>30548</v>
      </c>
      <c r="B10196" t="s">
        <v>30549</v>
      </c>
      <c r="C10196" t="s">
        <v>30549</v>
      </c>
      <c r="D10196" t="str">
        <f>HYPERLINK("https://zfin.org/ZDB-GENE-121214-280")</f>
        <v>https://zfin.org/ZDB-GENE-121214-280</v>
      </c>
      <c r="E10196" t="s">
        <v>30550</v>
      </c>
    </row>
    <row r="10197" spans="1:5" x14ac:dyDescent="0.2">
      <c r="A10197" t="s">
        <v>30551</v>
      </c>
      <c r="B10197" t="s">
        <v>30552</v>
      </c>
      <c r="C10197" t="s">
        <v>30552</v>
      </c>
      <c r="D10197" t="str">
        <f>HYPERLINK("https://zfin.org/ZDB-GENE-041001-164")</f>
        <v>https://zfin.org/ZDB-GENE-041001-164</v>
      </c>
      <c r="E10197" t="s">
        <v>30553</v>
      </c>
    </row>
    <row r="10198" spans="1:5" x14ac:dyDescent="0.2">
      <c r="A10198" t="s">
        <v>30554</v>
      </c>
      <c r="B10198" t="s">
        <v>30555</v>
      </c>
      <c r="C10198" t="s">
        <v>30555</v>
      </c>
      <c r="D10198" t="str">
        <f>HYPERLINK("https://zfin.org/ZDB-GENE-040426-1966")</f>
        <v>https://zfin.org/ZDB-GENE-040426-1966</v>
      </c>
      <c r="E10198" t="s">
        <v>30556</v>
      </c>
    </row>
    <row r="10199" spans="1:5" x14ac:dyDescent="0.2">
      <c r="A10199" t="s">
        <v>30557</v>
      </c>
      <c r="B10199" t="s">
        <v>30558</v>
      </c>
      <c r="C10199" t="s">
        <v>30558</v>
      </c>
      <c r="D10199" t="str">
        <f>HYPERLINK("https://zfin.org/ZDB-GENE-041212-61")</f>
        <v>https://zfin.org/ZDB-GENE-041212-61</v>
      </c>
      <c r="E10199" t="s">
        <v>30559</v>
      </c>
    </row>
    <row r="10200" spans="1:5" x14ac:dyDescent="0.2">
      <c r="A10200" t="s">
        <v>30560</v>
      </c>
      <c r="B10200" t="s">
        <v>30561</v>
      </c>
      <c r="C10200" t="s">
        <v>30562</v>
      </c>
      <c r="D10200" t="str">
        <f>HYPERLINK("https://zfin.org/ZDB-GENE-030131-7512")</f>
        <v>https://zfin.org/ZDB-GENE-030131-7512</v>
      </c>
      <c r="E10200" t="s">
        <v>30563</v>
      </c>
    </row>
    <row r="10201" spans="1:5" x14ac:dyDescent="0.2">
      <c r="A10201" t="s">
        <v>30564</v>
      </c>
      <c r="B10201" t="s">
        <v>30565</v>
      </c>
      <c r="C10201" t="s">
        <v>30565</v>
      </c>
      <c r="D10201" t="str">
        <f>HYPERLINK("https://zfin.org/ZDB-GENE-050417-232")</f>
        <v>https://zfin.org/ZDB-GENE-050417-232</v>
      </c>
      <c r="E10201" t="s">
        <v>30566</v>
      </c>
    </row>
    <row r="10202" spans="1:5" x14ac:dyDescent="0.2">
      <c r="A10202" t="s">
        <v>30567</v>
      </c>
      <c r="B10202" t="s">
        <v>30568</v>
      </c>
      <c r="C10202" t="s">
        <v>30568</v>
      </c>
      <c r="D10202" t="str">
        <f>HYPERLINK("https://zfin.org/ZDB-GENE-030131-3570")</f>
        <v>https://zfin.org/ZDB-GENE-030131-3570</v>
      </c>
      <c r="E10202" t="s">
        <v>30569</v>
      </c>
    </row>
    <row r="10203" spans="1:5" x14ac:dyDescent="0.2">
      <c r="A10203" t="s">
        <v>30570</v>
      </c>
      <c r="B10203" t="s">
        <v>30571</v>
      </c>
      <c r="C10203" t="s">
        <v>30571</v>
      </c>
      <c r="D10203" t="str">
        <f>HYPERLINK("https://zfin.org/ZDB-GENE-040426-1839")</f>
        <v>https://zfin.org/ZDB-GENE-040426-1839</v>
      </c>
      <c r="E10203" t="s">
        <v>30572</v>
      </c>
    </row>
    <row r="10204" spans="1:5" x14ac:dyDescent="0.2">
      <c r="A10204" t="s">
        <v>30573</v>
      </c>
      <c r="B10204" t="s">
        <v>30574</v>
      </c>
      <c r="C10204" t="s">
        <v>30574</v>
      </c>
      <c r="D10204" t="str">
        <f>HYPERLINK("https://zfin.org/ZDB-GENE-050913-40")</f>
        <v>https://zfin.org/ZDB-GENE-050913-40</v>
      </c>
      <c r="E10204" t="s">
        <v>30575</v>
      </c>
    </row>
    <row r="10205" spans="1:5" x14ac:dyDescent="0.2">
      <c r="A10205" t="s">
        <v>30576</v>
      </c>
      <c r="B10205" t="s">
        <v>30577</v>
      </c>
      <c r="C10205" t="s">
        <v>30577</v>
      </c>
      <c r="D10205" t="str">
        <f>HYPERLINK("https://zfin.org/ZDB-GENE-050913-62")</f>
        <v>https://zfin.org/ZDB-GENE-050913-62</v>
      </c>
      <c r="E10205" t="s">
        <v>30578</v>
      </c>
    </row>
    <row r="10206" spans="1:5" x14ac:dyDescent="0.2">
      <c r="A10206" t="s">
        <v>30579</v>
      </c>
      <c r="B10206" t="s">
        <v>30580</v>
      </c>
      <c r="C10206" t="s">
        <v>30580</v>
      </c>
      <c r="D10206" t="str">
        <f>HYPERLINK("https://zfin.org/ZDB-GENE-040912-55")</f>
        <v>https://zfin.org/ZDB-GENE-040912-55</v>
      </c>
      <c r="E10206" t="s">
        <v>30581</v>
      </c>
    </row>
    <row r="10207" spans="1:5" x14ac:dyDescent="0.2">
      <c r="A10207" t="s">
        <v>30582</v>
      </c>
      <c r="B10207" t="s">
        <v>30583</v>
      </c>
      <c r="C10207" t="s">
        <v>30583</v>
      </c>
      <c r="D10207" t="str">
        <f>HYPERLINK("https://zfin.org/ZDB-GENE-131121-440")</f>
        <v>https://zfin.org/ZDB-GENE-131121-440</v>
      </c>
      <c r="E10207" t="s">
        <v>30584</v>
      </c>
    </row>
    <row r="10208" spans="1:5" x14ac:dyDescent="0.2">
      <c r="A10208" t="s">
        <v>30585</v>
      </c>
      <c r="B10208" t="s">
        <v>30586</v>
      </c>
      <c r="C10208" t="s">
        <v>30586</v>
      </c>
      <c r="D10208" t="str">
        <f>HYPERLINK("https://zfin.org/ZDB-GENE-041001-139")</f>
        <v>https://zfin.org/ZDB-GENE-041001-139</v>
      </c>
      <c r="E10208" t="s">
        <v>30587</v>
      </c>
    </row>
    <row r="10209" spans="1:5" x14ac:dyDescent="0.2">
      <c r="A10209" t="s">
        <v>30588</v>
      </c>
      <c r="B10209" t="s">
        <v>30589</v>
      </c>
      <c r="C10209" t="s">
        <v>30589</v>
      </c>
      <c r="D10209" t="str">
        <f>HYPERLINK("https://zfin.org/ZDB-GENE-040426-1467")</f>
        <v>https://zfin.org/ZDB-GENE-040426-1467</v>
      </c>
      <c r="E10209" t="s">
        <v>30590</v>
      </c>
    </row>
    <row r="10210" spans="1:5" x14ac:dyDescent="0.2">
      <c r="A10210" t="s">
        <v>30591</v>
      </c>
      <c r="B10210" t="s">
        <v>30592</v>
      </c>
      <c r="C10210" t="s">
        <v>30592</v>
      </c>
      <c r="D10210" t="str">
        <f>HYPERLINK("https://zfin.org/ZDB-GENE-040426-1060")</f>
        <v>https://zfin.org/ZDB-GENE-040426-1060</v>
      </c>
      <c r="E10210" t="s">
        <v>30593</v>
      </c>
    </row>
    <row r="10211" spans="1:5" x14ac:dyDescent="0.2">
      <c r="A10211" t="s">
        <v>30594</v>
      </c>
      <c r="B10211" t="s">
        <v>30595</v>
      </c>
      <c r="C10211" t="s">
        <v>30595</v>
      </c>
      <c r="D10211" t="str">
        <f>HYPERLINK("https://zfin.org/ZDB-GENE-070424-144")</f>
        <v>https://zfin.org/ZDB-GENE-070424-144</v>
      </c>
      <c r="E10211" t="s">
        <v>30596</v>
      </c>
    </row>
    <row r="10212" spans="1:5" x14ac:dyDescent="0.2">
      <c r="A10212" t="s">
        <v>30597</v>
      </c>
      <c r="B10212" t="s">
        <v>30598</v>
      </c>
      <c r="C10212" t="s">
        <v>30598</v>
      </c>
      <c r="D10212" t="str">
        <f>HYPERLINK("https://zfin.org/ZDB-GENE-031116-55")</f>
        <v>https://zfin.org/ZDB-GENE-031116-55</v>
      </c>
      <c r="E10212" t="s">
        <v>30599</v>
      </c>
    </row>
    <row r="10213" spans="1:5" x14ac:dyDescent="0.2">
      <c r="A10213" t="s">
        <v>30600</v>
      </c>
      <c r="B10213" t="s">
        <v>30601</v>
      </c>
      <c r="C10213" t="s">
        <v>30601</v>
      </c>
      <c r="D10213" t="str">
        <f>HYPERLINK("https://zfin.org/ZDB-GENE-030131-1715")</f>
        <v>https://zfin.org/ZDB-GENE-030131-1715</v>
      </c>
      <c r="E10213" t="s">
        <v>30602</v>
      </c>
    </row>
    <row r="10214" spans="1:5" x14ac:dyDescent="0.2">
      <c r="A10214" t="s">
        <v>30603</v>
      </c>
      <c r="B10214" t="s">
        <v>30604</v>
      </c>
      <c r="C10214" t="s">
        <v>30604</v>
      </c>
      <c r="D10214" t="str">
        <f>HYPERLINK("https://zfin.org/ZDB-GENE-070705-367")</f>
        <v>https://zfin.org/ZDB-GENE-070705-367</v>
      </c>
      <c r="E10214" t="s">
        <v>30605</v>
      </c>
    </row>
    <row r="10215" spans="1:5" x14ac:dyDescent="0.2">
      <c r="A10215" t="s">
        <v>30606</v>
      </c>
      <c r="B10215" t="s">
        <v>30607</v>
      </c>
      <c r="C10215" t="s">
        <v>30607</v>
      </c>
      <c r="D10215" t="str">
        <f>HYPERLINK("https://zfin.org/ZDB-GENE-050417-356")</f>
        <v>https://zfin.org/ZDB-GENE-050417-356</v>
      </c>
      <c r="E10215" t="s">
        <v>30608</v>
      </c>
    </row>
    <row r="10216" spans="1:5" x14ac:dyDescent="0.2">
      <c r="A10216" t="s">
        <v>30609</v>
      </c>
      <c r="B10216" t="s">
        <v>30610</v>
      </c>
      <c r="C10216" t="s">
        <v>30610</v>
      </c>
      <c r="D10216" t="str">
        <f>HYPERLINK("https://zfin.org/ZDB-GENE-041014-246")</f>
        <v>https://zfin.org/ZDB-GENE-041014-246</v>
      </c>
      <c r="E10216" t="s">
        <v>30611</v>
      </c>
    </row>
    <row r="10217" spans="1:5" x14ac:dyDescent="0.2">
      <c r="A10217" t="s">
        <v>30612</v>
      </c>
      <c r="B10217" t="s">
        <v>30613</v>
      </c>
      <c r="C10217" t="s">
        <v>30613</v>
      </c>
      <c r="D10217" t="str">
        <f>HYPERLINK("https://zfin.org/ZDB-GENE-131127-597")</f>
        <v>https://zfin.org/ZDB-GENE-131127-597</v>
      </c>
      <c r="E10217" t="s">
        <v>30614</v>
      </c>
    </row>
    <row r="10218" spans="1:5" x14ac:dyDescent="0.2">
      <c r="A10218" t="s">
        <v>30615</v>
      </c>
      <c r="B10218" t="s">
        <v>30616</v>
      </c>
      <c r="C10218" t="s">
        <v>30616</v>
      </c>
      <c r="D10218" t="str">
        <f>HYPERLINK("https://zfin.org/ZDB-GENE-110411-233")</f>
        <v>https://zfin.org/ZDB-GENE-110411-233</v>
      </c>
      <c r="E10218" t="s">
        <v>30617</v>
      </c>
    </row>
    <row r="10219" spans="1:5" x14ac:dyDescent="0.2">
      <c r="A10219" t="s">
        <v>30618</v>
      </c>
      <c r="B10219" t="s">
        <v>30619</v>
      </c>
      <c r="C10219" t="s">
        <v>30619</v>
      </c>
      <c r="D10219" t="str">
        <f>HYPERLINK("https://zfin.org/ZDB-GENE-980526-533")</f>
        <v>https://zfin.org/ZDB-GENE-980526-533</v>
      </c>
      <c r="E10219" t="s">
        <v>30620</v>
      </c>
    </row>
    <row r="10220" spans="1:5" x14ac:dyDescent="0.2">
      <c r="A10220" t="s">
        <v>30621</v>
      </c>
      <c r="B10220" t="s">
        <v>30622</v>
      </c>
      <c r="C10220" t="s">
        <v>30622</v>
      </c>
      <c r="D10220" t="str">
        <f>HYPERLINK("https://zfin.org/ZDB-GENE-121214-339")</f>
        <v>https://zfin.org/ZDB-GENE-121214-339</v>
      </c>
      <c r="E10220" t="s">
        <v>30623</v>
      </c>
    </row>
    <row r="10221" spans="1:5" x14ac:dyDescent="0.2">
      <c r="A10221" t="s">
        <v>30624</v>
      </c>
      <c r="B10221" t="s">
        <v>30625</v>
      </c>
      <c r="C10221" t="s">
        <v>30625</v>
      </c>
      <c r="D10221" t="str">
        <f>HYPERLINK("https://zfin.org/ZDB-GENE-091204-147")</f>
        <v>https://zfin.org/ZDB-GENE-091204-147</v>
      </c>
      <c r="E10221" t="s">
        <v>30626</v>
      </c>
    </row>
    <row r="10222" spans="1:5" x14ac:dyDescent="0.2">
      <c r="A10222" t="s">
        <v>30627</v>
      </c>
      <c r="B10222" t="s">
        <v>30628</v>
      </c>
      <c r="C10222" t="s">
        <v>30628</v>
      </c>
      <c r="D10222" t="str">
        <f>HYPERLINK("https://zfin.org/ZDB-GENE-041010-185")</f>
        <v>https://zfin.org/ZDB-GENE-041010-185</v>
      </c>
      <c r="E10222" t="s">
        <v>30629</v>
      </c>
    </row>
    <row r="10223" spans="1:5" x14ac:dyDescent="0.2">
      <c r="A10223" t="s">
        <v>30630</v>
      </c>
      <c r="B10223" t="s">
        <v>30631</v>
      </c>
      <c r="C10223" t="s">
        <v>30631</v>
      </c>
      <c r="D10223" t="str">
        <f>HYPERLINK("https://zfin.org/ZDB-GENE-000328-5")</f>
        <v>https://zfin.org/ZDB-GENE-000328-5</v>
      </c>
      <c r="E10223" t="s">
        <v>30632</v>
      </c>
    </row>
    <row r="10224" spans="1:5" x14ac:dyDescent="0.2">
      <c r="A10224" t="s">
        <v>30633</v>
      </c>
      <c r="B10224" t="s">
        <v>30634</v>
      </c>
      <c r="C10224" t="s">
        <v>30634</v>
      </c>
      <c r="D10224" t="str">
        <f>HYPERLINK("https://zfin.org/ZDB-GENE-030131-184")</f>
        <v>https://zfin.org/ZDB-GENE-030131-184</v>
      </c>
      <c r="E10224" t="s">
        <v>30635</v>
      </c>
    </row>
    <row r="10225" spans="1:5" x14ac:dyDescent="0.2">
      <c r="A10225" t="s">
        <v>30636</v>
      </c>
      <c r="B10225" t="s">
        <v>30637</v>
      </c>
      <c r="C10225" t="s">
        <v>30637</v>
      </c>
      <c r="D10225" t="str">
        <f>HYPERLINK("https://zfin.org/ZDB-GENE-041008-110")</f>
        <v>https://zfin.org/ZDB-GENE-041008-110</v>
      </c>
      <c r="E10225" t="s">
        <v>30638</v>
      </c>
    </row>
    <row r="10226" spans="1:5" x14ac:dyDescent="0.2">
      <c r="A10226" t="s">
        <v>30639</v>
      </c>
      <c r="B10226" t="s">
        <v>30640</v>
      </c>
      <c r="C10226" t="s">
        <v>30641</v>
      </c>
      <c r="D10226" t="str">
        <f>HYPERLINK("https://zfin.org/ZDB-GENE-990415-110")</f>
        <v>https://zfin.org/ZDB-GENE-990415-110</v>
      </c>
      <c r="E10226" t="s">
        <v>30642</v>
      </c>
    </row>
    <row r="10227" spans="1:5" x14ac:dyDescent="0.2">
      <c r="A10227" t="s">
        <v>30643</v>
      </c>
      <c r="B10227" t="s">
        <v>30644</v>
      </c>
      <c r="C10227" t="s">
        <v>30644</v>
      </c>
      <c r="D10227" t="str">
        <f>HYPERLINK("https://zfin.org/ZDB-GENE-041014-353")</f>
        <v>https://zfin.org/ZDB-GENE-041014-353</v>
      </c>
      <c r="E10227" t="s">
        <v>30645</v>
      </c>
    </row>
    <row r="10228" spans="1:5" x14ac:dyDescent="0.2">
      <c r="A10228" t="s">
        <v>30646</v>
      </c>
      <c r="B10228" t="s">
        <v>30647</v>
      </c>
      <c r="C10228" t="s">
        <v>30647</v>
      </c>
      <c r="D10228" t="str">
        <f>HYPERLINK("https://zfin.org/ZDB-GENE-110201-1")</f>
        <v>https://zfin.org/ZDB-GENE-110201-1</v>
      </c>
      <c r="E10228" t="s">
        <v>30648</v>
      </c>
    </row>
    <row r="10229" spans="1:5" x14ac:dyDescent="0.2">
      <c r="A10229" t="s">
        <v>30649</v>
      </c>
      <c r="B10229" t="s">
        <v>30650</v>
      </c>
      <c r="C10229" t="s">
        <v>30650</v>
      </c>
      <c r="D10229" t="str">
        <f>HYPERLINK("https://zfin.org/ZDB-GENE-050913-117")</f>
        <v>https://zfin.org/ZDB-GENE-050913-117</v>
      </c>
      <c r="E10229" t="s">
        <v>30651</v>
      </c>
    </row>
    <row r="10230" spans="1:5" x14ac:dyDescent="0.2">
      <c r="A10230" t="s">
        <v>30652</v>
      </c>
      <c r="B10230" t="s">
        <v>30653</v>
      </c>
      <c r="C10230" t="s">
        <v>30653</v>
      </c>
      <c r="D10230" t="str">
        <f>HYPERLINK("https://zfin.org/ZDB-GENE-070410-48")</f>
        <v>https://zfin.org/ZDB-GENE-070410-48</v>
      </c>
      <c r="E10230" t="s">
        <v>30654</v>
      </c>
    </row>
    <row r="10231" spans="1:5" x14ac:dyDescent="0.2">
      <c r="A10231" t="s">
        <v>30655</v>
      </c>
      <c r="B10231" t="s">
        <v>30656</v>
      </c>
      <c r="C10231" t="s">
        <v>30656</v>
      </c>
      <c r="D10231" t="str">
        <f>HYPERLINK("https://zfin.org/ZDB-GENE-040426-1686")</f>
        <v>https://zfin.org/ZDB-GENE-040426-1686</v>
      </c>
      <c r="E10231" t="s">
        <v>30657</v>
      </c>
    </row>
    <row r="10232" spans="1:5" x14ac:dyDescent="0.2">
      <c r="A10232" t="s">
        <v>30658</v>
      </c>
      <c r="B10232" t="s">
        <v>30659</v>
      </c>
      <c r="C10232" t="s">
        <v>30659</v>
      </c>
      <c r="D10232" t="str">
        <f>HYPERLINK("https://zfin.org/ZDB-GENE-030131-7451")</f>
        <v>https://zfin.org/ZDB-GENE-030131-7451</v>
      </c>
      <c r="E10232" t="s">
        <v>30660</v>
      </c>
    </row>
    <row r="10233" spans="1:5" x14ac:dyDescent="0.2">
      <c r="A10233" t="s">
        <v>30661</v>
      </c>
      <c r="B10233" t="s">
        <v>30662</v>
      </c>
      <c r="C10233" t="s">
        <v>30662</v>
      </c>
      <c r="D10233" t="str">
        <f>HYPERLINK("https://zfin.org/ZDB-GENE-060503-355")</f>
        <v>https://zfin.org/ZDB-GENE-060503-355</v>
      </c>
      <c r="E10233" t="s">
        <v>30663</v>
      </c>
    </row>
    <row r="10234" spans="1:5" x14ac:dyDescent="0.2">
      <c r="A10234" t="s">
        <v>30664</v>
      </c>
      <c r="B10234" t="s">
        <v>30665</v>
      </c>
      <c r="C10234" t="s">
        <v>30665</v>
      </c>
      <c r="D10234" t="str">
        <f>HYPERLINK("https://zfin.org/ZDB-GENE-061207-78")</f>
        <v>https://zfin.org/ZDB-GENE-061207-78</v>
      </c>
      <c r="E10234" t="s">
        <v>30666</v>
      </c>
    </row>
    <row r="10235" spans="1:5" x14ac:dyDescent="0.2">
      <c r="A10235" t="s">
        <v>30667</v>
      </c>
      <c r="B10235" t="s">
        <v>30668</v>
      </c>
      <c r="C10235" t="s">
        <v>30668</v>
      </c>
      <c r="D10235" t="str">
        <f>HYPERLINK("https://zfin.org/ZDB-GENE-090312-88")</f>
        <v>https://zfin.org/ZDB-GENE-090312-88</v>
      </c>
      <c r="E10235" t="s">
        <v>30669</v>
      </c>
    </row>
    <row r="10236" spans="1:5" x14ac:dyDescent="0.2">
      <c r="A10236" t="s">
        <v>30670</v>
      </c>
      <c r="B10236" t="s">
        <v>30671</v>
      </c>
      <c r="C10236" t="s">
        <v>30671</v>
      </c>
      <c r="D10236" t="str">
        <f>HYPERLINK("https://zfin.org/ZDB-GENE-041114-152")</f>
        <v>https://zfin.org/ZDB-GENE-041114-152</v>
      </c>
      <c r="E10236" t="s">
        <v>30672</v>
      </c>
    </row>
    <row r="10237" spans="1:5" x14ac:dyDescent="0.2">
      <c r="A10237" t="s">
        <v>30673</v>
      </c>
      <c r="B10237" t="s">
        <v>30674</v>
      </c>
      <c r="C10237" t="s">
        <v>30674</v>
      </c>
      <c r="D10237" t="str">
        <f>HYPERLINK("https://zfin.org/ZDB-GENE-040724-119")</f>
        <v>https://zfin.org/ZDB-GENE-040724-119</v>
      </c>
      <c r="E10237" t="s">
        <v>30675</v>
      </c>
    </row>
    <row r="10238" spans="1:5" x14ac:dyDescent="0.2">
      <c r="A10238" t="s">
        <v>30676</v>
      </c>
      <c r="B10238" t="s">
        <v>30677</v>
      </c>
      <c r="C10238" t="s">
        <v>30677</v>
      </c>
      <c r="D10238" t="str">
        <f>HYPERLINK("https://zfin.org/ZDB-GENE-080225-14")</f>
        <v>https://zfin.org/ZDB-GENE-080225-14</v>
      </c>
      <c r="E10238" t="s">
        <v>30678</v>
      </c>
    </row>
    <row r="10239" spans="1:5" x14ac:dyDescent="0.2">
      <c r="A10239" t="s">
        <v>30679</v>
      </c>
      <c r="B10239" t="s">
        <v>30680</v>
      </c>
      <c r="C10239" t="s">
        <v>30680</v>
      </c>
      <c r="D10239" t="str">
        <f>HYPERLINK("https://zfin.org/ZDB-GENE-050417-347")</f>
        <v>https://zfin.org/ZDB-GENE-050417-347</v>
      </c>
      <c r="E10239" t="s">
        <v>30681</v>
      </c>
    </row>
    <row r="10240" spans="1:5" x14ac:dyDescent="0.2">
      <c r="A10240" t="s">
        <v>30682</v>
      </c>
      <c r="B10240" t="s">
        <v>30683</v>
      </c>
      <c r="C10240" t="s">
        <v>30683</v>
      </c>
      <c r="D10240" t="str">
        <f>HYPERLINK("https://zfin.org/ZDB-GENE-030925-25")</f>
        <v>https://zfin.org/ZDB-GENE-030925-25</v>
      </c>
      <c r="E10240" t="s">
        <v>30684</v>
      </c>
    </row>
    <row r="10241" spans="1:5" x14ac:dyDescent="0.2">
      <c r="A10241" t="s">
        <v>30685</v>
      </c>
      <c r="B10241" t="s">
        <v>30686</v>
      </c>
      <c r="C10241" t="s">
        <v>30686</v>
      </c>
      <c r="D10241" t="str">
        <f>HYPERLINK("https://zfin.org/ZDB-GENE-030131-3222")</f>
        <v>https://zfin.org/ZDB-GENE-030131-3222</v>
      </c>
      <c r="E10241" t="s">
        <v>30687</v>
      </c>
    </row>
    <row r="10242" spans="1:5" x14ac:dyDescent="0.2">
      <c r="A10242" t="s">
        <v>30688</v>
      </c>
      <c r="B10242" t="s">
        <v>30689</v>
      </c>
      <c r="C10242" t="s">
        <v>30689</v>
      </c>
      <c r="D10242" t="str">
        <f>HYPERLINK("https://zfin.org/ZDB-GENE-041014-359")</f>
        <v>https://zfin.org/ZDB-GENE-041014-359</v>
      </c>
      <c r="E10242" t="s">
        <v>30690</v>
      </c>
    </row>
    <row r="10243" spans="1:5" x14ac:dyDescent="0.2">
      <c r="A10243" t="s">
        <v>30691</v>
      </c>
      <c r="B10243" t="s">
        <v>30136</v>
      </c>
      <c r="C10243" t="s">
        <v>30692</v>
      </c>
      <c r="D10243" t="str">
        <f>HYPERLINK("https://zfin.org/ZDB-GENE-060503-628")</f>
        <v>https://zfin.org/ZDB-GENE-060503-628</v>
      </c>
      <c r="E10243" t="s">
        <v>30137</v>
      </c>
    </row>
    <row r="10244" spans="1:5" x14ac:dyDescent="0.2">
      <c r="A10244" t="s">
        <v>30693</v>
      </c>
      <c r="B10244" t="s">
        <v>30694</v>
      </c>
      <c r="C10244" t="s">
        <v>30694</v>
      </c>
      <c r="D10244" t="str">
        <f>HYPERLINK("https://zfin.org/ZDB-GENE-100922-279")</f>
        <v>https://zfin.org/ZDB-GENE-100922-279</v>
      </c>
      <c r="E10244" t="s">
        <v>30695</v>
      </c>
    </row>
    <row r="10245" spans="1:5" x14ac:dyDescent="0.2">
      <c r="A10245" t="s">
        <v>30696</v>
      </c>
      <c r="B10245" t="s">
        <v>30697</v>
      </c>
      <c r="C10245" t="s">
        <v>30697</v>
      </c>
      <c r="D10245" t="str">
        <f>HYPERLINK("https://zfin.org/ZDB-GENE-070912-156")</f>
        <v>https://zfin.org/ZDB-GENE-070912-156</v>
      </c>
      <c r="E10245" t="s">
        <v>30698</v>
      </c>
    </row>
    <row r="10246" spans="1:5" x14ac:dyDescent="0.2">
      <c r="A10246" t="s">
        <v>30699</v>
      </c>
      <c r="B10246" t="s">
        <v>30700</v>
      </c>
      <c r="C10246" t="s">
        <v>30700</v>
      </c>
      <c r="D10246" t="str">
        <f>HYPERLINK("https://zfin.org/ZDB-GENE-040426-1876")</f>
        <v>https://zfin.org/ZDB-GENE-040426-1876</v>
      </c>
      <c r="E10246" t="s">
        <v>30701</v>
      </c>
    </row>
    <row r="10247" spans="1:5" x14ac:dyDescent="0.2">
      <c r="A10247" t="s">
        <v>30702</v>
      </c>
      <c r="B10247" t="s">
        <v>30703</v>
      </c>
      <c r="C10247" t="s">
        <v>30703</v>
      </c>
      <c r="D10247" t="str">
        <f>HYPERLINK("https://zfin.org/ZDB-GENE-990415-114")</f>
        <v>https://zfin.org/ZDB-GENE-990415-114</v>
      </c>
      <c r="E10247" t="s">
        <v>30704</v>
      </c>
    </row>
    <row r="10248" spans="1:5" x14ac:dyDescent="0.2">
      <c r="A10248" t="s">
        <v>30705</v>
      </c>
      <c r="B10248" t="s">
        <v>30706</v>
      </c>
      <c r="C10248" t="s">
        <v>30706</v>
      </c>
      <c r="D10248" t="str">
        <f>HYPERLINK("https://zfin.org/ZDB-GENE-040426-1334")</f>
        <v>https://zfin.org/ZDB-GENE-040426-1334</v>
      </c>
      <c r="E10248" t="s">
        <v>30707</v>
      </c>
    </row>
    <row r="10249" spans="1:5" x14ac:dyDescent="0.2">
      <c r="A10249" t="s">
        <v>30708</v>
      </c>
      <c r="B10249" t="s">
        <v>30709</v>
      </c>
      <c r="C10249" t="s">
        <v>30709</v>
      </c>
      <c r="D10249" t="str">
        <f>HYPERLINK("https://zfin.org/ZDB-GENE-030131-7785")</f>
        <v>https://zfin.org/ZDB-GENE-030131-7785</v>
      </c>
      <c r="E10249" t="s">
        <v>30710</v>
      </c>
    </row>
    <row r="10250" spans="1:5" x14ac:dyDescent="0.2">
      <c r="A10250" t="s">
        <v>30711</v>
      </c>
      <c r="B10250" t="s">
        <v>30712</v>
      </c>
      <c r="C10250" t="s">
        <v>30712</v>
      </c>
      <c r="D10250" t="str">
        <f>HYPERLINK("https://zfin.org/ZDB-GENE-061013-249")</f>
        <v>https://zfin.org/ZDB-GENE-061013-249</v>
      </c>
      <c r="E10250" t="s">
        <v>30713</v>
      </c>
    </row>
    <row r="10251" spans="1:5" x14ac:dyDescent="0.2">
      <c r="A10251" t="s">
        <v>30714</v>
      </c>
      <c r="B10251" t="s">
        <v>30715</v>
      </c>
      <c r="C10251" t="s">
        <v>30715</v>
      </c>
      <c r="D10251" t="str">
        <f>HYPERLINK("https://zfin.org/ZDB-GENE-060825-150")</f>
        <v>https://zfin.org/ZDB-GENE-060825-150</v>
      </c>
      <c r="E10251" t="s">
        <v>30716</v>
      </c>
    </row>
    <row r="10252" spans="1:5" x14ac:dyDescent="0.2">
      <c r="A10252" t="s">
        <v>30717</v>
      </c>
      <c r="B10252" t="s">
        <v>30718</v>
      </c>
      <c r="C10252" t="s">
        <v>30718</v>
      </c>
      <c r="D10252" t="str">
        <f>HYPERLINK("https://zfin.org/ZDB-GENE-040704-8")</f>
        <v>https://zfin.org/ZDB-GENE-040704-8</v>
      </c>
      <c r="E10252" t="s">
        <v>30719</v>
      </c>
    </row>
    <row r="10253" spans="1:5" x14ac:dyDescent="0.2">
      <c r="A10253" t="s">
        <v>30720</v>
      </c>
      <c r="B10253" t="s">
        <v>30721</v>
      </c>
      <c r="C10253" t="s">
        <v>30721</v>
      </c>
      <c r="D10253" t="str">
        <f>HYPERLINK("https://zfin.org/ZDB-GENE-030131-3133")</f>
        <v>https://zfin.org/ZDB-GENE-030131-3133</v>
      </c>
      <c r="E10253" t="s">
        <v>30722</v>
      </c>
    </row>
    <row r="10254" spans="1:5" x14ac:dyDescent="0.2">
      <c r="A10254" t="s">
        <v>30723</v>
      </c>
      <c r="B10254" t="s">
        <v>30724</v>
      </c>
      <c r="C10254" t="s">
        <v>30724</v>
      </c>
      <c r="D10254" t="str">
        <f>HYPERLINK("https://zfin.org/ZDB-GENE-041210-254")</f>
        <v>https://zfin.org/ZDB-GENE-041210-254</v>
      </c>
      <c r="E10254" t="s">
        <v>30725</v>
      </c>
    </row>
    <row r="10255" spans="1:5" x14ac:dyDescent="0.2">
      <c r="A10255" t="s">
        <v>30726</v>
      </c>
      <c r="B10255" t="s">
        <v>30727</v>
      </c>
      <c r="C10255" t="s">
        <v>30727</v>
      </c>
      <c r="D10255" t="str">
        <f>HYPERLINK("https://zfin.org/ZDB-GENE-100215-1")</f>
        <v>https://zfin.org/ZDB-GENE-100215-1</v>
      </c>
      <c r="E10255" t="s">
        <v>30728</v>
      </c>
    </row>
    <row r="10256" spans="1:5" x14ac:dyDescent="0.2">
      <c r="A10256" t="s">
        <v>30729</v>
      </c>
      <c r="B10256" t="s">
        <v>30730</v>
      </c>
      <c r="C10256" t="s">
        <v>30730</v>
      </c>
      <c r="D10256" t="str">
        <f>HYPERLINK("https://zfin.org/ZDB-GENE-030131-2433")</f>
        <v>https://zfin.org/ZDB-GENE-030131-2433</v>
      </c>
      <c r="E10256" t="s">
        <v>30731</v>
      </c>
    </row>
    <row r="10257" spans="1:5" x14ac:dyDescent="0.2">
      <c r="A10257" t="s">
        <v>30732</v>
      </c>
      <c r="B10257" t="s">
        <v>30733</v>
      </c>
      <c r="C10257" t="s">
        <v>30733</v>
      </c>
      <c r="D10257" t="str">
        <f>HYPERLINK("https://zfin.org/ZDB-GENE-990415-113")</f>
        <v>https://zfin.org/ZDB-GENE-990415-113</v>
      </c>
      <c r="E10257" t="s">
        <v>30734</v>
      </c>
    </row>
    <row r="10258" spans="1:5" x14ac:dyDescent="0.2">
      <c r="A10258" t="s">
        <v>30735</v>
      </c>
      <c r="B10258" t="s">
        <v>30736</v>
      </c>
      <c r="C10258" t="s">
        <v>30736</v>
      </c>
      <c r="D10258" t="str">
        <f>HYPERLINK("https://zfin.org/ZDB-GENE-040426-2256")</f>
        <v>https://zfin.org/ZDB-GENE-040426-2256</v>
      </c>
      <c r="E10258" t="s">
        <v>30737</v>
      </c>
    </row>
    <row r="10259" spans="1:5" x14ac:dyDescent="0.2">
      <c r="A10259" t="s">
        <v>30738</v>
      </c>
      <c r="B10259" t="s">
        <v>30739</v>
      </c>
      <c r="C10259" t="s">
        <v>30739</v>
      </c>
      <c r="D10259" t="str">
        <f>HYPERLINK("https://zfin.org/ZDB-GENE-030131-3539")</f>
        <v>https://zfin.org/ZDB-GENE-030131-3539</v>
      </c>
      <c r="E10259" t="s">
        <v>30740</v>
      </c>
    </row>
    <row r="10260" spans="1:5" x14ac:dyDescent="0.2">
      <c r="A10260" t="s">
        <v>30741</v>
      </c>
      <c r="B10260" t="s">
        <v>30742</v>
      </c>
      <c r="C10260" t="s">
        <v>30742</v>
      </c>
      <c r="D10260" t="str">
        <f>HYPERLINK("https://zfin.org/ZDB-GENE-051127-23")</f>
        <v>https://zfin.org/ZDB-GENE-051127-23</v>
      </c>
      <c r="E10260" t="s">
        <v>30743</v>
      </c>
    </row>
    <row r="10261" spans="1:5" x14ac:dyDescent="0.2">
      <c r="A10261" t="s">
        <v>30744</v>
      </c>
      <c r="B10261" t="s">
        <v>30745</v>
      </c>
      <c r="C10261" t="s">
        <v>30745</v>
      </c>
      <c r="D10261" t="str">
        <f>HYPERLINK("https://zfin.org/ZDB-GENE-040915-1")</f>
        <v>https://zfin.org/ZDB-GENE-040915-1</v>
      </c>
      <c r="E10261" t="s">
        <v>30746</v>
      </c>
    </row>
    <row r="10262" spans="1:5" x14ac:dyDescent="0.2">
      <c r="A10262" t="s">
        <v>30747</v>
      </c>
      <c r="B10262" t="s">
        <v>30748</v>
      </c>
      <c r="C10262" t="s">
        <v>30748</v>
      </c>
      <c r="D10262" t="str">
        <f>HYPERLINK("https://zfin.org/ZDB-GENE-040426-957")</f>
        <v>https://zfin.org/ZDB-GENE-040426-957</v>
      </c>
      <c r="E10262" t="s">
        <v>30749</v>
      </c>
    </row>
    <row r="10263" spans="1:5" x14ac:dyDescent="0.2">
      <c r="A10263" t="s">
        <v>30750</v>
      </c>
      <c r="B10263" t="s">
        <v>30751</v>
      </c>
      <c r="C10263" t="s">
        <v>30751</v>
      </c>
      <c r="D10263" t="str">
        <f>HYPERLINK("https://zfin.org/ZDB-GENE-041219-3")</f>
        <v>https://zfin.org/ZDB-GENE-041219-3</v>
      </c>
      <c r="E10263" t="s">
        <v>30752</v>
      </c>
    </row>
    <row r="10264" spans="1:5" x14ac:dyDescent="0.2">
      <c r="A10264" t="s">
        <v>30753</v>
      </c>
      <c r="B10264" t="s">
        <v>30754</v>
      </c>
      <c r="C10264" t="s">
        <v>30754</v>
      </c>
      <c r="D10264" t="str">
        <f>HYPERLINK("https://zfin.org/ZDB-GENE-050419-35")</f>
        <v>https://zfin.org/ZDB-GENE-050419-35</v>
      </c>
      <c r="E10264" t="s">
        <v>30755</v>
      </c>
    </row>
    <row r="10265" spans="1:5" x14ac:dyDescent="0.2">
      <c r="A10265" t="s">
        <v>30756</v>
      </c>
      <c r="B10265" t="s">
        <v>30757</v>
      </c>
      <c r="C10265" t="s">
        <v>30757</v>
      </c>
      <c r="D10265" t="str">
        <f>HYPERLINK("https://zfin.org/ZDB-GENE-060303-5")</f>
        <v>https://zfin.org/ZDB-GENE-060303-5</v>
      </c>
      <c r="E10265" t="s">
        <v>30758</v>
      </c>
    </row>
    <row r="10266" spans="1:5" x14ac:dyDescent="0.2">
      <c r="A10266" t="s">
        <v>30759</v>
      </c>
      <c r="B10266" t="s">
        <v>30760</v>
      </c>
      <c r="C10266" t="s">
        <v>30760</v>
      </c>
      <c r="D10266" t="str">
        <f>HYPERLINK("https://zfin.org/ZDB-GENE-980526-532")</f>
        <v>https://zfin.org/ZDB-GENE-980526-532</v>
      </c>
      <c r="E10266" t="s">
        <v>30761</v>
      </c>
    </row>
    <row r="10267" spans="1:5" x14ac:dyDescent="0.2">
      <c r="A10267" t="s">
        <v>30762</v>
      </c>
      <c r="B10267" t="s">
        <v>30763</v>
      </c>
      <c r="C10267" t="s">
        <v>30763</v>
      </c>
      <c r="D10267" t="str">
        <f>HYPERLINK("https://zfin.org/ZDB-GENE-070705-301")</f>
        <v>https://zfin.org/ZDB-GENE-070705-301</v>
      </c>
      <c r="E10267" t="s">
        <v>30764</v>
      </c>
    </row>
    <row r="10268" spans="1:5" x14ac:dyDescent="0.2">
      <c r="A10268" t="s">
        <v>30765</v>
      </c>
      <c r="B10268" t="s">
        <v>30766</v>
      </c>
      <c r="C10268" t="s">
        <v>30766</v>
      </c>
      <c r="D10268" t="str">
        <f>HYPERLINK("https://zfin.org/ZDB-GENE-081028-16")</f>
        <v>https://zfin.org/ZDB-GENE-081028-16</v>
      </c>
      <c r="E10268" t="s">
        <v>30767</v>
      </c>
    </row>
    <row r="10269" spans="1:5" x14ac:dyDescent="0.2">
      <c r="A10269" t="s">
        <v>30768</v>
      </c>
      <c r="B10269" t="s">
        <v>30769</v>
      </c>
      <c r="C10269" t="s">
        <v>30769</v>
      </c>
      <c r="D10269" t="str">
        <f>HYPERLINK("https://zfin.org/ZDB-GENE-070820-18")</f>
        <v>https://zfin.org/ZDB-GENE-070820-18</v>
      </c>
      <c r="E10269" t="s">
        <v>30770</v>
      </c>
    </row>
    <row r="10270" spans="1:5" x14ac:dyDescent="0.2">
      <c r="A10270" t="s">
        <v>30771</v>
      </c>
      <c r="B10270" t="s">
        <v>30772</v>
      </c>
      <c r="C10270" t="s">
        <v>30772</v>
      </c>
      <c r="D10270" t="str">
        <f>HYPERLINK("https://zfin.org/ZDB-GENE-000210-34")</f>
        <v>https://zfin.org/ZDB-GENE-000210-34</v>
      </c>
      <c r="E10270" t="s">
        <v>30773</v>
      </c>
    </row>
    <row r="10271" spans="1:5" x14ac:dyDescent="0.2">
      <c r="A10271" t="s">
        <v>30774</v>
      </c>
      <c r="B10271" t="s">
        <v>30775</v>
      </c>
      <c r="C10271" t="s">
        <v>30775</v>
      </c>
      <c r="D10271" t="str">
        <f>HYPERLINK("https://zfin.org/ZDB-GENE-040426-2343")</f>
        <v>https://zfin.org/ZDB-GENE-040426-2343</v>
      </c>
      <c r="E10271" t="s">
        <v>30776</v>
      </c>
    </row>
    <row r="10272" spans="1:5" x14ac:dyDescent="0.2">
      <c r="A10272" t="s">
        <v>30777</v>
      </c>
      <c r="B10272" t="s">
        <v>30778</v>
      </c>
      <c r="C10272" t="s">
        <v>30778</v>
      </c>
      <c r="D10272" t="str">
        <f>HYPERLINK("https://zfin.org/ZDB-GENE-041014-7")</f>
        <v>https://zfin.org/ZDB-GENE-041014-7</v>
      </c>
      <c r="E10272" t="s">
        <v>30779</v>
      </c>
    </row>
    <row r="10273" spans="1:5" x14ac:dyDescent="0.2">
      <c r="A10273" t="s">
        <v>30780</v>
      </c>
      <c r="B10273" t="s">
        <v>30781</v>
      </c>
      <c r="C10273" t="s">
        <v>30781</v>
      </c>
      <c r="D10273" t="str">
        <f>HYPERLINK("https://zfin.org/ZDB-GENE-030131-1135")</f>
        <v>https://zfin.org/ZDB-GENE-030131-1135</v>
      </c>
      <c r="E10273" t="s">
        <v>30782</v>
      </c>
    </row>
    <row r="10274" spans="1:5" x14ac:dyDescent="0.2">
      <c r="A10274" t="s">
        <v>30783</v>
      </c>
      <c r="B10274" t="s">
        <v>30784</v>
      </c>
      <c r="C10274" t="s">
        <v>30784</v>
      </c>
      <c r="D10274" t="str">
        <f>HYPERLINK("https://zfin.org/ZDB-GENE-070112-452")</f>
        <v>https://zfin.org/ZDB-GENE-070112-452</v>
      </c>
      <c r="E10274" t="s">
        <v>30785</v>
      </c>
    </row>
    <row r="10275" spans="1:5" x14ac:dyDescent="0.2">
      <c r="A10275" t="s">
        <v>30786</v>
      </c>
      <c r="B10275" t="s">
        <v>30787</v>
      </c>
      <c r="C10275" t="s">
        <v>30787</v>
      </c>
      <c r="D10275" t="str">
        <f>HYPERLINK("https://zfin.org/ZDB-GENE-020509-2")</f>
        <v>https://zfin.org/ZDB-GENE-020509-2</v>
      </c>
      <c r="E10275" t="s">
        <v>30788</v>
      </c>
    </row>
    <row r="10276" spans="1:5" x14ac:dyDescent="0.2">
      <c r="A10276" t="s">
        <v>30789</v>
      </c>
      <c r="B10276" t="s">
        <v>30790</v>
      </c>
      <c r="C10276" t="s">
        <v>30790</v>
      </c>
      <c r="D10276" t="str">
        <f>HYPERLINK("https://zfin.org/ZDB-GENE-030131-9031")</f>
        <v>https://zfin.org/ZDB-GENE-030131-9031</v>
      </c>
      <c r="E10276" t="s">
        <v>30791</v>
      </c>
    </row>
    <row r="10277" spans="1:5" x14ac:dyDescent="0.2">
      <c r="A10277" t="s">
        <v>30792</v>
      </c>
      <c r="B10277" t="s">
        <v>30793</v>
      </c>
      <c r="C10277" t="s">
        <v>30793</v>
      </c>
      <c r="D10277" t="str">
        <f>HYPERLINK("https://zfin.org/ZDB-GENE-040912-10")</f>
        <v>https://zfin.org/ZDB-GENE-040912-10</v>
      </c>
      <c r="E10277" t="s">
        <v>30794</v>
      </c>
    </row>
    <row r="10278" spans="1:5" x14ac:dyDescent="0.2">
      <c r="A10278" t="s">
        <v>30795</v>
      </c>
      <c r="B10278" t="s">
        <v>30796</v>
      </c>
      <c r="C10278" t="s">
        <v>30796</v>
      </c>
      <c r="D10278" t="str">
        <f>HYPERLINK("https://zfin.org/ZDB-GENE-041010-146")</f>
        <v>https://zfin.org/ZDB-GENE-041010-146</v>
      </c>
      <c r="E10278" t="s">
        <v>30797</v>
      </c>
    </row>
    <row r="10279" spans="1:5" x14ac:dyDescent="0.2">
      <c r="A10279" t="s">
        <v>30798</v>
      </c>
      <c r="B10279" t="s">
        <v>30799</v>
      </c>
      <c r="C10279" t="s">
        <v>30799</v>
      </c>
      <c r="D10279" t="str">
        <f>HYPERLINK("https://zfin.org/ZDB-GENE-041210-202")</f>
        <v>https://zfin.org/ZDB-GENE-041210-202</v>
      </c>
      <c r="E10279" t="s">
        <v>30800</v>
      </c>
    </row>
    <row r="10280" spans="1:5" x14ac:dyDescent="0.2">
      <c r="A10280" t="s">
        <v>30801</v>
      </c>
      <c r="B10280" t="s">
        <v>30802</v>
      </c>
      <c r="C10280" t="s">
        <v>30802</v>
      </c>
      <c r="D10280" t="str">
        <f>HYPERLINK("https://zfin.org/ZDB-GENE-040426-1009")</f>
        <v>https://zfin.org/ZDB-GENE-040426-1009</v>
      </c>
      <c r="E10280" t="s">
        <v>30803</v>
      </c>
    </row>
    <row r="10281" spans="1:5" x14ac:dyDescent="0.2">
      <c r="A10281" t="s">
        <v>30804</v>
      </c>
      <c r="B10281" t="s">
        <v>30805</v>
      </c>
      <c r="C10281" t="s">
        <v>30805</v>
      </c>
      <c r="D10281" t="str">
        <f>HYPERLINK("https://zfin.org/ZDB-GENE-030131-7275")</f>
        <v>https://zfin.org/ZDB-GENE-030131-7275</v>
      </c>
      <c r="E10281" t="s">
        <v>30806</v>
      </c>
    </row>
    <row r="10282" spans="1:5" x14ac:dyDescent="0.2">
      <c r="A10282" t="s">
        <v>30807</v>
      </c>
      <c r="B10282" t="s">
        <v>30808</v>
      </c>
      <c r="C10282" t="s">
        <v>30808</v>
      </c>
      <c r="D10282" t="str">
        <f>HYPERLINK("https://zfin.org/ZDB-GENE-060616-136")</f>
        <v>https://zfin.org/ZDB-GENE-060616-136</v>
      </c>
      <c r="E10282" t="s">
        <v>30809</v>
      </c>
    </row>
    <row r="10283" spans="1:5" x14ac:dyDescent="0.2">
      <c r="A10283" t="s">
        <v>30810</v>
      </c>
      <c r="B10283" t="s">
        <v>30811</v>
      </c>
      <c r="C10283" t="s">
        <v>30811</v>
      </c>
      <c r="D10283" t="str">
        <f>HYPERLINK("https://zfin.org/ZDB-GENE-090312-24")</f>
        <v>https://zfin.org/ZDB-GENE-090312-24</v>
      </c>
      <c r="E10283" t="s">
        <v>30812</v>
      </c>
    </row>
    <row r="10284" spans="1:5" x14ac:dyDescent="0.2">
      <c r="A10284" t="s">
        <v>30813</v>
      </c>
      <c r="B10284" t="s">
        <v>30814</v>
      </c>
      <c r="C10284" t="s">
        <v>30814</v>
      </c>
      <c r="D10284" t="str">
        <f>HYPERLINK("https://zfin.org/ZDB-GENE-030131-6387")</f>
        <v>https://zfin.org/ZDB-GENE-030131-6387</v>
      </c>
      <c r="E10284" t="s">
        <v>30815</v>
      </c>
    </row>
    <row r="10285" spans="1:5" x14ac:dyDescent="0.2">
      <c r="A10285" t="s">
        <v>30816</v>
      </c>
      <c r="B10285" t="s">
        <v>30817</v>
      </c>
      <c r="C10285" t="s">
        <v>30817</v>
      </c>
      <c r="D10285" t="str">
        <f>HYPERLINK("https://zfin.org/ZDB-GENE-050913-17")</f>
        <v>https://zfin.org/ZDB-GENE-050913-17</v>
      </c>
      <c r="E10285" t="s">
        <v>30818</v>
      </c>
    </row>
    <row r="10286" spans="1:5" x14ac:dyDescent="0.2">
      <c r="A10286" t="s">
        <v>30819</v>
      </c>
      <c r="B10286" t="s">
        <v>30820</v>
      </c>
      <c r="C10286" t="s">
        <v>30820</v>
      </c>
      <c r="D10286" t="str">
        <f>HYPERLINK("https://zfin.org/ZDB-GENE-040718-408")</f>
        <v>https://zfin.org/ZDB-GENE-040718-408</v>
      </c>
      <c r="E10286" t="s">
        <v>30821</v>
      </c>
    </row>
    <row r="10287" spans="1:5" x14ac:dyDescent="0.2">
      <c r="A10287" t="s">
        <v>30822</v>
      </c>
      <c r="B10287" t="s">
        <v>30823</v>
      </c>
      <c r="C10287" t="s">
        <v>30823</v>
      </c>
      <c r="D10287" t="str">
        <f>HYPERLINK("https://zfin.org/ZDB-GENE-090312-60")</f>
        <v>https://zfin.org/ZDB-GENE-090312-60</v>
      </c>
      <c r="E10287" t="s">
        <v>30824</v>
      </c>
    </row>
    <row r="10288" spans="1:5" x14ac:dyDescent="0.2">
      <c r="A10288" t="s">
        <v>30825</v>
      </c>
      <c r="B10288" t="s">
        <v>30826</v>
      </c>
      <c r="C10288" t="s">
        <v>30826</v>
      </c>
      <c r="D10288" t="str">
        <f>HYPERLINK("https://zfin.org/ZDB-GENE-040426-1721")</f>
        <v>https://zfin.org/ZDB-GENE-040426-1721</v>
      </c>
      <c r="E10288" t="s">
        <v>30827</v>
      </c>
    </row>
    <row r="10289" spans="1:5" x14ac:dyDescent="0.2">
      <c r="A10289" t="s">
        <v>30828</v>
      </c>
      <c r="B10289" t="s">
        <v>30829</v>
      </c>
      <c r="C10289" t="s">
        <v>30829</v>
      </c>
      <c r="D10289" t="str">
        <f>HYPERLINK("https://zfin.org/ZDB-GENE-061013-647")</f>
        <v>https://zfin.org/ZDB-GENE-061013-647</v>
      </c>
      <c r="E10289" t="s">
        <v>30830</v>
      </c>
    </row>
    <row r="10290" spans="1:5" x14ac:dyDescent="0.2">
      <c r="A10290" t="s">
        <v>30831</v>
      </c>
      <c r="B10290" t="s">
        <v>30832</v>
      </c>
      <c r="C10290" t="s">
        <v>30832</v>
      </c>
      <c r="D10290" t="str">
        <f>HYPERLINK("https://zfin.org/ZDB-GENE-050506-71")</f>
        <v>https://zfin.org/ZDB-GENE-050506-71</v>
      </c>
      <c r="E10290" t="s">
        <v>30833</v>
      </c>
    </row>
    <row r="10291" spans="1:5" x14ac:dyDescent="0.2">
      <c r="A10291" t="s">
        <v>30834</v>
      </c>
      <c r="B10291" t="s">
        <v>30835</v>
      </c>
      <c r="C10291" t="s">
        <v>30835</v>
      </c>
      <c r="D10291" t="str">
        <f>HYPERLINK("https://zfin.org/ZDB-GENE-040704-65")</f>
        <v>https://zfin.org/ZDB-GENE-040704-65</v>
      </c>
      <c r="E10291" t="s">
        <v>30836</v>
      </c>
    </row>
    <row r="10292" spans="1:5" x14ac:dyDescent="0.2">
      <c r="A10292" t="s">
        <v>30837</v>
      </c>
      <c r="B10292" t="s">
        <v>30838</v>
      </c>
      <c r="C10292" t="s">
        <v>30838</v>
      </c>
      <c r="D10292" t="str">
        <f>HYPERLINK("https://zfin.org/ZDB-GENE-030131-9849")</f>
        <v>https://zfin.org/ZDB-GENE-030131-9849</v>
      </c>
      <c r="E10292" t="s">
        <v>30839</v>
      </c>
    </row>
    <row r="10293" spans="1:5" x14ac:dyDescent="0.2">
      <c r="A10293" t="s">
        <v>30840</v>
      </c>
      <c r="B10293" t="s">
        <v>30841</v>
      </c>
      <c r="C10293" t="s">
        <v>30841</v>
      </c>
      <c r="D10293" t="str">
        <f>HYPERLINK("https://zfin.org/ZDB-GENE-030131-5801")</f>
        <v>https://zfin.org/ZDB-GENE-030131-5801</v>
      </c>
      <c r="E10293" t="s">
        <v>30842</v>
      </c>
    </row>
    <row r="10294" spans="1:5" x14ac:dyDescent="0.2">
      <c r="A10294" t="s">
        <v>30843</v>
      </c>
      <c r="B10294" t="s">
        <v>30844</v>
      </c>
      <c r="C10294" t="s">
        <v>30844</v>
      </c>
      <c r="D10294" t="str">
        <f>HYPERLINK("https://zfin.org/ZDB-GENE-070912-309")</f>
        <v>https://zfin.org/ZDB-GENE-070912-309</v>
      </c>
      <c r="E10294" t="s">
        <v>30845</v>
      </c>
    </row>
    <row r="10295" spans="1:5" x14ac:dyDescent="0.2">
      <c r="A10295" t="s">
        <v>30846</v>
      </c>
      <c r="B10295" t="s">
        <v>30847</v>
      </c>
      <c r="C10295" t="s">
        <v>30847</v>
      </c>
      <c r="D10295" t="str">
        <f>HYPERLINK("https://zfin.org/ZDB-GENE-041114-114")</f>
        <v>https://zfin.org/ZDB-GENE-041114-114</v>
      </c>
      <c r="E10295" t="s">
        <v>30848</v>
      </c>
    </row>
    <row r="10296" spans="1:5" x14ac:dyDescent="0.2">
      <c r="A10296" t="s">
        <v>30849</v>
      </c>
      <c r="B10296" t="s">
        <v>30850</v>
      </c>
      <c r="C10296" t="s">
        <v>30850</v>
      </c>
      <c r="D10296" t="str">
        <f>HYPERLINK("https://zfin.org/ZDB-GENE-050208-54")</f>
        <v>https://zfin.org/ZDB-GENE-050208-54</v>
      </c>
      <c r="E10296" t="s">
        <v>30851</v>
      </c>
    </row>
    <row r="10297" spans="1:5" x14ac:dyDescent="0.2">
      <c r="A10297" t="s">
        <v>30852</v>
      </c>
      <c r="B10297" t="s">
        <v>30853</v>
      </c>
      <c r="C10297" t="s">
        <v>30853</v>
      </c>
      <c r="D10297" t="str">
        <f>HYPERLINK("https://zfin.org/ZDB-GENE-121219-5")</f>
        <v>https://zfin.org/ZDB-GENE-121219-5</v>
      </c>
      <c r="E10297" t="s">
        <v>30854</v>
      </c>
    </row>
    <row r="10298" spans="1:5" x14ac:dyDescent="0.2">
      <c r="A10298" t="s">
        <v>30855</v>
      </c>
      <c r="B10298" t="s">
        <v>30856</v>
      </c>
      <c r="C10298" t="s">
        <v>30856</v>
      </c>
      <c r="D10298" t="str">
        <f>HYPERLINK("https://zfin.org/ZDB-GENE-080204-20")</f>
        <v>https://zfin.org/ZDB-GENE-080204-20</v>
      </c>
      <c r="E10298" t="s">
        <v>30857</v>
      </c>
    </row>
    <row r="10299" spans="1:5" x14ac:dyDescent="0.2">
      <c r="A10299" t="s">
        <v>30858</v>
      </c>
      <c r="B10299" t="s">
        <v>30859</v>
      </c>
      <c r="C10299" t="s">
        <v>30859</v>
      </c>
      <c r="D10299" t="str">
        <f>HYPERLINK("https://zfin.org/ZDB-GENE-070424-21")</f>
        <v>https://zfin.org/ZDB-GENE-070424-21</v>
      </c>
      <c r="E10299" t="s">
        <v>30860</v>
      </c>
    </row>
    <row r="10300" spans="1:5" x14ac:dyDescent="0.2">
      <c r="A10300" t="s">
        <v>30861</v>
      </c>
      <c r="B10300" t="s">
        <v>30862</v>
      </c>
      <c r="C10300" t="s">
        <v>30862</v>
      </c>
      <c r="D10300" t="str">
        <f>HYPERLINK("https://zfin.org/ZDB-GENE-060526-135")</f>
        <v>https://zfin.org/ZDB-GENE-060526-135</v>
      </c>
      <c r="E10300" t="s">
        <v>30863</v>
      </c>
    </row>
    <row r="10301" spans="1:5" x14ac:dyDescent="0.2">
      <c r="A10301" t="s">
        <v>30864</v>
      </c>
      <c r="B10301" t="s">
        <v>30865</v>
      </c>
      <c r="C10301" t="s">
        <v>30865</v>
      </c>
      <c r="D10301" t="str">
        <f>HYPERLINK("https://zfin.org/ZDB-GENE-030131-9609")</f>
        <v>https://zfin.org/ZDB-GENE-030131-9609</v>
      </c>
      <c r="E10301" t="s">
        <v>30866</v>
      </c>
    </row>
    <row r="10302" spans="1:5" x14ac:dyDescent="0.2">
      <c r="A10302" t="s">
        <v>30867</v>
      </c>
      <c r="B10302" t="s">
        <v>30868</v>
      </c>
      <c r="C10302" t="s">
        <v>30868</v>
      </c>
      <c r="D10302" t="str">
        <f>HYPERLINK("https://zfin.org/ZDB-GENE-070424-94")</f>
        <v>https://zfin.org/ZDB-GENE-070424-94</v>
      </c>
      <c r="E10302" t="s">
        <v>30869</v>
      </c>
    </row>
    <row r="10303" spans="1:5" x14ac:dyDescent="0.2">
      <c r="A10303" t="s">
        <v>30870</v>
      </c>
      <c r="B10303" t="s">
        <v>30871</v>
      </c>
      <c r="C10303" t="s">
        <v>30871</v>
      </c>
      <c r="D10303" t="str">
        <f>HYPERLINK("https://zfin.org/ZDB-GENE-080204-10")</f>
        <v>https://zfin.org/ZDB-GENE-080204-10</v>
      </c>
      <c r="E10303" t="s">
        <v>30872</v>
      </c>
    </row>
    <row r="10304" spans="1:5" x14ac:dyDescent="0.2">
      <c r="A10304" t="s">
        <v>30873</v>
      </c>
      <c r="B10304" t="s">
        <v>30874</v>
      </c>
      <c r="C10304" t="s">
        <v>30874</v>
      </c>
      <c r="D10304" t="str">
        <f>HYPERLINK("https://zfin.org/ZDB-GENE-060526-8")</f>
        <v>https://zfin.org/ZDB-GENE-060526-8</v>
      </c>
      <c r="E10304" t="s">
        <v>30875</v>
      </c>
    </row>
    <row r="10305" spans="1:5" x14ac:dyDescent="0.2">
      <c r="A10305" t="s">
        <v>30876</v>
      </c>
      <c r="B10305" t="s">
        <v>30877</v>
      </c>
      <c r="C10305" t="s">
        <v>30877</v>
      </c>
      <c r="D10305" t="str">
        <f>HYPERLINK("https://zfin.org/ZDB-GENE-041014-355")</f>
        <v>https://zfin.org/ZDB-GENE-041014-355</v>
      </c>
      <c r="E10305" t="s">
        <v>30878</v>
      </c>
    </row>
    <row r="10306" spans="1:5" x14ac:dyDescent="0.2">
      <c r="A10306" t="s">
        <v>30879</v>
      </c>
      <c r="B10306" t="s">
        <v>30880</v>
      </c>
      <c r="C10306" t="s">
        <v>30880</v>
      </c>
      <c r="D10306" t="str">
        <f>HYPERLINK("https://zfin.org/ZDB-GENE-080305-5")</f>
        <v>https://zfin.org/ZDB-GENE-080305-5</v>
      </c>
      <c r="E10306" t="s">
        <v>30881</v>
      </c>
    </row>
    <row r="10307" spans="1:5" x14ac:dyDescent="0.2">
      <c r="A10307" t="s">
        <v>30882</v>
      </c>
      <c r="B10307" t="s">
        <v>30883</v>
      </c>
      <c r="C10307" t="s">
        <v>30883</v>
      </c>
      <c r="D10307" t="str">
        <f>HYPERLINK("https://zfin.org/ZDB-GENE-030131-4513")</f>
        <v>https://zfin.org/ZDB-GENE-030131-4513</v>
      </c>
      <c r="E10307" t="s">
        <v>30884</v>
      </c>
    </row>
    <row r="10308" spans="1:5" x14ac:dyDescent="0.2">
      <c r="A10308" t="s">
        <v>30885</v>
      </c>
      <c r="B10308" t="s">
        <v>30886</v>
      </c>
      <c r="C10308" t="s">
        <v>30886</v>
      </c>
      <c r="D10308" t="str">
        <f>HYPERLINK("https://zfin.org/ZDB-GENE-030131-1067")</f>
        <v>https://zfin.org/ZDB-GENE-030131-1067</v>
      </c>
      <c r="E10308" t="s">
        <v>30887</v>
      </c>
    </row>
    <row r="10309" spans="1:5" x14ac:dyDescent="0.2">
      <c r="A10309" t="s">
        <v>30888</v>
      </c>
      <c r="B10309" t="s">
        <v>30889</v>
      </c>
      <c r="C10309" t="s">
        <v>30889</v>
      </c>
      <c r="D10309" t="str">
        <f>HYPERLINK("https://zfin.org/ZDB-GENE-040808-28")</f>
        <v>https://zfin.org/ZDB-GENE-040808-28</v>
      </c>
      <c r="E10309" t="s">
        <v>30890</v>
      </c>
    </row>
    <row r="10310" spans="1:5" x14ac:dyDescent="0.2">
      <c r="A10310" t="s">
        <v>30891</v>
      </c>
      <c r="B10310" t="s">
        <v>30892</v>
      </c>
      <c r="C10310" t="s">
        <v>30892</v>
      </c>
      <c r="D10310" t="str">
        <f>HYPERLINK("https://zfin.org/ZDB-GENE-050522-208")</f>
        <v>https://zfin.org/ZDB-GENE-050522-208</v>
      </c>
      <c r="E10310" t="s">
        <v>30893</v>
      </c>
    </row>
    <row r="10311" spans="1:5" x14ac:dyDescent="0.2">
      <c r="A10311" t="s">
        <v>30894</v>
      </c>
      <c r="B10311" t="s">
        <v>30895</v>
      </c>
      <c r="C10311" t="s">
        <v>30895</v>
      </c>
      <c r="D10311" t="str">
        <f>HYPERLINK("https://zfin.org/ZDB-GENE-040801-58")</f>
        <v>https://zfin.org/ZDB-GENE-040801-58</v>
      </c>
      <c r="E10311" t="s">
        <v>30896</v>
      </c>
    </row>
    <row r="10312" spans="1:5" x14ac:dyDescent="0.2">
      <c r="A10312" t="s">
        <v>30897</v>
      </c>
      <c r="B10312" t="s">
        <v>30898</v>
      </c>
      <c r="C10312" t="s">
        <v>30898</v>
      </c>
      <c r="D10312" t="str">
        <f>HYPERLINK("https://zfin.org/ZDB-GENE-040426-744")</f>
        <v>https://zfin.org/ZDB-GENE-040426-744</v>
      </c>
      <c r="E10312" t="s">
        <v>30899</v>
      </c>
    </row>
    <row r="10313" spans="1:5" x14ac:dyDescent="0.2">
      <c r="A10313" t="s">
        <v>30900</v>
      </c>
      <c r="B10313" t="s">
        <v>30901</v>
      </c>
      <c r="C10313" t="s">
        <v>30901</v>
      </c>
      <c r="D10313" t="str">
        <f>HYPERLINK("https://zfin.org/ZDB-GENE-040822-39")</f>
        <v>https://zfin.org/ZDB-GENE-040822-39</v>
      </c>
      <c r="E10313" t="s">
        <v>30902</v>
      </c>
    </row>
    <row r="10314" spans="1:5" x14ac:dyDescent="0.2">
      <c r="A10314" t="s">
        <v>30903</v>
      </c>
      <c r="B10314" t="s">
        <v>30904</v>
      </c>
      <c r="C10314" t="s">
        <v>30904</v>
      </c>
      <c r="D10314" t="str">
        <f>HYPERLINK("https://zfin.org/ZDB-GENE-090306-4")</f>
        <v>https://zfin.org/ZDB-GENE-090306-4</v>
      </c>
      <c r="E10314" t="s">
        <v>30905</v>
      </c>
    </row>
    <row r="10315" spans="1:5" x14ac:dyDescent="0.2">
      <c r="A10315" t="s">
        <v>30906</v>
      </c>
      <c r="B10315" t="s">
        <v>30907</v>
      </c>
      <c r="C10315" t="s">
        <v>30907</v>
      </c>
      <c r="D10315" t="str">
        <f>HYPERLINK("https://zfin.org/ZDB-GENE-060503-837")</f>
        <v>https://zfin.org/ZDB-GENE-060503-837</v>
      </c>
      <c r="E10315" t="s">
        <v>30908</v>
      </c>
    </row>
    <row r="10316" spans="1:5" x14ac:dyDescent="0.2">
      <c r="A10316" t="s">
        <v>30909</v>
      </c>
      <c r="B10316" t="s">
        <v>30910</v>
      </c>
      <c r="C10316" t="s">
        <v>30910</v>
      </c>
      <c r="D10316" t="str">
        <f>HYPERLINK("https://zfin.org/ZDB-GENE-070510-2")</f>
        <v>https://zfin.org/ZDB-GENE-070510-2</v>
      </c>
      <c r="E10316" t="s">
        <v>30911</v>
      </c>
    </row>
    <row r="10317" spans="1:5" x14ac:dyDescent="0.2">
      <c r="A10317" t="s">
        <v>30912</v>
      </c>
      <c r="B10317" t="s">
        <v>30913</v>
      </c>
      <c r="C10317" t="s">
        <v>30913</v>
      </c>
      <c r="D10317" t="str">
        <f>HYPERLINK("https://zfin.org/ZDB-GENE-050410-12")</f>
        <v>https://zfin.org/ZDB-GENE-050410-12</v>
      </c>
      <c r="E10317" t="s">
        <v>30914</v>
      </c>
    </row>
    <row r="10318" spans="1:5" x14ac:dyDescent="0.2">
      <c r="A10318" t="s">
        <v>30915</v>
      </c>
      <c r="B10318" t="s">
        <v>30916</v>
      </c>
      <c r="C10318" t="s">
        <v>30916</v>
      </c>
      <c r="D10318" t="str">
        <f>HYPERLINK("https://zfin.org/ZDB-GENE-121003-3")</f>
        <v>https://zfin.org/ZDB-GENE-121003-3</v>
      </c>
      <c r="E10318" t="s">
        <v>30917</v>
      </c>
    </row>
    <row r="10319" spans="1:5" x14ac:dyDescent="0.2">
      <c r="A10319" t="s">
        <v>30918</v>
      </c>
      <c r="B10319" t="s">
        <v>30919</v>
      </c>
      <c r="C10319" t="s">
        <v>30919</v>
      </c>
      <c r="D10319" t="str">
        <f>HYPERLINK("https://zfin.org/ZDB-GENE-091117-30")</f>
        <v>https://zfin.org/ZDB-GENE-091117-30</v>
      </c>
      <c r="E10319" t="s">
        <v>30920</v>
      </c>
    </row>
    <row r="10320" spans="1:5" x14ac:dyDescent="0.2">
      <c r="A10320" t="s">
        <v>30921</v>
      </c>
      <c r="B10320" t="s">
        <v>30922</v>
      </c>
      <c r="C10320" t="s">
        <v>30922</v>
      </c>
      <c r="D10320" t="str">
        <f>HYPERLINK("https://zfin.org/ZDB-GENE-030131-3627")</f>
        <v>https://zfin.org/ZDB-GENE-030131-3627</v>
      </c>
      <c r="E10320" t="s">
        <v>30923</v>
      </c>
    </row>
    <row r="10321" spans="1:5" x14ac:dyDescent="0.2">
      <c r="A10321" t="s">
        <v>30924</v>
      </c>
      <c r="B10321" t="s">
        <v>30925</v>
      </c>
      <c r="C10321" t="s">
        <v>30925</v>
      </c>
      <c r="D10321" t="str">
        <f>HYPERLINK("https://zfin.org/ZDB-GENE-081105-86")</f>
        <v>https://zfin.org/ZDB-GENE-081105-86</v>
      </c>
      <c r="E10321" t="s">
        <v>30926</v>
      </c>
    </row>
    <row r="10322" spans="1:5" x14ac:dyDescent="0.2">
      <c r="A10322" t="s">
        <v>30927</v>
      </c>
      <c r="B10322" t="s">
        <v>30928</v>
      </c>
      <c r="C10322" t="s">
        <v>30928</v>
      </c>
      <c r="D10322" t="str">
        <f>HYPERLINK("https://zfin.org/ZDB-GENE-050626-49")</f>
        <v>https://zfin.org/ZDB-GENE-050626-49</v>
      </c>
      <c r="E10322" t="s">
        <v>30929</v>
      </c>
    </row>
    <row r="10323" spans="1:5" x14ac:dyDescent="0.2">
      <c r="A10323" t="s">
        <v>30930</v>
      </c>
      <c r="B10323" t="s">
        <v>30931</v>
      </c>
      <c r="C10323" t="s">
        <v>30931</v>
      </c>
      <c r="D10323" t="str">
        <f>HYPERLINK("https://zfin.org/ZDB-GENE-050522-311")</f>
        <v>https://zfin.org/ZDB-GENE-050522-311</v>
      </c>
      <c r="E10323" t="s">
        <v>30932</v>
      </c>
    </row>
    <row r="10324" spans="1:5" x14ac:dyDescent="0.2">
      <c r="A10324" t="s">
        <v>30933</v>
      </c>
      <c r="B10324" t="s">
        <v>30934</v>
      </c>
      <c r="C10324" t="s">
        <v>30934</v>
      </c>
      <c r="D10324" t="str">
        <f>HYPERLINK("https://zfin.org/ZDB-GENE-050417-278")</f>
        <v>https://zfin.org/ZDB-GENE-050417-278</v>
      </c>
      <c r="E10324" t="s">
        <v>30935</v>
      </c>
    </row>
    <row r="10325" spans="1:5" x14ac:dyDescent="0.2">
      <c r="A10325" t="s">
        <v>30936</v>
      </c>
      <c r="B10325" t="s">
        <v>30937</v>
      </c>
      <c r="C10325" t="s">
        <v>30937</v>
      </c>
      <c r="D10325" t="str">
        <f>HYPERLINK("https://zfin.org/ZDB-GENE-100908-1")</f>
        <v>https://zfin.org/ZDB-GENE-100908-1</v>
      </c>
      <c r="E10325" t="s">
        <v>30938</v>
      </c>
    </row>
    <row r="10326" spans="1:5" x14ac:dyDescent="0.2">
      <c r="A10326" t="s">
        <v>30939</v>
      </c>
      <c r="B10326" t="s">
        <v>30940</v>
      </c>
      <c r="C10326" t="s">
        <v>30940</v>
      </c>
      <c r="D10326" t="str">
        <f>HYPERLINK("https://zfin.org/ZDB-GENE-060421-2909")</f>
        <v>https://zfin.org/ZDB-GENE-060421-2909</v>
      </c>
      <c r="E10326" t="s">
        <v>30941</v>
      </c>
    </row>
    <row r="10327" spans="1:5" x14ac:dyDescent="0.2">
      <c r="A10327" t="s">
        <v>30942</v>
      </c>
      <c r="B10327" t="s">
        <v>30943</v>
      </c>
      <c r="C10327" t="s">
        <v>30943</v>
      </c>
      <c r="D10327" t="str">
        <f>HYPERLINK("https://zfin.org/ZDB-GENE-110411-149")</f>
        <v>https://zfin.org/ZDB-GENE-110411-149</v>
      </c>
      <c r="E10327" t="s">
        <v>30944</v>
      </c>
    </row>
    <row r="10328" spans="1:5" x14ac:dyDescent="0.2">
      <c r="A10328" t="s">
        <v>30945</v>
      </c>
      <c r="B10328" t="s">
        <v>30946</v>
      </c>
      <c r="C10328" t="s">
        <v>30946</v>
      </c>
      <c r="D10328" t="str">
        <f>HYPERLINK("https://zfin.org/ZDB-GENE-110114-2")</f>
        <v>https://zfin.org/ZDB-GENE-110114-2</v>
      </c>
      <c r="E10328" t="s">
        <v>30947</v>
      </c>
    </row>
    <row r="10329" spans="1:5" x14ac:dyDescent="0.2">
      <c r="A10329" t="s">
        <v>30948</v>
      </c>
      <c r="B10329" t="s">
        <v>30949</v>
      </c>
      <c r="C10329" t="s">
        <v>30949</v>
      </c>
      <c r="D10329" t="str">
        <f>HYPERLINK("https://zfin.org/ZDB-GENE-040426-1450")</f>
        <v>https://zfin.org/ZDB-GENE-040426-1450</v>
      </c>
      <c r="E10329" t="s">
        <v>30950</v>
      </c>
    </row>
    <row r="10330" spans="1:5" x14ac:dyDescent="0.2">
      <c r="A10330" t="s">
        <v>30951</v>
      </c>
      <c r="B10330" t="s">
        <v>30952</v>
      </c>
      <c r="C10330" t="s">
        <v>30952</v>
      </c>
      <c r="D10330" t="str">
        <f>HYPERLINK("https://zfin.org/ZDB-GENE-070912-180")</f>
        <v>https://zfin.org/ZDB-GENE-070912-180</v>
      </c>
      <c r="E10330" t="s">
        <v>30953</v>
      </c>
    </row>
    <row r="10331" spans="1:5" x14ac:dyDescent="0.2">
      <c r="A10331" t="s">
        <v>30954</v>
      </c>
      <c r="B10331" t="s">
        <v>30955</v>
      </c>
      <c r="C10331" t="s">
        <v>30955</v>
      </c>
      <c r="D10331" t="str">
        <f>HYPERLINK("https://zfin.org/ZDB-GENE-080219-28")</f>
        <v>https://zfin.org/ZDB-GENE-080219-28</v>
      </c>
      <c r="E10331" t="s">
        <v>30956</v>
      </c>
    </row>
    <row r="10332" spans="1:5" x14ac:dyDescent="0.2">
      <c r="A10332" t="s">
        <v>30957</v>
      </c>
      <c r="B10332" t="s">
        <v>30958</v>
      </c>
      <c r="C10332" t="s">
        <v>30958</v>
      </c>
      <c r="D10332" t="str">
        <f>HYPERLINK("https://zfin.org/ZDB-GENE-060512-114")</f>
        <v>https://zfin.org/ZDB-GENE-060512-114</v>
      </c>
      <c r="E10332" t="s">
        <v>30959</v>
      </c>
    </row>
    <row r="10333" spans="1:5" x14ac:dyDescent="0.2">
      <c r="A10333" t="s">
        <v>30960</v>
      </c>
      <c r="B10333" t="s">
        <v>30961</v>
      </c>
      <c r="C10333" t="s">
        <v>30961</v>
      </c>
      <c r="D10333" t="str">
        <f>HYPERLINK("https://zfin.org/ZDB-GENE-040822-30")</f>
        <v>https://zfin.org/ZDB-GENE-040822-30</v>
      </c>
      <c r="E10333" t="s">
        <v>30962</v>
      </c>
    </row>
    <row r="10334" spans="1:5" x14ac:dyDescent="0.2">
      <c r="A10334" t="s">
        <v>30963</v>
      </c>
      <c r="B10334" t="s">
        <v>30964</v>
      </c>
      <c r="C10334" t="s">
        <v>30964</v>
      </c>
      <c r="D10334" t="str">
        <f>HYPERLINK("https://zfin.org/ZDB-GENE-081104-439")</f>
        <v>https://zfin.org/ZDB-GENE-081104-439</v>
      </c>
      <c r="E10334" t="s">
        <v>30965</v>
      </c>
    </row>
    <row r="10335" spans="1:5" x14ac:dyDescent="0.2">
      <c r="A10335" t="s">
        <v>30966</v>
      </c>
      <c r="B10335" t="s">
        <v>30967</v>
      </c>
      <c r="C10335" t="s">
        <v>30967</v>
      </c>
      <c r="D10335" t="str">
        <f>HYPERLINK("https://zfin.org/ZDB-GENE-050309-32")</f>
        <v>https://zfin.org/ZDB-GENE-050309-32</v>
      </c>
      <c r="E10335" t="s">
        <v>30968</v>
      </c>
    </row>
    <row r="10336" spans="1:5" x14ac:dyDescent="0.2">
      <c r="A10336" t="s">
        <v>30969</v>
      </c>
      <c r="B10336" t="s">
        <v>30970</v>
      </c>
      <c r="C10336" t="s">
        <v>30970</v>
      </c>
      <c r="D10336" t="str">
        <f>HYPERLINK("https://zfin.org/ZDB-GENE-030717-4")</f>
        <v>https://zfin.org/ZDB-GENE-030717-4</v>
      </c>
      <c r="E10336" t="s">
        <v>30971</v>
      </c>
    </row>
    <row r="10337" spans="1:5" x14ac:dyDescent="0.2">
      <c r="A10337" t="s">
        <v>30972</v>
      </c>
      <c r="B10337" t="s">
        <v>30973</v>
      </c>
      <c r="C10337" t="s">
        <v>30973</v>
      </c>
      <c r="D10337" t="str">
        <f>HYPERLINK("https://zfin.org/ZDB-GENE-070424-19")</f>
        <v>https://zfin.org/ZDB-GENE-070424-19</v>
      </c>
      <c r="E10337" t="s">
        <v>30974</v>
      </c>
    </row>
    <row r="10338" spans="1:5" x14ac:dyDescent="0.2">
      <c r="A10338" t="s">
        <v>30975</v>
      </c>
      <c r="B10338" t="s">
        <v>30976</v>
      </c>
      <c r="C10338" t="s">
        <v>30976</v>
      </c>
      <c r="D10338" t="str">
        <f>HYPERLINK("https://zfin.org/ZDB-GENE-120215-239")</f>
        <v>https://zfin.org/ZDB-GENE-120215-239</v>
      </c>
      <c r="E10338" t="s">
        <v>30977</v>
      </c>
    </row>
    <row r="10339" spans="1:5" x14ac:dyDescent="0.2">
      <c r="A10339" t="s">
        <v>30978</v>
      </c>
      <c r="B10339" t="s">
        <v>30979</v>
      </c>
      <c r="C10339" t="s">
        <v>30979</v>
      </c>
      <c r="D10339" t="str">
        <f>HYPERLINK("https://zfin.org/ZDB-GENE-030131-4797")</f>
        <v>https://zfin.org/ZDB-GENE-030131-4797</v>
      </c>
      <c r="E10339" t="s">
        <v>30980</v>
      </c>
    </row>
    <row r="10340" spans="1:5" x14ac:dyDescent="0.2">
      <c r="A10340" t="s">
        <v>30981</v>
      </c>
      <c r="B10340" t="s">
        <v>30982</v>
      </c>
      <c r="C10340" t="s">
        <v>30982</v>
      </c>
      <c r="D10340" t="str">
        <f>HYPERLINK("https://zfin.org/ZDB-GENE-040120-7")</f>
        <v>https://zfin.org/ZDB-GENE-040120-7</v>
      </c>
      <c r="E10340" t="s">
        <v>30983</v>
      </c>
    </row>
    <row r="10341" spans="1:5" x14ac:dyDescent="0.2">
      <c r="A10341" t="s">
        <v>30984</v>
      </c>
      <c r="B10341" t="s">
        <v>30985</v>
      </c>
      <c r="C10341" t="s">
        <v>30985</v>
      </c>
      <c r="D10341" t="str">
        <f>HYPERLINK("https://zfin.org/ZDB-GENE-081105-109")</f>
        <v>https://zfin.org/ZDB-GENE-081105-109</v>
      </c>
      <c r="E10341" t="s">
        <v>30986</v>
      </c>
    </row>
    <row r="10342" spans="1:5" x14ac:dyDescent="0.2">
      <c r="A10342" t="s">
        <v>30987</v>
      </c>
      <c r="B10342" t="s">
        <v>30988</v>
      </c>
      <c r="C10342" t="s">
        <v>30988</v>
      </c>
      <c r="D10342" t="str">
        <f>HYPERLINK("https://zfin.org/ZDB-GENE-991209-3")</f>
        <v>https://zfin.org/ZDB-GENE-991209-3</v>
      </c>
      <c r="E10342" t="s">
        <v>30989</v>
      </c>
    </row>
    <row r="10343" spans="1:5" x14ac:dyDescent="0.2">
      <c r="A10343" t="s">
        <v>30990</v>
      </c>
      <c r="B10343" t="s">
        <v>30991</v>
      </c>
      <c r="C10343" t="s">
        <v>30991</v>
      </c>
      <c r="D10343" t="str">
        <f>HYPERLINK("https://zfin.org/ZDB-GENE-070912-387")</f>
        <v>https://zfin.org/ZDB-GENE-070912-387</v>
      </c>
      <c r="E10343" t="s">
        <v>30992</v>
      </c>
    </row>
    <row r="10344" spans="1:5" x14ac:dyDescent="0.2">
      <c r="A10344" t="s">
        <v>30993</v>
      </c>
      <c r="B10344" t="s">
        <v>30994</v>
      </c>
      <c r="C10344" t="s">
        <v>30994</v>
      </c>
      <c r="D10344" t="str">
        <f>HYPERLINK("https://zfin.org/ZDB-GENE-010502-1")</f>
        <v>https://zfin.org/ZDB-GENE-010502-1</v>
      </c>
      <c r="E10344" t="s">
        <v>30995</v>
      </c>
    </row>
    <row r="10345" spans="1:5" x14ac:dyDescent="0.2">
      <c r="A10345" t="s">
        <v>30996</v>
      </c>
      <c r="B10345" t="s">
        <v>30997</v>
      </c>
      <c r="C10345" t="s">
        <v>30997</v>
      </c>
      <c r="D10345" t="str">
        <f>HYPERLINK("https://zfin.org/ZDB-GENE-041008-66")</f>
        <v>https://zfin.org/ZDB-GENE-041008-66</v>
      </c>
      <c r="E10345" t="s">
        <v>30998</v>
      </c>
    </row>
    <row r="10346" spans="1:5" x14ac:dyDescent="0.2">
      <c r="A10346" t="s">
        <v>30999</v>
      </c>
      <c r="B10346" t="s">
        <v>31000</v>
      </c>
      <c r="C10346" t="s">
        <v>31000</v>
      </c>
      <c r="D10346" t="str">
        <f>HYPERLINK("https://zfin.org/ZDB-GENE-990415-163")</f>
        <v>https://zfin.org/ZDB-GENE-990415-163</v>
      </c>
      <c r="E10346" t="s">
        <v>31001</v>
      </c>
    </row>
    <row r="10347" spans="1:5" x14ac:dyDescent="0.2">
      <c r="A10347" t="s">
        <v>31002</v>
      </c>
      <c r="B10347" t="s">
        <v>31003</v>
      </c>
      <c r="C10347" t="s">
        <v>31003</v>
      </c>
      <c r="D10347" t="str">
        <f>HYPERLINK("https://zfin.org/ZDB-GENE-050522-156")</f>
        <v>https://zfin.org/ZDB-GENE-050522-156</v>
      </c>
      <c r="E10347" t="s">
        <v>31004</v>
      </c>
    </row>
    <row r="10348" spans="1:5" x14ac:dyDescent="0.2">
      <c r="A10348" t="s">
        <v>31005</v>
      </c>
      <c r="B10348" t="s">
        <v>31006</v>
      </c>
      <c r="C10348" t="s">
        <v>31006</v>
      </c>
      <c r="D10348" t="str">
        <f>HYPERLINK("https://zfin.org/")</f>
        <v>https://zfin.org/</v>
      </c>
    </row>
    <row r="10349" spans="1:5" x14ac:dyDescent="0.2">
      <c r="A10349" t="s">
        <v>31007</v>
      </c>
      <c r="B10349" t="s">
        <v>31008</v>
      </c>
      <c r="C10349" t="s">
        <v>31008</v>
      </c>
      <c r="D10349" t="str">
        <f>HYPERLINK("https://zfin.org/ZDB-GENE-040426-2802")</f>
        <v>https://zfin.org/ZDB-GENE-040426-2802</v>
      </c>
      <c r="E10349" t="s">
        <v>31009</v>
      </c>
    </row>
    <row r="10350" spans="1:5" x14ac:dyDescent="0.2">
      <c r="A10350" t="s">
        <v>31010</v>
      </c>
      <c r="B10350" t="s">
        <v>31006</v>
      </c>
      <c r="C10350" t="s">
        <v>31011</v>
      </c>
      <c r="D10350" t="str">
        <f>HYPERLINK("https://zfin.org/ZDB-GENE-030131-6268")</f>
        <v>https://zfin.org/ZDB-GENE-030131-6268</v>
      </c>
      <c r="E10350" t="s">
        <v>31012</v>
      </c>
    </row>
    <row r="10351" spans="1:5" x14ac:dyDescent="0.2">
      <c r="A10351" t="s">
        <v>31013</v>
      </c>
      <c r="B10351" t="s">
        <v>31014</v>
      </c>
      <c r="C10351" t="s">
        <v>31014</v>
      </c>
      <c r="D10351" t="str">
        <f>HYPERLINK("https://zfin.org/ZDB-GENE-081104-438")</f>
        <v>https://zfin.org/ZDB-GENE-081104-438</v>
      </c>
      <c r="E10351" t="s">
        <v>31015</v>
      </c>
    </row>
    <row r="10352" spans="1:5" x14ac:dyDescent="0.2">
      <c r="A10352" t="s">
        <v>31016</v>
      </c>
      <c r="B10352" t="s">
        <v>31017</v>
      </c>
      <c r="C10352" t="s">
        <v>31017</v>
      </c>
      <c r="D10352" t="str">
        <f>HYPERLINK("https://zfin.org/ZDB-GENE-061013-288")</f>
        <v>https://zfin.org/ZDB-GENE-061013-288</v>
      </c>
      <c r="E10352" t="s">
        <v>31018</v>
      </c>
    </row>
    <row r="10353" spans="1:5" x14ac:dyDescent="0.2">
      <c r="A10353" t="s">
        <v>31019</v>
      </c>
      <c r="B10353" t="s">
        <v>31020</v>
      </c>
      <c r="C10353" t="s">
        <v>31020</v>
      </c>
      <c r="D10353" t="str">
        <f>HYPERLINK("https://zfin.org/ZDB-GENE-030131-8898")</f>
        <v>https://zfin.org/ZDB-GENE-030131-8898</v>
      </c>
      <c r="E10353" t="s">
        <v>31021</v>
      </c>
    </row>
    <row r="10354" spans="1:5" x14ac:dyDescent="0.2">
      <c r="A10354" t="s">
        <v>31022</v>
      </c>
      <c r="B10354" t="s">
        <v>31023</v>
      </c>
      <c r="C10354" t="s">
        <v>31023</v>
      </c>
      <c r="D10354" t="str">
        <f>HYPERLINK("https://zfin.org/ZDB-GENE-081022-15")</f>
        <v>https://zfin.org/ZDB-GENE-081022-15</v>
      </c>
      <c r="E10354" t="s">
        <v>31024</v>
      </c>
    </row>
    <row r="10355" spans="1:5" x14ac:dyDescent="0.2">
      <c r="A10355" t="s">
        <v>31025</v>
      </c>
      <c r="B10355" t="s">
        <v>31026</v>
      </c>
      <c r="C10355" t="s">
        <v>31026</v>
      </c>
      <c r="D10355" t="str">
        <f>HYPERLINK("https://zfin.org/ZDB-GENE-031031-4")</f>
        <v>https://zfin.org/ZDB-GENE-031031-4</v>
      </c>
      <c r="E10355" t="s">
        <v>31027</v>
      </c>
    </row>
    <row r="10356" spans="1:5" x14ac:dyDescent="0.2">
      <c r="A10356" t="s">
        <v>31028</v>
      </c>
      <c r="B10356" t="s">
        <v>31029</v>
      </c>
      <c r="C10356" t="s">
        <v>31029</v>
      </c>
      <c r="D10356" t="str">
        <f>HYPERLINK("https://zfin.org/ZDB-GENE-030131-3647")</f>
        <v>https://zfin.org/ZDB-GENE-030131-3647</v>
      </c>
      <c r="E10356" t="s">
        <v>31030</v>
      </c>
    </row>
    <row r="10357" spans="1:5" x14ac:dyDescent="0.2">
      <c r="A10357" t="s">
        <v>31031</v>
      </c>
      <c r="B10357" t="s">
        <v>31032</v>
      </c>
      <c r="C10357" t="s">
        <v>31032</v>
      </c>
      <c r="D10357" t="str">
        <f>HYPERLINK("https://zfin.org/ZDB-GENE-121214-147")</f>
        <v>https://zfin.org/ZDB-GENE-121214-147</v>
      </c>
      <c r="E10357" t="s">
        <v>31033</v>
      </c>
    </row>
    <row r="10358" spans="1:5" x14ac:dyDescent="0.2">
      <c r="A10358" t="s">
        <v>31034</v>
      </c>
      <c r="B10358" t="s">
        <v>30916</v>
      </c>
      <c r="C10358" t="s">
        <v>31035</v>
      </c>
      <c r="D10358" t="str">
        <f>HYPERLINK("https://zfin.org/ZDB-GENE-121003-3")</f>
        <v>https://zfin.org/ZDB-GENE-121003-3</v>
      </c>
      <c r="E10358" t="s">
        <v>30917</v>
      </c>
    </row>
    <row r="10359" spans="1:5" x14ac:dyDescent="0.2">
      <c r="A10359" t="s">
        <v>31036</v>
      </c>
      <c r="B10359" t="s">
        <v>31037</v>
      </c>
      <c r="C10359" t="s">
        <v>31037</v>
      </c>
      <c r="D10359" t="str">
        <f>HYPERLINK("https://zfin.org/ZDB-GENE-040718-127")</f>
        <v>https://zfin.org/ZDB-GENE-040718-127</v>
      </c>
      <c r="E10359" t="s">
        <v>31038</v>
      </c>
    </row>
    <row r="10360" spans="1:5" x14ac:dyDescent="0.2">
      <c r="A10360" t="s">
        <v>31039</v>
      </c>
      <c r="B10360" t="s">
        <v>31040</v>
      </c>
      <c r="C10360" t="s">
        <v>31040</v>
      </c>
      <c r="D10360" t="str">
        <f>HYPERLINK("https://zfin.org/ZDB-GENE-040712-2")</f>
        <v>https://zfin.org/ZDB-GENE-040712-2</v>
      </c>
      <c r="E10360" t="s">
        <v>31041</v>
      </c>
    </row>
    <row r="10361" spans="1:5" x14ac:dyDescent="0.2">
      <c r="A10361" t="s">
        <v>31042</v>
      </c>
      <c r="B10361" t="s">
        <v>31043</v>
      </c>
      <c r="C10361" t="s">
        <v>31043</v>
      </c>
      <c r="D10361" t="str">
        <f>HYPERLINK("https://zfin.org/ZDB-GENE-030131-7915")</f>
        <v>https://zfin.org/ZDB-GENE-030131-7915</v>
      </c>
      <c r="E10361" t="s">
        <v>31044</v>
      </c>
    </row>
    <row r="10362" spans="1:5" x14ac:dyDescent="0.2">
      <c r="A10362" t="s">
        <v>31045</v>
      </c>
      <c r="B10362" t="s">
        <v>31046</v>
      </c>
      <c r="C10362" t="s">
        <v>31046</v>
      </c>
      <c r="D10362" t="str">
        <f>HYPERLINK("https://zfin.org/ZDB-GENE-050809-35")</f>
        <v>https://zfin.org/ZDB-GENE-050809-35</v>
      </c>
      <c r="E10362" t="s">
        <v>31047</v>
      </c>
    </row>
    <row r="10363" spans="1:5" x14ac:dyDescent="0.2">
      <c r="A10363" t="s">
        <v>31048</v>
      </c>
      <c r="B10363" t="s">
        <v>31049</v>
      </c>
      <c r="C10363" t="s">
        <v>31049</v>
      </c>
      <c r="D10363" t="str">
        <f>HYPERLINK("https://zfin.org/ZDB-GENE-060810-183")</f>
        <v>https://zfin.org/ZDB-GENE-060810-183</v>
      </c>
      <c r="E10363" t="s">
        <v>31050</v>
      </c>
    </row>
    <row r="10364" spans="1:5" x14ac:dyDescent="0.2">
      <c r="A10364" t="s">
        <v>31051</v>
      </c>
      <c r="B10364" t="s">
        <v>31052</v>
      </c>
      <c r="C10364" t="s">
        <v>31052</v>
      </c>
      <c r="D10364" t="str">
        <f>HYPERLINK("https://zfin.org/ZDB-GENE-030521-13")</f>
        <v>https://zfin.org/ZDB-GENE-030521-13</v>
      </c>
      <c r="E10364" t="s">
        <v>31053</v>
      </c>
    </row>
    <row r="10365" spans="1:5" x14ac:dyDescent="0.2">
      <c r="A10365" t="s">
        <v>31054</v>
      </c>
      <c r="B10365" t="s">
        <v>31055</v>
      </c>
      <c r="C10365" t="s">
        <v>31055</v>
      </c>
      <c r="D10365" t="str">
        <f>HYPERLINK("https://zfin.org/ZDB-GENE-080724-12")</f>
        <v>https://zfin.org/ZDB-GENE-080724-12</v>
      </c>
      <c r="E10365" t="s">
        <v>31056</v>
      </c>
    </row>
    <row r="10366" spans="1:5" x14ac:dyDescent="0.2">
      <c r="A10366" t="s">
        <v>31057</v>
      </c>
      <c r="B10366" t="s">
        <v>31058</v>
      </c>
      <c r="C10366" t="s">
        <v>31058</v>
      </c>
      <c r="D10366" t="str">
        <f>HYPERLINK("https://zfin.org/ZDB-GENE-040426-1315")</f>
        <v>https://zfin.org/ZDB-GENE-040426-1315</v>
      </c>
      <c r="E10366" t="s">
        <v>31059</v>
      </c>
    </row>
    <row r="10367" spans="1:5" x14ac:dyDescent="0.2">
      <c r="A10367" t="s">
        <v>31060</v>
      </c>
      <c r="B10367" t="s">
        <v>31061</v>
      </c>
      <c r="C10367" t="s">
        <v>31061</v>
      </c>
      <c r="D10367" t="str">
        <f>HYPERLINK("https://zfin.org/ZDB-GENE-030131-4783")</f>
        <v>https://zfin.org/ZDB-GENE-030131-4783</v>
      </c>
      <c r="E10367" t="s">
        <v>31062</v>
      </c>
    </row>
    <row r="10368" spans="1:5" x14ac:dyDescent="0.2">
      <c r="A10368" t="s">
        <v>31063</v>
      </c>
      <c r="B10368" t="s">
        <v>31064</v>
      </c>
      <c r="C10368" t="s">
        <v>31064</v>
      </c>
      <c r="D10368" t="str">
        <f>HYPERLINK("https://zfin.org/ZDB-GENE-020322-1")</f>
        <v>https://zfin.org/ZDB-GENE-020322-1</v>
      </c>
      <c r="E10368" t="s">
        <v>31065</v>
      </c>
    </row>
    <row r="10369" spans="1:5" x14ac:dyDescent="0.2">
      <c r="A10369" t="s">
        <v>31066</v>
      </c>
      <c r="B10369" t="s">
        <v>31067</v>
      </c>
      <c r="C10369" t="s">
        <v>31067</v>
      </c>
      <c r="D10369" t="str">
        <f>HYPERLINK("https://zfin.org/ZDB-GENE-011212-2")</f>
        <v>https://zfin.org/ZDB-GENE-011212-2</v>
      </c>
      <c r="E10369" t="s">
        <v>31068</v>
      </c>
    </row>
    <row r="10370" spans="1:5" x14ac:dyDescent="0.2">
      <c r="A10370" t="s">
        <v>31069</v>
      </c>
      <c r="B10370" t="s">
        <v>31070</v>
      </c>
      <c r="C10370" t="s">
        <v>31070</v>
      </c>
      <c r="D10370" t="str">
        <f>HYPERLINK("https://zfin.org/ZDB-GENE-060503-371")</f>
        <v>https://zfin.org/ZDB-GENE-060503-371</v>
      </c>
      <c r="E10370" t="s">
        <v>31071</v>
      </c>
    </row>
    <row r="10371" spans="1:5" x14ac:dyDescent="0.2">
      <c r="A10371" t="s">
        <v>31072</v>
      </c>
      <c r="B10371" t="s">
        <v>31073</v>
      </c>
      <c r="C10371" t="s">
        <v>31073</v>
      </c>
      <c r="D10371" t="str">
        <f>HYPERLINK("https://zfin.org/ZDB-GENE-130404-1")</f>
        <v>https://zfin.org/ZDB-GENE-130404-1</v>
      </c>
      <c r="E10371" t="s">
        <v>31074</v>
      </c>
    </row>
    <row r="10372" spans="1:5" x14ac:dyDescent="0.2">
      <c r="A10372" t="s">
        <v>31075</v>
      </c>
      <c r="B10372" t="s">
        <v>31076</v>
      </c>
      <c r="C10372" t="s">
        <v>31076</v>
      </c>
      <c r="D10372" t="str">
        <f>HYPERLINK("https://zfin.org/ZDB-GENE-031202-3")</f>
        <v>https://zfin.org/ZDB-GENE-031202-3</v>
      </c>
      <c r="E10372" t="s">
        <v>31077</v>
      </c>
    </row>
    <row r="10373" spans="1:5" x14ac:dyDescent="0.2">
      <c r="A10373" t="s">
        <v>31078</v>
      </c>
      <c r="B10373" t="s">
        <v>31079</v>
      </c>
      <c r="C10373" t="s">
        <v>31079</v>
      </c>
      <c r="D10373" t="str">
        <f>HYPERLINK("https://zfin.org/ZDB-GENE-990415-2")</f>
        <v>https://zfin.org/ZDB-GENE-990415-2</v>
      </c>
      <c r="E10373" t="s">
        <v>31080</v>
      </c>
    </row>
    <row r="10374" spans="1:5" x14ac:dyDescent="0.2">
      <c r="A10374" t="s">
        <v>31081</v>
      </c>
      <c r="B10374" t="s">
        <v>31082</v>
      </c>
      <c r="C10374" t="s">
        <v>31082</v>
      </c>
      <c r="D10374" t="str">
        <f>HYPERLINK("https://zfin.org/ZDB-GENE-070112-2192")</f>
        <v>https://zfin.org/ZDB-GENE-070112-2192</v>
      </c>
      <c r="E10374" t="s">
        <v>31083</v>
      </c>
    </row>
    <row r="10375" spans="1:5" x14ac:dyDescent="0.2">
      <c r="A10375" t="s">
        <v>31084</v>
      </c>
      <c r="B10375" t="s">
        <v>31085</v>
      </c>
      <c r="C10375" t="s">
        <v>31085</v>
      </c>
      <c r="D10375" t="str">
        <f>HYPERLINK("https://zfin.org/ZDB-GENE-050513-3")</f>
        <v>https://zfin.org/ZDB-GENE-050513-3</v>
      </c>
      <c r="E10375" t="s">
        <v>31086</v>
      </c>
    </row>
    <row r="10376" spans="1:5" x14ac:dyDescent="0.2">
      <c r="A10376" t="s">
        <v>31087</v>
      </c>
      <c r="B10376" t="s">
        <v>31088</v>
      </c>
      <c r="C10376" t="s">
        <v>31088</v>
      </c>
      <c r="D10376" t="str">
        <f>HYPERLINK("https://zfin.org/ZDB-GENE-030724-6")</f>
        <v>https://zfin.org/ZDB-GENE-030724-6</v>
      </c>
      <c r="E10376" t="s">
        <v>31089</v>
      </c>
    </row>
    <row r="10377" spans="1:5" x14ac:dyDescent="0.2">
      <c r="A10377" t="s">
        <v>31090</v>
      </c>
      <c r="B10377" t="s">
        <v>31091</v>
      </c>
      <c r="C10377" t="s">
        <v>31091</v>
      </c>
      <c r="D10377" t="str">
        <f>HYPERLINK("https://zfin.org/ZDB-GENE-030131-1201")</f>
        <v>https://zfin.org/ZDB-GENE-030131-1201</v>
      </c>
      <c r="E10377" t="s">
        <v>31092</v>
      </c>
    </row>
    <row r="10378" spans="1:5" x14ac:dyDescent="0.2">
      <c r="A10378" t="s">
        <v>31093</v>
      </c>
      <c r="B10378" t="s">
        <v>31094</v>
      </c>
      <c r="C10378" t="s">
        <v>31094</v>
      </c>
      <c r="D10378" t="str">
        <f>HYPERLINK("https://zfin.org/ZDB-GENE-070705-469")</f>
        <v>https://zfin.org/ZDB-GENE-070705-469</v>
      </c>
      <c r="E10378" t="s">
        <v>31095</v>
      </c>
    </row>
    <row r="10379" spans="1:5" x14ac:dyDescent="0.2">
      <c r="A10379" t="s">
        <v>31096</v>
      </c>
      <c r="B10379" t="s">
        <v>31097</v>
      </c>
      <c r="C10379" t="s">
        <v>31097</v>
      </c>
      <c r="D10379" t="str">
        <f>HYPERLINK("https://zfin.org/ZDB-GENE-100215-3")</f>
        <v>https://zfin.org/ZDB-GENE-100215-3</v>
      </c>
      <c r="E10379" t="s">
        <v>31098</v>
      </c>
    </row>
    <row r="10380" spans="1:5" x14ac:dyDescent="0.2">
      <c r="A10380" t="s">
        <v>31099</v>
      </c>
      <c r="B10380" t="s">
        <v>31100</v>
      </c>
      <c r="C10380" t="s">
        <v>31100</v>
      </c>
      <c r="D10380" t="str">
        <f>HYPERLINK("https://zfin.org/")</f>
        <v>https://zfin.org/</v>
      </c>
      <c r="E10380" t="s">
        <v>31101</v>
      </c>
    </row>
    <row r="10381" spans="1:5" x14ac:dyDescent="0.2">
      <c r="A10381" t="s">
        <v>31102</v>
      </c>
      <c r="B10381" t="s">
        <v>31103</v>
      </c>
      <c r="C10381" t="s">
        <v>31103</v>
      </c>
      <c r="D10381" t="str">
        <f>HYPERLINK("https://zfin.org/ZDB-GENE-050320-131")</f>
        <v>https://zfin.org/ZDB-GENE-050320-131</v>
      </c>
      <c r="E10381" t="s">
        <v>31104</v>
      </c>
    </row>
    <row r="10382" spans="1:5" x14ac:dyDescent="0.2">
      <c r="A10382" t="s">
        <v>31105</v>
      </c>
      <c r="B10382" t="s">
        <v>31106</v>
      </c>
      <c r="C10382" t="s">
        <v>31106</v>
      </c>
      <c r="D10382" t="str">
        <f>HYPERLINK("https://zfin.org/ZDB-GENE-021025-1")</f>
        <v>https://zfin.org/ZDB-GENE-021025-1</v>
      </c>
      <c r="E10382" t="s">
        <v>31107</v>
      </c>
    </row>
    <row r="10383" spans="1:5" x14ac:dyDescent="0.2">
      <c r="A10383" t="s">
        <v>31108</v>
      </c>
      <c r="B10383" t="s">
        <v>31109</v>
      </c>
      <c r="C10383" t="s">
        <v>31109</v>
      </c>
      <c r="D10383" t="str">
        <f>HYPERLINK("https://zfin.org/ZDB-GENE-990706-8")</f>
        <v>https://zfin.org/ZDB-GENE-990706-8</v>
      </c>
      <c r="E10383" t="s">
        <v>31110</v>
      </c>
    </row>
    <row r="10384" spans="1:5" x14ac:dyDescent="0.2">
      <c r="A10384" t="s">
        <v>31111</v>
      </c>
      <c r="B10384" t="s">
        <v>31112</v>
      </c>
      <c r="C10384" t="s">
        <v>31112</v>
      </c>
      <c r="D10384" t="str">
        <f>HYPERLINK("https://zfin.org/ZDB-GENE-090313-83")</f>
        <v>https://zfin.org/ZDB-GENE-090313-83</v>
      </c>
      <c r="E10384" t="s">
        <v>31113</v>
      </c>
    </row>
    <row r="10385" spans="1:5" x14ac:dyDescent="0.2">
      <c r="A10385" t="s">
        <v>31114</v>
      </c>
      <c r="B10385" t="s">
        <v>31115</v>
      </c>
      <c r="C10385" t="s">
        <v>31115</v>
      </c>
      <c r="D10385" t="str">
        <f>HYPERLINK("https://zfin.org/ZDB-GENE-070112-1222")</f>
        <v>https://zfin.org/ZDB-GENE-070112-1222</v>
      </c>
      <c r="E10385" t="s">
        <v>31116</v>
      </c>
    </row>
    <row r="10386" spans="1:5" x14ac:dyDescent="0.2">
      <c r="A10386" t="s">
        <v>31117</v>
      </c>
      <c r="B10386" t="s">
        <v>31118</v>
      </c>
      <c r="C10386" t="s">
        <v>31118</v>
      </c>
      <c r="D10386" t="str">
        <f>HYPERLINK("https://zfin.org/ZDB-GENE-030131-3151")</f>
        <v>https://zfin.org/ZDB-GENE-030131-3151</v>
      </c>
      <c r="E10386" t="s">
        <v>31119</v>
      </c>
    </row>
    <row r="10387" spans="1:5" x14ac:dyDescent="0.2">
      <c r="A10387" t="s">
        <v>31120</v>
      </c>
      <c r="B10387" t="s">
        <v>31121</v>
      </c>
      <c r="C10387" t="s">
        <v>31121</v>
      </c>
      <c r="D10387" t="str">
        <f>HYPERLINK("https://zfin.org/ZDB-GENE-080204-77")</f>
        <v>https://zfin.org/ZDB-GENE-080204-77</v>
      </c>
      <c r="E10387" t="s">
        <v>31122</v>
      </c>
    </row>
    <row r="10388" spans="1:5" x14ac:dyDescent="0.2">
      <c r="A10388" t="s">
        <v>31123</v>
      </c>
      <c r="B10388" t="s">
        <v>31124</v>
      </c>
      <c r="C10388" t="s">
        <v>31124</v>
      </c>
      <c r="D10388" t="str">
        <f>HYPERLINK("https://zfin.org/ZDB-GENE-121214-302")</f>
        <v>https://zfin.org/ZDB-GENE-121214-302</v>
      </c>
      <c r="E10388" t="s">
        <v>31125</v>
      </c>
    </row>
    <row r="10389" spans="1:5" x14ac:dyDescent="0.2">
      <c r="A10389" t="s">
        <v>31126</v>
      </c>
      <c r="B10389" t="s">
        <v>31127</v>
      </c>
      <c r="C10389" t="s">
        <v>31127</v>
      </c>
      <c r="D10389" t="str">
        <f>HYPERLINK("https://zfin.org/ZDB-GENE-081028-45")</f>
        <v>https://zfin.org/ZDB-GENE-081028-45</v>
      </c>
      <c r="E10389" t="s">
        <v>31128</v>
      </c>
    </row>
    <row r="10390" spans="1:5" x14ac:dyDescent="0.2">
      <c r="A10390" t="s">
        <v>31129</v>
      </c>
      <c r="B10390" t="s">
        <v>31130</v>
      </c>
      <c r="C10390" t="s">
        <v>31130</v>
      </c>
      <c r="D10390" t="str">
        <f>HYPERLINK("https://zfin.org/ZDB-GENE-130405-1")</f>
        <v>https://zfin.org/ZDB-GENE-130405-1</v>
      </c>
      <c r="E10390" t="s">
        <v>31131</v>
      </c>
    </row>
    <row r="10391" spans="1:5" x14ac:dyDescent="0.2">
      <c r="A10391" t="s">
        <v>31132</v>
      </c>
      <c r="B10391" t="s">
        <v>31133</v>
      </c>
      <c r="C10391" t="s">
        <v>31133</v>
      </c>
      <c r="D10391" t="str">
        <f>HYPERLINK("https://zfin.org/ZDB-GENE-030131-5234")</f>
        <v>https://zfin.org/ZDB-GENE-030131-5234</v>
      </c>
      <c r="E10391" t="s">
        <v>31134</v>
      </c>
    </row>
    <row r="10392" spans="1:5" x14ac:dyDescent="0.2">
      <c r="A10392" t="s">
        <v>31135</v>
      </c>
      <c r="B10392" t="s">
        <v>31136</v>
      </c>
      <c r="C10392" t="s">
        <v>31136</v>
      </c>
      <c r="D10392" t="str">
        <f>HYPERLINK("https://zfin.org/ZDB-GENE-121214-248")</f>
        <v>https://zfin.org/ZDB-GENE-121214-248</v>
      </c>
      <c r="E10392" t="s">
        <v>31137</v>
      </c>
    </row>
    <row r="10393" spans="1:5" x14ac:dyDescent="0.2">
      <c r="A10393" t="s">
        <v>31138</v>
      </c>
      <c r="B10393" t="s">
        <v>31139</v>
      </c>
      <c r="C10393" t="s">
        <v>31139</v>
      </c>
      <c r="D10393" t="str">
        <f>HYPERLINK("https://zfin.org/ZDB-GENE-050419-100")</f>
        <v>https://zfin.org/ZDB-GENE-050419-100</v>
      </c>
      <c r="E10393" t="s">
        <v>31140</v>
      </c>
    </row>
    <row r="10394" spans="1:5" x14ac:dyDescent="0.2">
      <c r="A10394" t="s">
        <v>31141</v>
      </c>
      <c r="B10394" t="s">
        <v>31142</v>
      </c>
      <c r="C10394" t="s">
        <v>31142</v>
      </c>
      <c r="D10394" t="str">
        <f>HYPERLINK("https://zfin.org/ZDB-GENE-100318-5")</f>
        <v>https://zfin.org/ZDB-GENE-100318-5</v>
      </c>
      <c r="E10394" t="s">
        <v>31143</v>
      </c>
    </row>
    <row r="10395" spans="1:5" x14ac:dyDescent="0.2">
      <c r="A10395" t="s">
        <v>31144</v>
      </c>
      <c r="B10395" t="s">
        <v>31145</v>
      </c>
      <c r="C10395" t="s">
        <v>31145</v>
      </c>
      <c r="D10395" t="str">
        <f>HYPERLINK("https://zfin.org/ZDB-GENE-131127-265")</f>
        <v>https://zfin.org/ZDB-GENE-131127-265</v>
      </c>
      <c r="E10395" t="s">
        <v>31146</v>
      </c>
    </row>
    <row r="10396" spans="1:5" x14ac:dyDescent="0.2">
      <c r="A10396" t="s">
        <v>31147</v>
      </c>
      <c r="B10396" t="s">
        <v>31148</v>
      </c>
      <c r="C10396" t="s">
        <v>31148</v>
      </c>
      <c r="D10396" t="str">
        <f>HYPERLINK("https://zfin.org/ZDB-GENE-980526-436")</f>
        <v>https://zfin.org/ZDB-GENE-980526-436</v>
      </c>
      <c r="E10396" t="s">
        <v>31149</v>
      </c>
    </row>
    <row r="10397" spans="1:5" x14ac:dyDescent="0.2">
      <c r="A10397" t="s">
        <v>31150</v>
      </c>
      <c r="B10397" t="s">
        <v>31151</v>
      </c>
      <c r="C10397" t="s">
        <v>31151</v>
      </c>
      <c r="D10397" t="str">
        <f>HYPERLINK("https://zfin.org/")</f>
        <v>https://zfin.org/</v>
      </c>
    </row>
    <row r="10398" spans="1:5" x14ac:dyDescent="0.2">
      <c r="A10398" t="s">
        <v>31152</v>
      </c>
      <c r="B10398" t="s">
        <v>31153</v>
      </c>
      <c r="C10398" t="s">
        <v>31153</v>
      </c>
      <c r="D10398" t="str">
        <f>HYPERLINK("https://zfin.org/ZDB-GENE-990415-61")</f>
        <v>https://zfin.org/ZDB-GENE-990415-61</v>
      </c>
      <c r="E10398" t="s">
        <v>31154</v>
      </c>
    </row>
    <row r="10399" spans="1:5" x14ac:dyDescent="0.2">
      <c r="A10399" t="s">
        <v>31155</v>
      </c>
      <c r="B10399" t="s">
        <v>31156</v>
      </c>
      <c r="C10399" t="s">
        <v>31156</v>
      </c>
      <c r="D10399" t="str">
        <f>HYPERLINK("https://zfin.org/ZDB-GENE-050417-365")</f>
        <v>https://zfin.org/ZDB-GENE-050417-365</v>
      </c>
      <c r="E10399" t="s">
        <v>31157</v>
      </c>
    </row>
    <row r="10400" spans="1:5" x14ac:dyDescent="0.2">
      <c r="A10400" t="s">
        <v>31158</v>
      </c>
      <c r="B10400" t="s">
        <v>31159</v>
      </c>
      <c r="C10400" t="s">
        <v>31159</v>
      </c>
      <c r="D10400" t="str">
        <f>HYPERLINK("https://zfin.org/ZDB-GENE-070112-2272")</f>
        <v>https://zfin.org/ZDB-GENE-070112-2272</v>
      </c>
      <c r="E10400" t="s">
        <v>31160</v>
      </c>
    </row>
    <row r="10401" spans="1:5" x14ac:dyDescent="0.2">
      <c r="A10401" t="s">
        <v>31161</v>
      </c>
      <c r="B10401" t="s">
        <v>31162</v>
      </c>
      <c r="C10401" t="s">
        <v>31162</v>
      </c>
      <c r="D10401" t="str">
        <f>HYPERLINK("https://zfin.org/ZDB-GENE-030826-20")</f>
        <v>https://zfin.org/ZDB-GENE-030826-20</v>
      </c>
      <c r="E10401" t="s">
        <v>31163</v>
      </c>
    </row>
    <row r="10402" spans="1:5" x14ac:dyDescent="0.2">
      <c r="A10402" t="s">
        <v>31164</v>
      </c>
      <c r="B10402" t="s">
        <v>31151</v>
      </c>
      <c r="C10402" t="s">
        <v>31165</v>
      </c>
      <c r="D10402" t="str">
        <f>HYPERLINK("https://zfin.org/ZDB-GENE-040426-820")</f>
        <v>https://zfin.org/ZDB-GENE-040426-820</v>
      </c>
      <c r="E10402" t="s">
        <v>31166</v>
      </c>
    </row>
    <row r="10403" spans="1:5" x14ac:dyDescent="0.2">
      <c r="A10403" t="s">
        <v>31167</v>
      </c>
      <c r="B10403" t="s">
        <v>31168</v>
      </c>
      <c r="C10403" t="s">
        <v>31168</v>
      </c>
      <c r="D10403" t="str">
        <f>HYPERLINK("https://zfin.org/ZDB-GENE-041010-60")</f>
        <v>https://zfin.org/ZDB-GENE-041010-60</v>
      </c>
      <c r="E10403" t="s">
        <v>31169</v>
      </c>
    </row>
    <row r="10404" spans="1:5" x14ac:dyDescent="0.2">
      <c r="A10404" t="s">
        <v>31170</v>
      </c>
      <c r="B10404" t="s">
        <v>31171</v>
      </c>
      <c r="C10404" t="s">
        <v>31171</v>
      </c>
      <c r="D10404" t="str">
        <f>HYPERLINK("https://zfin.org/ZDB-GENE-080402-5")</f>
        <v>https://zfin.org/ZDB-GENE-080402-5</v>
      </c>
      <c r="E10404" t="s">
        <v>31172</v>
      </c>
    </row>
    <row r="10405" spans="1:5" x14ac:dyDescent="0.2">
      <c r="A10405" t="s">
        <v>31173</v>
      </c>
      <c r="B10405" t="s">
        <v>31174</v>
      </c>
      <c r="C10405" t="s">
        <v>31174</v>
      </c>
      <c r="D10405" t="str">
        <f>HYPERLINK("https://zfin.org/ZDB-GENE-040426-2763")</f>
        <v>https://zfin.org/ZDB-GENE-040426-2763</v>
      </c>
      <c r="E10405" t="s">
        <v>31175</v>
      </c>
    </row>
    <row r="10406" spans="1:5" x14ac:dyDescent="0.2">
      <c r="A10406" t="s">
        <v>31176</v>
      </c>
      <c r="B10406" t="s">
        <v>31177</v>
      </c>
      <c r="C10406" t="s">
        <v>31177</v>
      </c>
      <c r="D10406" t="str">
        <f>HYPERLINK("https://zfin.org/ZDB-GENE-040426-1259")</f>
        <v>https://zfin.org/ZDB-GENE-040426-1259</v>
      </c>
      <c r="E10406" t="s">
        <v>31178</v>
      </c>
    </row>
    <row r="10407" spans="1:5" x14ac:dyDescent="0.2">
      <c r="A10407" t="s">
        <v>31179</v>
      </c>
      <c r="B10407" t="s">
        <v>31180</v>
      </c>
      <c r="C10407" t="s">
        <v>31180</v>
      </c>
      <c r="D10407" t="str">
        <f>HYPERLINK("https://zfin.org/ZDB-GENE-030131-556")</f>
        <v>https://zfin.org/ZDB-GENE-030131-556</v>
      </c>
      <c r="E10407" t="s">
        <v>31181</v>
      </c>
    </row>
    <row r="10408" spans="1:5" x14ac:dyDescent="0.2">
      <c r="A10408" t="s">
        <v>31182</v>
      </c>
      <c r="B10408" t="s">
        <v>31183</v>
      </c>
      <c r="C10408" t="s">
        <v>31183</v>
      </c>
      <c r="D10408" t="str">
        <f>HYPERLINK("https://zfin.org/ZDB-GENE-091204-121")</f>
        <v>https://zfin.org/ZDB-GENE-091204-121</v>
      </c>
      <c r="E10408" t="s">
        <v>31184</v>
      </c>
    </row>
    <row r="10409" spans="1:5" x14ac:dyDescent="0.2">
      <c r="A10409" t="s">
        <v>31185</v>
      </c>
      <c r="B10409" t="s">
        <v>31186</v>
      </c>
      <c r="C10409" t="s">
        <v>31186</v>
      </c>
      <c r="D10409" t="str">
        <f>HYPERLINK("https://zfin.org/ZDB-GENE-030131-5871")</f>
        <v>https://zfin.org/ZDB-GENE-030131-5871</v>
      </c>
      <c r="E10409" t="s">
        <v>31187</v>
      </c>
    </row>
    <row r="10410" spans="1:5" x14ac:dyDescent="0.2">
      <c r="A10410" t="s">
        <v>31188</v>
      </c>
      <c r="B10410" t="s">
        <v>31189</v>
      </c>
      <c r="C10410" t="s">
        <v>31189</v>
      </c>
      <c r="D10410" t="str">
        <f>HYPERLINK("https://zfin.org/ZDB-GENE-110411-39")</f>
        <v>https://zfin.org/ZDB-GENE-110411-39</v>
      </c>
      <c r="E10410" t="s">
        <v>31190</v>
      </c>
    </row>
    <row r="10411" spans="1:5" x14ac:dyDescent="0.2">
      <c r="A10411" t="s">
        <v>31191</v>
      </c>
      <c r="B10411" t="s">
        <v>31192</v>
      </c>
      <c r="C10411" t="s">
        <v>31192</v>
      </c>
      <c r="D10411" t="str">
        <f>HYPERLINK("https://zfin.org/ZDB-GENE-131121-454")</f>
        <v>https://zfin.org/ZDB-GENE-131121-454</v>
      </c>
      <c r="E10411" t="s">
        <v>31193</v>
      </c>
    </row>
    <row r="10412" spans="1:5" x14ac:dyDescent="0.2">
      <c r="A10412" t="s">
        <v>31194</v>
      </c>
      <c r="B10412" t="s">
        <v>31195</v>
      </c>
      <c r="C10412" t="s">
        <v>31195</v>
      </c>
      <c r="D10412" t="str">
        <f>HYPERLINK("https://zfin.org/ZDB-GENE-141222-38")</f>
        <v>https://zfin.org/ZDB-GENE-141222-38</v>
      </c>
      <c r="E10412" t="s">
        <v>31196</v>
      </c>
    </row>
    <row r="10413" spans="1:5" x14ac:dyDescent="0.2">
      <c r="A10413" t="s">
        <v>31197</v>
      </c>
      <c r="B10413" t="s">
        <v>31198</v>
      </c>
      <c r="C10413" t="s">
        <v>31198</v>
      </c>
      <c r="D10413" t="str">
        <f>HYPERLINK("https://zfin.org/ZDB-GENE-140106-21")</f>
        <v>https://zfin.org/ZDB-GENE-140106-21</v>
      </c>
      <c r="E10413" t="s">
        <v>31199</v>
      </c>
    </row>
    <row r="10414" spans="1:5" x14ac:dyDescent="0.2">
      <c r="A10414" t="s">
        <v>31200</v>
      </c>
      <c r="B10414" t="s">
        <v>31201</v>
      </c>
      <c r="C10414" t="s">
        <v>31201</v>
      </c>
      <c r="D10414" t="str">
        <f>HYPERLINK("https://zfin.org/ZDB-GENE-070112-1132")</f>
        <v>https://zfin.org/ZDB-GENE-070112-1132</v>
      </c>
      <c r="E10414" t="s">
        <v>31202</v>
      </c>
    </row>
    <row r="10415" spans="1:5" x14ac:dyDescent="0.2">
      <c r="A10415" t="s">
        <v>31203</v>
      </c>
      <c r="B10415" t="s">
        <v>31204</v>
      </c>
      <c r="C10415" t="s">
        <v>31204</v>
      </c>
      <c r="D10415" t="str">
        <f>HYPERLINK("https://zfin.org/ZDB-GENE-080923-1")</f>
        <v>https://zfin.org/ZDB-GENE-080923-1</v>
      </c>
      <c r="E10415" t="s">
        <v>31205</v>
      </c>
    </row>
    <row r="10416" spans="1:5" x14ac:dyDescent="0.2">
      <c r="A10416" t="s">
        <v>31206</v>
      </c>
      <c r="B10416" t="s">
        <v>31207</v>
      </c>
      <c r="C10416" t="s">
        <v>31207</v>
      </c>
      <c r="D10416" t="str">
        <f>HYPERLINK("https://zfin.org/ZDB-GENE-131121-13")</f>
        <v>https://zfin.org/ZDB-GENE-131121-13</v>
      </c>
      <c r="E10416" t="s">
        <v>31208</v>
      </c>
    </row>
    <row r="10417" spans="1:5" x14ac:dyDescent="0.2">
      <c r="A10417" t="s">
        <v>31209</v>
      </c>
      <c r="B10417" t="s">
        <v>31210</v>
      </c>
      <c r="C10417" t="s">
        <v>31210</v>
      </c>
      <c r="D10417" t="str">
        <f>HYPERLINK("https://zfin.org/ZDB-GENE-030131-1770")</f>
        <v>https://zfin.org/ZDB-GENE-030131-1770</v>
      </c>
      <c r="E10417" t="s">
        <v>31211</v>
      </c>
    </row>
    <row r="10418" spans="1:5" x14ac:dyDescent="0.2">
      <c r="A10418" t="s">
        <v>31212</v>
      </c>
      <c r="B10418" t="s">
        <v>31213</v>
      </c>
      <c r="C10418" t="s">
        <v>31213</v>
      </c>
      <c r="D10418" t="str">
        <f>HYPERLINK("https://zfin.org/ZDB-GENE-050419-215")</f>
        <v>https://zfin.org/ZDB-GENE-050419-215</v>
      </c>
      <c r="E10418" t="s">
        <v>31214</v>
      </c>
    </row>
    <row r="10419" spans="1:5" x14ac:dyDescent="0.2">
      <c r="A10419" t="s">
        <v>31215</v>
      </c>
      <c r="B10419" t="s">
        <v>31216</v>
      </c>
      <c r="C10419" t="s">
        <v>31216</v>
      </c>
      <c r="D10419" t="str">
        <f>HYPERLINK("https://zfin.org/ZDB-GENE-041114-71")</f>
        <v>https://zfin.org/ZDB-GENE-041114-71</v>
      </c>
      <c r="E10419" t="s">
        <v>31217</v>
      </c>
    </row>
    <row r="10420" spans="1:5" x14ac:dyDescent="0.2">
      <c r="A10420" t="s">
        <v>31218</v>
      </c>
      <c r="B10420" t="s">
        <v>31219</v>
      </c>
      <c r="C10420" t="s">
        <v>31219</v>
      </c>
      <c r="D10420" t="str">
        <f>HYPERLINK("https://zfin.org/ZDB-GENE-060512-104")</f>
        <v>https://zfin.org/ZDB-GENE-060512-104</v>
      </c>
      <c r="E10420" t="s">
        <v>31220</v>
      </c>
    </row>
    <row r="10421" spans="1:5" x14ac:dyDescent="0.2">
      <c r="A10421" t="s">
        <v>31221</v>
      </c>
      <c r="B10421" t="s">
        <v>31198</v>
      </c>
      <c r="C10421" t="s">
        <v>31222</v>
      </c>
      <c r="D10421" t="str">
        <f>HYPERLINK("https://zfin.org/ZDB-GENE-140106-21")</f>
        <v>https://zfin.org/ZDB-GENE-140106-21</v>
      </c>
      <c r="E10421" t="s">
        <v>31199</v>
      </c>
    </row>
    <row r="10422" spans="1:5" x14ac:dyDescent="0.2">
      <c r="A10422" t="s">
        <v>31223</v>
      </c>
      <c r="B10422" t="s">
        <v>31224</v>
      </c>
      <c r="C10422" t="s">
        <v>31224</v>
      </c>
      <c r="D10422" t="str">
        <f>HYPERLINK("https://zfin.org/ZDB-GENE-041210-203")</f>
        <v>https://zfin.org/ZDB-GENE-041210-203</v>
      </c>
      <c r="E10422" t="s">
        <v>31225</v>
      </c>
    </row>
    <row r="10423" spans="1:5" x14ac:dyDescent="0.2">
      <c r="A10423" t="s">
        <v>31226</v>
      </c>
      <c r="B10423" t="s">
        <v>31227</v>
      </c>
      <c r="C10423" t="s">
        <v>31227</v>
      </c>
      <c r="D10423" t="str">
        <f>HYPERLINK("https://zfin.org/ZDB-GENE-010328-2")</f>
        <v>https://zfin.org/ZDB-GENE-010328-2</v>
      </c>
      <c r="E10423" t="s">
        <v>31228</v>
      </c>
    </row>
    <row r="10424" spans="1:5" x14ac:dyDescent="0.2">
      <c r="A10424" t="s">
        <v>31229</v>
      </c>
      <c r="B10424" t="s">
        <v>31230</v>
      </c>
      <c r="C10424" t="s">
        <v>31230</v>
      </c>
      <c r="D10424" t="str">
        <f>HYPERLINK("https://zfin.org/ZDB-GENE-120703-29")</f>
        <v>https://zfin.org/ZDB-GENE-120703-29</v>
      </c>
      <c r="E10424" t="s">
        <v>31231</v>
      </c>
    </row>
    <row r="10425" spans="1:5" x14ac:dyDescent="0.2">
      <c r="A10425" t="s">
        <v>31232</v>
      </c>
      <c r="B10425" t="s">
        <v>31233</v>
      </c>
      <c r="C10425" t="s">
        <v>31233</v>
      </c>
      <c r="D10425" t="str">
        <f>HYPERLINK("https://zfin.org/ZDB-GENE-040426-1918")</f>
        <v>https://zfin.org/ZDB-GENE-040426-1918</v>
      </c>
      <c r="E10425" t="s">
        <v>31234</v>
      </c>
    </row>
    <row r="10426" spans="1:5" x14ac:dyDescent="0.2">
      <c r="A10426" t="s">
        <v>31235</v>
      </c>
      <c r="B10426" t="s">
        <v>31236</v>
      </c>
      <c r="C10426" t="s">
        <v>31236</v>
      </c>
      <c r="D10426" t="str">
        <f>HYPERLINK("https://zfin.org/ZDB-GENE-030131-4182")</f>
        <v>https://zfin.org/ZDB-GENE-030131-4182</v>
      </c>
      <c r="E10426" t="s">
        <v>31237</v>
      </c>
    </row>
    <row r="10427" spans="1:5" x14ac:dyDescent="0.2">
      <c r="A10427" t="s">
        <v>31238</v>
      </c>
      <c r="B10427" t="s">
        <v>31239</v>
      </c>
      <c r="C10427" t="s">
        <v>31239</v>
      </c>
      <c r="D10427" t="str">
        <f>HYPERLINK("https://zfin.org/ZDB-GENE-000328-2")</f>
        <v>https://zfin.org/ZDB-GENE-000328-2</v>
      </c>
      <c r="E10427" t="s">
        <v>31240</v>
      </c>
    </row>
    <row r="10428" spans="1:5" x14ac:dyDescent="0.2">
      <c r="A10428" t="s">
        <v>31241</v>
      </c>
      <c r="B10428" t="s">
        <v>31242</v>
      </c>
      <c r="C10428" t="s">
        <v>31242</v>
      </c>
      <c r="D10428" t="str">
        <f>HYPERLINK("https://zfin.org/ZDB-GENE-050419-11")</f>
        <v>https://zfin.org/ZDB-GENE-050419-11</v>
      </c>
      <c r="E10428" t="s">
        <v>31243</v>
      </c>
    </row>
    <row r="10429" spans="1:5" x14ac:dyDescent="0.2">
      <c r="A10429" t="s">
        <v>31244</v>
      </c>
      <c r="B10429" t="s">
        <v>31245</v>
      </c>
      <c r="C10429" t="s">
        <v>31245</v>
      </c>
      <c r="D10429" t="str">
        <f>HYPERLINK("https://zfin.org/ZDB-GENE-030131-7649")</f>
        <v>https://zfin.org/ZDB-GENE-030131-7649</v>
      </c>
      <c r="E10429" t="s">
        <v>31246</v>
      </c>
    </row>
    <row r="10430" spans="1:5" x14ac:dyDescent="0.2">
      <c r="A10430" t="s">
        <v>31247</v>
      </c>
      <c r="B10430" t="s">
        <v>31248</v>
      </c>
      <c r="C10430" t="s">
        <v>31248</v>
      </c>
      <c r="D10430" t="str">
        <f>HYPERLINK("https://zfin.org/ZDB-GENE-120316-2")</f>
        <v>https://zfin.org/ZDB-GENE-120316-2</v>
      </c>
      <c r="E10430" t="s">
        <v>31249</v>
      </c>
    </row>
    <row r="10431" spans="1:5" x14ac:dyDescent="0.2">
      <c r="A10431" t="s">
        <v>31250</v>
      </c>
      <c r="B10431" t="s">
        <v>31251</v>
      </c>
      <c r="C10431" t="s">
        <v>31251</v>
      </c>
      <c r="D10431" t="str">
        <f>HYPERLINK("https://zfin.org/ZDB-GENE-001212-6")</f>
        <v>https://zfin.org/ZDB-GENE-001212-6</v>
      </c>
      <c r="E10431" t="s">
        <v>31252</v>
      </c>
    </row>
    <row r="10432" spans="1:5" x14ac:dyDescent="0.2">
      <c r="A10432" t="s">
        <v>31253</v>
      </c>
      <c r="B10432" t="s">
        <v>31254</v>
      </c>
      <c r="C10432" t="s">
        <v>31254</v>
      </c>
      <c r="D10432" t="str">
        <f>HYPERLINK("https://zfin.org/ZDB-GENE-020731-5")</f>
        <v>https://zfin.org/ZDB-GENE-020731-5</v>
      </c>
      <c r="E10432" t="s">
        <v>31255</v>
      </c>
    </row>
    <row r="10433" spans="1:5" x14ac:dyDescent="0.2">
      <c r="A10433" t="s">
        <v>31256</v>
      </c>
      <c r="B10433" t="s">
        <v>31257</v>
      </c>
      <c r="C10433" t="s">
        <v>31257</v>
      </c>
      <c r="D10433" t="str">
        <f>HYPERLINK("https://zfin.org/ZDB-GENE-071120-4")</f>
        <v>https://zfin.org/ZDB-GENE-071120-4</v>
      </c>
      <c r="E10433" t="s">
        <v>31258</v>
      </c>
    </row>
    <row r="10434" spans="1:5" x14ac:dyDescent="0.2">
      <c r="A10434" t="s">
        <v>31259</v>
      </c>
      <c r="B10434" t="s">
        <v>31260</v>
      </c>
      <c r="C10434" t="s">
        <v>31260</v>
      </c>
      <c r="D10434" t="str">
        <f>HYPERLINK("https://zfin.org/ZDB-GENE-050809-112")</f>
        <v>https://zfin.org/ZDB-GENE-050809-112</v>
      </c>
      <c r="E10434" t="s">
        <v>31261</v>
      </c>
    </row>
    <row r="10435" spans="1:5" x14ac:dyDescent="0.2">
      <c r="A10435" t="s">
        <v>31262</v>
      </c>
      <c r="B10435" t="s">
        <v>31263</v>
      </c>
      <c r="C10435" t="s">
        <v>31263</v>
      </c>
      <c r="D10435" t="str">
        <f>HYPERLINK("https://zfin.org/ZDB-GENE-110804-2")</f>
        <v>https://zfin.org/ZDB-GENE-110804-2</v>
      </c>
      <c r="E10435" t="s">
        <v>31264</v>
      </c>
    </row>
    <row r="10436" spans="1:5" x14ac:dyDescent="0.2">
      <c r="A10436" t="s">
        <v>31265</v>
      </c>
      <c r="B10436" t="s">
        <v>31266</v>
      </c>
      <c r="C10436" t="s">
        <v>31266</v>
      </c>
      <c r="D10436" t="str">
        <f>HYPERLINK("https://zfin.org/ZDB-GENE-030131-6498")</f>
        <v>https://zfin.org/ZDB-GENE-030131-6498</v>
      </c>
      <c r="E10436" t="s">
        <v>31267</v>
      </c>
    </row>
    <row r="10437" spans="1:5" x14ac:dyDescent="0.2">
      <c r="A10437" t="s">
        <v>31268</v>
      </c>
      <c r="B10437" t="s">
        <v>31269</v>
      </c>
      <c r="C10437" t="s">
        <v>31269</v>
      </c>
      <c r="D10437" t="str">
        <f>HYPERLINK("https://zfin.org/ZDB-GENE-030131-5796")</f>
        <v>https://zfin.org/ZDB-GENE-030131-5796</v>
      </c>
      <c r="E10437" t="s">
        <v>31270</v>
      </c>
    </row>
    <row r="10438" spans="1:5" x14ac:dyDescent="0.2">
      <c r="A10438" t="s">
        <v>31271</v>
      </c>
      <c r="B10438" t="s">
        <v>31272</v>
      </c>
      <c r="C10438" t="s">
        <v>31272</v>
      </c>
      <c r="D10438" t="str">
        <f>HYPERLINK("https://zfin.org/ZDB-GENE-040625-180")</f>
        <v>https://zfin.org/ZDB-GENE-040625-180</v>
      </c>
      <c r="E10438" t="s">
        <v>31273</v>
      </c>
    </row>
    <row r="10439" spans="1:5" x14ac:dyDescent="0.2">
      <c r="A10439" t="s">
        <v>31274</v>
      </c>
      <c r="B10439" t="s">
        <v>31275</v>
      </c>
      <c r="C10439" t="s">
        <v>31275</v>
      </c>
      <c r="D10439" t="str">
        <f>HYPERLINK("https://zfin.org/ZDB-GENE-040801-234")</f>
        <v>https://zfin.org/ZDB-GENE-040801-234</v>
      </c>
      <c r="E10439" t="s">
        <v>31276</v>
      </c>
    </row>
    <row r="10440" spans="1:5" x14ac:dyDescent="0.2">
      <c r="A10440" t="s">
        <v>31277</v>
      </c>
      <c r="B10440" t="s">
        <v>31278</v>
      </c>
      <c r="C10440" t="s">
        <v>31278</v>
      </c>
      <c r="D10440" t="str">
        <f>HYPERLINK("https://zfin.org/ZDB-GENE-041001-115")</f>
        <v>https://zfin.org/ZDB-GENE-041001-115</v>
      </c>
      <c r="E10440" t="s">
        <v>31279</v>
      </c>
    </row>
    <row r="10441" spans="1:5" x14ac:dyDescent="0.2">
      <c r="A10441" t="s">
        <v>31280</v>
      </c>
      <c r="B10441" t="s">
        <v>31281</v>
      </c>
      <c r="C10441" t="s">
        <v>31281</v>
      </c>
      <c r="D10441" t="str">
        <f>HYPERLINK("https://zfin.org/ZDB-GENE-041212-81")</f>
        <v>https://zfin.org/ZDB-GENE-041212-81</v>
      </c>
      <c r="E10441" t="s">
        <v>31282</v>
      </c>
    </row>
    <row r="10442" spans="1:5" x14ac:dyDescent="0.2">
      <c r="A10442" t="s">
        <v>31283</v>
      </c>
      <c r="B10442" t="s">
        <v>31284</v>
      </c>
      <c r="C10442" t="s">
        <v>31284</v>
      </c>
      <c r="D10442" t="str">
        <f>HYPERLINK("https://zfin.org/ZDB-GENE-031001-8")</f>
        <v>https://zfin.org/ZDB-GENE-031001-8</v>
      </c>
      <c r="E10442" t="s">
        <v>31285</v>
      </c>
    </row>
    <row r="10443" spans="1:5" x14ac:dyDescent="0.2">
      <c r="A10443" t="s">
        <v>31286</v>
      </c>
      <c r="B10443" t="s">
        <v>31287</v>
      </c>
      <c r="C10443" t="s">
        <v>31287</v>
      </c>
      <c r="D10443" t="str">
        <f>HYPERLINK("https://zfin.org/ZDB-GENE-040426-879")</f>
        <v>https://zfin.org/ZDB-GENE-040426-879</v>
      </c>
      <c r="E10443" t="s">
        <v>31288</v>
      </c>
    </row>
    <row r="10444" spans="1:5" x14ac:dyDescent="0.2">
      <c r="A10444" t="s">
        <v>31289</v>
      </c>
      <c r="B10444" t="s">
        <v>31290</v>
      </c>
      <c r="C10444" t="s">
        <v>31290</v>
      </c>
      <c r="D10444" t="str">
        <f>HYPERLINK("https://zfin.org/ZDB-GENE-100513-3")</f>
        <v>https://zfin.org/ZDB-GENE-100513-3</v>
      </c>
      <c r="E10444" t="s">
        <v>31291</v>
      </c>
    </row>
    <row r="10445" spans="1:5" x14ac:dyDescent="0.2">
      <c r="A10445" t="s">
        <v>31292</v>
      </c>
      <c r="B10445" t="s">
        <v>31293</v>
      </c>
      <c r="C10445" t="s">
        <v>31293</v>
      </c>
      <c r="D10445" t="str">
        <f>HYPERLINK("https://zfin.org/ZDB-GENE-050517-31")</f>
        <v>https://zfin.org/ZDB-GENE-050517-31</v>
      </c>
      <c r="E10445" t="s">
        <v>31294</v>
      </c>
    </row>
    <row r="10446" spans="1:5" x14ac:dyDescent="0.2">
      <c r="A10446" t="s">
        <v>31295</v>
      </c>
      <c r="B10446" t="s">
        <v>31296</v>
      </c>
      <c r="C10446" t="s">
        <v>31296</v>
      </c>
      <c r="D10446" t="str">
        <f>HYPERLINK("https://zfin.org/ZDB-GENE-030131-8494")</f>
        <v>https://zfin.org/ZDB-GENE-030131-8494</v>
      </c>
      <c r="E10446" t="s">
        <v>31297</v>
      </c>
    </row>
    <row r="10447" spans="1:5" x14ac:dyDescent="0.2">
      <c r="A10447" t="s">
        <v>31298</v>
      </c>
      <c r="B10447" t="s">
        <v>31299</v>
      </c>
      <c r="C10447" t="s">
        <v>31299</v>
      </c>
      <c r="D10447" t="str">
        <f>HYPERLINK("https://zfin.org/ZDB-GENE-070523-1")</f>
        <v>https://zfin.org/ZDB-GENE-070523-1</v>
      </c>
      <c r="E10447" t="s">
        <v>31300</v>
      </c>
    </row>
    <row r="10448" spans="1:5" x14ac:dyDescent="0.2">
      <c r="A10448" t="s">
        <v>31301</v>
      </c>
      <c r="B10448" t="s">
        <v>31302</v>
      </c>
      <c r="C10448" t="s">
        <v>31302</v>
      </c>
      <c r="D10448" t="str">
        <f>HYPERLINK("https://zfin.org/ZDB-GENE-030131-8203")</f>
        <v>https://zfin.org/ZDB-GENE-030131-8203</v>
      </c>
      <c r="E10448" t="s">
        <v>31303</v>
      </c>
    </row>
    <row r="10449" spans="1:5" x14ac:dyDescent="0.2">
      <c r="A10449" t="s">
        <v>31304</v>
      </c>
      <c r="B10449" t="s">
        <v>31305</v>
      </c>
      <c r="C10449" t="s">
        <v>31305</v>
      </c>
      <c r="D10449" t="str">
        <f>HYPERLINK("https://zfin.org/ZDB-GENE-060421-2756")</f>
        <v>https://zfin.org/ZDB-GENE-060421-2756</v>
      </c>
      <c r="E10449" t="s">
        <v>31306</v>
      </c>
    </row>
    <row r="10450" spans="1:5" x14ac:dyDescent="0.2">
      <c r="A10450" t="s">
        <v>31307</v>
      </c>
      <c r="B10450" t="s">
        <v>31308</v>
      </c>
      <c r="C10450" t="s">
        <v>31308</v>
      </c>
      <c r="D10450" t="str">
        <f>HYPERLINK("https://zfin.org/ZDB-GENE-041212-43")</f>
        <v>https://zfin.org/ZDB-GENE-041212-43</v>
      </c>
      <c r="E10450" t="s">
        <v>31309</v>
      </c>
    </row>
    <row r="10451" spans="1:5" x14ac:dyDescent="0.2">
      <c r="A10451" t="s">
        <v>31310</v>
      </c>
      <c r="B10451" t="s">
        <v>31311</v>
      </c>
      <c r="C10451" t="s">
        <v>31311</v>
      </c>
      <c r="D10451" t="str">
        <f>HYPERLINK("https://zfin.org/ZDB-GENE-030131-3529")</f>
        <v>https://zfin.org/ZDB-GENE-030131-3529</v>
      </c>
      <c r="E10451" t="s">
        <v>31312</v>
      </c>
    </row>
    <row r="10452" spans="1:5" x14ac:dyDescent="0.2">
      <c r="A10452" t="s">
        <v>31313</v>
      </c>
      <c r="B10452" t="s">
        <v>31314</v>
      </c>
      <c r="C10452" t="s">
        <v>31314</v>
      </c>
      <c r="D10452" t="str">
        <f>HYPERLINK("https://zfin.org/ZDB-GENE-041010-32")</f>
        <v>https://zfin.org/ZDB-GENE-041010-32</v>
      </c>
      <c r="E10452" t="s">
        <v>31315</v>
      </c>
    </row>
    <row r="10453" spans="1:5" x14ac:dyDescent="0.2">
      <c r="A10453" t="s">
        <v>31316</v>
      </c>
      <c r="B10453" t="s">
        <v>31317</v>
      </c>
      <c r="C10453" t="s">
        <v>31317</v>
      </c>
      <c r="D10453" t="str">
        <f>HYPERLINK("https://zfin.org/ZDB-GENE-050522-127")</f>
        <v>https://zfin.org/ZDB-GENE-050522-127</v>
      </c>
      <c r="E10453" t="s">
        <v>31318</v>
      </c>
    </row>
    <row r="10454" spans="1:5" x14ac:dyDescent="0.2">
      <c r="A10454" t="s">
        <v>31319</v>
      </c>
      <c r="B10454" t="s">
        <v>31320</v>
      </c>
      <c r="C10454" t="s">
        <v>31320</v>
      </c>
      <c r="D10454" t="str">
        <f>HYPERLINK("https://zfin.org/ZDB-GENE-040718-297")</f>
        <v>https://zfin.org/ZDB-GENE-040718-297</v>
      </c>
      <c r="E10454" t="s">
        <v>31321</v>
      </c>
    </row>
    <row r="10455" spans="1:5" x14ac:dyDescent="0.2">
      <c r="A10455" t="s">
        <v>31322</v>
      </c>
      <c r="B10455" t="s">
        <v>31323</v>
      </c>
      <c r="C10455" t="s">
        <v>31323</v>
      </c>
      <c r="D10455" t="str">
        <f>HYPERLINK("https://zfin.org/ZDB-GENE-040622-2")</f>
        <v>https://zfin.org/ZDB-GENE-040622-2</v>
      </c>
      <c r="E10455" t="s">
        <v>31324</v>
      </c>
    </row>
    <row r="10456" spans="1:5" x14ac:dyDescent="0.2">
      <c r="A10456" t="s">
        <v>31325</v>
      </c>
      <c r="B10456" t="s">
        <v>31326</v>
      </c>
      <c r="C10456" t="s">
        <v>31326</v>
      </c>
      <c r="D10456" t="str">
        <f>HYPERLINK("https://zfin.org/ZDB-GENE-040426-2061")</f>
        <v>https://zfin.org/ZDB-GENE-040426-2061</v>
      </c>
      <c r="E10456" t="s">
        <v>31327</v>
      </c>
    </row>
    <row r="10457" spans="1:5" x14ac:dyDescent="0.2">
      <c r="A10457" t="s">
        <v>31328</v>
      </c>
      <c r="B10457" t="s">
        <v>31329</v>
      </c>
      <c r="C10457" t="s">
        <v>31329</v>
      </c>
      <c r="D10457" t="str">
        <f>HYPERLINK("https://zfin.org/ZDB-GENE-030131-6705")</f>
        <v>https://zfin.org/ZDB-GENE-030131-6705</v>
      </c>
      <c r="E10457" t="s">
        <v>31330</v>
      </c>
    </row>
    <row r="10458" spans="1:5" x14ac:dyDescent="0.2">
      <c r="A10458" t="s">
        <v>31331</v>
      </c>
      <c r="B10458" t="s">
        <v>31332</v>
      </c>
      <c r="C10458" t="s">
        <v>31332</v>
      </c>
      <c r="D10458" t="str">
        <f>HYPERLINK("https://zfin.org/ZDB-GENE-030131-9771")</f>
        <v>https://zfin.org/ZDB-GENE-030131-9771</v>
      </c>
      <c r="E10458" t="s">
        <v>31333</v>
      </c>
    </row>
    <row r="10459" spans="1:5" x14ac:dyDescent="0.2">
      <c r="A10459" t="s">
        <v>31334</v>
      </c>
      <c r="B10459" t="s">
        <v>31335</v>
      </c>
      <c r="C10459" t="s">
        <v>31335</v>
      </c>
      <c r="D10459" t="str">
        <f>HYPERLINK("https://zfin.org/ZDB-GENE-050417-293")</f>
        <v>https://zfin.org/ZDB-GENE-050417-293</v>
      </c>
      <c r="E10459" t="s">
        <v>31336</v>
      </c>
    </row>
    <row r="10460" spans="1:5" x14ac:dyDescent="0.2">
      <c r="A10460" t="s">
        <v>31337</v>
      </c>
      <c r="B10460" t="s">
        <v>31338</v>
      </c>
      <c r="C10460" t="s">
        <v>31338</v>
      </c>
      <c r="D10460" t="str">
        <f>HYPERLINK("https://zfin.org/ZDB-GENE-050522-415")</f>
        <v>https://zfin.org/ZDB-GENE-050522-415</v>
      </c>
      <c r="E10460" t="s">
        <v>31339</v>
      </c>
    </row>
    <row r="10461" spans="1:5" x14ac:dyDescent="0.2">
      <c r="A10461" t="s">
        <v>31340</v>
      </c>
      <c r="B10461" t="s">
        <v>31341</v>
      </c>
      <c r="C10461" t="s">
        <v>31341</v>
      </c>
      <c r="D10461" t="str">
        <f>HYPERLINK("https://zfin.org/ZDB-GENE-090313-255")</f>
        <v>https://zfin.org/ZDB-GENE-090313-255</v>
      </c>
      <c r="E10461" t="s">
        <v>31342</v>
      </c>
    </row>
    <row r="10462" spans="1:5" x14ac:dyDescent="0.2">
      <c r="A10462" t="s">
        <v>31343</v>
      </c>
      <c r="B10462" t="s">
        <v>31344</v>
      </c>
      <c r="C10462" t="s">
        <v>31344</v>
      </c>
      <c r="D10462" t="str">
        <f>HYPERLINK("https://zfin.org/ZDB-GENE-040426-2621")</f>
        <v>https://zfin.org/ZDB-GENE-040426-2621</v>
      </c>
      <c r="E10462" t="s">
        <v>31345</v>
      </c>
    </row>
    <row r="10463" spans="1:5" x14ac:dyDescent="0.2">
      <c r="A10463" t="s">
        <v>31346</v>
      </c>
      <c r="B10463" t="s">
        <v>31347</v>
      </c>
      <c r="C10463" t="s">
        <v>31347</v>
      </c>
      <c r="D10463" t="str">
        <f>HYPERLINK("https://zfin.org/ZDB-GENE-100716-6")</f>
        <v>https://zfin.org/ZDB-GENE-100716-6</v>
      </c>
      <c r="E10463" t="s">
        <v>31348</v>
      </c>
    </row>
    <row r="10464" spans="1:5" x14ac:dyDescent="0.2">
      <c r="A10464" t="s">
        <v>31349</v>
      </c>
      <c r="B10464" t="s">
        <v>31350</v>
      </c>
      <c r="C10464" t="s">
        <v>31350</v>
      </c>
      <c r="D10464" t="str">
        <f>HYPERLINK("https://zfin.org/ZDB-GENE-980526-35")</f>
        <v>https://zfin.org/ZDB-GENE-980526-35</v>
      </c>
      <c r="E10464" t="s">
        <v>31351</v>
      </c>
    </row>
    <row r="10465" spans="1:5" x14ac:dyDescent="0.2">
      <c r="A10465" t="s">
        <v>31352</v>
      </c>
      <c r="B10465" t="s">
        <v>31353</v>
      </c>
      <c r="C10465" t="s">
        <v>31353</v>
      </c>
      <c r="D10465" t="str">
        <f>HYPERLINK("https://zfin.org/ZDB-GENE-081105-45")</f>
        <v>https://zfin.org/ZDB-GENE-081105-45</v>
      </c>
      <c r="E10465" t="s">
        <v>31354</v>
      </c>
    </row>
    <row r="10466" spans="1:5" x14ac:dyDescent="0.2">
      <c r="A10466" t="s">
        <v>31355</v>
      </c>
      <c r="B10466" t="s">
        <v>31356</v>
      </c>
      <c r="C10466" t="s">
        <v>31356</v>
      </c>
      <c r="D10466" t="str">
        <f>HYPERLINK("https://zfin.org/ZDB-GENE-100408-5")</f>
        <v>https://zfin.org/ZDB-GENE-100408-5</v>
      </c>
      <c r="E10466" t="s">
        <v>31357</v>
      </c>
    </row>
    <row r="10467" spans="1:5" x14ac:dyDescent="0.2">
      <c r="A10467" t="s">
        <v>31358</v>
      </c>
      <c r="B10467" t="s">
        <v>31359</v>
      </c>
      <c r="C10467" t="s">
        <v>31359</v>
      </c>
      <c r="D10467" t="str">
        <f>HYPERLINK("https://zfin.org/ZDB-GENE-040801-259")</f>
        <v>https://zfin.org/ZDB-GENE-040801-259</v>
      </c>
      <c r="E10467" t="s">
        <v>31360</v>
      </c>
    </row>
    <row r="10468" spans="1:5" x14ac:dyDescent="0.2">
      <c r="A10468" t="s">
        <v>31361</v>
      </c>
      <c r="B10468" t="s">
        <v>31362</v>
      </c>
      <c r="C10468" t="s">
        <v>31362</v>
      </c>
      <c r="D10468" t="str">
        <f>HYPERLINK("https://zfin.org/ZDB-GENE-091204-356")</f>
        <v>https://zfin.org/ZDB-GENE-091204-356</v>
      </c>
      <c r="E10468" t="s">
        <v>31363</v>
      </c>
    </row>
    <row r="10469" spans="1:5" x14ac:dyDescent="0.2">
      <c r="A10469" t="s">
        <v>31364</v>
      </c>
      <c r="B10469" t="s">
        <v>31365</v>
      </c>
      <c r="C10469" t="s">
        <v>31365</v>
      </c>
      <c r="D10469" t="str">
        <f>HYPERLINK("https://zfin.org/ZDB-GENE-031030-6")</f>
        <v>https://zfin.org/ZDB-GENE-031030-6</v>
      </c>
      <c r="E10469" t="s">
        <v>31366</v>
      </c>
    </row>
    <row r="10470" spans="1:5" x14ac:dyDescent="0.2">
      <c r="A10470" t="s">
        <v>31367</v>
      </c>
      <c r="B10470" t="s">
        <v>31368</v>
      </c>
      <c r="C10470" t="s">
        <v>31368</v>
      </c>
      <c r="D10470" t="str">
        <f>HYPERLINK("https://zfin.org/ZDB-GENE-051030-69")</f>
        <v>https://zfin.org/ZDB-GENE-051030-69</v>
      </c>
      <c r="E10470" t="s">
        <v>31369</v>
      </c>
    </row>
    <row r="10471" spans="1:5" x14ac:dyDescent="0.2">
      <c r="A10471" t="s">
        <v>31370</v>
      </c>
      <c r="B10471" t="s">
        <v>31371</v>
      </c>
      <c r="C10471" t="s">
        <v>31371</v>
      </c>
      <c r="D10471" t="str">
        <f>HYPERLINK("https://zfin.org/ZDB-GENE-040724-215")</f>
        <v>https://zfin.org/ZDB-GENE-040724-215</v>
      </c>
      <c r="E10471" t="s">
        <v>31372</v>
      </c>
    </row>
    <row r="10472" spans="1:5" x14ac:dyDescent="0.2">
      <c r="A10472" t="s">
        <v>31373</v>
      </c>
      <c r="B10472" t="s">
        <v>31374</v>
      </c>
      <c r="C10472" t="s">
        <v>31374</v>
      </c>
      <c r="D10472" t="str">
        <f>HYPERLINK("https://zfin.org/ZDB-GENE-040704-43")</f>
        <v>https://zfin.org/ZDB-GENE-040704-43</v>
      </c>
      <c r="E10472" t="s">
        <v>31375</v>
      </c>
    </row>
    <row r="10473" spans="1:5" x14ac:dyDescent="0.2">
      <c r="A10473" t="s">
        <v>31376</v>
      </c>
      <c r="B10473" t="s">
        <v>31377</v>
      </c>
      <c r="C10473" t="s">
        <v>31377</v>
      </c>
      <c r="D10473" t="str">
        <f>HYPERLINK("https://zfin.org/ZDB-GENE-040516-14")</f>
        <v>https://zfin.org/ZDB-GENE-040516-14</v>
      </c>
      <c r="E10473" t="s">
        <v>31378</v>
      </c>
    </row>
    <row r="10474" spans="1:5" x14ac:dyDescent="0.2">
      <c r="A10474" t="s">
        <v>31379</v>
      </c>
      <c r="B10474" t="s">
        <v>31380</v>
      </c>
      <c r="C10474" t="s">
        <v>31380</v>
      </c>
      <c r="D10474" t="str">
        <f>HYPERLINK("https://zfin.org/ZDB-GENE-010328-4")</f>
        <v>https://zfin.org/ZDB-GENE-010328-4</v>
      </c>
      <c r="E10474" t="s">
        <v>31381</v>
      </c>
    </row>
    <row r="10475" spans="1:5" x14ac:dyDescent="0.2">
      <c r="A10475" t="s">
        <v>31382</v>
      </c>
      <c r="B10475" t="s">
        <v>31383</v>
      </c>
      <c r="C10475" t="s">
        <v>31383</v>
      </c>
      <c r="D10475" t="str">
        <f>HYPERLINK("https://zfin.org/ZDB-GENE-050809-4")</f>
        <v>https://zfin.org/ZDB-GENE-050809-4</v>
      </c>
      <c r="E10475" t="s">
        <v>31384</v>
      </c>
    </row>
    <row r="10476" spans="1:5" x14ac:dyDescent="0.2">
      <c r="A10476" t="s">
        <v>31385</v>
      </c>
      <c r="B10476" t="s">
        <v>31386</v>
      </c>
      <c r="C10476" t="s">
        <v>31386</v>
      </c>
      <c r="D10476" t="str">
        <f>HYPERLINK("https://zfin.org/ZDB-GENE-100209-2")</f>
        <v>https://zfin.org/ZDB-GENE-100209-2</v>
      </c>
      <c r="E10476" t="s">
        <v>31387</v>
      </c>
    </row>
    <row r="10477" spans="1:5" x14ac:dyDescent="0.2">
      <c r="A10477" t="s">
        <v>31388</v>
      </c>
      <c r="B10477" t="s">
        <v>31389</v>
      </c>
      <c r="C10477" t="s">
        <v>31389</v>
      </c>
      <c r="D10477" t="str">
        <f>HYPERLINK("https://zfin.org/ZDB-GENE-050417-217")</f>
        <v>https://zfin.org/ZDB-GENE-050417-217</v>
      </c>
      <c r="E10477" t="s">
        <v>31390</v>
      </c>
    </row>
    <row r="10478" spans="1:5" x14ac:dyDescent="0.2">
      <c r="A10478" t="s">
        <v>31391</v>
      </c>
      <c r="B10478" t="s">
        <v>31392</v>
      </c>
      <c r="C10478" t="s">
        <v>31392</v>
      </c>
      <c r="D10478" t="str">
        <f>HYPERLINK("https://zfin.org/ZDB-GENE-131121-22")</f>
        <v>https://zfin.org/ZDB-GENE-131121-22</v>
      </c>
      <c r="E10478" t="s">
        <v>31393</v>
      </c>
    </row>
    <row r="10479" spans="1:5" x14ac:dyDescent="0.2">
      <c r="A10479" t="s">
        <v>31394</v>
      </c>
      <c r="B10479" t="s">
        <v>31395</v>
      </c>
      <c r="C10479" t="s">
        <v>31395</v>
      </c>
      <c r="D10479" t="str">
        <f>HYPERLINK("https://zfin.org/ZDB-GENE-050522-136")</f>
        <v>https://zfin.org/ZDB-GENE-050522-136</v>
      </c>
      <c r="E10479" t="s">
        <v>31396</v>
      </c>
    </row>
    <row r="10480" spans="1:5" x14ac:dyDescent="0.2">
      <c r="A10480" t="s">
        <v>31397</v>
      </c>
      <c r="B10480" t="s">
        <v>31398</v>
      </c>
      <c r="C10480" t="s">
        <v>31398</v>
      </c>
      <c r="D10480" t="str">
        <f>HYPERLINK("https://zfin.org/ZDB-GENE-030131-7204")</f>
        <v>https://zfin.org/ZDB-GENE-030131-7204</v>
      </c>
      <c r="E10480" t="s">
        <v>31399</v>
      </c>
    </row>
    <row r="10481" spans="1:5" x14ac:dyDescent="0.2">
      <c r="A10481" t="s">
        <v>31400</v>
      </c>
      <c r="B10481" t="s">
        <v>31401</v>
      </c>
      <c r="C10481" t="s">
        <v>31401</v>
      </c>
      <c r="D10481" t="str">
        <f>HYPERLINK("https://zfin.org/ZDB-GENE-050320-5")</f>
        <v>https://zfin.org/ZDB-GENE-050320-5</v>
      </c>
      <c r="E10481" t="s">
        <v>31402</v>
      </c>
    </row>
    <row r="10482" spans="1:5" x14ac:dyDescent="0.2">
      <c r="A10482" t="s">
        <v>31403</v>
      </c>
      <c r="B10482" t="s">
        <v>31404</v>
      </c>
      <c r="C10482" t="s">
        <v>31404</v>
      </c>
      <c r="D10482" t="str">
        <f>HYPERLINK("https://zfin.org/ZDB-GENE-050522-44")</f>
        <v>https://zfin.org/ZDB-GENE-050522-44</v>
      </c>
      <c r="E10482" t="s">
        <v>31405</v>
      </c>
    </row>
    <row r="10483" spans="1:5" x14ac:dyDescent="0.2">
      <c r="A10483" t="s">
        <v>31406</v>
      </c>
      <c r="B10483" t="s">
        <v>31407</v>
      </c>
      <c r="C10483" t="s">
        <v>31407</v>
      </c>
      <c r="D10483" t="str">
        <f>HYPERLINK("https://zfin.org/ZDB-GENE-070831-1")</f>
        <v>https://zfin.org/ZDB-GENE-070831-1</v>
      </c>
      <c r="E10483" t="s">
        <v>31408</v>
      </c>
    </row>
    <row r="10484" spans="1:5" x14ac:dyDescent="0.2">
      <c r="A10484" t="s">
        <v>31409</v>
      </c>
      <c r="B10484" t="s">
        <v>31410</v>
      </c>
      <c r="C10484" t="s">
        <v>31410</v>
      </c>
      <c r="D10484" t="str">
        <f>HYPERLINK("https://zfin.org/ZDB-GENE-070410-96")</f>
        <v>https://zfin.org/ZDB-GENE-070410-96</v>
      </c>
      <c r="E10484" t="s">
        <v>31411</v>
      </c>
    </row>
    <row r="10485" spans="1:5" x14ac:dyDescent="0.2">
      <c r="A10485" t="s">
        <v>31412</v>
      </c>
      <c r="B10485" t="s">
        <v>31413</v>
      </c>
      <c r="C10485" t="s">
        <v>31413</v>
      </c>
      <c r="D10485" t="str">
        <f>HYPERLINK("https://zfin.org/ZDB-GENE-050522-145")</f>
        <v>https://zfin.org/ZDB-GENE-050522-145</v>
      </c>
      <c r="E10485" t="s">
        <v>31414</v>
      </c>
    </row>
    <row r="10486" spans="1:5" x14ac:dyDescent="0.2">
      <c r="A10486" t="s">
        <v>31415</v>
      </c>
      <c r="B10486" t="s">
        <v>31416</v>
      </c>
      <c r="C10486" t="s">
        <v>31416</v>
      </c>
      <c r="D10486" t="str">
        <f>HYPERLINK("https://zfin.org/ZDB-GENE-040426-2485")</f>
        <v>https://zfin.org/ZDB-GENE-040426-2485</v>
      </c>
      <c r="E10486" t="s">
        <v>31417</v>
      </c>
    </row>
    <row r="10487" spans="1:5" x14ac:dyDescent="0.2">
      <c r="A10487" t="s">
        <v>31418</v>
      </c>
      <c r="B10487" t="s">
        <v>31419</v>
      </c>
      <c r="C10487" t="s">
        <v>31419</v>
      </c>
      <c r="D10487" t="str">
        <f>HYPERLINK("https://zfin.org/ZDB-GENE-050320-122")</f>
        <v>https://zfin.org/ZDB-GENE-050320-122</v>
      </c>
      <c r="E10487" t="s">
        <v>31420</v>
      </c>
    </row>
    <row r="10488" spans="1:5" x14ac:dyDescent="0.2">
      <c r="A10488" t="s">
        <v>31421</v>
      </c>
      <c r="B10488" t="s">
        <v>31422</v>
      </c>
      <c r="C10488" t="s">
        <v>31422</v>
      </c>
      <c r="D10488" t="str">
        <f>HYPERLINK("https://zfin.org/ZDB-GENE-040724-161")</f>
        <v>https://zfin.org/ZDB-GENE-040724-161</v>
      </c>
      <c r="E10488" t="s">
        <v>31423</v>
      </c>
    </row>
    <row r="10489" spans="1:5" x14ac:dyDescent="0.2">
      <c r="A10489" t="s">
        <v>31424</v>
      </c>
      <c r="B10489" t="s">
        <v>31425</v>
      </c>
      <c r="C10489" t="s">
        <v>31425</v>
      </c>
      <c r="D10489" t="str">
        <f>HYPERLINK("https://zfin.org/ZDB-GENE-030131-9443")</f>
        <v>https://zfin.org/ZDB-GENE-030131-9443</v>
      </c>
      <c r="E10489" t="s">
        <v>31426</v>
      </c>
    </row>
    <row r="10490" spans="1:5" x14ac:dyDescent="0.2">
      <c r="A10490" t="s">
        <v>31427</v>
      </c>
      <c r="B10490" t="s">
        <v>31428</v>
      </c>
      <c r="C10490" t="s">
        <v>31428</v>
      </c>
      <c r="D10490" t="str">
        <f>HYPERLINK("https://zfin.org/ZDB-GENE-041210-354")</f>
        <v>https://zfin.org/ZDB-GENE-041210-354</v>
      </c>
      <c r="E10490" t="s">
        <v>31429</v>
      </c>
    </row>
    <row r="10491" spans="1:5" x14ac:dyDescent="0.2">
      <c r="A10491" t="s">
        <v>31430</v>
      </c>
      <c r="B10491" t="s">
        <v>31431</v>
      </c>
      <c r="C10491" t="s">
        <v>31431</v>
      </c>
      <c r="D10491" t="str">
        <f>HYPERLINK("https://zfin.org/ZDB-GENE-050327-29")</f>
        <v>https://zfin.org/ZDB-GENE-050327-29</v>
      </c>
      <c r="E10491" t="s">
        <v>31432</v>
      </c>
    </row>
    <row r="10492" spans="1:5" x14ac:dyDescent="0.2">
      <c r="A10492" t="s">
        <v>31433</v>
      </c>
      <c r="B10492" t="s">
        <v>31434</v>
      </c>
      <c r="C10492" t="s">
        <v>31434</v>
      </c>
      <c r="D10492" t="str">
        <f>HYPERLINK("https://zfin.org/ZDB-GENE-100427-4")</f>
        <v>https://zfin.org/ZDB-GENE-100427-4</v>
      </c>
      <c r="E10492" t="s">
        <v>31435</v>
      </c>
    </row>
    <row r="10493" spans="1:5" x14ac:dyDescent="0.2">
      <c r="A10493" t="s">
        <v>31436</v>
      </c>
      <c r="B10493" t="s">
        <v>31437</v>
      </c>
      <c r="C10493" t="s">
        <v>31437</v>
      </c>
      <c r="D10493" t="str">
        <f>HYPERLINK("https://zfin.org/ZDB-GENE-990415-109")</f>
        <v>https://zfin.org/ZDB-GENE-990415-109</v>
      </c>
      <c r="E10493" t="s">
        <v>31438</v>
      </c>
    </row>
    <row r="10494" spans="1:5" x14ac:dyDescent="0.2">
      <c r="A10494" t="s">
        <v>31439</v>
      </c>
      <c r="B10494" t="s">
        <v>31440</v>
      </c>
      <c r="C10494" t="s">
        <v>31440</v>
      </c>
      <c r="D10494" t="str">
        <f>HYPERLINK("https://zfin.org/ZDB-GENE-040426-1081")</f>
        <v>https://zfin.org/ZDB-GENE-040426-1081</v>
      </c>
      <c r="E10494" t="s">
        <v>31441</v>
      </c>
    </row>
    <row r="10495" spans="1:5" x14ac:dyDescent="0.2">
      <c r="A10495" t="s">
        <v>31442</v>
      </c>
      <c r="B10495" t="s">
        <v>31443</v>
      </c>
      <c r="C10495" t="s">
        <v>31443</v>
      </c>
      <c r="D10495" t="str">
        <f>HYPERLINK("https://zfin.org/ZDB-GENE-041010-174")</f>
        <v>https://zfin.org/ZDB-GENE-041010-174</v>
      </c>
      <c r="E10495" t="s">
        <v>31444</v>
      </c>
    </row>
    <row r="10496" spans="1:5" x14ac:dyDescent="0.2">
      <c r="A10496" t="s">
        <v>31445</v>
      </c>
      <c r="B10496" t="s">
        <v>31446</v>
      </c>
      <c r="C10496" t="s">
        <v>31446</v>
      </c>
      <c r="D10496" t="str">
        <f>HYPERLINK("https://zfin.org/ZDB-GENE-030131-4633")</f>
        <v>https://zfin.org/ZDB-GENE-030131-4633</v>
      </c>
      <c r="E10496" t="s">
        <v>31447</v>
      </c>
    </row>
    <row r="10497" spans="1:5" x14ac:dyDescent="0.2">
      <c r="A10497" t="s">
        <v>31448</v>
      </c>
      <c r="B10497" t="s">
        <v>31449</v>
      </c>
      <c r="C10497" t="s">
        <v>31449</v>
      </c>
      <c r="D10497" t="str">
        <f>HYPERLINK("https://zfin.org/ZDB-GENE-040718-375")</f>
        <v>https://zfin.org/ZDB-GENE-040718-375</v>
      </c>
      <c r="E10497" t="s">
        <v>31450</v>
      </c>
    </row>
    <row r="10498" spans="1:5" x14ac:dyDescent="0.2">
      <c r="A10498" t="s">
        <v>31451</v>
      </c>
      <c r="B10498" t="s">
        <v>31452</v>
      </c>
      <c r="C10498" t="s">
        <v>31452</v>
      </c>
      <c r="D10498" t="str">
        <f>HYPERLINK("https://zfin.org/ZDB-GENE-061110-55")</f>
        <v>https://zfin.org/ZDB-GENE-061110-55</v>
      </c>
      <c r="E10498" t="s">
        <v>31453</v>
      </c>
    </row>
    <row r="10499" spans="1:5" x14ac:dyDescent="0.2">
      <c r="A10499" t="s">
        <v>31454</v>
      </c>
      <c r="B10499" t="s">
        <v>31455</v>
      </c>
      <c r="C10499" t="s">
        <v>31455</v>
      </c>
      <c r="D10499" t="str">
        <f>HYPERLINK("https://zfin.org/ZDB-GENE-030131-7531")</f>
        <v>https://zfin.org/ZDB-GENE-030131-7531</v>
      </c>
      <c r="E10499" t="s">
        <v>31456</v>
      </c>
    </row>
    <row r="10500" spans="1:5" x14ac:dyDescent="0.2">
      <c r="A10500" t="s">
        <v>31457</v>
      </c>
      <c r="B10500" t="s">
        <v>31458</v>
      </c>
      <c r="C10500" t="s">
        <v>31458</v>
      </c>
      <c r="D10500" t="str">
        <f>HYPERLINK("https://zfin.org/ZDB-GENE-100209-1")</f>
        <v>https://zfin.org/ZDB-GENE-100209-1</v>
      </c>
      <c r="E10500" t="s">
        <v>31459</v>
      </c>
    </row>
    <row r="10501" spans="1:5" x14ac:dyDescent="0.2">
      <c r="A10501" t="s">
        <v>31460</v>
      </c>
      <c r="B10501" t="s">
        <v>31461</v>
      </c>
      <c r="C10501" t="s">
        <v>31461</v>
      </c>
      <c r="D10501" t="str">
        <f>HYPERLINK("https://zfin.org/ZDB-GENE-040426-907")</f>
        <v>https://zfin.org/ZDB-GENE-040426-907</v>
      </c>
      <c r="E10501" t="s">
        <v>31462</v>
      </c>
    </row>
    <row r="10502" spans="1:5" x14ac:dyDescent="0.2">
      <c r="A10502" t="s">
        <v>31463</v>
      </c>
      <c r="B10502" t="s">
        <v>31464</v>
      </c>
      <c r="C10502" t="s">
        <v>31464</v>
      </c>
      <c r="D10502" t="str">
        <f>HYPERLINK("https://zfin.org/ZDB-GENE-030131-5742")</f>
        <v>https://zfin.org/ZDB-GENE-030131-5742</v>
      </c>
      <c r="E10502" t="s">
        <v>31465</v>
      </c>
    </row>
    <row r="10503" spans="1:5" x14ac:dyDescent="0.2">
      <c r="A10503" t="s">
        <v>31466</v>
      </c>
      <c r="B10503" t="s">
        <v>31467</v>
      </c>
      <c r="C10503" t="s">
        <v>31467</v>
      </c>
      <c r="D10503" t="str">
        <f>HYPERLINK("https://zfin.org/ZDB-GENE-090521-4")</f>
        <v>https://zfin.org/ZDB-GENE-090521-4</v>
      </c>
      <c r="E10503" t="s">
        <v>31468</v>
      </c>
    </row>
    <row r="10504" spans="1:5" x14ac:dyDescent="0.2">
      <c r="A10504" t="s">
        <v>31469</v>
      </c>
      <c r="B10504" t="s">
        <v>31470</v>
      </c>
      <c r="C10504" t="s">
        <v>31471</v>
      </c>
      <c r="D10504" t="str">
        <f>HYPERLINK("https://zfin.org/ZDB-GENE-081119-4")</f>
        <v>https://zfin.org/ZDB-GENE-081119-4</v>
      </c>
      <c r="E10504" t="s">
        <v>31472</v>
      </c>
    </row>
    <row r="10505" spans="1:5" x14ac:dyDescent="0.2">
      <c r="A10505" t="s">
        <v>31473</v>
      </c>
      <c r="B10505" t="s">
        <v>31474</v>
      </c>
      <c r="C10505" t="s">
        <v>31474</v>
      </c>
      <c r="D10505" t="str">
        <f>HYPERLINK("https://zfin.org/ZDB-GENE-030616-404")</f>
        <v>https://zfin.org/ZDB-GENE-030616-404</v>
      </c>
      <c r="E10505" t="s">
        <v>31475</v>
      </c>
    </row>
    <row r="10506" spans="1:5" x14ac:dyDescent="0.2">
      <c r="A10506" t="s">
        <v>31476</v>
      </c>
      <c r="B10506" t="s">
        <v>31477</v>
      </c>
      <c r="C10506" t="s">
        <v>31477</v>
      </c>
      <c r="D10506" t="str">
        <f>HYPERLINK("https://zfin.org/ZDB-GENE-120216-1")</f>
        <v>https://zfin.org/ZDB-GENE-120216-1</v>
      </c>
      <c r="E10506" t="s">
        <v>31478</v>
      </c>
    </row>
    <row r="10507" spans="1:5" x14ac:dyDescent="0.2">
      <c r="A10507" t="s">
        <v>31479</v>
      </c>
      <c r="B10507" t="s">
        <v>31480</v>
      </c>
      <c r="C10507" t="s">
        <v>31480</v>
      </c>
      <c r="D10507" t="str">
        <f>HYPERLINK("https://zfin.org/ZDB-GENE-070410-26")</f>
        <v>https://zfin.org/ZDB-GENE-070410-26</v>
      </c>
      <c r="E10507" t="s">
        <v>31481</v>
      </c>
    </row>
    <row r="10508" spans="1:5" x14ac:dyDescent="0.2">
      <c r="A10508" t="s">
        <v>31482</v>
      </c>
      <c r="B10508" t="s">
        <v>31483</v>
      </c>
      <c r="C10508" t="s">
        <v>31483</v>
      </c>
      <c r="D10508" t="str">
        <f>HYPERLINK("https://zfin.org/ZDB-GENE-070912-191")</f>
        <v>https://zfin.org/ZDB-GENE-070912-191</v>
      </c>
      <c r="E10508" t="s">
        <v>31484</v>
      </c>
    </row>
    <row r="10509" spans="1:5" x14ac:dyDescent="0.2">
      <c r="A10509" t="s">
        <v>31485</v>
      </c>
      <c r="B10509" t="s">
        <v>31486</v>
      </c>
      <c r="C10509" t="s">
        <v>31486</v>
      </c>
      <c r="D10509" t="str">
        <f>HYPERLINK("https://zfin.org/ZDB-GENE-070410-3")</f>
        <v>https://zfin.org/ZDB-GENE-070410-3</v>
      </c>
      <c r="E10509" t="s">
        <v>31487</v>
      </c>
    </row>
    <row r="10510" spans="1:5" x14ac:dyDescent="0.2">
      <c r="A10510" t="s">
        <v>31488</v>
      </c>
      <c r="B10510" t="s">
        <v>31489</v>
      </c>
      <c r="C10510" t="s">
        <v>31489</v>
      </c>
      <c r="D10510" t="str">
        <f>HYPERLINK("https://zfin.org/ZDB-GENE-030131-6485")</f>
        <v>https://zfin.org/ZDB-GENE-030131-6485</v>
      </c>
      <c r="E10510" t="s">
        <v>31490</v>
      </c>
    </row>
    <row r="10511" spans="1:5" x14ac:dyDescent="0.2">
      <c r="A10511" t="s">
        <v>31491</v>
      </c>
      <c r="B10511" t="s">
        <v>31492</v>
      </c>
      <c r="C10511" t="s">
        <v>31492</v>
      </c>
      <c r="D10511" t="str">
        <f>HYPERLINK("https://zfin.org/ZDB-GENE-030131-3016")</f>
        <v>https://zfin.org/ZDB-GENE-030131-3016</v>
      </c>
      <c r="E10511" t="s">
        <v>31493</v>
      </c>
    </row>
    <row r="10512" spans="1:5" x14ac:dyDescent="0.2">
      <c r="A10512" t="s">
        <v>31494</v>
      </c>
      <c r="B10512" t="s">
        <v>31495</v>
      </c>
      <c r="C10512" t="s">
        <v>31495</v>
      </c>
      <c r="D10512" t="str">
        <f>HYPERLINK("https://zfin.org/ZDB-GENE-050320-101")</f>
        <v>https://zfin.org/ZDB-GENE-050320-101</v>
      </c>
      <c r="E10512" t="s">
        <v>31496</v>
      </c>
    </row>
    <row r="10513" spans="1:5" x14ac:dyDescent="0.2">
      <c r="A10513" t="s">
        <v>31497</v>
      </c>
      <c r="B10513" t="s">
        <v>31498</v>
      </c>
      <c r="C10513" t="s">
        <v>31498</v>
      </c>
      <c r="D10513" t="str">
        <f>HYPERLINK("https://zfin.org/ZDB-GENE-060526-51")</f>
        <v>https://zfin.org/ZDB-GENE-060526-51</v>
      </c>
      <c r="E10513" t="s">
        <v>31499</v>
      </c>
    </row>
    <row r="10514" spans="1:5" x14ac:dyDescent="0.2">
      <c r="A10514" t="s">
        <v>31500</v>
      </c>
      <c r="B10514" t="s">
        <v>31501</v>
      </c>
      <c r="C10514" t="s">
        <v>31501</v>
      </c>
      <c r="D10514" t="str">
        <f>HYPERLINK("https://zfin.org/ZDB-GENE-121214-209")</f>
        <v>https://zfin.org/ZDB-GENE-121214-209</v>
      </c>
      <c r="E10514" t="s">
        <v>31502</v>
      </c>
    </row>
    <row r="10515" spans="1:5" x14ac:dyDescent="0.2">
      <c r="A10515" t="s">
        <v>31503</v>
      </c>
      <c r="B10515" t="s">
        <v>31504</v>
      </c>
      <c r="C10515" t="s">
        <v>31504</v>
      </c>
      <c r="D10515" t="str">
        <f>HYPERLINK("https://zfin.org/ZDB-GENE-030616-405")</f>
        <v>https://zfin.org/ZDB-GENE-030616-405</v>
      </c>
      <c r="E10515" t="s">
        <v>31505</v>
      </c>
    </row>
    <row r="10516" spans="1:5" x14ac:dyDescent="0.2">
      <c r="A10516" t="s">
        <v>31506</v>
      </c>
      <c r="B10516" t="s">
        <v>31507</v>
      </c>
      <c r="C10516" t="s">
        <v>31507</v>
      </c>
      <c r="D10516" t="str">
        <f>HYPERLINK("https://zfin.org/ZDB-GENE-030131-2422")</f>
        <v>https://zfin.org/ZDB-GENE-030131-2422</v>
      </c>
      <c r="E10516" t="s">
        <v>31508</v>
      </c>
    </row>
    <row r="10517" spans="1:5" x14ac:dyDescent="0.2">
      <c r="A10517" t="s">
        <v>31509</v>
      </c>
      <c r="B10517" t="s">
        <v>31510</v>
      </c>
      <c r="C10517" t="s">
        <v>31510</v>
      </c>
      <c r="D10517" t="str">
        <f>HYPERLINK("https://zfin.org/ZDB-GENE-040426-1038")</f>
        <v>https://zfin.org/ZDB-GENE-040426-1038</v>
      </c>
      <c r="E10517" t="s">
        <v>31511</v>
      </c>
    </row>
    <row r="10518" spans="1:5" x14ac:dyDescent="0.2">
      <c r="A10518" t="s">
        <v>31512</v>
      </c>
      <c r="B10518" t="s">
        <v>31513</v>
      </c>
      <c r="C10518" t="s">
        <v>31513</v>
      </c>
      <c r="D10518" t="str">
        <f>HYPERLINK("https://zfin.org/ZDB-GENE-030131-3975")</f>
        <v>https://zfin.org/ZDB-GENE-030131-3975</v>
      </c>
      <c r="E10518" t="s">
        <v>31514</v>
      </c>
    </row>
    <row r="10519" spans="1:5" x14ac:dyDescent="0.2">
      <c r="A10519" t="s">
        <v>31515</v>
      </c>
      <c r="B10519" t="s">
        <v>31516</v>
      </c>
      <c r="C10519" t="s">
        <v>31516</v>
      </c>
      <c r="D10519" t="str">
        <f>HYPERLINK("https://zfin.org/ZDB-GENE-110914-244")</f>
        <v>https://zfin.org/ZDB-GENE-110914-244</v>
      </c>
      <c r="E10519" t="s">
        <v>31517</v>
      </c>
    </row>
    <row r="10520" spans="1:5" x14ac:dyDescent="0.2">
      <c r="A10520" t="s">
        <v>31518</v>
      </c>
      <c r="B10520" t="s">
        <v>31519</v>
      </c>
      <c r="C10520" t="s">
        <v>31519</v>
      </c>
      <c r="D10520" t="str">
        <f>HYPERLINK("https://zfin.org/ZDB-GENE-040426-1301")</f>
        <v>https://zfin.org/ZDB-GENE-040426-1301</v>
      </c>
      <c r="E10520" t="s">
        <v>31520</v>
      </c>
    </row>
    <row r="10521" spans="1:5" x14ac:dyDescent="0.2">
      <c r="A10521" t="s">
        <v>31521</v>
      </c>
      <c r="B10521" t="s">
        <v>31522</v>
      </c>
      <c r="C10521" t="s">
        <v>31522</v>
      </c>
      <c r="D10521" t="str">
        <f>HYPERLINK("https://zfin.org/ZDB-GENE-030131-6975")</f>
        <v>https://zfin.org/ZDB-GENE-030131-6975</v>
      </c>
      <c r="E10521" t="s">
        <v>31523</v>
      </c>
    </row>
    <row r="10522" spans="1:5" x14ac:dyDescent="0.2">
      <c r="A10522" t="s">
        <v>31524</v>
      </c>
      <c r="B10522" t="s">
        <v>31525</v>
      </c>
      <c r="C10522" t="s">
        <v>31525</v>
      </c>
      <c r="D10522" t="str">
        <f>HYPERLINK("https://zfin.org/ZDB-GENE-100304-1")</f>
        <v>https://zfin.org/ZDB-GENE-100304-1</v>
      </c>
      <c r="E10522" t="s">
        <v>31526</v>
      </c>
    </row>
    <row r="10523" spans="1:5" x14ac:dyDescent="0.2">
      <c r="A10523" t="s">
        <v>31527</v>
      </c>
      <c r="B10523" t="s">
        <v>31528</v>
      </c>
      <c r="C10523" t="s">
        <v>31528</v>
      </c>
      <c r="D10523" t="str">
        <f>HYPERLINK("https://zfin.org/ZDB-GENE-041111-272")</f>
        <v>https://zfin.org/ZDB-GENE-041111-272</v>
      </c>
      <c r="E10523" t="s">
        <v>31529</v>
      </c>
    </row>
    <row r="10524" spans="1:5" x14ac:dyDescent="0.2">
      <c r="A10524" t="s">
        <v>31530</v>
      </c>
      <c r="B10524" t="s">
        <v>31531</v>
      </c>
      <c r="C10524" t="s">
        <v>31531</v>
      </c>
      <c r="D10524" t="str">
        <f>HYPERLINK("https://zfin.org/ZDB-GENE-041008-78")</f>
        <v>https://zfin.org/ZDB-GENE-041008-78</v>
      </c>
      <c r="E10524" t="s">
        <v>31532</v>
      </c>
    </row>
    <row r="10525" spans="1:5" x14ac:dyDescent="0.2">
      <c r="A10525" t="s">
        <v>31533</v>
      </c>
      <c r="B10525" t="s">
        <v>31534</v>
      </c>
      <c r="C10525" t="s">
        <v>31534</v>
      </c>
      <c r="D10525" t="str">
        <f>HYPERLINK("https://zfin.org/ZDB-GENE-030131-2317")</f>
        <v>https://zfin.org/ZDB-GENE-030131-2317</v>
      </c>
      <c r="E10525" t="s">
        <v>31535</v>
      </c>
    </row>
    <row r="10526" spans="1:5" x14ac:dyDescent="0.2">
      <c r="A10526" t="s">
        <v>31536</v>
      </c>
      <c r="B10526" t="s">
        <v>31537</v>
      </c>
      <c r="C10526" t="s">
        <v>31537</v>
      </c>
      <c r="D10526" t="str">
        <f>HYPERLINK("https://zfin.org/ZDB-GENE-050227-7")</f>
        <v>https://zfin.org/ZDB-GENE-050227-7</v>
      </c>
      <c r="E10526" t="s">
        <v>31538</v>
      </c>
    </row>
    <row r="10527" spans="1:5" x14ac:dyDescent="0.2">
      <c r="A10527" t="s">
        <v>31539</v>
      </c>
      <c r="B10527" t="s">
        <v>31540</v>
      </c>
      <c r="C10527" t="s">
        <v>31540</v>
      </c>
      <c r="D10527" t="str">
        <f>HYPERLINK("https://zfin.org/ZDB-GENE-020111-2")</f>
        <v>https://zfin.org/ZDB-GENE-020111-2</v>
      </c>
      <c r="E10527" t="s">
        <v>31541</v>
      </c>
    </row>
    <row r="10528" spans="1:5" x14ac:dyDescent="0.2">
      <c r="A10528" t="s">
        <v>31542</v>
      </c>
      <c r="B10528" t="s">
        <v>31543</v>
      </c>
      <c r="C10528" t="s">
        <v>31543</v>
      </c>
      <c r="D10528" t="str">
        <f>HYPERLINK("https://zfin.org/ZDB-GENE-021217-1")</f>
        <v>https://zfin.org/ZDB-GENE-021217-1</v>
      </c>
      <c r="E10528" t="s">
        <v>31544</v>
      </c>
    </row>
    <row r="10529" spans="1:5" x14ac:dyDescent="0.2">
      <c r="A10529" t="s">
        <v>31545</v>
      </c>
      <c r="B10529" t="s">
        <v>31546</v>
      </c>
      <c r="C10529" t="s">
        <v>31546</v>
      </c>
      <c r="D10529" t="str">
        <f>HYPERLINK("https://zfin.org/ZDB-GENE-030616-629")</f>
        <v>https://zfin.org/ZDB-GENE-030616-629</v>
      </c>
      <c r="E10529" t="s">
        <v>31547</v>
      </c>
    </row>
    <row r="10530" spans="1:5" x14ac:dyDescent="0.2">
      <c r="A10530" t="s">
        <v>31548</v>
      </c>
      <c r="B10530" t="s">
        <v>31549</v>
      </c>
      <c r="C10530" t="s">
        <v>31549</v>
      </c>
      <c r="D10530" t="str">
        <f>HYPERLINK("https://zfin.org/ZDB-GENE-030131-4327")</f>
        <v>https://zfin.org/ZDB-GENE-030131-4327</v>
      </c>
      <c r="E10530" t="s">
        <v>31550</v>
      </c>
    </row>
    <row r="10531" spans="1:5" x14ac:dyDescent="0.2">
      <c r="A10531" t="s">
        <v>31551</v>
      </c>
      <c r="B10531" t="s">
        <v>31552</v>
      </c>
      <c r="C10531" t="s">
        <v>31552</v>
      </c>
      <c r="D10531" t="str">
        <f>HYPERLINK("https://zfin.org/ZDB-GENE-040426-1397")</f>
        <v>https://zfin.org/ZDB-GENE-040426-1397</v>
      </c>
      <c r="E10531" t="s">
        <v>31553</v>
      </c>
    </row>
    <row r="10532" spans="1:5" x14ac:dyDescent="0.2">
      <c r="A10532" t="s">
        <v>31554</v>
      </c>
      <c r="B10532" t="s">
        <v>31555</v>
      </c>
      <c r="C10532" t="s">
        <v>31555</v>
      </c>
      <c r="D10532" t="str">
        <f>HYPERLINK("https://zfin.org/ZDB-GENE-030131-2299")</f>
        <v>https://zfin.org/ZDB-GENE-030131-2299</v>
      </c>
      <c r="E10532" t="s">
        <v>31556</v>
      </c>
    </row>
    <row r="10533" spans="1:5" x14ac:dyDescent="0.2">
      <c r="A10533" t="s">
        <v>31557</v>
      </c>
      <c r="B10533" t="s">
        <v>31558</v>
      </c>
      <c r="C10533" t="s">
        <v>31558</v>
      </c>
      <c r="D10533" t="str">
        <f>HYPERLINK("https://zfin.org/ZDB-GENE-030219-119")</f>
        <v>https://zfin.org/ZDB-GENE-030219-119</v>
      </c>
      <c r="E10533" t="s">
        <v>31559</v>
      </c>
    </row>
    <row r="10534" spans="1:5" x14ac:dyDescent="0.2">
      <c r="A10534" t="s">
        <v>31560</v>
      </c>
      <c r="B10534" t="s">
        <v>31561</v>
      </c>
      <c r="C10534" t="s">
        <v>31561</v>
      </c>
      <c r="D10534" t="str">
        <f>HYPERLINK("https://zfin.org/ZDB-GENE-041014-208")</f>
        <v>https://zfin.org/ZDB-GENE-041014-208</v>
      </c>
      <c r="E10534" t="s">
        <v>31562</v>
      </c>
    </row>
    <row r="10535" spans="1:5" x14ac:dyDescent="0.2">
      <c r="A10535" t="s">
        <v>31563</v>
      </c>
      <c r="B10535" t="s">
        <v>31564</v>
      </c>
      <c r="C10535" t="s">
        <v>31564</v>
      </c>
      <c r="D10535" t="str">
        <f>HYPERLINK("https://zfin.org/ZDB-GENE-070912-311")</f>
        <v>https://zfin.org/ZDB-GENE-070912-311</v>
      </c>
      <c r="E10535" t="s">
        <v>31565</v>
      </c>
    </row>
    <row r="10536" spans="1:5" x14ac:dyDescent="0.2">
      <c r="A10536" t="s">
        <v>31566</v>
      </c>
      <c r="B10536" t="s">
        <v>31567</v>
      </c>
      <c r="C10536" t="s">
        <v>31567</v>
      </c>
      <c r="D10536" t="str">
        <f>HYPERLINK("https://zfin.org/ZDB-GENE-040426-1433")</f>
        <v>https://zfin.org/ZDB-GENE-040426-1433</v>
      </c>
      <c r="E10536" t="s">
        <v>31568</v>
      </c>
    </row>
    <row r="10537" spans="1:5" x14ac:dyDescent="0.2">
      <c r="A10537" t="s">
        <v>31569</v>
      </c>
      <c r="B10537" t="s">
        <v>31570</v>
      </c>
      <c r="C10537" t="s">
        <v>31570</v>
      </c>
      <c r="D10537" t="str">
        <f>HYPERLINK("https://zfin.org/ZDB-GENE-030616-595")</f>
        <v>https://zfin.org/ZDB-GENE-030616-595</v>
      </c>
      <c r="E10537" t="s">
        <v>31571</v>
      </c>
    </row>
    <row r="10538" spans="1:5" x14ac:dyDescent="0.2">
      <c r="A10538" t="s">
        <v>31572</v>
      </c>
      <c r="B10538" t="s">
        <v>31573</v>
      </c>
      <c r="C10538" t="s">
        <v>31573</v>
      </c>
      <c r="D10538" t="str">
        <f>HYPERLINK("https://zfin.org/ZDB-GENE-101102-9")</f>
        <v>https://zfin.org/ZDB-GENE-101102-9</v>
      </c>
      <c r="E10538" t="s">
        <v>31574</v>
      </c>
    </row>
    <row r="10539" spans="1:5" x14ac:dyDescent="0.2">
      <c r="A10539" t="s">
        <v>31575</v>
      </c>
      <c r="B10539" t="s">
        <v>31576</v>
      </c>
      <c r="C10539" t="s">
        <v>31576</v>
      </c>
      <c r="D10539" t="str">
        <f>HYPERLINK("https://zfin.org/ZDB-GENE-030131-3374")</f>
        <v>https://zfin.org/ZDB-GENE-030131-3374</v>
      </c>
      <c r="E10539" t="s">
        <v>31577</v>
      </c>
    </row>
    <row r="10540" spans="1:5" x14ac:dyDescent="0.2">
      <c r="A10540" t="s">
        <v>31578</v>
      </c>
      <c r="B10540" t="s">
        <v>31579</v>
      </c>
      <c r="C10540" t="s">
        <v>31579</v>
      </c>
      <c r="D10540" t="str">
        <f>HYPERLINK("https://zfin.org/ZDB-GENE-041001-46")</f>
        <v>https://zfin.org/ZDB-GENE-041001-46</v>
      </c>
      <c r="E10540" t="s">
        <v>31580</v>
      </c>
    </row>
    <row r="10541" spans="1:5" x14ac:dyDescent="0.2">
      <c r="A10541" t="s">
        <v>31581</v>
      </c>
      <c r="B10541" t="s">
        <v>31582</v>
      </c>
      <c r="C10541" t="s">
        <v>31582</v>
      </c>
      <c r="D10541" t="str">
        <f>HYPERLINK("https://zfin.org/ZDB-GENE-050522-273")</f>
        <v>https://zfin.org/ZDB-GENE-050522-273</v>
      </c>
      <c r="E10541" t="s">
        <v>31583</v>
      </c>
    </row>
    <row r="10542" spans="1:5" x14ac:dyDescent="0.2">
      <c r="A10542" t="s">
        <v>31584</v>
      </c>
      <c r="B10542" t="s">
        <v>31585</v>
      </c>
      <c r="C10542" t="s">
        <v>31585</v>
      </c>
      <c r="D10542" t="str">
        <f>HYPERLINK("https://zfin.org/ZDB-GENE-040912-163")</f>
        <v>https://zfin.org/ZDB-GENE-040912-163</v>
      </c>
      <c r="E10542" t="s">
        <v>31586</v>
      </c>
    </row>
    <row r="10543" spans="1:5" x14ac:dyDescent="0.2">
      <c r="A10543" t="s">
        <v>31587</v>
      </c>
      <c r="B10543" t="s">
        <v>31588</v>
      </c>
      <c r="C10543" t="s">
        <v>31588</v>
      </c>
      <c r="D10543" t="str">
        <f>HYPERLINK("https://zfin.org/ZDB-GENE-021125-1")</f>
        <v>https://zfin.org/ZDB-GENE-021125-1</v>
      </c>
      <c r="E10543" t="s">
        <v>31589</v>
      </c>
    </row>
    <row r="10544" spans="1:5" x14ac:dyDescent="0.2">
      <c r="A10544" t="s">
        <v>31590</v>
      </c>
      <c r="B10544" t="s">
        <v>31591</v>
      </c>
      <c r="C10544" t="s">
        <v>31591</v>
      </c>
      <c r="D10544" t="str">
        <f>HYPERLINK("https://zfin.org/ZDB-GENE-090313-247")</f>
        <v>https://zfin.org/ZDB-GENE-090313-247</v>
      </c>
      <c r="E10544" t="s">
        <v>31592</v>
      </c>
    </row>
    <row r="10545" spans="1:5" x14ac:dyDescent="0.2">
      <c r="A10545" t="s">
        <v>31593</v>
      </c>
      <c r="B10545" t="s">
        <v>31594</v>
      </c>
      <c r="C10545" t="s">
        <v>31594</v>
      </c>
      <c r="D10545" t="str">
        <f>HYPERLINK("https://zfin.org/ZDB-GENEP-040724-6")</f>
        <v>https://zfin.org/ZDB-GENEP-040724-6</v>
      </c>
      <c r="E10545" t="s">
        <v>31595</v>
      </c>
    </row>
    <row r="10546" spans="1:5" x14ac:dyDescent="0.2">
      <c r="A10546" t="s">
        <v>31596</v>
      </c>
      <c r="B10546" t="s">
        <v>31597</v>
      </c>
      <c r="C10546" t="s">
        <v>31597</v>
      </c>
      <c r="D10546" t="str">
        <f>HYPERLINK("https://zfin.org/ZDB-GENE-050522-61")</f>
        <v>https://zfin.org/ZDB-GENE-050522-61</v>
      </c>
      <c r="E10546" t="s">
        <v>31598</v>
      </c>
    </row>
    <row r="10547" spans="1:5" x14ac:dyDescent="0.2">
      <c r="A10547" t="s">
        <v>31599</v>
      </c>
      <c r="B10547" t="s">
        <v>31600</v>
      </c>
      <c r="C10547" t="s">
        <v>31600</v>
      </c>
      <c r="D10547" t="str">
        <f>HYPERLINK("https://zfin.org/ZDB-GENE-041014-351")</f>
        <v>https://zfin.org/ZDB-GENE-041014-351</v>
      </c>
      <c r="E10547" t="s">
        <v>31601</v>
      </c>
    </row>
    <row r="10548" spans="1:5" x14ac:dyDescent="0.2">
      <c r="A10548" t="s">
        <v>31602</v>
      </c>
      <c r="B10548" t="s">
        <v>31603</v>
      </c>
      <c r="C10548" t="s">
        <v>31603</v>
      </c>
      <c r="D10548" t="str">
        <f>HYPERLINK("https://zfin.org/ZDB-GENE-030131-2772")</f>
        <v>https://zfin.org/ZDB-GENE-030131-2772</v>
      </c>
      <c r="E10548" t="s">
        <v>31604</v>
      </c>
    </row>
    <row r="10549" spans="1:5" x14ac:dyDescent="0.2">
      <c r="A10549" t="s">
        <v>31605</v>
      </c>
      <c r="B10549" t="s">
        <v>31606</v>
      </c>
      <c r="C10549" t="s">
        <v>31606</v>
      </c>
      <c r="D10549" t="str">
        <f>HYPERLINK("https://zfin.org/ZDB-GENE-080520-1")</f>
        <v>https://zfin.org/ZDB-GENE-080520-1</v>
      </c>
      <c r="E10549" t="s">
        <v>31607</v>
      </c>
    </row>
    <row r="10550" spans="1:5" x14ac:dyDescent="0.2">
      <c r="A10550" t="s">
        <v>31608</v>
      </c>
      <c r="B10550" t="s">
        <v>31609</v>
      </c>
      <c r="C10550" t="s">
        <v>31609</v>
      </c>
      <c r="D10550" t="str">
        <f>HYPERLINK("https://zfin.org/ZDB-GENE-030131-2199")</f>
        <v>https://zfin.org/ZDB-GENE-030131-2199</v>
      </c>
      <c r="E10550" t="s">
        <v>31610</v>
      </c>
    </row>
    <row r="10551" spans="1:5" x14ac:dyDescent="0.2">
      <c r="A10551" t="s">
        <v>31611</v>
      </c>
      <c r="B10551" t="s">
        <v>31612</v>
      </c>
      <c r="C10551" t="s">
        <v>31612</v>
      </c>
      <c r="D10551" t="str">
        <f>HYPERLINK("https://zfin.org/ZDB-GENE-040426-1767")</f>
        <v>https://zfin.org/ZDB-GENE-040426-1767</v>
      </c>
      <c r="E10551" t="s">
        <v>31613</v>
      </c>
    </row>
    <row r="10552" spans="1:5" x14ac:dyDescent="0.2">
      <c r="A10552" t="s">
        <v>31614</v>
      </c>
      <c r="B10552" t="s">
        <v>31615</v>
      </c>
      <c r="C10552" t="s">
        <v>31615</v>
      </c>
      <c r="D10552" t="str">
        <f>HYPERLINK("https://zfin.org/ZDB-GENE-040617-1")</f>
        <v>https://zfin.org/ZDB-GENE-040617-1</v>
      </c>
      <c r="E10552" t="s">
        <v>31616</v>
      </c>
    </row>
    <row r="10553" spans="1:5" x14ac:dyDescent="0.2">
      <c r="A10553" t="s">
        <v>31617</v>
      </c>
      <c r="B10553" t="s">
        <v>31618</v>
      </c>
      <c r="C10553" t="s">
        <v>31618</v>
      </c>
      <c r="D10553" t="str">
        <f>HYPERLINK("https://zfin.org/ZDB-GENE-040426-900")</f>
        <v>https://zfin.org/ZDB-GENE-040426-900</v>
      </c>
      <c r="E10553" t="s">
        <v>31619</v>
      </c>
    </row>
    <row r="10554" spans="1:5" x14ac:dyDescent="0.2">
      <c r="A10554" t="s">
        <v>31620</v>
      </c>
      <c r="B10554" t="s">
        <v>31621</v>
      </c>
      <c r="C10554" t="s">
        <v>31621</v>
      </c>
      <c r="D10554" t="str">
        <f>HYPERLINK("https://zfin.org/ZDB-GENE-070705-115")</f>
        <v>https://zfin.org/ZDB-GENE-070705-115</v>
      </c>
      <c r="E10554" t="s">
        <v>31622</v>
      </c>
    </row>
    <row r="10555" spans="1:5" x14ac:dyDescent="0.2">
      <c r="A10555" t="s">
        <v>31623</v>
      </c>
      <c r="B10555" t="s">
        <v>31624</v>
      </c>
      <c r="C10555" t="s">
        <v>31624</v>
      </c>
      <c r="D10555" t="str">
        <f>HYPERLINK("https://zfin.org/ZDB-GENE-050208-389")</f>
        <v>https://zfin.org/ZDB-GENE-050208-389</v>
      </c>
      <c r="E10555" t="s">
        <v>31625</v>
      </c>
    </row>
    <row r="10556" spans="1:5" x14ac:dyDescent="0.2">
      <c r="A10556" t="s">
        <v>31626</v>
      </c>
      <c r="B10556" t="s">
        <v>31627</v>
      </c>
      <c r="C10556" t="s">
        <v>31627</v>
      </c>
      <c r="D10556" t="str">
        <f>HYPERLINK("https://zfin.org/ZDB-GENE-030131-2538")</f>
        <v>https://zfin.org/ZDB-GENE-030131-2538</v>
      </c>
      <c r="E10556" t="s">
        <v>31628</v>
      </c>
    </row>
    <row r="10557" spans="1:5" x14ac:dyDescent="0.2">
      <c r="A10557" t="s">
        <v>31629</v>
      </c>
      <c r="B10557" t="s">
        <v>31630</v>
      </c>
      <c r="C10557" t="s">
        <v>31630</v>
      </c>
      <c r="D10557" t="str">
        <f>HYPERLINK("https://zfin.org/ZDB-GENE-041010-26")</f>
        <v>https://zfin.org/ZDB-GENE-041010-26</v>
      </c>
      <c r="E10557" t="s">
        <v>31631</v>
      </c>
    </row>
    <row r="10558" spans="1:5" x14ac:dyDescent="0.2">
      <c r="A10558" t="s">
        <v>31632</v>
      </c>
      <c r="B10558" t="s">
        <v>31633</v>
      </c>
      <c r="C10558" t="s">
        <v>31633</v>
      </c>
      <c r="D10558" t="str">
        <f>HYPERLINK("https://zfin.org/ZDB-GENE-040426-1926")</f>
        <v>https://zfin.org/ZDB-GENE-040426-1926</v>
      </c>
      <c r="E10558" t="s">
        <v>31634</v>
      </c>
    </row>
    <row r="10559" spans="1:5" x14ac:dyDescent="0.2">
      <c r="A10559" t="s">
        <v>31635</v>
      </c>
      <c r="B10559" t="s">
        <v>31636</v>
      </c>
      <c r="C10559" t="s">
        <v>31636</v>
      </c>
      <c r="D10559" t="str">
        <f>HYPERLINK("https://zfin.org/ZDB-GENE-040718-397")</f>
        <v>https://zfin.org/ZDB-GENE-040718-397</v>
      </c>
      <c r="E10559" t="s">
        <v>31637</v>
      </c>
    </row>
    <row r="10560" spans="1:5" x14ac:dyDescent="0.2">
      <c r="A10560" t="s">
        <v>31638</v>
      </c>
      <c r="B10560" t="s">
        <v>31639</v>
      </c>
      <c r="C10560" t="s">
        <v>31639</v>
      </c>
      <c r="D10560" t="str">
        <f>HYPERLINK("https://zfin.org/ZDB-GENE-030217-1")</f>
        <v>https://zfin.org/ZDB-GENE-030217-1</v>
      </c>
      <c r="E10560" t="s">
        <v>31640</v>
      </c>
    </row>
    <row r="10561" spans="1:5" x14ac:dyDescent="0.2">
      <c r="A10561" t="s">
        <v>31641</v>
      </c>
      <c r="B10561" t="s">
        <v>31642</v>
      </c>
      <c r="C10561" t="s">
        <v>31642</v>
      </c>
      <c r="D10561" t="str">
        <f>HYPERLINK("https://zfin.org/ZDB-GENE-110411-133")</f>
        <v>https://zfin.org/ZDB-GENE-110411-133</v>
      </c>
      <c r="E10561" t="s">
        <v>31643</v>
      </c>
    </row>
    <row r="10562" spans="1:5" x14ac:dyDescent="0.2">
      <c r="A10562" t="s">
        <v>31644</v>
      </c>
      <c r="B10562" t="s">
        <v>31645</v>
      </c>
      <c r="C10562" t="s">
        <v>31645</v>
      </c>
      <c r="D10562" t="str">
        <f>HYPERLINK("https://zfin.org/ZDB-GENE-000330-2")</f>
        <v>https://zfin.org/ZDB-GENE-000330-2</v>
      </c>
      <c r="E10562" t="s">
        <v>31646</v>
      </c>
    </row>
    <row r="10563" spans="1:5" x14ac:dyDescent="0.2">
      <c r="A10563" t="s">
        <v>31647</v>
      </c>
      <c r="B10563" t="s">
        <v>31648</v>
      </c>
      <c r="C10563" t="s">
        <v>31648</v>
      </c>
      <c r="D10563" t="str">
        <f>HYPERLINK("https://zfin.org/ZDB-GENE-041010-166")</f>
        <v>https://zfin.org/ZDB-GENE-041010-166</v>
      </c>
      <c r="E10563" t="s">
        <v>31649</v>
      </c>
    </row>
    <row r="10564" spans="1:5" x14ac:dyDescent="0.2">
      <c r="A10564" t="s">
        <v>31650</v>
      </c>
      <c r="B10564" t="s">
        <v>31651</v>
      </c>
      <c r="C10564" t="s">
        <v>31651</v>
      </c>
      <c r="D10564" t="str">
        <f>HYPERLINK("https://zfin.org/ZDB-GENE-090812-1")</f>
        <v>https://zfin.org/ZDB-GENE-090812-1</v>
      </c>
      <c r="E10564" t="s">
        <v>31652</v>
      </c>
    </row>
    <row r="10565" spans="1:5" x14ac:dyDescent="0.2">
      <c r="A10565" t="s">
        <v>31653</v>
      </c>
      <c r="B10565" t="s">
        <v>31654</v>
      </c>
      <c r="C10565" t="s">
        <v>31654</v>
      </c>
      <c r="D10565" t="str">
        <f>HYPERLINK("https://zfin.org/ZDB-GENE-040426-1067")</f>
        <v>https://zfin.org/ZDB-GENE-040426-1067</v>
      </c>
      <c r="E10565" t="s">
        <v>31655</v>
      </c>
    </row>
    <row r="10566" spans="1:5" x14ac:dyDescent="0.2">
      <c r="A10566" t="s">
        <v>31656</v>
      </c>
      <c r="B10566" t="s">
        <v>31657</v>
      </c>
      <c r="C10566" t="s">
        <v>31657</v>
      </c>
      <c r="D10566" t="str">
        <f>HYPERLINK("https://zfin.org/ZDB-GENE-030131-9158")</f>
        <v>https://zfin.org/ZDB-GENE-030131-9158</v>
      </c>
      <c r="E10566" t="s">
        <v>31658</v>
      </c>
    </row>
    <row r="10567" spans="1:5" x14ac:dyDescent="0.2">
      <c r="A10567" t="s">
        <v>31659</v>
      </c>
      <c r="B10567" t="s">
        <v>31660</v>
      </c>
      <c r="C10567" t="s">
        <v>31660</v>
      </c>
      <c r="D10567" t="str">
        <f>HYPERLINK("https://zfin.org/ZDB-GENE-080519-2")</f>
        <v>https://zfin.org/ZDB-GENE-080519-2</v>
      </c>
      <c r="E10567" t="s">
        <v>31661</v>
      </c>
    </row>
    <row r="10568" spans="1:5" x14ac:dyDescent="0.2">
      <c r="A10568" t="s">
        <v>31662</v>
      </c>
      <c r="B10568" t="s">
        <v>31663</v>
      </c>
      <c r="C10568" t="s">
        <v>31663</v>
      </c>
      <c r="D10568" t="str">
        <f>HYPERLINK("https://zfin.org/ZDB-GENE-990415-108")</f>
        <v>https://zfin.org/ZDB-GENE-990415-108</v>
      </c>
      <c r="E10568" t="s">
        <v>31664</v>
      </c>
    </row>
    <row r="10569" spans="1:5" x14ac:dyDescent="0.2">
      <c r="A10569" t="s">
        <v>31665</v>
      </c>
      <c r="B10569" t="s">
        <v>31666</v>
      </c>
      <c r="C10569" t="s">
        <v>31666</v>
      </c>
      <c r="D10569" t="str">
        <f>HYPERLINK("https://zfin.org/ZDB-GENE-070410-139")</f>
        <v>https://zfin.org/ZDB-GENE-070410-139</v>
      </c>
      <c r="E10569" t="s">
        <v>31667</v>
      </c>
    </row>
    <row r="10570" spans="1:5" x14ac:dyDescent="0.2">
      <c r="A10570" t="s">
        <v>31668</v>
      </c>
      <c r="B10570" t="s">
        <v>31669</v>
      </c>
      <c r="C10570" t="s">
        <v>31669</v>
      </c>
      <c r="D10570" t="str">
        <f>HYPERLINK("https://zfin.org/ZDB-GENE-050522-236")</f>
        <v>https://zfin.org/ZDB-GENE-050522-236</v>
      </c>
      <c r="E10570" t="s">
        <v>31670</v>
      </c>
    </row>
    <row r="10571" spans="1:5" x14ac:dyDescent="0.2">
      <c r="A10571" t="s">
        <v>31671</v>
      </c>
      <c r="B10571" t="s">
        <v>31672</v>
      </c>
      <c r="C10571" t="s">
        <v>31672</v>
      </c>
      <c r="D10571" t="str">
        <f>HYPERLINK("https://zfin.org/ZDB-GENE-040724-197")</f>
        <v>https://zfin.org/ZDB-GENE-040724-197</v>
      </c>
      <c r="E10571" t="s">
        <v>31673</v>
      </c>
    </row>
    <row r="10572" spans="1:5" x14ac:dyDescent="0.2">
      <c r="A10572" t="s">
        <v>31674</v>
      </c>
      <c r="B10572" t="s">
        <v>31675</v>
      </c>
      <c r="C10572" t="s">
        <v>31675</v>
      </c>
      <c r="D10572" t="str">
        <f>HYPERLINK("https://zfin.org/ZDB-GENE-060616-382")</f>
        <v>https://zfin.org/ZDB-GENE-060616-382</v>
      </c>
      <c r="E10572" t="s">
        <v>31676</v>
      </c>
    </row>
    <row r="10573" spans="1:5" x14ac:dyDescent="0.2">
      <c r="A10573" t="s">
        <v>31677</v>
      </c>
      <c r="B10573" t="s">
        <v>31678</v>
      </c>
      <c r="C10573" t="s">
        <v>31678</v>
      </c>
      <c r="D10573" t="str">
        <f>HYPERLINK("https://zfin.org/ZDB-GENE-131127-12")</f>
        <v>https://zfin.org/ZDB-GENE-131127-12</v>
      </c>
      <c r="E10573" t="s">
        <v>31679</v>
      </c>
    </row>
    <row r="10574" spans="1:5" x14ac:dyDescent="0.2">
      <c r="A10574" t="s">
        <v>31680</v>
      </c>
      <c r="B10574" t="s">
        <v>31681</v>
      </c>
      <c r="C10574" t="s">
        <v>31681</v>
      </c>
      <c r="D10574" t="str">
        <f>HYPERLINK("https://zfin.org/ZDB-GENE-040426-885")</f>
        <v>https://zfin.org/ZDB-GENE-040426-885</v>
      </c>
      <c r="E10574" t="s">
        <v>31682</v>
      </c>
    </row>
    <row r="10575" spans="1:5" x14ac:dyDescent="0.2">
      <c r="A10575" t="s">
        <v>31683</v>
      </c>
      <c r="B10575" t="s">
        <v>31684</v>
      </c>
      <c r="C10575" t="s">
        <v>31684</v>
      </c>
      <c r="D10575" t="str">
        <f>HYPERLINK("https://zfin.org/ZDB-GENE-050208-447")</f>
        <v>https://zfin.org/ZDB-GENE-050208-447</v>
      </c>
      <c r="E10575" t="s">
        <v>31685</v>
      </c>
    </row>
    <row r="10576" spans="1:5" x14ac:dyDescent="0.2">
      <c r="A10576" t="s">
        <v>31686</v>
      </c>
      <c r="B10576" t="s">
        <v>31687</v>
      </c>
      <c r="C10576" t="s">
        <v>31687</v>
      </c>
      <c r="D10576" t="str">
        <f>HYPERLINK("https://zfin.org/ZDB-GENE-030131-1016")</f>
        <v>https://zfin.org/ZDB-GENE-030131-1016</v>
      </c>
      <c r="E10576" t="s">
        <v>31688</v>
      </c>
    </row>
    <row r="10577" spans="1:5" x14ac:dyDescent="0.2">
      <c r="A10577" t="s">
        <v>31689</v>
      </c>
      <c r="B10577" t="s">
        <v>31690</v>
      </c>
      <c r="C10577" t="s">
        <v>31690</v>
      </c>
      <c r="D10577" t="str">
        <f>HYPERLINK("https://zfin.org/ZDB-GENE-991026-5")</f>
        <v>https://zfin.org/ZDB-GENE-991026-5</v>
      </c>
      <c r="E10577" t="s">
        <v>31691</v>
      </c>
    </row>
    <row r="10578" spans="1:5" x14ac:dyDescent="0.2">
      <c r="A10578" t="s">
        <v>31692</v>
      </c>
      <c r="B10578" t="s">
        <v>31693</v>
      </c>
      <c r="C10578" t="s">
        <v>31693</v>
      </c>
      <c r="D10578" t="str">
        <f>HYPERLINK("https://zfin.org/ZDB-GENE-130530-667")</f>
        <v>https://zfin.org/ZDB-GENE-130530-667</v>
      </c>
      <c r="E10578" t="s">
        <v>31694</v>
      </c>
    </row>
    <row r="10579" spans="1:5" x14ac:dyDescent="0.2">
      <c r="A10579" t="s">
        <v>31695</v>
      </c>
      <c r="B10579" t="s">
        <v>31696</v>
      </c>
      <c r="C10579" t="s">
        <v>31696</v>
      </c>
      <c r="D10579" t="str">
        <f>HYPERLINK("https://zfin.org/ZDB-GENE-040426-2680")</f>
        <v>https://zfin.org/ZDB-GENE-040426-2680</v>
      </c>
      <c r="E10579" t="s">
        <v>31697</v>
      </c>
    </row>
    <row r="10580" spans="1:5" x14ac:dyDescent="0.2">
      <c r="A10580" t="s">
        <v>31698</v>
      </c>
      <c r="B10580" t="s">
        <v>31699</v>
      </c>
      <c r="C10580" t="s">
        <v>31699</v>
      </c>
      <c r="D10580" t="str">
        <f>HYPERLINK("https://zfin.org/ZDB-GENE-010110-3")</f>
        <v>https://zfin.org/ZDB-GENE-010110-3</v>
      </c>
      <c r="E10580" t="s">
        <v>31700</v>
      </c>
    </row>
    <row r="10581" spans="1:5" x14ac:dyDescent="0.2">
      <c r="A10581" t="s">
        <v>31701</v>
      </c>
      <c r="B10581" t="s">
        <v>31702</v>
      </c>
      <c r="C10581" t="s">
        <v>31702</v>
      </c>
      <c r="D10581" t="str">
        <f>HYPERLINK("https://zfin.org/ZDB-GENE-010406-1")</f>
        <v>https://zfin.org/ZDB-GENE-010406-1</v>
      </c>
      <c r="E10581" t="s">
        <v>31703</v>
      </c>
    </row>
    <row r="10582" spans="1:5" x14ac:dyDescent="0.2">
      <c r="A10582" t="s">
        <v>31704</v>
      </c>
      <c r="B10582" t="s">
        <v>31705</v>
      </c>
      <c r="C10582" t="s">
        <v>31705</v>
      </c>
      <c r="D10582" t="str">
        <f>HYPERLINK("https://zfin.org/ZDB-GENE-110621-1")</f>
        <v>https://zfin.org/ZDB-GENE-110621-1</v>
      </c>
      <c r="E10582" t="s">
        <v>31706</v>
      </c>
    </row>
    <row r="10583" spans="1:5" x14ac:dyDescent="0.2">
      <c r="A10583" t="s">
        <v>31707</v>
      </c>
      <c r="B10583" t="s">
        <v>31708</v>
      </c>
      <c r="C10583" t="s">
        <v>31708</v>
      </c>
      <c r="D10583" t="str">
        <f>HYPERLINK("https://zfin.org/ZDB-GENE-040808-38")</f>
        <v>https://zfin.org/ZDB-GENE-040808-38</v>
      </c>
      <c r="E10583" t="s">
        <v>31709</v>
      </c>
    </row>
    <row r="10584" spans="1:5" x14ac:dyDescent="0.2">
      <c r="A10584" t="s">
        <v>31710</v>
      </c>
      <c r="B10584" t="s">
        <v>31711</v>
      </c>
      <c r="C10584" t="s">
        <v>31711</v>
      </c>
      <c r="D10584" t="str">
        <f>HYPERLINK("https://zfin.org/ZDB-GENE-040426-2345")</f>
        <v>https://zfin.org/ZDB-GENE-040426-2345</v>
      </c>
      <c r="E10584" t="s">
        <v>31712</v>
      </c>
    </row>
    <row r="10585" spans="1:5" x14ac:dyDescent="0.2">
      <c r="A10585" t="s">
        <v>31713</v>
      </c>
      <c r="B10585" t="s">
        <v>31714</v>
      </c>
      <c r="C10585" t="s">
        <v>31714</v>
      </c>
      <c r="D10585" t="str">
        <f>HYPERLINK("https://zfin.org/ZDB-GENE-030131-224")</f>
        <v>https://zfin.org/ZDB-GENE-030131-224</v>
      </c>
      <c r="E10585" t="s">
        <v>31715</v>
      </c>
    </row>
    <row r="10586" spans="1:5" x14ac:dyDescent="0.2">
      <c r="A10586" t="s">
        <v>31716</v>
      </c>
      <c r="B10586" t="s">
        <v>31717</v>
      </c>
      <c r="C10586" t="s">
        <v>31717</v>
      </c>
      <c r="D10586" t="str">
        <f>HYPERLINK("https://zfin.org/ZDB-GENE-071218-6")</f>
        <v>https://zfin.org/ZDB-GENE-071218-6</v>
      </c>
      <c r="E10586" t="s">
        <v>31718</v>
      </c>
    </row>
    <row r="10587" spans="1:5" x14ac:dyDescent="0.2">
      <c r="A10587" t="s">
        <v>31719</v>
      </c>
      <c r="B10587" t="s">
        <v>31720</v>
      </c>
      <c r="C10587" t="s">
        <v>31720</v>
      </c>
      <c r="D10587" t="str">
        <f>HYPERLINK("https://zfin.org/ZDB-GENE-131121-570")</f>
        <v>https://zfin.org/ZDB-GENE-131121-570</v>
      </c>
      <c r="E10587" t="s">
        <v>31721</v>
      </c>
    </row>
    <row r="10588" spans="1:5" x14ac:dyDescent="0.2">
      <c r="A10588" t="s">
        <v>31722</v>
      </c>
      <c r="B10588" t="s">
        <v>31723</v>
      </c>
      <c r="C10588" t="s">
        <v>31723</v>
      </c>
      <c r="D10588" t="str">
        <f>HYPERLINK("https://zfin.org/ZDB-GENE-990708-6")</f>
        <v>https://zfin.org/ZDB-GENE-990708-6</v>
      </c>
      <c r="E10588" t="s">
        <v>31724</v>
      </c>
    </row>
    <row r="10589" spans="1:5" x14ac:dyDescent="0.2">
      <c r="A10589" t="s">
        <v>31725</v>
      </c>
      <c r="B10589" t="s">
        <v>31726</v>
      </c>
      <c r="C10589" t="s">
        <v>31726</v>
      </c>
      <c r="D10589" t="str">
        <f>HYPERLINK("https://zfin.org/ZDB-GENE-040625-178")</f>
        <v>https://zfin.org/ZDB-GENE-040625-178</v>
      </c>
      <c r="E10589" t="s">
        <v>31727</v>
      </c>
    </row>
    <row r="10590" spans="1:5" x14ac:dyDescent="0.2">
      <c r="A10590" t="s">
        <v>31728</v>
      </c>
      <c r="B10590" t="s">
        <v>31729</v>
      </c>
      <c r="C10590" t="s">
        <v>31729</v>
      </c>
      <c r="D10590" t="str">
        <f>HYPERLINK("https://zfin.org/ZDB-GENE-041108-1")</f>
        <v>https://zfin.org/ZDB-GENE-041108-1</v>
      </c>
      <c r="E10590" t="s">
        <v>31730</v>
      </c>
    </row>
    <row r="10591" spans="1:5" x14ac:dyDescent="0.2">
      <c r="A10591" t="s">
        <v>31731</v>
      </c>
      <c r="B10591" t="s">
        <v>31732</v>
      </c>
      <c r="C10591" t="s">
        <v>31732</v>
      </c>
      <c r="D10591" t="str">
        <f>HYPERLINK("https://zfin.org/ZDB-GENE-030131-8246")</f>
        <v>https://zfin.org/ZDB-GENE-030131-8246</v>
      </c>
      <c r="E10591" t="s">
        <v>31733</v>
      </c>
    </row>
    <row r="10592" spans="1:5" x14ac:dyDescent="0.2">
      <c r="A10592" t="s">
        <v>31734</v>
      </c>
      <c r="B10592" t="s">
        <v>31735</v>
      </c>
      <c r="C10592" t="s">
        <v>31735</v>
      </c>
      <c r="D10592" t="str">
        <f>HYPERLINK("https://zfin.org/ZDB-GENE-040426-1944")</f>
        <v>https://zfin.org/ZDB-GENE-040426-1944</v>
      </c>
      <c r="E10592" t="s">
        <v>31736</v>
      </c>
    </row>
    <row r="10593" spans="1:5" x14ac:dyDescent="0.2">
      <c r="A10593" t="s">
        <v>31737</v>
      </c>
      <c r="B10593" t="s">
        <v>31738</v>
      </c>
      <c r="C10593" t="s">
        <v>31738</v>
      </c>
      <c r="D10593" t="str">
        <f>HYPERLINK("https://zfin.org/ZDB-GENE-050410-13")</f>
        <v>https://zfin.org/ZDB-GENE-050410-13</v>
      </c>
      <c r="E10593" t="s">
        <v>31739</v>
      </c>
    </row>
    <row r="10594" spans="1:5" x14ac:dyDescent="0.2">
      <c r="A10594" t="s">
        <v>31740</v>
      </c>
      <c r="B10594" t="s">
        <v>31741</v>
      </c>
      <c r="C10594" t="s">
        <v>31741</v>
      </c>
      <c r="D10594" t="str">
        <f>HYPERLINK("https://zfin.org/ZDB-GENE-080204-1")</f>
        <v>https://zfin.org/ZDB-GENE-080204-1</v>
      </c>
      <c r="E10594" t="s">
        <v>31742</v>
      </c>
    </row>
    <row r="10595" spans="1:5" x14ac:dyDescent="0.2">
      <c r="A10595" t="s">
        <v>31743</v>
      </c>
      <c r="B10595" t="s">
        <v>31744</v>
      </c>
      <c r="C10595" t="s">
        <v>31744</v>
      </c>
      <c r="D10595" t="str">
        <f>HYPERLINK("https://zfin.org/ZDB-GENE-041014-178")</f>
        <v>https://zfin.org/ZDB-GENE-041014-178</v>
      </c>
      <c r="E10595" t="s">
        <v>31745</v>
      </c>
    </row>
    <row r="10596" spans="1:5" x14ac:dyDescent="0.2">
      <c r="A10596" t="s">
        <v>31746</v>
      </c>
      <c r="B10596" t="s">
        <v>31747</v>
      </c>
      <c r="C10596" t="s">
        <v>31747</v>
      </c>
      <c r="D10596" t="str">
        <f>HYPERLINK("https://zfin.org/ZDB-GENE-041114-82")</f>
        <v>https://zfin.org/ZDB-GENE-041114-82</v>
      </c>
      <c r="E10596" t="s">
        <v>31748</v>
      </c>
    </row>
    <row r="10597" spans="1:5" x14ac:dyDescent="0.2">
      <c r="A10597" t="s">
        <v>31749</v>
      </c>
      <c r="B10597" t="s">
        <v>31750</v>
      </c>
      <c r="C10597" t="s">
        <v>31750</v>
      </c>
      <c r="D10597" t="str">
        <f>HYPERLINK("https://zfin.org/ZDB-GENE-050419-253")</f>
        <v>https://zfin.org/ZDB-GENE-050419-253</v>
      </c>
      <c r="E10597" t="s">
        <v>31751</v>
      </c>
    </row>
    <row r="10598" spans="1:5" x14ac:dyDescent="0.2">
      <c r="A10598" t="s">
        <v>31752</v>
      </c>
      <c r="B10598" t="s">
        <v>31753</v>
      </c>
      <c r="C10598" t="s">
        <v>31753</v>
      </c>
      <c r="D10598" t="str">
        <f>HYPERLINK("https://zfin.org/ZDB-GENE-091118-23")</f>
        <v>https://zfin.org/ZDB-GENE-091118-23</v>
      </c>
      <c r="E10598" t="s">
        <v>31754</v>
      </c>
    </row>
    <row r="10599" spans="1:5" x14ac:dyDescent="0.2">
      <c r="A10599" t="s">
        <v>31755</v>
      </c>
      <c r="B10599" t="s">
        <v>31756</v>
      </c>
      <c r="C10599" t="s">
        <v>31756</v>
      </c>
      <c r="D10599" t="str">
        <f>HYPERLINK("https://zfin.org/ZDB-GENE-040426-829")</f>
        <v>https://zfin.org/ZDB-GENE-040426-829</v>
      </c>
      <c r="E10599" t="s">
        <v>31757</v>
      </c>
    </row>
    <row r="10600" spans="1:5" x14ac:dyDescent="0.2">
      <c r="A10600" t="s">
        <v>31758</v>
      </c>
      <c r="B10600" t="s">
        <v>31759</v>
      </c>
      <c r="C10600" t="s">
        <v>31759</v>
      </c>
      <c r="D10600" t="str">
        <f>HYPERLINK("https://zfin.org/ZDB-GENE-081107-30")</f>
        <v>https://zfin.org/ZDB-GENE-081107-30</v>
      </c>
      <c r="E10600" t="s">
        <v>31760</v>
      </c>
    </row>
    <row r="10601" spans="1:5" x14ac:dyDescent="0.2">
      <c r="A10601" t="s">
        <v>31761</v>
      </c>
      <c r="B10601" t="s">
        <v>31762</v>
      </c>
      <c r="C10601" t="s">
        <v>31762</v>
      </c>
      <c r="D10601" t="str">
        <f>HYPERLINK("https://zfin.org/ZDB-GENE-030411-1")</f>
        <v>https://zfin.org/ZDB-GENE-030411-1</v>
      </c>
      <c r="E10601" t="s">
        <v>31763</v>
      </c>
    </row>
    <row r="10602" spans="1:5" x14ac:dyDescent="0.2">
      <c r="A10602" t="s">
        <v>31764</v>
      </c>
      <c r="B10602" t="s">
        <v>31765</v>
      </c>
      <c r="C10602" t="s">
        <v>31765</v>
      </c>
      <c r="D10602" t="str">
        <f>HYPERLINK("https://zfin.org/ZDB-GENE-080405-1")</f>
        <v>https://zfin.org/ZDB-GENE-080405-1</v>
      </c>
      <c r="E10602" t="s">
        <v>31766</v>
      </c>
    </row>
    <row r="10603" spans="1:5" x14ac:dyDescent="0.2">
      <c r="A10603" t="s">
        <v>31767</v>
      </c>
      <c r="B10603" t="s">
        <v>31768</v>
      </c>
      <c r="C10603" t="s">
        <v>31768</v>
      </c>
      <c r="D10603" t="str">
        <f>HYPERLINK("https://zfin.org/ZDB-GENE-030131-2248")</f>
        <v>https://zfin.org/ZDB-GENE-030131-2248</v>
      </c>
      <c r="E10603" t="s">
        <v>31769</v>
      </c>
    </row>
    <row r="10604" spans="1:5" x14ac:dyDescent="0.2">
      <c r="A10604" t="s">
        <v>31770</v>
      </c>
      <c r="B10604" t="s">
        <v>31771</v>
      </c>
      <c r="C10604" t="s">
        <v>31771</v>
      </c>
      <c r="D10604" t="str">
        <f>HYPERLINK("https://zfin.org/ZDB-GENE-090312-80")</f>
        <v>https://zfin.org/ZDB-GENE-090312-80</v>
      </c>
      <c r="E10604" t="s">
        <v>31772</v>
      </c>
    </row>
    <row r="10605" spans="1:5" x14ac:dyDescent="0.2">
      <c r="A10605" t="s">
        <v>31773</v>
      </c>
      <c r="B10605" t="s">
        <v>31774</v>
      </c>
      <c r="C10605" t="s">
        <v>31774</v>
      </c>
      <c r="D10605" t="str">
        <f>HYPERLINK("https://zfin.org/ZDB-GENE-040426-2114")</f>
        <v>https://zfin.org/ZDB-GENE-040426-2114</v>
      </c>
      <c r="E10605" t="s">
        <v>31775</v>
      </c>
    </row>
    <row r="10606" spans="1:5" x14ac:dyDescent="0.2">
      <c r="A10606" t="s">
        <v>31776</v>
      </c>
      <c r="B10606" t="s">
        <v>31777</v>
      </c>
      <c r="C10606" t="s">
        <v>31777</v>
      </c>
      <c r="D10606" t="str">
        <f>HYPERLINK("https://zfin.org/ZDB-GENE-080204-42")</f>
        <v>https://zfin.org/ZDB-GENE-080204-42</v>
      </c>
      <c r="E10606" t="s">
        <v>31778</v>
      </c>
    </row>
    <row r="10607" spans="1:5" x14ac:dyDescent="0.2">
      <c r="A10607" t="s">
        <v>31779</v>
      </c>
      <c r="B10607" t="s">
        <v>31780</v>
      </c>
      <c r="C10607" t="s">
        <v>31780</v>
      </c>
      <c r="D10607" t="str">
        <f>HYPERLINK("https://zfin.org/ZDB-GENE-050417-380")</f>
        <v>https://zfin.org/ZDB-GENE-050417-380</v>
      </c>
      <c r="E10607" t="s">
        <v>31781</v>
      </c>
    </row>
    <row r="10608" spans="1:5" x14ac:dyDescent="0.2">
      <c r="A10608" t="s">
        <v>31782</v>
      </c>
      <c r="B10608" t="s">
        <v>31783</v>
      </c>
      <c r="C10608" t="s">
        <v>31783</v>
      </c>
      <c r="D10608" t="str">
        <f>HYPERLINK("https://zfin.org/ZDB-GENE-040426-1152")</f>
        <v>https://zfin.org/ZDB-GENE-040426-1152</v>
      </c>
      <c r="E10608" t="s">
        <v>31784</v>
      </c>
    </row>
    <row r="10609" spans="1:5" x14ac:dyDescent="0.2">
      <c r="A10609" t="s">
        <v>31785</v>
      </c>
      <c r="B10609" t="s">
        <v>31786</v>
      </c>
      <c r="C10609" t="s">
        <v>31786</v>
      </c>
      <c r="D10609" t="str">
        <f>HYPERLINK("https://zfin.org/ZDB-GENE-030131-9877")</f>
        <v>https://zfin.org/ZDB-GENE-030131-9877</v>
      </c>
      <c r="E10609" t="s">
        <v>31787</v>
      </c>
    </row>
    <row r="10610" spans="1:5" x14ac:dyDescent="0.2">
      <c r="A10610" t="s">
        <v>31788</v>
      </c>
      <c r="B10610" t="s">
        <v>31789</v>
      </c>
      <c r="C10610" t="s">
        <v>31789</v>
      </c>
      <c r="D10610" t="str">
        <f>HYPERLINK("https://zfin.org/ZDB-GENE-010126-1")</f>
        <v>https://zfin.org/ZDB-GENE-010126-1</v>
      </c>
      <c r="E10610" t="s">
        <v>31790</v>
      </c>
    </row>
    <row r="10611" spans="1:5" x14ac:dyDescent="0.2">
      <c r="A10611" t="s">
        <v>31791</v>
      </c>
      <c r="B10611" t="s">
        <v>31792</v>
      </c>
      <c r="C10611" t="s">
        <v>31792</v>
      </c>
      <c r="D10611" t="str">
        <f>HYPERLINK("https://zfin.org/ZDB-GENE-030616-528")</f>
        <v>https://zfin.org/ZDB-GENE-030616-528</v>
      </c>
      <c r="E10611" t="s">
        <v>31793</v>
      </c>
    </row>
    <row r="10612" spans="1:5" x14ac:dyDescent="0.2">
      <c r="A10612" t="s">
        <v>31794</v>
      </c>
      <c r="B10612" t="s">
        <v>31795</v>
      </c>
      <c r="C10612" t="s">
        <v>31795</v>
      </c>
      <c r="D10612" t="str">
        <f>HYPERLINK("https://zfin.org/ZDB-GENE-041014-293")</f>
        <v>https://zfin.org/ZDB-GENE-041014-293</v>
      </c>
      <c r="E10612" t="s">
        <v>31796</v>
      </c>
    </row>
    <row r="10613" spans="1:5" x14ac:dyDescent="0.2">
      <c r="A10613" t="s">
        <v>31797</v>
      </c>
      <c r="B10613" t="s">
        <v>31798</v>
      </c>
      <c r="C10613" t="s">
        <v>31798</v>
      </c>
      <c r="D10613" t="str">
        <f>HYPERLINK("https://zfin.org/ZDB-GENE-060421-4745")</f>
        <v>https://zfin.org/ZDB-GENE-060421-4745</v>
      </c>
      <c r="E10613" t="s">
        <v>31799</v>
      </c>
    </row>
    <row r="10614" spans="1:5" x14ac:dyDescent="0.2">
      <c r="A10614" t="s">
        <v>31800</v>
      </c>
      <c r="B10614" t="s">
        <v>31801</v>
      </c>
      <c r="C10614" t="s">
        <v>31801</v>
      </c>
      <c r="D10614" t="str">
        <f>HYPERLINK("https://zfin.org/ZDB-GENE-040426-1120")</f>
        <v>https://zfin.org/ZDB-GENE-040426-1120</v>
      </c>
      <c r="E10614" t="s">
        <v>31802</v>
      </c>
    </row>
    <row r="10615" spans="1:5" x14ac:dyDescent="0.2">
      <c r="A10615" t="s">
        <v>31803</v>
      </c>
      <c r="B10615" t="s">
        <v>31804</v>
      </c>
      <c r="C10615" t="s">
        <v>31804</v>
      </c>
      <c r="D10615" t="str">
        <f>HYPERLINK("https://zfin.org/ZDB-GENE-041203-1")</f>
        <v>https://zfin.org/ZDB-GENE-041203-1</v>
      </c>
      <c r="E10615" t="s">
        <v>31805</v>
      </c>
    </row>
    <row r="10616" spans="1:5" x14ac:dyDescent="0.2">
      <c r="A10616" t="s">
        <v>31806</v>
      </c>
      <c r="B10616" t="s">
        <v>31807</v>
      </c>
      <c r="C10616" t="s">
        <v>31807</v>
      </c>
      <c r="D10616" t="str">
        <f>HYPERLINK("https://zfin.org/ZDB-GENE-130329-1")</f>
        <v>https://zfin.org/ZDB-GENE-130329-1</v>
      </c>
      <c r="E10616" t="s">
        <v>31808</v>
      </c>
    </row>
    <row r="10617" spans="1:5" x14ac:dyDescent="0.2">
      <c r="A10617" t="s">
        <v>31809</v>
      </c>
      <c r="B10617" t="s">
        <v>31810</v>
      </c>
      <c r="C10617" t="s">
        <v>31810</v>
      </c>
      <c r="D10617" t="str">
        <f>HYPERLINK("https://zfin.org/ZDB-GENE-050208-665")</f>
        <v>https://zfin.org/ZDB-GENE-050208-665</v>
      </c>
      <c r="E10617" t="s">
        <v>31811</v>
      </c>
    </row>
    <row r="10618" spans="1:5" x14ac:dyDescent="0.2">
      <c r="A10618" t="s">
        <v>31812</v>
      </c>
      <c r="B10618" t="s">
        <v>31813</v>
      </c>
      <c r="C10618" t="s">
        <v>31813</v>
      </c>
      <c r="D10618" t="str">
        <f>HYPERLINK("https://zfin.org/ZDB-GENE-060421-5918")</f>
        <v>https://zfin.org/ZDB-GENE-060421-5918</v>
      </c>
      <c r="E10618" t="s">
        <v>31814</v>
      </c>
    </row>
    <row r="10619" spans="1:5" x14ac:dyDescent="0.2">
      <c r="A10619" t="s">
        <v>31815</v>
      </c>
      <c r="B10619" t="s">
        <v>31816</v>
      </c>
      <c r="C10619" t="s">
        <v>31816</v>
      </c>
      <c r="D10619" t="str">
        <f>HYPERLINK("https://zfin.org/ZDB-GENE-050420-170")</f>
        <v>https://zfin.org/ZDB-GENE-050420-170</v>
      </c>
      <c r="E10619" t="s">
        <v>31817</v>
      </c>
    </row>
    <row r="10620" spans="1:5" x14ac:dyDescent="0.2">
      <c r="A10620" t="s">
        <v>31818</v>
      </c>
      <c r="B10620" t="s">
        <v>31819</v>
      </c>
      <c r="C10620" t="s">
        <v>31819</v>
      </c>
      <c r="D10620" t="str">
        <f>HYPERLINK("https://zfin.org/ZDB-GENE-040426-1127")</f>
        <v>https://zfin.org/ZDB-GENE-040426-1127</v>
      </c>
      <c r="E10620" t="s">
        <v>31820</v>
      </c>
    </row>
    <row r="10621" spans="1:5" x14ac:dyDescent="0.2">
      <c r="A10621" t="s">
        <v>31821</v>
      </c>
      <c r="B10621" t="s">
        <v>31822</v>
      </c>
      <c r="C10621" t="s">
        <v>31822</v>
      </c>
      <c r="D10621" t="str">
        <f>HYPERLINK("https://zfin.org/ZDB-GENE-060929-732")</f>
        <v>https://zfin.org/ZDB-GENE-060929-732</v>
      </c>
      <c r="E10621" t="s">
        <v>31823</v>
      </c>
    </row>
    <row r="10622" spans="1:5" x14ac:dyDescent="0.2">
      <c r="A10622" t="s">
        <v>31824</v>
      </c>
      <c r="B10622" t="s">
        <v>31825</v>
      </c>
      <c r="C10622" t="s">
        <v>31825</v>
      </c>
      <c r="D10622" t="str">
        <f>HYPERLINK("https://zfin.org/ZDB-GENE-040426-2737")</f>
        <v>https://zfin.org/ZDB-GENE-040426-2737</v>
      </c>
      <c r="E10622" t="s">
        <v>31826</v>
      </c>
    </row>
    <row r="10623" spans="1:5" x14ac:dyDescent="0.2">
      <c r="A10623" t="s">
        <v>31827</v>
      </c>
      <c r="B10623" t="s">
        <v>31828</v>
      </c>
      <c r="C10623" t="s">
        <v>31828</v>
      </c>
      <c r="D10623" t="str">
        <f>HYPERLINK("https://zfin.org/ZDB-GENE-030131-4524")</f>
        <v>https://zfin.org/ZDB-GENE-030131-4524</v>
      </c>
      <c r="E10623" t="s">
        <v>31829</v>
      </c>
    </row>
    <row r="10624" spans="1:5" x14ac:dyDescent="0.2">
      <c r="A10624" t="s">
        <v>31830</v>
      </c>
      <c r="B10624" t="s">
        <v>31831</v>
      </c>
      <c r="C10624" t="s">
        <v>31832</v>
      </c>
      <c r="D10624" t="str">
        <f>HYPERLINK("https://zfin.org/ZDB-GENE-091202-8")</f>
        <v>https://zfin.org/ZDB-GENE-091202-8</v>
      </c>
      <c r="E10624" t="s">
        <v>31833</v>
      </c>
    </row>
    <row r="10625" spans="1:5" x14ac:dyDescent="0.2">
      <c r="A10625" t="s">
        <v>31834</v>
      </c>
      <c r="B10625" t="s">
        <v>31835</v>
      </c>
      <c r="C10625" t="s">
        <v>31835</v>
      </c>
      <c r="D10625" t="str">
        <f>HYPERLINK("https://zfin.org/ZDB-GENE-030616-529")</f>
        <v>https://zfin.org/ZDB-GENE-030616-529</v>
      </c>
      <c r="E10625" t="s">
        <v>31836</v>
      </c>
    </row>
    <row r="10626" spans="1:5" x14ac:dyDescent="0.2">
      <c r="A10626" t="s">
        <v>31837</v>
      </c>
      <c r="B10626" t="s">
        <v>31838</v>
      </c>
      <c r="C10626" t="s">
        <v>31838</v>
      </c>
      <c r="D10626" t="str">
        <f>HYPERLINK("https://zfin.org/ZDB-GENE-070928-39")</f>
        <v>https://zfin.org/ZDB-GENE-070928-39</v>
      </c>
      <c r="E10626" t="s">
        <v>31839</v>
      </c>
    </row>
    <row r="10627" spans="1:5" x14ac:dyDescent="0.2">
      <c r="A10627" t="s">
        <v>31840</v>
      </c>
      <c r="B10627" t="s">
        <v>31841</v>
      </c>
      <c r="C10627" t="s">
        <v>31841</v>
      </c>
      <c r="D10627" t="str">
        <f>HYPERLINK("https://zfin.org/ZDB-GENE-130613-5")</f>
        <v>https://zfin.org/ZDB-GENE-130613-5</v>
      </c>
      <c r="E10627" t="s">
        <v>31842</v>
      </c>
    </row>
    <row r="10628" spans="1:5" x14ac:dyDescent="0.2">
      <c r="A10628" t="s">
        <v>31843</v>
      </c>
      <c r="B10628" t="s">
        <v>31844</v>
      </c>
      <c r="C10628" t="s">
        <v>31844</v>
      </c>
      <c r="D10628" t="str">
        <f>HYPERLINK("https://zfin.org/ZDB-GENE-040426-1312")</f>
        <v>https://zfin.org/ZDB-GENE-040426-1312</v>
      </c>
      <c r="E10628" t="s">
        <v>31845</v>
      </c>
    </row>
    <row r="10629" spans="1:5" x14ac:dyDescent="0.2">
      <c r="A10629" t="s">
        <v>31846</v>
      </c>
      <c r="B10629" t="s">
        <v>31847</v>
      </c>
      <c r="C10629" t="s">
        <v>31847</v>
      </c>
      <c r="D10629" t="str">
        <f>HYPERLINK("https://zfin.org/ZDB-GENE-050302-29")</f>
        <v>https://zfin.org/ZDB-GENE-050302-29</v>
      </c>
      <c r="E10629" t="s">
        <v>31848</v>
      </c>
    </row>
    <row r="10630" spans="1:5" x14ac:dyDescent="0.2">
      <c r="A10630" t="s">
        <v>31849</v>
      </c>
      <c r="B10630" t="s">
        <v>31850</v>
      </c>
      <c r="C10630" t="s">
        <v>31850</v>
      </c>
      <c r="D10630" t="str">
        <f>HYPERLINK("https://zfin.org/ZDB-GENE-040426-2502")</f>
        <v>https://zfin.org/ZDB-GENE-040426-2502</v>
      </c>
      <c r="E10630" t="s">
        <v>31851</v>
      </c>
    </row>
    <row r="10631" spans="1:5" x14ac:dyDescent="0.2">
      <c r="A10631" t="s">
        <v>31852</v>
      </c>
      <c r="B10631" t="s">
        <v>31853</v>
      </c>
      <c r="C10631" t="s">
        <v>31853</v>
      </c>
      <c r="D10631" t="str">
        <f>HYPERLINK("https://zfin.org/ZDB-GENE-030131-4792")</f>
        <v>https://zfin.org/ZDB-GENE-030131-4792</v>
      </c>
      <c r="E10631" t="s">
        <v>31854</v>
      </c>
    </row>
    <row r="10632" spans="1:5" x14ac:dyDescent="0.2">
      <c r="A10632" t="s">
        <v>31855</v>
      </c>
      <c r="B10632" t="s">
        <v>31856</v>
      </c>
      <c r="C10632" t="s">
        <v>31856</v>
      </c>
      <c r="D10632" t="str">
        <f>HYPERLINK("https://zfin.org/ZDB-GENE-060526-29")</f>
        <v>https://zfin.org/ZDB-GENE-060526-29</v>
      </c>
      <c r="E10632" t="s">
        <v>31857</v>
      </c>
    </row>
    <row r="10633" spans="1:5" x14ac:dyDescent="0.2">
      <c r="A10633" t="s">
        <v>31858</v>
      </c>
      <c r="B10633" t="s">
        <v>31859</v>
      </c>
      <c r="C10633" t="s">
        <v>31859</v>
      </c>
      <c r="D10633" t="str">
        <f>HYPERLINK("https://zfin.org/ZDB-GENE-061009-9")</f>
        <v>https://zfin.org/ZDB-GENE-061009-9</v>
      </c>
      <c r="E10633" t="s">
        <v>31860</v>
      </c>
    </row>
    <row r="10634" spans="1:5" x14ac:dyDescent="0.2">
      <c r="A10634" t="s">
        <v>31861</v>
      </c>
      <c r="B10634" t="s">
        <v>31862</v>
      </c>
      <c r="C10634" t="s">
        <v>31862</v>
      </c>
      <c r="D10634" t="str">
        <f>HYPERLINK("https://zfin.org/ZDB-GENE-040622-3")</f>
        <v>https://zfin.org/ZDB-GENE-040622-3</v>
      </c>
      <c r="E10634" t="s">
        <v>31863</v>
      </c>
    </row>
    <row r="10635" spans="1:5" x14ac:dyDescent="0.2">
      <c r="A10635" t="s">
        <v>31864</v>
      </c>
      <c r="B10635" t="s">
        <v>31865</v>
      </c>
      <c r="C10635" t="s">
        <v>31865</v>
      </c>
      <c r="D10635" t="str">
        <f>HYPERLINK("https://zfin.org/ZDB-GENE-030821-1")</f>
        <v>https://zfin.org/ZDB-GENE-030821-1</v>
      </c>
      <c r="E10635" t="s">
        <v>31866</v>
      </c>
    </row>
    <row r="10636" spans="1:5" x14ac:dyDescent="0.2">
      <c r="A10636" t="s">
        <v>31867</v>
      </c>
      <c r="B10636" t="s">
        <v>31868</v>
      </c>
      <c r="C10636" t="s">
        <v>31868</v>
      </c>
      <c r="D10636" t="str">
        <f>HYPERLINK("https://zfin.org/ZDB-GENE-000329-2")</f>
        <v>https://zfin.org/ZDB-GENE-000329-2</v>
      </c>
      <c r="E10636" t="s">
        <v>31869</v>
      </c>
    </row>
    <row r="10637" spans="1:5" x14ac:dyDescent="0.2">
      <c r="A10637" t="s">
        <v>31870</v>
      </c>
      <c r="B10637" t="s">
        <v>31871</v>
      </c>
      <c r="C10637" t="s">
        <v>31871</v>
      </c>
      <c r="D10637" t="str">
        <f>HYPERLINK("https://zfin.org/ZDB-GENE-061103-589")</f>
        <v>https://zfin.org/ZDB-GENE-061103-589</v>
      </c>
      <c r="E10637" t="s">
        <v>31872</v>
      </c>
    </row>
    <row r="10638" spans="1:5" x14ac:dyDescent="0.2">
      <c r="A10638" t="s">
        <v>31873</v>
      </c>
      <c r="B10638" t="s">
        <v>31874</v>
      </c>
      <c r="C10638" t="s">
        <v>31874</v>
      </c>
      <c r="D10638" t="str">
        <f>HYPERLINK("https://zfin.org/ZDB-GENE-060929-60")</f>
        <v>https://zfin.org/ZDB-GENE-060929-60</v>
      </c>
      <c r="E10638" t="s">
        <v>31875</v>
      </c>
    </row>
    <row r="10639" spans="1:5" x14ac:dyDescent="0.2">
      <c r="A10639" t="s">
        <v>31876</v>
      </c>
      <c r="B10639" t="s">
        <v>31877</v>
      </c>
      <c r="C10639" t="s">
        <v>31877</v>
      </c>
      <c r="D10639" t="str">
        <f>HYPERLINK("https://zfin.org/ZDB-GENE-041014-294")</f>
        <v>https://zfin.org/ZDB-GENE-041014-294</v>
      </c>
      <c r="E10639" t="s">
        <v>31878</v>
      </c>
    </row>
    <row r="10640" spans="1:5" x14ac:dyDescent="0.2">
      <c r="A10640" t="s">
        <v>31879</v>
      </c>
      <c r="B10640" t="s">
        <v>31880</v>
      </c>
      <c r="C10640" t="s">
        <v>31880</v>
      </c>
      <c r="D10640" t="str">
        <f>HYPERLINK("https://zfin.org/ZDB-GENE-071116-6")</f>
        <v>https://zfin.org/ZDB-GENE-071116-6</v>
      </c>
      <c r="E10640" t="s">
        <v>31881</v>
      </c>
    </row>
    <row r="10641" spans="1:5" x14ac:dyDescent="0.2">
      <c r="A10641" t="s">
        <v>31882</v>
      </c>
      <c r="B10641" t="s">
        <v>31883</v>
      </c>
      <c r="C10641" t="s">
        <v>31883</v>
      </c>
      <c r="D10641" t="str">
        <f>HYPERLINK("https://zfin.org/ZDB-GENE-030131-6149")</f>
        <v>https://zfin.org/ZDB-GENE-030131-6149</v>
      </c>
      <c r="E10641" t="s">
        <v>31884</v>
      </c>
    </row>
    <row r="10642" spans="1:5" x14ac:dyDescent="0.2">
      <c r="A10642" t="s">
        <v>31885</v>
      </c>
      <c r="B10642" t="s">
        <v>31886</v>
      </c>
      <c r="C10642" t="s">
        <v>31886</v>
      </c>
      <c r="D10642" t="str">
        <f>HYPERLINK("https://zfin.org/ZDB-GENE-081104-267")</f>
        <v>https://zfin.org/ZDB-GENE-081104-267</v>
      </c>
      <c r="E10642" t="s">
        <v>31887</v>
      </c>
    </row>
    <row r="10643" spans="1:5" x14ac:dyDescent="0.2">
      <c r="A10643" t="s">
        <v>31888</v>
      </c>
      <c r="B10643" t="s">
        <v>31889</v>
      </c>
      <c r="C10643" t="s">
        <v>31889</v>
      </c>
      <c r="D10643" t="str">
        <f>HYPERLINK("https://zfin.org/ZDB-GENE-041008-117")</f>
        <v>https://zfin.org/ZDB-GENE-041008-117</v>
      </c>
      <c r="E10643" t="s">
        <v>31890</v>
      </c>
    </row>
    <row r="10644" spans="1:5" x14ac:dyDescent="0.2">
      <c r="A10644" t="s">
        <v>31891</v>
      </c>
      <c r="B10644" t="s">
        <v>31892</v>
      </c>
      <c r="C10644" t="s">
        <v>31892</v>
      </c>
      <c r="D10644" t="str">
        <f>HYPERLINK("https://zfin.org/ZDB-GENE-050626-97")</f>
        <v>https://zfin.org/ZDB-GENE-050626-97</v>
      </c>
      <c r="E10644" t="s">
        <v>31893</v>
      </c>
    </row>
    <row r="10645" spans="1:5" x14ac:dyDescent="0.2">
      <c r="A10645" t="s">
        <v>31894</v>
      </c>
      <c r="B10645" t="s">
        <v>31895</v>
      </c>
      <c r="C10645" t="s">
        <v>31895</v>
      </c>
      <c r="D10645" t="str">
        <f>HYPERLINK("https://zfin.org/ZDB-GENE-030131-9143")</f>
        <v>https://zfin.org/ZDB-GENE-030131-9143</v>
      </c>
      <c r="E10645" t="s">
        <v>31896</v>
      </c>
    </row>
    <row r="10646" spans="1:5" x14ac:dyDescent="0.2">
      <c r="A10646" t="s">
        <v>31897</v>
      </c>
      <c r="B10646" t="s">
        <v>31898</v>
      </c>
      <c r="C10646" t="s">
        <v>31898</v>
      </c>
      <c r="D10646" t="str">
        <f>HYPERLINK("https://zfin.org/ZDB-GENE-051130-1")</f>
        <v>https://zfin.org/ZDB-GENE-051130-1</v>
      </c>
      <c r="E10646" t="s">
        <v>31899</v>
      </c>
    </row>
    <row r="10647" spans="1:5" x14ac:dyDescent="0.2">
      <c r="A10647" t="s">
        <v>31900</v>
      </c>
      <c r="B10647" t="s">
        <v>31901</v>
      </c>
      <c r="C10647" t="s">
        <v>31901</v>
      </c>
      <c r="D10647" t="str">
        <f>HYPERLINK("https://zfin.org/ZDB-GENE-070424-62")</f>
        <v>https://zfin.org/ZDB-GENE-070424-62</v>
      </c>
      <c r="E10647" t="s">
        <v>31902</v>
      </c>
    </row>
    <row r="10648" spans="1:5" x14ac:dyDescent="0.2">
      <c r="A10648" t="s">
        <v>31903</v>
      </c>
      <c r="B10648" t="s">
        <v>31904</v>
      </c>
      <c r="C10648" t="s">
        <v>31904</v>
      </c>
      <c r="D10648" t="str">
        <f>HYPERLINK("https://zfin.org/ZDB-GENE-010430-4")</f>
        <v>https://zfin.org/ZDB-GENE-010430-4</v>
      </c>
      <c r="E10648" t="s">
        <v>31905</v>
      </c>
    </row>
    <row r="10649" spans="1:5" x14ac:dyDescent="0.2">
      <c r="A10649" t="s">
        <v>31906</v>
      </c>
      <c r="B10649" t="s">
        <v>31907</v>
      </c>
      <c r="C10649" t="s">
        <v>31907</v>
      </c>
      <c r="D10649" t="str">
        <f>HYPERLINK("https://zfin.org/ZDB-GENE-050913-55")</f>
        <v>https://zfin.org/ZDB-GENE-050913-55</v>
      </c>
      <c r="E10649" t="s">
        <v>31908</v>
      </c>
    </row>
    <row r="10650" spans="1:5" x14ac:dyDescent="0.2">
      <c r="A10650" t="s">
        <v>31909</v>
      </c>
      <c r="B10650" t="s">
        <v>31910</v>
      </c>
      <c r="C10650" t="s">
        <v>31910</v>
      </c>
      <c r="D10650" t="str">
        <f>HYPERLINK("https://zfin.org/ZDB-GENE-050302-55")</f>
        <v>https://zfin.org/ZDB-GENE-050302-55</v>
      </c>
      <c r="E10650" t="s">
        <v>31911</v>
      </c>
    </row>
    <row r="10651" spans="1:5" x14ac:dyDescent="0.2">
      <c r="A10651" t="s">
        <v>31912</v>
      </c>
      <c r="B10651" t="s">
        <v>31913</v>
      </c>
      <c r="C10651" t="s">
        <v>31913</v>
      </c>
      <c r="D10651" t="str">
        <f>HYPERLINK("https://zfin.org/ZDB-GENE-040426-1533")</f>
        <v>https://zfin.org/ZDB-GENE-040426-1533</v>
      </c>
      <c r="E10651" t="s">
        <v>31914</v>
      </c>
    </row>
    <row r="10652" spans="1:5" x14ac:dyDescent="0.2">
      <c r="A10652" t="s">
        <v>31915</v>
      </c>
      <c r="B10652" t="s">
        <v>31916</v>
      </c>
      <c r="C10652" t="s">
        <v>31916</v>
      </c>
      <c r="D10652" t="str">
        <f>HYPERLINK("https://zfin.org/ZDB-GENE-020111-5")</f>
        <v>https://zfin.org/ZDB-GENE-020111-5</v>
      </c>
      <c r="E10652" t="s">
        <v>31917</v>
      </c>
    </row>
    <row r="10653" spans="1:5" x14ac:dyDescent="0.2">
      <c r="A10653" t="s">
        <v>31918</v>
      </c>
      <c r="B10653" t="s">
        <v>31919</v>
      </c>
      <c r="C10653" t="s">
        <v>31919</v>
      </c>
      <c r="D10653" t="str">
        <f>HYPERLINK("https://zfin.org/ZDB-GENE-080107-6")</f>
        <v>https://zfin.org/ZDB-GENE-080107-6</v>
      </c>
      <c r="E10653" t="s">
        <v>31920</v>
      </c>
    </row>
    <row r="10654" spans="1:5" x14ac:dyDescent="0.2">
      <c r="A10654" t="s">
        <v>31921</v>
      </c>
      <c r="B10654" t="s">
        <v>31922</v>
      </c>
      <c r="C10654" t="s">
        <v>31922</v>
      </c>
      <c r="D10654" t="str">
        <f>HYPERLINK("https://zfin.org/ZDB-GENE-030131-1610")</f>
        <v>https://zfin.org/ZDB-GENE-030131-1610</v>
      </c>
      <c r="E10654" t="s">
        <v>31923</v>
      </c>
    </row>
    <row r="10655" spans="1:5" x14ac:dyDescent="0.2">
      <c r="A10655" t="s">
        <v>31924</v>
      </c>
      <c r="B10655" t="s">
        <v>31925</v>
      </c>
      <c r="C10655" t="s">
        <v>31925</v>
      </c>
      <c r="D10655" t="str">
        <f>HYPERLINK("https://zfin.org/ZDB-GENE-070828-2")</f>
        <v>https://zfin.org/ZDB-GENE-070828-2</v>
      </c>
      <c r="E10655" t="s">
        <v>31926</v>
      </c>
    </row>
    <row r="10656" spans="1:5" x14ac:dyDescent="0.2">
      <c r="A10656" t="s">
        <v>31927</v>
      </c>
      <c r="B10656" t="s">
        <v>31928</v>
      </c>
      <c r="C10656" t="s">
        <v>31928</v>
      </c>
      <c r="D10656" t="str">
        <f>HYPERLINK("https://zfin.org/ZDB-GENE-070705-300")</f>
        <v>https://zfin.org/ZDB-GENE-070705-300</v>
      </c>
      <c r="E10656" t="s">
        <v>31929</v>
      </c>
    </row>
    <row r="10657" spans="1:5" x14ac:dyDescent="0.2">
      <c r="A10657" t="s">
        <v>31930</v>
      </c>
      <c r="B10657" t="s">
        <v>31931</v>
      </c>
      <c r="C10657" t="s">
        <v>31931</v>
      </c>
      <c r="D10657" t="str">
        <f>HYPERLINK("https://zfin.org/ZDB-GENE-050310-3")</f>
        <v>https://zfin.org/ZDB-GENE-050310-3</v>
      </c>
      <c r="E10657" t="s">
        <v>31932</v>
      </c>
    </row>
    <row r="10658" spans="1:5" x14ac:dyDescent="0.2">
      <c r="A10658" t="s">
        <v>31933</v>
      </c>
      <c r="B10658" t="s">
        <v>31934</v>
      </c>
      <c r="C10658" t="s">
        <v>31934</v>
      </c>
      <c r="D10658" t="str">
        <f>HYPERLINK("https://zfin.org/ZDB-GENE-040721-1")</f>
        <v>https://zfin.org/ZDB-GENE-040721-1</v>
      </c>
      <c r="E10658" t="s">
        <v>31935</v>
      </c>
    </row>
    <row r="10659" spans="1:5" x14ac:dyDescent="0.2">
      <c r="A10659" t="s">
        <v>31936</v>
      </c>
      <c r="B10659" t="s">
        <v>31937</v>
      </c>
      <c r="C10659" t="s">
        <v>31937</v>
      </c>
      <c r="D10659" t="str">
        <f>HYPERLINK("https://zfin.org/ZDB-GENE-030131-3207")</f>
        <v>https://zfin.org/ZDB-GENE-030131-3207</v>
      </c>
      <c r="E10659" t="s">
        <v>31938</v>
      </c>
    </row>
    <row r="10660" spans="1:5" x14ac:dyDescent="0.2">
      <c r="A10660" t="s">
        <v>31939</v>
      </c>
      <c r="B10660" t="s">
        <v>31940</v>
      </c>
      <c r="C10660" t="s">
        <v>31940</v>
      </c>
      <c r="D10660" t="str">
        <f>HYPERLINK("https://zfin.org/ZDB-GENE-091118-80")</f>
        <v>https://zfin.org/ZDB-GENE-091118-80</v>
      </c>
      <c r="E10660" t="s">
        <v>31941</v>
      </c>
    </row>
    <row r="10661" spans="1:5" x14ac:dyDescent="0.2">
      <c r="A10661" t="s">
        <v>31942</v>
      </c>
      <c r="B10661" t="s">
        <v>31943</v>
      </c>
      <c r="C10661" t="s">
        <v>31943</v>
      </c>
      <c r="D10661" t="str">
        <f>HYPERLINK("https://zfin.org/ZDB-GENE-120608-3")</f>
        <v>https://zfin.org/ZDB-GENE-120608-3</v>
      </c>
      <c r="E10661" t="s">
        <v>31944</v>
      </c>
    </row>
    <row r="10662" spans="1:5" x14ac:dyDescent="0.2">
      <c r="A10662" t="s">
        <v>31945</v>
      </c>
      <c r="B10662" t="s">
        <v>31946</v>
      </c>
      <c r="C10662" t="s">
        <v>31946</v>
      </c>
      <c r="D10662" t="str">
        <f>HYPERLINK("https://zfin.org/ZDB-GENE-030131-5759")</f>
        <v>https://zfin.org/ZDB-GENE-030131-5759</v>
      </c>
      <c r="E10662" t="s">
        <v>31947</v>
      </c>
    </row>
    <row r="10663" spans="1:5" x14ac:dyDescent="0.2">
      <c r="A10663" t="s">
        <v>31948</v>
      </c>
      <c r="B10663" t="s">
        <v>31949</v>
      </c>
      <c r="C10663" t="s">
        <v>31949</v>
      </c>
      <c r="D10663" t="str">
        <f>HYPERLINK("https://zfin.org/ZDB-GENE-980526-549")</f>
        <v>https://zfin.org/ZDB-GENE-980526-549</v>
      </c>
      <c r="E10663" t="s">
        <v>31950</v>
      </c>
    </row>
    <row r="10664" spans="1:5" x14ac:dyDescent="0.2">
      <c r="A10664" t="s">
        <v>31951</v>
      </c>
      <c r="B10664" t="s">
        <v>31952</v>
      </c>
      <c r="C10664" t="s">
        <v>31952</v>
      </c>
      <c r="D10664" t="str">
        <f>HYPERLINK("https://zfin.org/ZDB-GENE-050506-54")</f>
        <v>https://zfin.org/ZDB-GENE-050506-54</v>
      </c>
      <c r="E10664" t="s">
        <v>31953</v>
      </c>
    </row>
    <row r="10665" spans="1:5" x14ac:dyDescent="0.2">
      <c r="A10665" t="s">
        <v>31954</v>
      </c>
      <c r="B10665" t="s">
        <v>31955</v>
      </c>
      <c r="C10665" t="s">
        <v>31955</v>
      </c>
      <c r="D10665" t="str">
        <f>HYPERLINK("https://zfin.org/ZDB-GENE-030131-3556")</f>
        <v>https://zfin.org/ZDB-GENE-030131-3556</v>
      </c>
      <c r="E10665" t="s">
        <v>31956</v>
      </c>
    </row>
    <row r="10666" spans="1:5" x14ac:dyDescent="0.2">
      <c r="A10666" t="s">
        <v>31957</v>
      </c>
      <c r="B10666" t="s">
        <v>31958</v>
      </c>
      <c r="C10666" t="s">
        <v>31958</v>
      </c>
      <c r="D10666" t="str">
        <f>HYPERLINK("https://zfin.org/ZDB-GENE-141212-9")</f>
        <v>https://zfin.org/ZDB-GENE-141212-9</v>
      </c>
      <c r="E10666" t="s">
        <v>31959</v>
      </c>
    </row>
    <row r="10667" spans="1:5" x14ac:dyDescent="0.2">
      <c r="A10667" t="s">
        <v>31960</v>
      </c>
      <c r="B10667" t="s">
        <v>31961</v>
      </c>
      <c r="C10667" t="s">
        <v>31961</v>
      </c>
      <c r="D10667" t="str">
        <f>HYPERLINK("https://zfin.org/ZDB-GENE-040426-1157")</f>
        <v>https://zfin.org/ZDB-GENE-040426-1157</v>
      </c>
      <c r="E10667" t="s">
        <v>31962</v>
      </c>
    </row>
    <row r="10668" spans="1:5" x14ac:dyDescent="0.2">
      <c r="A10668" t="s">
        <v>31963</v>
      </c>
      <c r="B10668" t="s">
        <v>31964</v>
      </c>
      <c r="C10668" t="s">
        <v>31964</v>
      </c>
      <c r="D10668" t="str">
        <f>HYPERLINK("https://zfin.org/ZDB-GENE-040426-1112")</f>
        <v>https://zfin.org/ZDB-GENE-040426-1112</v>
      </c>
      <c r="E10668" t="s">
        <v>31965</v>
      </c>
    </row>
    <row r="10669" spans="1:5" x14ac:dyDescent="0.2">
      <c r="A10669" t="s">
        <v>31966</v>
      </c>
      <c r="B10669" t="s">
        <v>31967</v>
      </c>
      <c r="C10669" t="s">
        <v>31967</v>
      </c>
      <c r="D10669" t="str">
        <f>HYPERLINK("https://zfin.org/ZDB-GENE-040426-1905")</f>
        <v>https://zfin.org/ZDB-GENE-040426-1905</v>
      </c>
      <c r="E10669" t="s">
        <v>31968</v>
      </c>
    </row>
    <row r="10670" spans="1:5" x14ac:dyDescent="0.2">
      <c r="A10670" t="s">
        <v>31969</v>
      </c>
      <c r="B10670" t="s">
        <v>31970</v>
      </c>
      <c r="C10670" t="s">
        <v>31970</v>
      </c>
      <c r="D10670" t="str">
        <f>HYPERLINK("https://zfin.org/ZDB-GENE-030131-1042")</f>
        <v>https://zfin.org/ZDB-GENE-030131-1042</v>
      </c>
      <c r="E10670" t="s">
        <v>31971</v>
      </c>
    </row>
    <row r="10671" spans="1:5" x14ac:dyDescent="0.2">
      <c r="A10671" t="s">
        <v>31972</v>
      </c>
      <c r="B10671" t="s">
        <v>31973</v>
      </c>
      <c r="C10671" t="s">
        <v>31973</v>
      </c>
      <c r="D10671" t="str">
        <f>HYPERLINK("https://zfin.org/ZDB-GENE-060503-870")</f>
        <v>https://zfin.org/ZDB-GENE-060503-870</v>
      </c>
      <c r="E10671" t="s">
        <v>31974</v>
      </c>
    </row>
    <row r="10672" spans="1:5" x14ac:dyDescent="0.2">
      <c r="A10672" t="s">
        <v>31975</v>
      </c>
      <c r="B10672" t="s">
        <v>31976</v>
      </c>
      <c r="C10672" t="s">
        <v>31976</v>
      </c>
      <c r="D10672" t="str">
        <f>HYPERLINK("https://zfin.org/ZDB-GENE-030131-5143")</f>
        <v>https://zfin.org/ZDB-GENE-030131-5143</v>
      </c>
      <c r="E10672" t="s">
        <v>31977</v>
      </c>
    </row>
    <row r="10673" spans="1:5" x14ac:dyDescent="0.2">
      <c r="A10673" t="s">
        <v>31978</v>
      </c>
      <c r="B10673" t="s">
        <v>31979</v>
      </c>
      <c r="C10673" t="s">
        <v>31979</v>
      </c>
      <c r="D10673" t="str">
        <f>HYPERLINK("https://zfin.org/ZDB-GENE-081104-147")</f>
        <v>https://zfin.org/ZDB-GENE-081104-147</v>
      </c>
      <c r="E10673" t="s">
        <v>31980</v>
      </c>
    </row>
    <row r="10674" spans="1:5" x14ac:dyDescent="0.2">
      <c r="A10674" t="s">
        <v>31981</v>
      </c>
      <c r="B10674" t="s">
        <v>31982</v>
      </c>
      <c r="C10674" t="s">
        <v>31982</v>
      </c>
      <c r="D10674" t="str">
        <f>HYPERLINK("https://zfin.org/ZDB-GENE-070424-35")</f>
        <v>https://zfin.org/ZDB-GENE-070424-35</v>
      </c>
      <c r="E10674" t="s">
        <v>31983</v>
      </c>
    </row>
    <row r="10675" spans="1:5" x14ac:dyDescent="0.2">
      <c r="A10675" t="s">
        <v>31984</v>
      </c>
      <c r="B10675" t="s">
        <v>31985</v>
      </c>
      <c r="C10675" t="s">
        <v>31985</v>
      </c>
      <c r="D10675" t="str">
        <f>HYPERLINK("https://zfin.org/ZDB-GENE-070424-53")</f>
        <v>https://zfin.org/ZDB-GENE-070424-53</v>
      </c>
      <c r="E10675" t="s">
        <v>31986</v>
      </c>
    </row>
    <row r="10676" spans="1:5" x14ac:dyDescent="0.2">
      <c r="A10676" t="s">
        <v>31987</v>
      </c>
      <c r="B10676" t="s">
        <v>31988</v>
      </c>
      <c r="C10676" t="s">
        <v>31988</v>
      </c>
      <c r="D10676" t="str">
        <f>HYPERLINK("https://zfin.org/ZDB-GENE-070912-282")</f>
        <v>https://zfin.org/ZDB-GENE-070912-282</v>
      </c>
      <c r="E10676" t="s">
        <v>31989</v>
      </c>
    </row>
    <row r="10677" spans="1:5" x14ac:dyDescent="0.2">
      <c r="A10677" t="s">
        <v>31990</v>
      </c>
      <c r="B10677" t="s">
        <v>31991</v>
      </c>
      <c r="C10677" t="s">
        <v>31991</v>
      </c>
      <c r="D10677" t="str">
        <f>HYPERLINK("https://zfin.org/ZDB-GENE-991110-14")</f>
        <v>https://zfin.org/ZDB-GENE-991110-14</v>
      </c>
      <c r="E10677" t="s">
        <v>31992</v>
      </c>
    </row>
    <row r="10678" spans="1:5" x14ac:dyDescent="0.2">
      <c r="A10678" t="s">
        <v>31993</v>
      </c>
      <c r="B10678" t="s">
        <v>31994</v>
      </c>
      <c r="C10678" t="s">
        <v>31994</v>
      </c>
      <c r="D10678" t="str">
        <f>HYPERLINK("https://zfin.org/ZDB-GENE-020419-23")</f>
        <v>https://zfin.org/ZDB-GENE-020419-23</v>
      </c>
      <c r="E10678" t="s">
        <v>31995</v>
      </c>
    </row>
    <row r="10679" spans="1:5" x14ac:dyDescent="0.2">
      <c r="A10679" t="s">
        <v>31996</v>
      </c>
      <c r="B10679" t="s">
        <v>31997</v>
      </c>
      <c r="C10679" t="s">
        <v>31997</v>
      </c>
      <c r="D10679" t="str">
        <f>HYPERLINK("https://zfin.org/ZDB-GENE-070705-462")</f>
        <v>https://zfin.org/ZDB-GENE-070705-462</v>
      </c>
      <c r="E10679" t="s">
        <v>31998</v>
      </c>
    </row>
    <row r="10680" spans="1:5" x14ac:dyDescent="0.2">
      <c r="A10680" t="s">
        <v>31999</v>
      </c>
      <c r="B10680" t="s">
        <v>32000</v>
      </c>
      <c r="C10680" t="s">
        <v>32000</v>
      </c>
      <c r="D10680" t="str">
        <f>HYPERLINK("https://zfin.org/ZDB-GENE-050417-398")</f>
        <v>https://zfin.org/ZDB-GENE-050417-398</v>
      </c>
      <c r="E10680" t="s">
        <v>32001</v>
      </c>
    </row>
    <row r="10681" spans="1:5" x14ac:dyDescent="0.2">
      <c r="A10681" t="s">
        <v>32002</v>
      </c>
      <c r="B10681" t="s">
        <v>32003</v>
      </c>
      <c r="C10681" t="s">
        <v>32003</v>
      </c>
      <c r="D10681" t="str">
        <f>HYPERLINK("https://zfin.org/ZDB-GENE-030131-306")</f>
        <v>https://zfin.org/ZDB-GENE-030131-306</v>
      </c>
      <c r="E10681" t="s">
        <v>32004</v>
      </c>
    </row>
    <row r="10682" spans="1:5" x14ac:dyDescent="0.2">
      <c r="A10682" t="s">
        <v>32005</v>
      </c>
      <c r="B10682" t="s">
        <v>32006</v>
      </c>
      <c r="C10682" t="s">
        <v>32006</v>
      </c>
      <c r="D10682" t="str">
        <f>HYPERLINK("https://zfin.org/ZDB-GENE-060929-640")</f>
        <v>https://zfin.org/ZDB-GENE-060929-640</v>
      </c>
      <c r="E10682" t="s">
        <v>32007</v>
      </c>
    </row>
    <row r="10683" spans="1:5" x14ac:dyDescent="0.2">
      <c r="A10683" t="s">
        <v>32008</v>
      </c>
      <c r="B10683" t="s">
        <v>32009</v>
      </c>
      <c r="C10683" t="s">
        <v>32009</v>
      </c>
      <c r="D10683" t="str">
        <f>HYPERLINK("https://zfin.org/ZDB-GENE-050214-1")</f>
        <v>https://zfin.org/ZDB-GENE-050214-1</v>
      </c>
      <c r="E10683" t="s">
        <v>32010</v>
      </c>
    </row>
    <row r="10684" spans="1:5" x14ac:dyDescent="0.2">
      <c r="A10684" t="s">
        <v>32011</v>
      </c>
      <c r="B10684" t="s">
        <v>32012</v>
      </c>
      <c r="C10684" t="s">
        <v>32012</v>
      </c>
      <c r="D10684" t="str">
        <f>HYPERLINK("https://zfin.org/ZDB-GENE-030131-1677")</f>
        <v>https://zfin.org/ZDB-GENE-030131-1677</v>
      </c>
      <c r="E10684" t="s">
        <v>32013</v>
      </c>
    </row>
    <row r="10685" spans="1:5" x14ac:dyDescent="0.2">
      <c r="A10685" t="s">
        <v>32014</v>
      </c>
      <c r="B10685" t="s">
        <v>32015</v>
      </c>
      <c r="C10685" t="s">
        <v>32015</v>
      </c>
      <c r="D10685" t="str">
        <f>HYPERLINK("https://zfin.org/ZDB-GENE-070705-92")</f>
        <v>https://zfin.org/ZDB-GENE-070705-92</v>
      </c>
      <c r="E10685" t="s">
        <v>32016</v>
      </c>
    </row>
    <row r="10686" spans="1:5" x14ac:dyDescent="0.2">
      <c r="A10686" t="s">
        <v>32017</v>
      </c>
      <c r="B10686" t="s">
        <v>32018</v>
      </c>
      <c r="C10686" t="s">
        <v>32018</v>
      </c>
      <c r="D10686" t="str">
        <f>HYPERLINK("https://zfin.org/ZDB-GENE-040426-2292")</f>
        <v>https://zfin.org/ZDB-GENE-040426-2292</v>
      </c>
      <c r="E10686" t="s">
        <v>32019</v>
      </c>
    </row>
    <row r="10687" spans="1:5" x14ac:dyDescent="0.2">
      <c r="A10687" t="s">
        <v>32020</v>
      </c>
      <c r="B10687" t="s">
        <v>32021</v>
      </c>
      <c r="C10687" t="s">
        <v>32021</v>
      </c>
      <c r="D10687" t="str">
        <f>HYPERLINK("https://zfin.org/ZDB-GENE-050809-121")</f>
        <v>https://zfin.org/ZDB-GENE-050809-121</v>
      </c>
      <c r="E10687" t="s">
        <v>32022</v>
      </c>
    </row>
    <row r="10688" spans="1:5" x14ac:dyDescent="0.2">
      <c r="A10688" t="s">
        <v>32023</v>
      </c>
      <c r="B10688" t="s">
        <v>32024</v>
      </c>
      <c r="C10688" t="s">
        <v>32024</v>
      </c>
      <c r="D10688" t="str">
        <f>HYPERLINK("https://zfin.org/ZDB-GENE-050417-355")</f>
        <v>https://zfin.org/ZDB-GENE-050417-355</v>
      </c>
      <c r="E10688" t="s">
        <v>32025</v>
      </c>
    </row>
    <row r="10689" spans="1:5" x14ac:dyDescent="0.2">
      <c r="A10689" t="s">
        <v>32026</v>
      </c>
      <c r="B10689" t="s">
        <v>32027</v>
      </c>
      <c r="C10689" t="s">
        <v>32027</v>
      </c>
      <c r="D10689" t="str">
        <f>HYPERLINK("https://zfin.org/ZDB-GENE-081105-62")</f>
        <v>https://zfin.org/ZDB-GENE-081105-62</v>
      </c>
      <c r="E10689" t="s">
        <v>32028</v>
      </c>
    </row>
    <row r="10690" spans="1:5" x14ac:dyDescent="0.2">
      <c r="A10690" t="s">
        <v>32029</v>
      </c>
      <c r="B10690" t="s">
        <v>32030</v>
      </c>
      <c r="C10690" t="s">
        <v>32030</v>
      </c>
      <c r="D10690" t="str">
        <f>HYPERLINK("https://zfin.org/ZDB-GENE-041001-150")</f>
        <v>https://zfin.org/ZDB-GENE-041001-150</v>
      </c>
      <c r="E10690" t="s">
        <v>32031</v>
      </c>
    </row>
    <row r="10691" spans="1:5" x14ac:dyDescent="0.2">
      <c r="A10691" t="s">
        <v>32032</v>
      </c>
      <c r="B10691" t="s">
        <v>32033</v>
      </c>
      <c r="C10691" t="s">
        <v>32033</v>
      </c>
      <c r="D10691" t="str">
        <f>HYPERLINK("https://zfin.org/ZDB-GENE-131127-164")</f>
        <v>https://zfin.org/ZDB-GENE-131127-164</v>
      </c>
      <c r="E10691" t="s">
        <v>32034</v>
      </c>
    </row>
    <row r="10692" spans="1:5" x14ac:dyDescent="0.2">
      <c r="A10692" t="s">
        <v>32035</v>
      </c>
      <c r="B10692" t="s">
        <v>32036</v>
      </c>
      <c r="C10692" t="s">
        <v>32036</v>
      </c>
      <c r="D10692" t="str">
        <f>HYPERLINK("https://zfin.org/ZDB-GENE-030131-7856")</f>
        <v>https://zfin.org/ZDB-GENE-030131-7856</v>
      </c>
      <c r="E10692" t="s">
        <v>32037</v>
      </c>
    </row>
    <row r="10693" spans="1:5" x14ac:dyDescent="0.2">
      <c r="A10693" t="s">
        <v>32038</v>
      </c>
      <c r="B10693" t="s">
        <v>32039</v>
      </c>
      <c r="C10693" t="s">
        <v>32039</v>
      </c>
      <c r="D10693" t="str">
        <f>HYPERLINK("https://zfin.org/ZDB-GENE-041014-352")</f>
        <v>https://zfin.org/ZDB-GENE-041014-352</v>
      </c>
      <c r="E10693" t="s">
        <v>32040</v>
      </c>
    </row>
    <row r="10694" spans="1:5" x14ac:dyDescent="0.2">
      <c r="A10694" t="s">
        <v>32041</v>
      </c>
      <c r="B10694" t="s">
        <v>32042</v>
      </c>
      <c r="C10694" t="s">
        <v>32042</v>
      </c>
      <c r="D10694" t="str">
        <f>HYPERLINK("https://zfin.org/ZDB-GENE-080204-14")</f>
        <v>https://zfin.org/ZDB-GENE-080204-14</v>
      </c>
      <c r="E10694" t="s">
        <v>32043</v>
      </c>
    </row>
    <row r="10695" spans="1:5" x14ac:dyDescent="0.2">
      <c r="A10695" t="s">
        <v>32044</v>
      </c>
      <c r="B10695" t="s">
        <v>32045</v>
      </c>
      <c r="C10695" t="s">
        <v>32045</v>
      </c>
      <c r="D10695" t="str">
        <f>HYPERLINK("https://zfin.org/ZDB-GENE-030131-4356")</f>
        <v>https://zfin.org/ZDB-GENE-030131-4356</v>
      </c>
      <c r="E10695" t="s">
        <v>32046</v>
      </c>
    </row>
    <row r="10696" spans="1:5" x14ac:dyDescent="0.2">
      <c r="A10696" t="s">
        <v>32047</v>
      </c>
      <c r="B10696" t="s">
        <v>32048</v>
      </c>
      <c r="C10696" t="s">
        <v>32048</v>
      </c>
      <c r="D10696" t="str">
        <f>HYPERLINK("https://zfin.org/ZDB-GENE-141215-13")</f>
        <v>https://zfin.org/ZDB-GENE-141215-13</v>
      </c>
      <c r="E10696" t="s">
        <v>32049</v>
      </c>
    </row>
    <row r="10697" spans="1:5" x14ac:dyDescent="0.2">
      <c r="A10697" t="s">
        <v>32050</v>
      </c>
      <c r="B10697" t="s">
        <v>32051</v>
      </c>
      <c r="C10697" t="s">
        <v>32051</v>
      </c>
      <c r="D10697" t="str">
        <f>HYPERLINK("https://zfin.org/ZDB-GENE-030131-7276")</f>
        <v>https://zfin.org/ZDB-GENE-030131-7276</v>
      </c>
      <c r="E10697" t="s">
        <v>32052</v>
      </c>
    </row>
    <row r="10698" spans="1:5" x14ac:dyDescent="0.2">
      <c r="A10698" t="s">
        <v>32053</v>
      </c>
      <c r="B10698" t="s">
        <v>32054</v>
      </c>
      <c r="C10698" t="s">
        <v>32054</v>
      </c>
      <c r="D10698" t="str">
        <f>HYPERLINK("https://zfin.org/ZDB-GENE-030131-3251")</f>
        <v>https://zfin.org/ZDB-GENE-030131-3251</v>
      </c>
      <c r="E10698" t="s">
        <v>32055</v>
      </c>
    </row>
    <row r="10699" spans="1:5" x14ac:dyDescent="0.2">
      <c r="A10699" t="s">
        <v>32056</v>
      </c>
      <c r="B10699" t="s">
        <v>32057</v>
      </c>
      <c r="C10699" t="s">
        <v>32057</v>
      </c>
      <c r="D10699" t="str">
        <f>HYPERLINK("https://zfin.org/ZDB-GENE-030131-9414")</f>
        <v>https://zfin.org/ZDB-GENE-030131-9414</v>
      </c>
      <c r="E10699" t="s">
        <v>32058</v>
      </c>
    </row>
    <row r="10700" spans="1:5" x14ac:dyDescent="0.2">
      <c r="A10700" t="s">
        <v>32059</v>
      </c>
      <c r="B10700" t="s">
        <v>32060</v>
      </c>
      <c r="C10700" t="s">
        <v>32060</v>
      </c>
      <c r="D10700" t="str">
        <f>HYPERLINK("https://zfin.org/")</f>
        <v>https://zfin.org/</v>
      </c>
    </row>
    <row r="10701" spans="1:5" x14ac:dyDescent="0.2">
      <c r="A10701" t="s">
        <v>32061</v>
      </c>
      <c r="B10701" t="s">
        <v>32062</v>
      </c>
      <c r="C10701" t="s">
        <v>32062</v>
      </c>
      <c r="D10701" t="str">
        <f>HYPERLINK("https://zfin.org/ZDB-GENE-030131-921")</f>
        <v>https://zfin.org/ZDB-GENE-030131-921</v>
      </c>
      <c r="E10701" t="s">
        <v>32063</v>
      </c>
    </row>
    <row r="10702" spans="1:5" x14ac:dyDescent="0.2">
      <c r="A10702" t="s">
        <v>32064</v>
      </c>
      <c r="B10702" t="s">
        <v>32065</v>
      </c>
      <c r="C10702" t="s">
        <v>32065</v>
      </c>
      <c r="D10702" t="str">
        <f>HYPERLINK("https://zfin.org/ZDB-GENE-050419-115")</f>
        <v>https://zfin.org/ZDB-GENE-050419-115</v>
      </c>
      <c r="E10702" t="s">
        <v>32066</v>
      </c>
    </row>
    <row r="10703" spans="1:5" x14ac:dyDescent="0.2">
      <c r="A10703" t="s">
        <v>32067</v>
      </c>
      <c r="B10703" t="s">
        <v>32068</v>
      </c>
      <c r="C10703" t="s">
        <v>32068</v>
      </c>
      <c r="D10703" t="str">
        <f>HYPERLINK("https://zfin.org/ZDB-GENE-030131-9638")</f>
        <v>https://zfin.org/ZDB-GENE-030131-9638</v>
      </c>
      <c r="E10703" t="s">
        <v>32069</v>
      </c>
    </row>
    <row r="10704" spans="1:5" x14ac:dyDescent="0.2">
      <c r="A10704" t="s">
        <v>32070</v>
      </c>
      <c r="B10704" t="s">
        <v>32060</v>
      </c>
      <c r="C10704" t="s">
        <v>32071</v>
      </c>
      <c r="D10704" t="str">
        <f>HYPERLINK("https://zfin.org/ZDB-GENE-040912-23")</f>
        <v>https://zfin.org/ZDB-GENE-040912-23</v>
      </c>
      <c r="E10704" t="s">
        <v>32072</v>
      </c>
    </row>
    <row r="10705" spans="1:5" x14ac:dyDescent="0.2">
      <c r="A10705" t="s">
        <v>32073</v>
      </c>
      <c r="B10705" t="s">
        <v>32074</v>
      </c>
      <c r="C10705" t="s">
        <v>32074</v>
      </c>
      <c r="D10705" t="str">
        <f>HYPERLINK("https://zfin.org/ZDB-GENE-081205-5")</f>
        <v>https://zfin.org/ZDB-GENE-081205-5</v>
      </c>
      <c r="E10705" t="s">
        <v>32075</v>
      </c>
    </row>
    <row r="10706" spans="1:5" x14ac:dyDescent="0.2">
      <c r="A10706" t="s">
        <v>32076</v>
      </c>
      <c r="B10706" t="s">
        <v>32077</v>
      </c>
      <c r="C10706" t="s">
        <v>32077</v>
      </c>
      <c r="D10706" t="str">
        <f>HYPERLINK("https://zfin.org/ZDB-GENE-030131-607")</f>
        <v>https://zfin.org/ZDB-GENE-030131-607</v>
      </c>
      <c r="E10706" t="s">
        <v>32078</v>
      </c>
    </row>
    <row r="10707" spans="1:5" x14ac:dyDescent="0.2">
      <c r="A10707" t="s">
        <v>32079</v>
      </c>
      <c r="B10707" t="s">
        <v>32080</v>
      </c>
      <c r="C10707" t="s">
        <v>32080</v>
      </c>
      <c r="D10707" t="str">
        <f>HYPERLINK("https://zfin.org/ZDB-GENE-100519-1")</f>
        <v>https://zfin.org/ZDB-GENE-100519-1</v>
      </c>
      <c r="E10707" t="s">
        <v>32081</v>
      </c>
    </row>
    <row r="10708" spans="1:5" x14ac:dyDescent="0.2">
      <c r="A10708" t="s">
        <v>32082</v>
      </c>
      <c r="B10708" t="s">
        <v>32083</v>
      </c>
      <c r="C10708" t="s">
        <v>32083</v>
      </c>
      <c r="D10708" t="str">
        <f>HYPERLINK("https://zfin.org/ZDB-GENE-030131-5105")</f>
        <v>https://zfin.org/ZDB-GENE-030131-5105</v>
      </c>
      <c r="E10708" t="s">
        <v>32084</v>
      </c>
    </row>
    <row r="10709" spans="1:5" x14ac:dyDescent="0.2">
      <c r="A10709" t="s">
        <v>32085</v>
      </c>
      <c r="B10709" t="s">
        <v>32086</v>
      </c>
      <c r="C10709" t="s">
        <v>32086</v>
      </c>
      <c r="D10709" t="str">
        <f>HYPERLINK("https://zfin.org/ZDB-GENE-030131-7873")</f>
        <v>https://zfin.org/ZDB-GENE-030131-7873</v>
      </c>
      <c r="E10709" t="s">
        <v>32087</v>
      </c>
    </row>
    <row r="10710" spans="1:5" x14ac:dyDescent="0.2">
      <c r="A10710" t="s">
        <v>32088</v>
      </c>
      <c r="B10710" t="s">
        <v>32089</v>
      </c>
      <c r="C10710" t="s">
        <v>32089</v>
      </c>
      <c r="D10710" t="str">
        <f>HYPERLINK("https://zfin.org/ZDB-GENE-050522-549")</f>
        <v>https://zfin.org/ZDB-GENE-050522-549</v>
      </c>
      <c r="E10710" t="s">
        <v>32090</v>
      </c>
    </row>
    <row r="10711" spans="1:5" x14ac:dyDescent="0.2">
      <c r="A10711" t="s">
        <v>32091</v>
      </c>
      <c r="B10711" t="s">
        <v>32092</v>
      </c>
      <c r="C10711" t="s">
        <v>32092</v>
      </c>
      <c r="D10711" t="str">
        <f>HYPERLINK("https://zfin.org/ZDB-GENE-070410-111")</f>
        <v>https://zfin.org/ZDB-GENE-070410-111</v>
      </c>
      <c r="E10711" t="s">
        <v>32093</v>
      </c>
    </row>
    <row r="10712" spans="1:5" x14ac:dyDescent="0.2">
      <c r="A10712" t="s">
        <v>32094</v>
      </c>
      <c r="B10712" t="s">
        <v>32095</v>
      </c>
      <c r="C10712" t="s">
        <v>32095</v>
      </c>
      <c r="D10712" t="str">
        <f>HYPERLINK("https://zfin.org/ZDB-GENE-130603-55")</f>
        <v>https://zfin.org/ZDB-GENE-130603-55</v>
      </c>
      <c r="E10712" t="s">
        <v>32096</v>
      </c>
    </row>
    <row r="10713" spans="1:5" x14ac:dyDescent="0.2">
      <c r="A10713" t="s">
        <v>32097</v>
      </c>
      <c r="B10713" t="s">
        <v>32098</v>
      </c>
      <c r="C10713" t="s">
        <v>32098</v>
      </c>
      <c r="D10713" t="str">
        <f>HYPERLINK("https://zfin.org/ZDB-GENE-041111-1")</f>
        <v>https://zfin.org/ZDB-GENE-041111-1</v>
      </c>
      <c r="E10713" t="s">
        <v>32099</v>
      </c>
    </row>
    <row r="10714" spans="1:5" x14ac:dyDescent="0.2">
      <c r="A10714" t="s">
        <v>32100</v>
      </c>
      <c r="B10714" t="s">
        <v>32101</v>
      </c>
      <c r="C10714" t="s">
        <v>32101</v>
      </c>
      <c r="D10714" t="str">
        <f>HYPERLINK("https://zfin.org/ZDB-GENE-030131-9819")</f>
        <v>https://zfin.org/ZDB-GENE-030131-9819</v>
      </c>
      <c r="E10714" t="s">
        <v>32102</v>
      </c>
    </row>
    <row r="10715" spans="1:5" x14ac:dyDescent="0.2">
      <c r="A10715" t="s">
        <v>32103</v>
      </c>
      <c r="B10715" t="s">
        <v>32104</v>
      </c>
      <c r="C10715" t="s">
        <v>32104</v>
      </c>
      <c r="D10715" t="str">
        <f>HYPERLINK("https://zfin.org/ZDB-GENE-030131-6239")</f>
        <v>https://zfin.org/ZDB-GENE-030131-6239</v>
      </c>
      <c r="E10715" t="s">
        <v>32105</v>
      </c>
    </row>
    <row r="10716" spans="1:5" x14ac:dyDescent="0.2">
      <c r="A10716" t="s">
        <v>32106</v>
      </c>
      <c r="B10716" t="s">
        <v>32107</v>
      </c>
      <c r="C10716" t="s">
        <v>32107</v>
      </c>
      <c r="D10716" t="str">
        <f>HYPERLINK("https://zfin.org/ZDB-GENE-000329-3")</f>
        <v>https://zfin.org/ZDB-GENE-000329-3</v>
      </c>
      <c r="E10716" t="s">
        <v>32108</v>
      </c>
    </row>
    <row r="10717" spans="1:5" x14ac:dyDescent="0.2">
      <c r="A10717" t="s">
        <v>32109</v>
      </c>
      <c r="B10717" t="s">
        <v>32110</v>
      </c>
      <c r="C10717" t="s">
        <v>32110</v>
      </c>
      <c r="D10717" t="str">
        <f>HYPERLINK("https://zfin.org/ZDB-GENE-030131-461")</f>
        <v>https://zfin.org/ZDB-GENE-030131-461</v>
      </c>
      <c r="E10717" t="s">
        <v>32111</v>
      </c>
    </row>
    <row r="10718" spans="1:5" x14ac:dyDescent="0.2">
      <c r="A10718" t="s">
        <v>32112</v>
      </c>
      <c r="B10718" t="s">
        <v>32113</v>
      </c>
      <c r="C10718" t="s">
        <v>32113</v>
      </c>
      <c r="D10718" t="str">
        <f>HYPERLINK("https://zfin.org/ZDB-GENE-080204-91")</f>
        <v>https://zfin.org/ZDB-GENE-080204-91</v>
      </c>
      <c r="E10718" t="s">
        <v>32114</v>
      </c>
    </row>
    <row r="10719" spans="1:5" x14ac:dyDescent="0.2">
      <c r="A10719" t="s">
        <v>32115</v>
      </c>
      <c r="B10719" t="s">
        <v>32116</v>
      </c>
      <c r="C10719" t="s">
        <v>32116</v>
      </c>
      <c r="D10719" t="str">
        <f>HYPERLINK("https://zfin.org/ZDB-GENE-040625-2")</f>
        <v>https://zfin.org/ZDB-GENE-040625-2</v>
      </c>
      <c r="E10719" t="s">
        <v>32117</v>
      </c>
    </row>
    <row r="10720" spans="1:5" x14ac:dyDescent="0.2">
      <c r="A10720" t="s">
        <v>32118</v>
      </c>
      <c r="B10720" t="s">
        <v>32119</v>
      </c>
      <c r="C10720" t="s">
        <v>32119</v>
      </c>
      <c r="D10720" t="str">
        <f>HYPERLINK("https://zfin.org/ZDB-GENE-060503-575")</f>
        <v>https://zfin.org/ZDB-GENE-060503-575</v>
      </c>
      <c r="E10720" t="s">
        <v>32120</v>
      </c>
    </row>
    <row r="10721" spans="1:5" x14ac:dyDescent="0.2">
      <c r="A10721" t="s">
        <v>32121</v>
      </c>
      <c r="B10721" t="s">
        <v>32122</v>
      </c>
      <c r="C10721" t="s">
        <v>32122</v>
      </c>
      <c r="D10721" t="str">
        <f>HYPERLINK("https://zfin.org/ZDB-GENE-030131-8541")</f>
        <v>https://zfin.org/ZDB-GENE-030131-8541</v>
      </c>
      <c r="E10721" t="s">
        <v>32123</v>
      </c>
    </row>
    <row r="10722" spans="1:5" x14ac:dyDescent="0.2">
      <c r="A10722" t="s">
        <v>32124</v>
      </c>
      <c r="B10722" t="s">
        <v>32125</v>
      </c>
      <c r="C10722" t="s">
        <v>32125</v>
      </c>
      <c r="D10722" t="str">
        <f>HYPERLINK("https://zfin.org/ZDB-GENE-141216-173")</f>
        <v>https://zfin.org/ZDB-GENE-141216-173</v>
      </c>
      <c r="E10722" t="s">
        <v>32126</v>
      </c>
    </row>
    <row r="10723" spans="1:5" x14ac:dyDescent="0.2">
      <c r="A10723" t="s">
        <v>32127</v>
      </c>
      <c r="B10723" t="s">
        <v>32128</v>
      </c>
      <c r="C10723" t="s">
        <v>32128</v>
      </c>
      <c r="D10723" t="str">
        <f>HYPERLINK("https://zfin.org/ZDB-GENE-061013-398")</f>
        <v>https://zfin.org/ZDB-GENE-061013-398</v>
      </c>
      <c r="E10723" t="s">
        <v>32129</v>
      </c>
    </row>
    <row r="10724" spans="1:5" x14ac:dyDescent="0.2">
      <c r="A10724" t="s">
        <v>32130</v>
      </c>
      <c r="B10724" t="s">
        <v>32131</v>
      </c>
      <c r="C10724" t="s">
        <v>32131</v>
      </c>
      <c r="D10724" t="str">
        <f>HYPERLINK("https://zfin.org/ZDB-GENE-070423-1")</f>
        <v>https://zfin.org/ZDB-GENE-070423-1</v>
      </c>
      <c r="E10724" t="s">
        <v>32132</v>
      </c>
    </row>
    <row r="10725" spans="1:5" x14ac:dyDescent="0.2">
      <c r="A10725" t="s">
        <v>32133</v>
      </c>
      <c r="B10725" t="s">
        <v>32134</v>
      </c>
      <c r="C10725" t="s">
        <v>32134</v>
      </c>
      <c r="D10725" t="str">
        <f>HYPERLINK("https://zfin.org/ZDB-GENE-050419-201")</f>
        <v>https://zfin.org/ZDB-GENE-050419-201</v>
      </c>
      <c r="E10725" t="s">
        <v>32135</v>
      </c>
    </row>
    <row r="10726" spans="1:5" x14ac:dyDescent="0.2">
      <c r="A10726" t="s">
        <v>32136</v>
      </c>
      <c r="B10726" t="s">
        <v>32137</v>
      </c>
      <c r="C10726" t="s">
        <v>32137</v>
      </c>
      <c r="D10726" t="str">
        <f>HYPERLINK("https://zfin.org/ZDB-GENE-070912-370")</f>
        <v>https://zfin.org/ZDB-GENE-070912-370</v>
      </c>
      <c r="E10726" t="s">
        <v>32138</v>
      </c>
    </row>
    <row r="10727" spans="1:5" x14ac:dyDescent="0.2">
      <c r="A10727" t="s">
        <v>32139</v>
      </c>
      <c r="B10727" t="s">
        <v>32140</v>
      </c>
      <c r="C10727" t="s">
        <v>32140</v>
      </c>
      <c r="D10727" t="str">
        <f>HYPERLINK("https://zfin.org/ZDB-GENE-990415-104")</f>
        <v>https://zfin.org/ZDB-GENE-990415-104</v>
      </c>
      <c r="E10727" t="s">
        <v>32141</v>
      </c>
    </row>
    <row r="10728" spans="1:5" x14ac:dyDescent="0.2">
      <c r="A10728" t="s">
        <v>32142</v>
      </c>
      <c r="B10728" t="s">
        <v>32143</v>
      </c>
      <c r="C10728" t="s">
        <v>32143</v>
      </c>
      <c r="D10728" t="str">
        <f>HYPERLINK("https://zfin.org/ZDB-GENE-090312-185")</f>
        <v>https://zfin.org/ZDB-GENE-090312-185</v>
      </c>
      <c r="E10728" t="s">
        <v>32144</v>
      </c>
    </row>
    <row r="10729" spans="1:5" x14ac:dyDescent="0.2">
      <c r="A10729" t="s">
        <v>32145</v>
      </c>
      <c r="B10729" t="s">
        <v>32146</v>
      </c>
      <c r="C10729" t="s">
        <v>32146</v>
      </c>
      <c r="D10729" t="str">
        <f>HYPERLINK("https://zfin.org/ZDB-GENE-041219-1")</f>
        <v>https://zfin.org/ZDB-GENE-041219-1</v>
      </c>
      <c r="E10729" t="s">
        <v>32147</v>
      </c>
    </row>
    <row r="10730" spans="1:5" x14ac:dyDescent="0.2">
      <c r="A10730" t="s">
        <v>32148</v>
      </c>
      <c r="B10730" t="s">
        <v>32149</v>
      </c>
      <c r="C10730" t="s">
        <v>32149</v>
      </c>
      <c r="D10730" t="str">
        <f>HYPERLINK("https://zfin.org/ZDB-GENE-070702-5")</f>
        <v>https://zfin.org/ZDB-GENE-070702-5</v>
      </c>
      <c r="E10730" t="s">
        <v>32150</v>
      </c>
    </row>
    <row r="10731" spans="1:5" x14ac:dyDescent="0.2">
      <c r="A10731" t="s">
        <v>32151</v>
      </c>
      <c r="B10731" t="s">
        <v>32152</v>
      </c>
      <c r="C10731" t="s">
        <v>32152</v>
      </c>
      <c r="D10731" t="str">
        <f>HYPERLINK("https://zfin.org/ZDB-GENE-130603-61")</f>
        <v>https://zfin.org/ZDB-GENE-130603-61</v>
      </c>
      <c r="E10731" t="s">
        <v>32153</v>
      </c>
    </row>
    <row r="10732" spans="1:5" x14ac:dyDescent="0.2">
      <c r="A10732" t="s">
        <v>32154</v>
      </c>
      <c r="B10732" t="s">
        <v>32155</v>
      </c>
      <c r="C10732" t="s">
        <v>32155</v>
      </c>
      <c r="D10732" t="str">
        <f>HYPERLINK("https://zfin.org/ZDB-GENE-030131-4006")</f>
        <v>https://zfin.org/ZDB-GENE-030131-4006</v>
      </c>
      <c r="E10732" t="s">
        <v>32156</v>
      </c>
    </row>
    <row r="10733" spans="1:5" x14ac:dyDescent="0.2">
      <c r="A10733" t="s">
        <v>32157</v>
      </c>
      <c r="B10733" t="s">
        <v>32158</v>
      </c>
      <c r="C10733" t="s">
        <v>32158</v>
      </c>
      <c r="D10733" t="str">
        <f>HYPERLINK("https://zfin.org/ZDB-GENE-050417-238")</f>
        <v>https://zfin.org/ZDB-GENE-050417-238</v>
      </c>
      <c r="E10733" t="s">
        <v>32159</v>
      </c>
    </row>
    <row r="10734" spans="1:5" x14ac:dyDescent="0.2">
      <c r="A10734" t="s">
        <v>32160</v>
      </c>
      <c r="B10734" t="s">
        <v>32161</v>
      </c>
      <c r="C10734" t="s">
        <v>32161</v>
      </c>
      <c r="D10734" t="str">
        <f>HYPERLINK("https://zfin.org/ZDB-GENE-040801-49")</f>
        <v>https://zfin.org/ZDB-GENE-040801-49</v>
      </c>
      <c r="E10734" t="s">
        <v>32162</v>
      </c>
    </row>
    <row r="10735" spans="1:5" x14ac:dyDescent="0.2">
      <c r="A10735" t="s">
        <v>32163</v>
      </c>
      <c r="B10735" t="s">
        <v>32164</v>
      </c>
      <c r="C10735" t="s">
        <v>32164</v>
      </c>
      <c r="D10735" t="str">
        <f>HYPERLINK("https://zfin.org/ZDB-GENE-141212-184")</f>
        <v>https://zfin.org/ZDB-GENE-141212-184</v>
      </c>
      <c r="E10735" t="s">
        <v>32165</v>
      </c>
    </row>
    <row r="10736" spans="1:5" x14ac:dyDescent="0.2">
      <c r="A10736" t="s">
        <v>32166</v>
      </c>
      <c r="B10736" t="s">
        <v>32167</v>
      </c>
      <c r="C10736" t="s">
        <v>32167</v>
      </c>
      <c r="D10736" t="str">
        <f>HYPERLINK("https://zfin.org/ZDB-GENE-980526-416")</f>
        <v>https://zfin.org/ZDB-GENE-980526-416</v>
      </c>
      <c r="E10736" t="s">
        <v>32168</v>
      </c>
    </row>
    <row r="10737" spans="1:5" x14ac:dyDescent="0.2">
      <c r="A10737" t="s">
        <v>32169</v>
      </c>
      <c r="B10737" t="s">
        <v>32170</v>
      </c>
      <c r="C10737" t="s">
        <v>32171</v>
      </c>
      <c r="D10737" t="str">
        <f>HYPERLINK("https://zfin.org/ZDB-GENE-070912-198")</f>
        <v>https://zfin.org/ZDB-GENE-070912-198</v>
      </c>
      <c r="E10737" t="s">
        <v>32172</v>
      </c>
    </row>
    <row r="10738" spans="1:5" x14ac:dyDescent="0.2">
      <c r="A10738" t="s">
        <v>32173</v>
      </c>
      <c r="B10738" t="s">
        <v>32174</v>
      </c>
      <c r="C10738" t="s">
        <v>32174</v>
      </c>
      <c r="D10738" t="str">
        <f>HYPERLINK("https://zfin.org/ZDB-GENE-980526-70")</f>
        <v>https://zfin.org/ZDB-GENE-980526-70</v>
      </c>
      <c r="E10738" t="s">
        <v>32175</v>
      </c>
    </row>
    <row r="10739" spans="1:5" x14ac:dyDescent="0.2">
      <c r="A10739" t="s">
        <v>32176</v>
      </c>
      <c r="B10739" t="s">
        <v>32177</v>
      </c>
      <c r="C10739" t="s">
        <v>32177</v>
      </c>
      <c r="D10739" t="str">
        <f>HYPERLINK("https://zfin.org/ZDB-GENE-990415-106")</f>
        <v>https://zfin.org/ZDB-GENE-990415-106</v>
      </c>
      <c r="E10739" t="s">
        <v>32178</v>
      </c>
    </row>
    <row r="10740" spans="1:5" x14ac:dyDescent="0.2">
      <c r="A10740" t="s">
        <v>32179</v>
      </c>
      <c r="B10740" t="s">
        <v>32180</v>
      </c>
      <c r="C10740" t="s">
        <v>32180</v>
      </c>
      <c r="D10740" t="str">
        <f>HYPERLINK("https://zfin.org/ZDB-GENE-030918-1")</f>
        <v>https://zfin.org/ZDB-GENE-030918-1</v>
      </c>
      <c r="E10740" t="s">
        <v>32181</v>
      </c>
    </row>
    <row r="10741" spans="1:5" x14ac:dyDescent="0.2">
      <c r="A10741" t="s">
        <v>32182</v>
      </c>
      <c r="B10741" t="s">
        <v>32183</v>
      </c>
      <c r="C10741" t="s">
        <v>32183</v>
      </c>
      <c r="D10741" t="str">
        <f>HYPERLINK("https://zfin.org/ZDB-GENE-041210-350")</f>
        <v>https://zfin.org/ZDB-GENE-041210-350</v>
      </c>
      <c r="E10741" t="s">
        <v>32184</v>
      </c>
    </row>
    <row r="10742" spans="1:5" x14ac:dyDescent="0.2">
      <c r="A10742" t="s">
        <v>32185</v>
      </c>
      <c r="B10742" t="s">
        <v>32186</v>
      </c>
      <c r="C10742" t="s">
        <v>32186</v>
      </c>
      <c r="D10742" t="str">
        <f>HYPERLINK("https://zfin.org/ZDB-GENE-050417-354")</f>
        <v>https://zfin.org/ZDB-GENE-050417-354</v>
      </c>
      <c r="E10742" t="s">
        <v>32187</v>
      </c>
    </row>
    <row r="10743" spans="1:5" x14ac:dyDescent="0.2">
      <c r="A10743" t="s">
        <v>32188</v>
      </c>
      <c r="B10743" t="s">
        <v>32189</v>
      </c>
      <c r="C10743" t="s">
        <v>32189</v>
      </c>
      <c r="D10743" t="str">
        <f>HYPERLINK("https://zfin.org/ZDB-GENE-081105-16")</f>
        <v>https://zfin.org/ZDB-GENE-081105-16</v>
      </c>
      <c r="E10743" t="s">
        <v>32190</v>
      </c>
    </row>
    <row r="10744" spans="1:5" x14ac:dyDescent="0.2">
      <c r="A10744" t="s">
        <v>32191</v>
      </c>
      <c r="B10744" t="s">
        <v>32192</v>
      </c>
      <c r="C10744" t="s">
        <v>32192</v>
      </c>
      <c r="D10744" t="str">
        <f>HYPERLINK("https://zfin.org/ZDB-GENE-100922-276")</f>
        <v>https://zfin.org/ZDB-GENE-100922-276</v>
      </c>
      <c r="E10744" t="s">
        <v>32193</v>
      </c>
    </row>
    <row r="10745" spans="1:5" x14ac:dyDescent="0.2">
      <c r="A10745" t="s">
        <v>32194</v>
      </c>
      <c r="B10745" t="s">
        <v>32195</v>
      </c>
      <c r="C10745" t="s">
        <v>32195</v>
      </c>
      <c r="D10745" t="str">
        <f>HYPERLINK("https://zfin.org/ZDB-GENE-040801-158")</f>
        <v>https://zfin.org/ZDB-GENE-040801-158</v>
      </c>
      <c r="E10745" t="s">
        <v>32196</v>
      </c>
    </row>
    <row r="10746" spans="1:5" x14ac:dyDescent="0.2">
      <c r="A10746" t="s">
        <v>32197</v>
      </c>
      <c r="B10746" t="s">
        <v>32198</v>
      </c>
      <c r="C10746" t="s">
        <v>32198</v>
      </c>
      <c r="D10746" t="str">
        <f>HYPERLINK("https://zfin.org/ZDB-GENE-070112-1822")</f>
        <v>https://zfin.org/ZDB-GENE-070112-1822</v>
      </c>
      <c r="E10746" t="s">
        <v>32199</v>
      </c>
    </row>
    <row r="10747" spans="1:5" x14ac:dyDescent="0.2">
      <c r="A10747" t="s">
        <v>32200</v>
      </c>
      <c r="B10747" t="s">
        <v>32201</v>
      </c>
      <c r="C10747" t="s">
        <v>32201</v>
      </c>
      <c r="D10747" t="str">
        <f>HYPERLINK("https://zfin.org/ZDB-GENE-990415-103")</f>
        <v>https://zfin.org/ZDB-GENE-990415-103</v>
      </c>
      <c r="E10747" t="s">
        <v>32202</v>
      </c>
    </row>
    <row r="10748" spans="1:5" x14ac:dyDescent="0.2">
      <c r="A10748" t="s">
        <v>32203</v>
      </c>
      <c r="B10748" t="s">
        <v>32204</v>
      </c>
      <c r="C10748" t="s">
        <v>32204</v>
      </c>
      <c r="D10748" t="str">
        <f>HYPERLINK("https://zfin.org/ZDB-GENE-141212-327")</f>
        <v>https://zfin.org/ZDB-GENE-141212-327</v>
      </c>
      <c r="E10748" t="s">
        <v>32205</v>
      </c>
    </row>
    <row r="10749" spans="1:5" x14ac:dyDescent="0.2">
      <c r="A10749" t="s">
        <v>32206</v>
      </c>
      <c r="B10749" t="s">
        <v>32207</v>
      </c>
      <c r="C10749" t="s">
        <v>32207</v>
      </c>
      <c r="D10749" t="str">
        <f>HYPERLINK("https://zfin.org/ZDB-GENE-110913-6")</f>
        <v>https://zfin.org/ZDB-GENE-110913-6</v>
      </c>
      <c r="E10749" t="s">
        <v>32208</v>
      </c>
    </row>
    <row r="10750" spans="1:5" x14ac:dyDescent="0.2">
      <c r="A10750" t="s">
        <v>32209</v>
      </c>
      <c r="B10750" t="s">
        <v>32210</v>
      </c>
      <c r="C10750" t="s">
        <v>32210</v>
      </c>
      <c r="D10750" t="str">
        <f>HYPERLINK("https://zfin.org/ZDB-GENE-060503-387")</f>
        <v>https://zfin.org/ZDB-GENE-060503-387</v>
      </c>
      <c r="E10750" t="s">
        <v>32211</v>
      </c>
    </row>
    <row r="10751" spans="1:5" x14ac:dyDescent="0.2">
      <c r="A10751" t="s">
        <v>32212</v>
      </c>
      <c r="B10751" t="s">
        <v>32213</v>
      </c>
      <c r="C10751" t="s">
        <v>32213</v>
      </c>
      <c r="D10751" t="str">
        <f>HYPERLINK("https://zfin.org/ZDB-GENE-131119-9")</f>
        <v>https://zfin.org/ZDB-GENE-131119-9</v>
      </c>
      <c r="E10751" t="s">
        <v>32214</v>
      </c>
    </row>
    <row r="10752" spans="1:5" x14ac:dyDescent="0.2">
      <c r="A10752" t="s">
        <v>32215</v>
      </c>
      <c r="B10752" t="s">
        <v>32216</v>
      </c>
      <c r="C10752" t="s">
        <v>32216</v>
      </c>
      <c r="D10752" t="str">
        <f>HYPERLINK("https://zfin.org/ZDB-GENE-040927-19")</f>
        <v>https://zfin.org/ZDB-GENE-040927-19</v>
      </c>
      <c r="E10752" t="s">
        <v>32217</v>
      </c>
    </row>
    <row r="10753" spans="1:5" x14ac:dyDescent="0.2">
      <c r="A10753" t="s">
        <v>32218</v>
      </c>
      <c r="B10753" t="s">
        <v>32219</v>
      </c>
      <c r="C10753" t="s">
        <v>32219</v>
      </c>
      <c r="D10753" t="str">
        <f>HYPERLINK("https://zfin.org/ZDB-GENE-040426-1884")</f>
        <v>https://zfin.org/ZDB-GENE-040426-1884</v>
      </c>
      <c r="E10753" t="s">
        <v>32220</v>
      </c>
    </row>
    <row r="10754" spans="1:5" x14ac:dyDescent="0.2">
      <c r="A10754" t="s">
        <v>32221</v>
      </c>
      <c r="B10754" t="s">
        <v>32222</v>
      </c>
      <c r="C10754" t="s">
        <v>32222</v>
      </c>
      <c r="D10754" t="str">
        <f>HYPERLINK("https://zfin.org/ZDB-GENE-070928-18")</f>
        <v>https://zfin.org/ZDB-GENE-070928-18</v>
      </c>
      <c r="E10754" t="s">
        <v>32223</v>
      </c>
    </row>
    <row r="10755" spans="1:5" x14ac:dyDescent="0.2">
      <c r="A10755" t="s">
        <v>32224</v>
      </c>
      <c r="B10755" t="s">
        <v>32225</v>
      </c>
      <c r="C10755" t="s">
        <v>32225</v>
      </c>
      <c r="D10755" t="str">
        <f>HYPERLINK("https://zfin.org/ZDB-GENE-071004-8")</f>
        <v>https://zfin.org/ZDB-GENE-071004-8</v>
      </c>
      <c r="E10755" t="s">
        <v>32226</v>
      </c>
    </row>
    <row r="10756" spans="1:5" x14ac:dyDescent="0.2">
      <c r="A10756" t="s">
        <v>32227</v>
      </c>
      <c r="B10756" t="s">
        <v>32228</v>
      </c>
      <c r="C10756" t="s">
        <v>32228</v>
      </c>
      <c r="D10756" t="str">
        <f>HYPERLINK("https://zfin.org/ZDB-GENE-100922-178")</f>
        <v>https://zfin.org/ZDB-GENE-100922-178</v>
      </c>
      <c r="E10756" t="s">
        <v>32229</v>
      </c>
    </row>
    <row r="10757" spans="1:5" x14ac:dyDescent="0.2">
      <c r="A10757" t="s">
        <v>32230</v>
      </c>
      <c r="B10757" t="s">
        <v>32231</v>
      </c>
      <c r="C10757" t="s">
        <v>32231</v>
      </c>
      <c r="D10757" t="str">
        <f>HYPERLINK("https://zfin.org/ZDB-GENE-040801-17")</f>
        <v>https://zfin.org/ZDB-GENE-040801-17</v>
      </c>
      <c r="E10757" t="s">
        <v>32232</v>
      </c>
    </row>
    <row r="10758" spans="1:5" x14ac:dyDescent="0.2">
      <c r="A10758" t="s">
        <v>32233</v>
      </c>
      <c r="B10758" t="s">
        <v>32234</v>
      </c>
      <c r="C10758" t="s">
        <v>32234</v>
      </c>
      <c r="D10758" t="str">
        <f>HYPERLINK("https://zfin.org/ZDB-GENE-081104-414")</f>
        <v>https://zfin.org/ZDB-GENE-081104-414</v>
      </c>
      <c r="E10758" t="s">
        <v>32235</v>
      </c>
    </row>
    <row r="10759" spans="1:5" x14ac:dyDescent="0.2">
      <c r="A10759" t="s">
        <v>32236</v>
      </c>
      <c r="B10759" t="s">
        <v>32237</v>
      </c>
      <c r="C10759" t="s">
        <v>32237</v>
      </c>
      <c r="D10759" t="str">
        <f>HYPERLINK("https://zfin.org/ZDB-GENE-091118-24")</f>
        <v>https://zfin.org/ZDB-GENE-091118-24</v>
      </c>
      <c r="E10759" t="s">
        <v>32238</v>
      </c>
    </row>
    <row r="10760" spans="1:5" x14ac:dyDescent="0.2">
      <c r="A10760" t="s">
        <v>32239</v>
      </c>
      <c r="B10760" t="s">
        <v>32240</v>
      </c>
      <c r="C10760" t="s">
        <v>32240</v>
      </c>
      <c r="D10760" t="str">
        <f>HYPERLINK("https://zfin.org/ZDB-GENE-131127-287")</f>
        <v>https://zfin.org/ZDB-GENE-131127-287</v>
      </c>
      <c r="E10760" t="s">
        <v>32241</v>
      </c>
    </row>
    <row r="10761" spans="1:5" x14ac:dyDescent="0.2">
      <c r="A10761" t="s">
        <v>32242</v>
      </c>
      <c r="B10761" t="s">
        <v>32243</v>
      </c>
      <c r="C10761" t="s">
        <v>32243</v>
      </c>
      <c r="D10761" t="str">
        <f>HYPERLINK("https://zfin.org/ZDB-GENE-080423-1")</f>
        <v>https://zfin.org/ZDB-GENE-080423-1</v>
      </c>
      <c r="E10761" t="s">
        <v>32244</v>
      </c>
    </row>
    <row r="10762" spans="1:5" x14ac:dyDescent="0.2">
      <c r="A10762" t="s">
        <v>32245</v>
      </c>
      <c r="B10762" t="s">
        <v>32246</v>
      </c>
      <c r="C10762" t="s">
        <v>32246</v>
      </c>
      <c r="D10762" t="str">
        <f>HYPERLINK("https://zfin.org/ZDB-GENE-081022-109")</f>
        <v>https://zfin.org/ZDB-GENE-081022-109</v>
      </c>
      <c r="E10762" t="s">
        <v>32247</v>
      </c>
    </row>
    <row r="10763" spans="1:5" x14ac:dyDescent="0.2">
      <c r="A10763" t="s">
        <v>32248</v>
      </c>
      <c r="B10763" t="s">
        <v>32249</v>
      </c>
      <c r="C10763" t="s">
        <v>32249</v>
      </c>
      <c r="D10763" t="str">
        <f>HYPERLINK("https://zfin.org/ZDB-GENE-060422-1")</f>
        <v>https://zfin.org/ZDB-GENE-060422-1</v>
      </c>
      <c r="E10763" t="s">
        <v>32250</v>
      </c>
    </row>
    <row r="10764" spans="1:5" x14ac:dyDescent="0.2">
      <c r="A10764" t="s">
        <v>32251</v>
      </c>
      <c r="B10764" t="s">
        <v>32252</v>
      </c>
      <c r="C10764" t="s">
        <v>32252</v>
      </c>
      <c r="D10764" t="str">
        <f>HYPERLINK("https://zfin.org/ZDB-GENE-060503-170")</f>
        <v>https://zfin.org/ZDB-GENE-060503-170</v>
      </c>
      <c r="E10764" t="s">
        <v>32253</v>
      </c>
    </row>
    <row r="10765" spans="1:5" x14ac:dyDescent="0.2">
      <c r="A10765" t="s">
        <v>32254</v>
      </c>
      <c r="B10765" t="s">
        <v>32255</v>
      </c>
      <c r="C10765" t="s">
        <v>32255</v>
      </c>
      <c r="D10765" t="str">
        <f>HYPERLINK("https://zfin.org/ZDB-GENE-030616-596")</f>
        <v>https://zfin.org/ZDB-GENE-030616-596</v>
      </c>
      <c r="E10765" t="s">
        <v>32256</v>
      </c>
    </row>
    <row r="10766" spans="1:5" x14ac:dyDescent="0.2">
      <c r="A10766" t="s">
        <v>32257</v>
      </c>
      <c r="B10766" t="s">
        <v>32258</v>
      </c>
      <c r="C10766" t="s">
        <v>32258</v>
      </c>
      <c r="D10766" t="str">
        <f>HYPERLINK("https://zfin.org/ZDB-GENE-060503-709")</f>
        <v>https://zfin.org/ZDB-GENE-060503-709</v>
      </c>
      <c r="E10766" t="s">
        <v>32259</v>
      </c>
    </row>
    <row r="10767" spans="1:5" x14ac:dyDescent="0.2">
      <c r="A10767" t="s">
        <v>32260</v>
      </c>
      <c r="B10767" t="s">
        <v>32261</v>
      </c>
      <c r="C10767" t="s">
        <v>32261</v>
      </c>
      <c r="D10767" t="str">
        <f>HYPERLINK("https://zfin.org/ZDB-GENE-041212-75")</f>
        <v>https://zfin.org/ZDB-GENE-041212-75</v>
      </c>
      <c r="E10767" t="s">
        <v>32262</v>
      </c>
    </row>
    <row r="10768" spans="1:5" x14ac:dyDescent="0.2">
      <c r="A10768" t="s">
        <v>32263</v>
      </c>
      <c r="B10768" t="s">
        <v>32264</v>
      </c>
      <c r="C10768" t="s">
        <v>32264</v>
      </c>
      <c r="D10768" t="str">
        <f>HYPERLINK("https://zfin.org/ZDB-GENE-040718-405")</f>
        <v>https://zfin.org/ZDB-GENE-040718-405</v>
      </c>
      <c r="E10768" t="s">
        <v>32265</v>
      </c>
    </row>
    <row r="10769" spans="1:5" x14ac:dyDescent="0.2">
      <c r="A10769" t="s">
        <v>32266</v>
      </c>
      <c r="B10769" t="s">
        <v>32267</v>
      </c>
      <c r="C10769" t="s">
        <v>32267</v>
      </c>
      <c r="D10769" t="str">
        <f>HYPERLINK("https://zfin.org/ZDB-GENE-030131-2293")</f>
        <v>https://zfin.org/ZDB-GENE-030131-2293</v>
      </c>
      <c r="E10769" t="s">
        <v>32268</v>
      </c>
    </row>
    <row r="10770" spans="1:5" x14ac:dyDescent="0.2">
      <c r="A10770" t="s">
        <v>32269</v>
      </c>
      <c r="B10770" t="s">
        <v>32270</v>
      </c>
      <c r="C10770" t="s">
        <v>32270</v>
      </c>
      <c r="D10770" t="str">
        <f>HYPERLINK("https://zfin.org/ZDB-GENE-040426-2126")</f>
        <v>https://zfin.org/ZDB-GENE-040426-2126</v>
      </c>
      <c r="E10770" t="s">
        <v>32271</v>
      </c>
    </row>
    <row r="10771" spans="1:5" x14ac:dyDescent="0.2">
      <c r="A10771" t="s">
        <v>32272</v>
      </c>
      <c r="B10771" t="s">
        <v>32273</v>
      </c>
      <c r="C10771" t="s">
        <v>32273</v>
      </c>
      <c r="D10771" t="str">
        <f>HYPERLINK("https://zfin.org/ZDB-GENE-040718-460")</f>
        <v>https://zfin.org/ZDB-GENE-040718-460</v>
      </c>
      <c r="E10771" t="s">
        <v>32274</v>
      </c>
    </row>
    <row r="10772" spans="1:5" x14ac:dyDescent="0.2">
      <c r="A10772" t="s">
        <v>32275</v>
      </c>
      <c r="B10772" t="s">
        <v>32276</v>
      </c>
      <c r="C10772" t="s">
        <v>32276</v>
      </c>
      <c r="D10772" t="str">
        <f>HYPERLINK("https://zfin.org/ZDB-GENE-050417-471")</f>
        <v>https://zfin.org/ZDB-GENE-050417-471</v>
      </c>
      <c r="E10772" t="s">
        <v>32277</v>
      </c>
    </row>
    <row r="10773" spans="1:5" x14ac:dyDescent="0.2">
      <c r="A10773" t="s">
        <v>32278</v>
      </c>
      <c r="B10773" t="s">
        <v>32279</v>
      </c>
      <c r="C10773" t="s">
        <v>32279</v>
      </c>
      <c r="D10773" t="str">
        <f>HYPERLINK("https://zfin.org/ZDB-GENE-060512-339")</f>
        <v>https://zfin.org/ZDB-GENE-060512-339</v>
      </c>
      <c r="E10773" t="s">
        <v>32280</v>
      </c>
    </row>
    <row r="10774" spans="1:5" x14ac:dyDescent="0.2">
      <c r="A10774" t="s">
        <v>32281</v>
      </c>
      <c r="B10774" t="s">
        <v>32282</v>
      </c>
      <c r="C10774" t="s">
        <v>32282</v>
      </c>
      <c r="D10774" t="str">
        <f>HYPERLINK("https://zfin.org/ZDB-GENE-040426-2725")</f>
        <v>https://zfin.org/ZDB-GENE-040426-2725</v>
      </c>
      <c r="E10774" t="s">
        <v>32283</v>
      </c>
    </row>
    <row r="10775" spans="1:5" x14ac:dyDescent="0.2">
      <c r="A10775" t="s">
        <v>32284</v>
      </c>
      <c r="B10775" t="s">
        <v>32285</v>
      </c>
      <c r="C10775" t="s">
        <v>32285</v>
      </c>
      <c r="D10775" t="str">
        <f>HYPERLINK("https://zfin.org/ZDB-GENE-040426-1369")</f>
        <v>https://zfin.org/ZDB-GENE-040426-1369</v>
      </c>
      <c r="E10775" t="s">
        <v>32286</v>
      </c>
    </row>
    <row r="10776" spans="1:5" x14ac:dyDescent="0.2">
      <c r="A10776" t="s">
        <v>32287</v>
      </c>
      <c r="B10776" t="s">
        <v>32288</v>
      </c>
      <c r="C10776" t="s">
        <v>32288</v>
      </c>
      <c r="D10776" t="str">
        <f>HYPERLINK("https://zfin.org/ZDB-GENE-030131-2152")</f>
        <v>https://zfin.org/ZDB-GENE-030131-2152</v>
      </c>
      <c r="E10776" t="s">
        <v>32289</v>
      </c>
    </row>
    <row r="10777" spans="1:5" x14ac:dyDescent="0.2">
      <c r="A10777" t="s">
        <v>32290</v>
      </c>
      <c r="B10777" t="s">
        <v>32291</v>
      </c>
      <c r="C10777" t="s">
        <v>32291</v>
      </c>
      <c r="D10777" t="str">
        <f>HYPERLINK("https://zfin.org/ZDB-GENE-041010-79")</f>
        <v>https://zfin.org/ZDB-GENE-041010-79</v>
      </c>
      <c r="E10777" t="s">
        <v>32292</v>
      </c>
    </row>
    <row r="10778" spans="1:5" x14ac:dyDescent="0.2">
      <c r="A10778" t="s">
        <v>32293</v>
      </c>
      <c r="B10778" t="s">
        <v>32294</v>
      </c>
      <c r="C10778" t="s">
        <v>32294</v>
      </c>
      <c r="D10778" t="str">
        <f>HYPERLINK("https://zfin.org/ZDB-GENE-040426-2678")</f>
        <v>https://zfin.org/ZDB-GENE-040426-2678</v>
      </c>
      <c r="E10778" t="s">
        <v>32295</v>
      </c>
    </row>
    <row r="10779" spans="1:5" x14ac:dyDescent="0.2">
      <c r="A10779" t="s">
        <v>32296</v>
      </c>
      <c r="B10779" t="s">
        <v>32297</v>
      </c>
      <c r="C10779" t="s">
        <v>32297</v>
      </c>
      <c r="D10779" t="str">
        <f>HYPERLINK("https://zfin.org/ZDB-GENE-131121-340")</f>
        <v>https://zfin.org/ZDB-GENE-131121-340</v>
      </c>
      <c r="E10779" t="s">
        <v>32298</v>
      </c>
    </row>
    <row r="10780" spans="1:5" x14ac:dyDescent="0.2">
      <c r="A10780" t="s">
        <v>32299</v>
      </c>
      <c r="B10780" t="s">
        <v>32300</v>
      </c>
      <c r="C10780" t="s">
        <v>32301</v>
      </c>
      <c r="D10780" t="str">
        <f>HYPERLINK("https://zfin.org/ZDB-GENE-030131-1259")</f>
        <v>https://zfin.org/ZDB-GENE-030131-1259</v>
      </c>
      <c r="E10780" t="s">
        <v>32302</v>
      </c>
    </row>
    <row r="10781" spans="1:5" x14ac:dyDescent="0.2">
      <c r="A10781" t="s">
        <v>32303</v>
      </c>
      <c r="B10781" t="s">
        <v>32304</v>
      </c>
      <c r="C10781" t="s">
        <v>32304</v>
      </c>
      <c r="D10781" t="str">
        <f>HYPERLINK("https://zfin.org/ZDB-GENE-080521-1")</f>
        <v>https://zfin.org/ZDB-GENE-080521-1</v>
      </c>
      <c r="E10781" t="s">
        <v>32305</v>
      </c>
    </row>
    <row r="10782" spans="1:5" x14ac:dyDescent="0.2">
      <c r="A10782" t="s">
        <v>32306</v>
      </c>
      <c r="B10782" t="s">
        <v>32307</v>
      </c>
      <c r="C10782" t="s">
        <v>32307</v>
      </c>
      <c r="D10782" t="str">
        <f>HYPERLINK("https://zfin.org/ZDB-GENE-131121-390")</f>
        <v>https://zfin.org/ZDB-GENE-131121-390</v>
      </c>
      <c r="E10782" t="s">
        <v>32308</v>
      </c>
    </row>
    <row r="10783" spans="1:5" x14ac:dyDescent="0.2">
      <c r="A10783" t="s">
        <v>32309</v>
      </c>
      <c r="B10783" t="s">
        <v>32310</v>
      </c>
      <c r="C10783" t="s">
        <v>32310</v>
      </c>
      <c r="D10783" t="str">
        <f>HYPERLINK("https://zfin.org/ZDB-GENE-111111-10")</f>
        <v>https://zfin.org/ZDB-GENE-111111-10</v>
      </c>
      <c r="E10783" t="s">
        <v>32311</v>
      </c>
    </row>
    <row r="10784" spans="1:5" x14ac:dyDescent="0.2">
      <c r="A10784" t="s">
        <v>32312</v>
      </c>
      <c r="B10784" t="s">
        <v>32313</v>
      </c>
      <c r="C10784" t="s">
        <v>32313</v>
      </c>
      <c r="D10784" t="str">
        <f>HYPERLINK("https://zfin.org/ZDB-GENE-080521-4")</f>
        <v>https://zfin.org/ZDB-GENE-080521-4</v>
      </c>
      <c r="E10784" t="s">
        <v>32314</v>
      </c>
    </row>
    <row r="10785" spans="1:5" x14ac:dyDescent="0.2">
      <c r="A10785" t="s">
        <v>32315</v>
      </c>
      <c r="B10785" t="s">
        <v>32316</v>
      </c>
      <c r="C10785" t="s">
        <v>32316</v>
      </c>
      <c r="D10785" t="str">
        <f>HYPERLINK("https://zfin.org/ZDB-GENE-070912-291")</f>
        <v>https://zfin.org/ZDB-GENE-070912-291</v>
      </c>
      <c r="E10785" t="s">
        <v>32317</v>
      </c>
    </row>
    <row r="10786" spans="1:5" x14ac:dyDescent="0.2">
      <c r="A10786" t="s">
        <v>32318</v>
      </c>
      <c r="B10786" t="s">
        <v>32319</v>
      </c>
      <c r="C10786" t="s">
        <v>32319</v>
      </c>
      <c r="D10786" t="str">
        <f>HYPERLINK("https://zfin.org/ZDB-GENE-001103-5")</f>
        <v>https://zfin.org/ZDB-GENE-001103-5</v>
      </c>
      <c r="E10786" t="s">
        <v>32320</v>
      </c>
    </row>
    <row r="10787" spans="1:5" x14ac:dyDescent="0.2">
      <c r="A10787" t="s">
        <v>32321</v>
      </c>
      <c r="B10787" t="s">
        <v>32322</v>
      </c>
      <c r="C10787" t="s">
        <v>32322</v>
      </c>
      <c r="D10787" t="str">
        <f>HYPERLINK("https://zfin.org/ZDB-GENE-990415-145")</f>
        <v>https://zfin.org/ZDB-GENE-990415-145</v>
      </c>
      <c r="E10787" t="s">
        <v>32323</v>
      </c>
    </row>
    <row r="10788" spans="1:5" x14ac:dyDescent="0.2">
      <c r="A10788" t="s">
        <v>32324</v>
      </c>
      <c r="B10788" t="s">
        <v>32325</v>
      </c>
      <c r="C10788" t="s">
        <v>32325</v>
      </c>
      <c r="D10788" t="str">
        <f>HYPERLINK("https://zfin.org/ZDB-GENE-060503-347")</f>
        <v>https://zfin.org/ZDB-GENE-060503-347</v>
      </c>
      <c r="E10788" t="s">
        <v>32326</v>
      </c>
    </row>
    <row r="10789" spans="1:5" x14ac:dyDescent="0.2">
      <c r="A10789" t="s">
        <v>32327</v>
      </c>
      <c r="B10789" t="s">
        <v>32328</v>
      </c>
      <c r="C10789" t="s">
        <v>32328</v>
      </c>
      <c r="D10789" t="str">
        <f>HYPERLINK("https://zfin.org/ZDB-GENE-041114-160")</f>
        <v>https://zfin.org/ZDB-GENE-041114-160</v>
      </c>
      <c r="E10789" t="s">
        <v>32329</v>
      </c>
    </row>
    <row r="10790" spans="1:5" x14ac:dyDescent="0.2">
      <c r="A10790" t="s">
        <v>32330</v>
      </c>
      <c r="B10790" t="s">
        <v>32331</v>
      </c>
      <c r="C10790" t="s">
        <v>32331</v>
      </c>
      <c r="D10790" t="str">
        <f>HYPERLINK("https://zfin.org/ZDB-GENE-111207-3")</f>
        <v>https://zfin.org/ZDB-GENE-111207-3</v>
      </c>
      <c r="E10790" t="s">
        <v>32332</v>
      </c>
    </row>
    <row r="10791" spans="1:5" x14ac:dyDescent="0.2">
      <c r="A10791" t="s">
        <v>32333</v>
      </c>
      <c r="B10791" t="s">
        <v>32334</v>
      </c>
      <c r="C10791" t="s">
        <v>32334</v>
      </c>
      <c r="D10791" t="str">
        <f>HYPERLINK("https://zfin.org/ZDB-GENE-050522-302")</f>
        <v>https://zfin.org/ZDB-GENE-050522-302</v>
      </c>
      <c r="E10791" t="s">
        <v>32335</v>
      </c>
    </row>
    <row r="10792" spans="1:5" x14ac:dyDescent="0.2">
      <c r="A10792" t="s">
        <v>32336</v>
      </c>
      <c r="B10792" t="s">
        <v>32337</v>
      </c>
      <c r="C10792" t="s">
        <v>32337</v>
      </c>
      <c r="D10792" t="str">
        <f>HYPERLINK("https://zfin.org/ZDB-GENE-040718-116")</f>
        <v>https://zfin.org/ZDB-GENE-040718-116</v>
      </c>
      <c r="E10792" t="s">
        <v>32338</v>
      </c>
    </row>
    <row r="10793" spans="1:5" x14ac:dyDescent="0.2">
      <c r="A10793" t="s">
        <v>32339</v>
      </c>
      <c r="B10793" t="s">
        <v>32340</v>
      </c>
      <c r="C10793" t="s">
        <v>32340</v>
      </c>
      <c r="D10793" t="str">
        <f>HYPERLINK("https://zfin.org/ZDB-GENE-030131-3810")</f>
        <v>https://zfin.org/ZDB-GENE-030131-3810</v>
      </c>
      <c r="E10793" t="s">
        <v>32341</v>
      </c>
    </row>
    <row r="10794" spans="1:5" x14ac:dyDescent="0.2">
      <c r="A10794" t="s">
        <v>32342</v>
      </c>
      <c r="B10794" t="s">
        <v>32343</v>
      </c>
      <c r="C10794" t="s">
        <v>32343</v>
      </c>
      <c r="D10794" t="str">
        <f>HYPERLINK("https://zfin.org/ZDB-GENE-041001-135")</f>
        <v>https://zfin.org/ZDB-GENE-041001-135</v>
      </c>
      <c r="E10794" t="s">
        <v>32344</v>
      </c>
    </row>
    <row r="10795" spans="1:5" x14ac:dyDescent="0.2">
      <c r="A10795" t="s">
        <v>32345</v>
      </c>
      <c r="B10795" t="s">
        <v>32346</v>
      </c>
      <c r="C10795" t="s">
        <v>32346</v>
      </c>
      <c r="D10795" t="str">
        <f>HYPERLINK("https://zfin.org/ZDB-GENE-061110-43")</f>
        <v>https://zfin.org/ZDB-GENE-061110-43</v>
      </c>
      <c r="E10795" t="s">
        <v>32347</v>
      </c>
    </row>
    <row r="10796" spans="1:5" x14ac:dyDescent="0.2">
      <c r="A10796" t="s">
        <v>32348</v>
      </c>
      <c r="B10796" t="s">
        <v>32349</v>
      </c>
      <c r="C10796" t="s">
        <v>32349</v>
      </c>
      <c r="D10796" t="str">
        <f>HYPERLINK("https://zfin.org/ZDB-GENE-051113-196")</f>
        <v>https://zfin.org/ZDB-GENE-051113-196</v>
      </c>
      <c r="E10796" t="s">
        <v>32350</v>
      </c>
    </row>
    <row r="10797" spans="1:5" x14ac:dyDescent="0.2">
      <c r="A10797" t="s">
        <v>32351</v>
      </c>
      <c r="B10797" t="s">
        <v>32352</v>
      </c>
      <c r="C10797" t="s">
        <v>32352</v>
      </c>
      <c r="D10797" t="str">
        <f>HYPERLINK("https://zfin.org/ZDB-GENE-040930-4")</f>
        <v>https://zfin.org/ZDB-GENE-040930-4</v>
      </c>
      <c r="E10797" t="s">
        <v>32353</v>
      </c>
    </row>
    <row r="10798" spans="1:5" x14ac:dyDescent="0.2">
      <c r="A10798" t="s">
        <v>32354</v>
      </c>
      <c r="B10798" t="s">
        <v>32355</v>
      </c>
      <c r="C10798" t="s">
        <v>32355</v>
      </c>
      <c r="D10798" t="str">
        <f>HYPERLINK("https://zfin.org/ZDB-GENE-030131-4022")</f>
        <v>https://zfin.org/ZDB-GENE-030131-4022</v>
      </c>
      <c r="E10798" t="s">
        <v>32356</v>
      </c>
    </row>
    <row r="10799" spans="1:5" x14ac:dyDescent="0.2">
      <c r="A10799" t="s">
        <v>32357</v>
      </c>
      <c r="B10799" t="s">
        <v>32358</v>
      </c>
      <c r="C10799" t="s">
        <v>32358</v>
      </c>
      <c r="D10799" t="str">
        <f>HYPERLINK("https://zfin.org/ZDB-GENE-131127-41")</f>
        <v>https://zfin.org/ZDB-GENE-131127-41</v>
      </c>
      <c r="E10799" t="s">
        <v>32359</v>
      </c>
    </row>
    <row r="10800" spans="1:5" x14ac:dyDescent="0.2">
      <c r="A10800" t="s">
        <v>32360</v>
      </c>
      <c r="B10800" t="s">
        <v>32361</v>
      </c>
      <c r="C10800" t="s">
        <v>32361</v>
      </c>
      <c r="D10800" t="str">
        <f>HYPERLINK("https://zfin.org/ZDB-GENE-030131-6083")</f>
        <v>https://zfin.org/ZDB-GENE-030131-6083</v>
      </c>
      <c r="E10800" t="s">
        <v>32362</v>
      </c>
    </row>
    <row r="10801" spans="1:5" x14ac:dyDescent="0.2">
      <c r="A10801" t="s">
        <v>32363</v>
      </c>
      <c r="B10801" t="s">
        <v>32364</v>
      </c>
      <c r="C10801" t="s">
        <v>32364</v>
      </c>
      <c r="D10801" t="str">
        <f>HYPERLINK("https://zfin.org/ZDB-GENE-031118-202")</f>
        <v>https://zfin.org/ZDB-GENE-031118-202</v>
      </c>
      <c r="E10801" t="s">
        <v>32365</v>
      </c>
    </row>
    <row r="10802" spans="1:5" x14ac:dyDescent="0.2">
      <c r="A10802" t="s">
        <v>32366</v>
      </c>
      <c r="B10802" t="s">
        <v>32367</v>
      </c>
      <c r="C10802" t="s">
        <v>32367</v>
      </c>
      <c r="D10802" t="str">
        <f>HYPERLINK("https://zfin.org/ZDB-GENE-141219-9")</f>
        <v>https://zfin.org/ZDB-GENE-141219-9</v>
      </c>
      <c r="E10802" t="s">
        <v>32368</v>
      </c>
    </row>
    <row r="10803" spans="1:5" x14ac:dyDescent="0.2">
      <c r="A10803" t="s">
        <v>32369</v>
      </c>
      <c r="B10803" t="s">
        <v>32370</v>
      </c>
      <c r="C10803" t="s">
        <v>32370</v>
      </c>
      <c r="D10803" t="str">
        <f>HYPERLINK("https://zfin.org/ZDB-GENE-041111-281")</f>
        <v>https://zfin.org/ZDB-GENE-041111-281</v>
      </c>
      <c r="E10803" t="s">
        <v>32371</v>
      </c>
    </row>
    <row r="10804" spans="1:5" x14ac:dyDescent="0.2">
      <c r="A10804" t="s">
        <v>32372</v>
      </c>
      <c r="B10804" t="s">
        <v>32373</v>
      </c>
      <c r="C10804" t="s">
        <v>32373</v>
      </c>
      <c r="D10804" t="str">
        <f>HYPERLINK("https://zfin.org/ZDB-GENE-030131-4907")</f>
        <v>https://zfin.org/ZDB-GENE-030131-4907</v>
      </c>
      <c r="E10804" t="s">
        <v>32374</v>
      </c>
    </row>
    <row r="10805" spans="1:5" x14ac:dyDescent="0.2">
      <c r="A10805" t="s">
        <v>32375</v>
      </c>
      <c r="B10805" t="s">
        <v>32376</v>
      </c>
      <c r="C10805" t="s">
        <v>32376</v>
      </c>
      <c r="D10805" t="str">
        <f>HYPERLINK("https://zfin.org/ZDB-GENE-050522-390")</f>
        <v>https://zfin.org/ZDB-GENE-050522-390</v>
      </c>
      <c r="E10805" t="s">
        <v>32377</v>
      </c>
    </row>
    <row r="10806" spans="1:5" x14ac:dyDescent="0.2">
      <c r="A10806" t="s">
        <v>32378</v>
      </c>
      <c r="B10806" t="s">
        <v>32379</v>
      </c>
      <c r="C10806" t="s">
        <v>32379</v>
      </c>
      <c r="D10806" t="str">
        <f>HYPERLINK("https://zfin.org/ZDB-GENE-040426-2898")</f>
        <v>https://zfin.org/ZDB-GENE-040426-2898</v>
      </c>
      <c r="E10806" t="s">
        <v>32380</v>
      </c>
    </row>
    <row r="10807" spans="1:5" x14ac:dyDescent="0.2">
      <c r="A10807" t="s">
        <v>32381</v>
      </c>
      <c r="B10807" t="s">
        <v>32382</v>
      </c>
      <c r="C10807" t="s">
        <v>32382</v>
      </c>
      <c r="D10807" t="str">
        <f>HYPERLINK("https://zfin.org/ZDB-GENE-040426-2326")</f>
        <v>https://zfin.org/ZDB-GENE-040426-2326</v>
      </c>
      <c r="E10807" t="s">
        <v>32383</v>
      </c>
    </row>
    <row r="10808" spans="1:5" x14ac:dyDescent="0.2">
      <c r="A10808" t="s">
        <v>32384</v>
      </c>
      <c r="B10808" t="s">
        <v>32385</v>
      </c>
      <c r="C10808" t="s">
        <v>32385</v>
      </c>
      <c r="D10808" t="str">
        <f>HYPERLINK("https://zfin.org/ZDB-GENE-060929-308")</f>
        <v>https://zfin.org/ZDB-GENE-060929-308</v>
      </c>
      <c r="E10808" t="s">
        <v>32386</v>
      </c>
    </row>
    <row r="10809" spans="1:5" x14ac:dyDescent="0.2">
      <c r="A10809" t="s">
        <v>32387</v>
      </c>
      <c r="B10809" t="s">
        <v>32388</v>
      </c>
      <c r="C10809" t="s">
        <v>32388</v>
      </c>
      <c r="D10809" t="str">
        <f>HYPERLINK("https://zfin.org/ZDB-GENE-030131-158")</f>
        <v>https://zfin.org/ZDB-GENE-030131-158</v>
      </c>
      <c r="E10809" t="s">
        <v>32389</v>
      </c>
    </row>
    <row r="10810" spans="1:5" x14ac:dyDescent="0.2">
      <c r="A10810" t="s">
        <v>32390</v>
      </c>
      <c r="B10810" t="s">
        <v>32391</v>
      </c>
      <c r="C10810" t="s">
        <v>32391</v>
      </c>
      <c r="D10810" t="str">
        <f>HYPERLINK("https://zfin.org/ZDB-GENE-131119-47")</f>
        <v>https://zfin.org/ZDB-GENE-131119-47</v>
      </c>
      <c r="E10810" t="s">
        <v>32392</v>
      </c>
    </row>
    <row r="10811" spans="1:5" x14ac:dyDescent="0.2">
      <c r="A10811" t="s">
        <v>32393</v>
      </c>
      <c r="B10811" t="s">
        <v>32394</v>
      </c>
      <c r="C10811" t="s">
        <v>32394</v>
      </c>
      <c r="D10811" t="str">
        <f>HYPERLINK("https://zfin.org/ZDB-GENE-131126-51")</f>
        <v>https://zfin.org/ZDB-GENE-131126-51</v>
      </c>
      <c r="E10811" t="s">
        <v>32395</v>
      </c>
    </row>
    <row r="10812" spans="1:5" x14ac:dyDescent="0.2">
      <c r="A10812" t="s">
        <v>32396</v>
      </c>
      <c r="B10812" t="s">
        <v>32397</v>
      </c>
      <c r="C10812" t="s">
        <v>32397</v>
      </c>
      <c r="D10812" t="str">
        <f>HYPERLINK("https://zfin.org/ZDB-GENE-081104-238")</f>
        <v>https://zfin.org/ZDB-GENE-081104-238</v>
      </c>
      <c r="E10812" t="s">
        <v>32398</v>
      </c>
    </row>
    <row r="10813" spans="1:5" x14ac:dyDescent="0.2">
      <c r="A10813" t="s">
        <v>32399</v>
      </c>
      <c r="B10813" t="s">
        <v>32400</v>
      </c>
      <c r="C10813" t="s">
        <v>32400</v>
      </c>
      <c r="D10813" t="str">
        <f>HYPERLINK("https://zfin.org/ZDB-GENE-050417-283")</f>
        <v>https://zfin.org/ZDB-GENE-050417-283</v>
      </c>
      <c r="E10813" t="s">
        <v>32401</v>
      </c>
    </row>
    <row r="10814" spans="1:5" x14ac:dyDescent="0.2">
      <c r="A10814" t="s">
        <v>32402</v>
      </c>
      <c r="B10814" t="s">
        <v>32403</v>
      </c>
      <c r="C10814" t="s">
        <v>32403</v>
      </c>
      <c r="D10814" t="str">
        <f>HYPERLINK("https://zfin.org/ZDB-GENE-991110-20")</f>
        <v>https://zfin.org/ZDB-GENE-991110-20</v>
      </c>
      <c r="E10814" t="s">
        <v>32404</v>
      </c>
    </row>
    <row r="10815" spans="1:5" x14ac:dyDescent="0.2">
      <c r="A10815" t="s">
        <v>32405</v>
      </c>
      <c r="B10815" t="s">
        <v>32406</v>
      </c>
      <c r="C10815" t="s">
        <v>32406</v>
      </c>
      <c r="D10815" t="str">
        <f>HYPERLINK("https://zfin.org/ZDB-GENE-060503-136")</f>
        <v>https://zfin.org/ZDB-GENE-060503-136</v>
      </c>
      <c r="E10815" t="s">
        <v>32407</v>
      </c>
    </row>
    <row r="10816" spans="1:5" x14ac:dyDescent="0.2">
      <c r="A10816" t="s">
        <v>32408</v>
      </c>
      <c r="B10816" t="s">
        <v>32409</v>
      </c>
      <c r="C10816" t="s">
        <v>32409</v>
      </c>
      <c r="D10816" t="str">
        <f>HYPERLINK("https://zfin.org/ZDB-GENE-041014-171")</f>
        <v>https://zfin.org/ZDB-GENE-041014-171</v>
      </c>
      <c r="E10816" t="s">
        <v>32410</v>
      </c>
    </row>
    <row r="10817" spans="1:5" x14ac:dyDescent="0.2">
      <c r="A10817" t="s">
        <v>32411</v>
      </c>
      <c r="B10817" t="s">
        <v>32412</v>
      </c>
      <c r="C10817" t="s">
        <v>32412</v>
      </c>
      <c r="D10817" t="str">
        <f>HYPERLINK("https://zfin.org/ZDB-GENE-131127-284")</f>
        <v>https://zfin.org/ZDB-GENE-131127-284</v>
      </c>
      <c r="E10817" t="s">
        <v>32413</v>
      </c>
    </row>
    <row r="10818" spans="1:5" x14ac:dyDescent="0.2">
      <c r="A10818" t="s">
        <v>32414</v>
      </c>
      <c r="B10818" t="s">
        <v>32415</v>
      </c>
      <c r="C10818" t="s">
        <v>32415</v>
      </c>
      <c r="D10818" t="str">
        <f>HYPERLINK("https://zfin.org/ZDB-GENE-040724-100")</f>
        <v>https://zfin.org/ZDB-GENE-040724-100</v>
      </c>
      <c r="E10818" t="s">
        <v>32416</v>
      </c>
    </row>
    <row r="10819" spans="1:5" x14ac:dyDescent="0.2">
      <c r="A10819" t="s">
        <v>32417</v>
      </c>
      <c r="B10819" t="s">
        <v>32418</v>
      </c>
      <c r="C10819" t="s">
        <v>32418</v>
      </c>
      <c r="D10819" t="str">
        <f>HYPERLINK("https://zfin.org/ZDB-GENE-080218-9")</f>
        <v>https://zfin.org/ZDB-GENE-080218-9</v>
      </c>
      <c r="E10819" t="s">
        <v>32419</v>
      </c>
    </row>
    <row r="10820" spans="1:5" x14ac:dyDescent="0.2">
      <c r="A10820" t="s">
        <v>32420</v>
      </c>
      <c r="B10820" t="s">
        <v>32421</v>
      </c>
      <c r="C10820" t="s">
        <v>32421</v>
      </c>
      <c r="D10820" t="str">
        <f>HYPERLINK("https://zfin.org/ZDB-GENE-990415-179")</f>
        <v>https://zfin.org/ZDB-GENE-990415-179</v>
      </c>
      <c r="E10820" t="s">
        <v>32422</v>
      </c>
    </row>
    <row r="10821" spans="1:5" x14ac:dyDescent="0.2">
      <c r="A10821" t="s">
        <v>32423</v>
      </c>
      <c r="B10821" t="s">
        <v>32424</v>
      </c>
      <c r="C10821" t="s">
        <v>32424</v>
      </c>
      <c r="D10821" t="str">
        <f>HYPERLINK("https://zfin.org/ZDB-GENE-040718-172")</f>
        <v>https://zfin.org/ZDB-GENE-040718-172</v>
      </c>
      <c r="E10821" t="s">
        <v>32425</v>
      </c>
    </row>
    <row r="10822" spans="1:5" x14ac:dyDescent="0.2">
      <c r="A10822" t="s">
        <v>32426</v>
      </c>
      <c r="B10822" t="s">
        <v>32427</v>
      </c>
      <c r="C10822" t="s">
        <v>32427</v>
      </c>
      <c r="D10822" t="str">
        <f>HYPERLINK("https://zfin.org/ZDB-GENE-040426-1192")</f>
        <v>https://zfin.org/ZDB-GENE-040426-1192</v>
      </c>
      <c r="E10822" t="s">
        <v>32428</v>
      </c>
    </row>
    <row r="10823" spans="1:5" x14ac:dyDescent="0.2">
      <c r="A10823" t="s">
        <v>32429</v>
      </c>
      <c r="B10823" t="s">
        <v>32430</v>
      </c>
      <c r="C10823" t="s">
        <v>32430</v>
      </c>
      <c r="D10823" t="str">
        <f>HYPERLINK("https://zfin.org/ZDB-GENE-060503-715")</f>
        <v>https://zfin.org/ZDB-GENE-060503-715</v>
      </c>
      <c r="E10823" t="s">
        <v>32431</v>
      </c>
    </row>
    <row r="10824" spans="1:5" x14ac:dyDescent="0.2">
      <c r="A10824" t="s">
        <v>32432</v>
      </c>
      <c r="B10824" t="s">
        <v>32433</v>
      </c>
      <c r="C10824" t="s">
        <v>32433</v>
      </c>
      <c r="D10824" t="str">
        <f>HYPERLINK("https://zfin.org/ZDB-GENE-090312-104")</f>
        <v>https://zfin.org/ZDB-GENE-090312-104</v>
      </c>
      <c r="E10824" t="s">
        <v>32434</v>
      </c>
    </row>
    <row r="10825" spans="1:5" x14ac:dyDescent="0.2">
      <c r="A10825" t="s">
        <v>32435</v>
      </c>
      <c r="B10825" t="s">
        <v>32436</v>
      </c>
      <c r="C10825" t="s">
        <v>32436</v>
      </c>
      <c r="D10825" t="str">
        <f>HYPERLINK("https://zfin.org/")</f>
        <v>https://zfin.org/</v>
      </c>
    </row>
    <row r="10826" spans="1:5" x14ac:dyDescent="0.2">
      <c r="A10826" t="s">
        <v>32437</v>
      </c>
      <c r="B10826" t="s">
        <v>32438</v>
      </c>
      <c r="C10826" t="s">
        <v>32438</v>
      </c>
      <c r="D10826" t="str">
        <f>HYPERLINK("https://zfin.org/ZDB-GENE-050417-409")</f>
        <v>https://zfin.org/ZDB-GENE-050417-409</v>
      </c>
      <c r="E10826" t="s">
        <v>32439</v>
      </c>
    </row>
    <row r="10827" spans="1:5" x14ac:dyDescent="0.2">
      <c r="A10827" t="s">
        <v>32440</v>
      </c>
      <c r="B10827" t="s">
        <v>32441</v>
      </c>
      <c r="C10827" t="s">
        <v>32441</v>
      </c>
      <c r="D10827" t="str">
        <f>HYPERLINK("https://zfin.org/ZDB-GENE-070112-1682")</f>
        <v>https://zfin.org/ZDB-GENE-070112-1682</v>
      </c>
      <c r="E10827" t="s">
        <v>32442</v>
      </c>
    </row>
    <row r="10828" spans="1:5" x14ac:dyDescent="0.2">
      <c r="A10828" t="s">
        <v>32443</v>
      </c>
      <c r="B10828" t="s">
        <v>32444</v>
      </c>
      <c r="C10828" t="s">
        <v>32444</v>
      </c>
      <c r="D10828" t="str">
        <f>HYPERLINK("https://zfin.org/ZDB-GENE-091204-111")</f>
        <v>https://zfin.org/ZDB-GENE-091204-111</v>
      </c>
      <c r="E10828" t="s">
        <v>32445</v>
      </c>
    </row>
    <row r="10829" spans="1:5" x14ac:dyDescent="0.2">
      <c r="A10829" t="s">
        <v>32446</v>
      </c>
      <c r="B10829" t="s">
        <v>32447</v>
      </c>
      <c r="C10829" t="s">
        <v>32447</v>
      </c>
      <c r="D10829" t="str">
        <f>HYPERLINK("https://zfin.org/ZDB-GENE-060503-104")</f>
        <v>https://zfin.org/ZDB-GENE-060503-104</v>
      </c>
      <c r="E10829" t="s">
        <v>32448</v>
      </c>
    </row>
    <row r="10830" spans="1:5" x14ac:dyDescent="0.2">
      <c r="A10830" t="s">
        <v>32449</v>
      </c>
      <c r="B10830" t="s">
        <v>32450</v>
      </c>
      <c r="C10830" t="s">
        <v>32450</v>
      </c>
      <c r="D10830" t="str">
        <f>HYPERLINK("https://zfin.org/ZDB-GENE-060825-79")</f>
        <v>https://zfin.org/ZDB-GENE-060825-79</v>
      </c>
      <c r="E10830" t="s">
        <v>32451</v>
      </c>
    </row>
    <row r="10831" spans="1:5" x14ac:dyDescent="0.2">
      <c r="A10831" t="s">
        <v>32452</v>
      </c>
      <c r="B10831" t="s">
        <v>32453</v>
      </c>
      <c r="C10831" t="s">
        <v>32453</v>
      </c>
      <c r="D10831" t="str">
        <f>HYPERLINK("https://zfin.org/ZDB-GENE-030131-5383")</f>
        <v>https://zfin.org/ZDB-GENE-030131-5383</v>
      </c>
      <c r="E10831" t="s">
        <v>32454</v>
      </c>
    </row>
    <row r="10832" spans="1:5" x14ac:dyDescent="0.2">
      <c r="A10832" t="s">
        <v>32455</v>
      </c>
      <c r="B10832" t="s">
        <v>32456</v>
      </c>
      <c r="C10832" t="s">
        <v>32456</v>
      </c>
      <c r="D10832" t="str">
        <f>HYPERLINK("https://zfin.org/ZDB-GENE-010328-17")</f>
        <v>https://zfin.org/ZDB-GENE-010328-17</v>
      </c>
      <c r="E10832" t="s">
        <v>32457</v>
      </c>
    </row>
    <row r="10833" spans="1:5" x14ac:dyDescent="0.2">
      <c r="A10833" t="s">
        <v>32458</v>
      </c>
      <c r="B10833" t="s">
        <v>32459</v>
      </c>
      <c r="C10833" t="s">
        <v>32459</v>
      </c>
      <c r="D10833" t="str">
        <f>HYPERLINK("https://zfin.org/ZDB-GENE-110131-5")</f>
        <v>https://zfin.org/ZDB-GENE-110131-5</v>
      </c>
      <c r="E10833" t="s">
        <v>32460</v>
      </c>
    </row>
    <row r="10834" spans="1:5" x14ac:dyDescent="0.2">
      <c r="A10834" t="s">
        <v>32461</v>
      </c>
      <c r="B10834" t="s">
        <v>32462</v>
      </c>
      <c r="C10834" t="s">
        <v>32462</v>
      </c>
      <c r="D10834" t="str">
        <f>HYPERLINK("https://zfin.org/ZDB-GENE-030131-8115")</f>
        <v>https://zfin.org/ZDB-GENE-030131-8115</v>
      </c>
      <c r="E10834" t="s">
        <v>32463</v>
      </c>
    </row>
    <row r="10835" spans="1:5" x14ac:dyDescent="0.2">
      <c r="A10835" t="s">
        <v>32464</v>
      </c>
      <c r="B10835" t="s">
        <v>32465</v>
      </c>
      <c r="C10835" t="s">
        <v>32465</v>
      </c>
      <c r="D10835" t="str">
        <f>HYPERLINK("https://zfin.org/ZDB-GENE-030131-5569")</f>
        <v>https://zfin.org/ZDB-GENE-030131-5569</v>
      </c>
      <c r="E10835" t="s">
        <v>32466</v>
      </c>
    </row>
    <row r="10836" spans="1:5" x14ac:dyDescent="0.2">
      <c r="A10836" t="s">
        <v>32467</v>
      </c>
      <c r="B10836" t="s">
        <v>32468</v>
      </c>
      <c r="C10836" t="s">
        <v>32468</v>
      </c>
      <c r="D10836" t="str">
        <f>HYPERLINK("https://zfin.org/ZDB-GENE-041114-53")</f>
        <v>https://zfin.org/ZDB-GENE-041114-53</v>
      </c>
      <c r="E10836" t="s">
        <v>32469</v>
      </c>
    </row>
    <row r="10837" spans="1:5" x14ac:dyDescent="0.2">
      <c r="A10837" t="s">
        <v>32470</v>
      </c>
      <c r="B10837" t="s">
        <v>32471</v>
      </c>
      <c r="C10837" t="s">
        <v>32471</v>
      </c>
      <c r="D10837" t="str">
        <f>HYPERLINK("https://zfin.org/ZDB-GENE-040426-2122")</f>
        <v>https://zfin.org/ZDB-GENE-040426-2122</v>
      </c>
      <c r="E10837" t="s">
        <v>32472</v>
      </c>
    </row>
    <row r="10838" spans="1:5" x14ac:dyDescent="0.2">
      <c r="A10838" t="s">
        <v>32473</v>
      </c>
      <c r="B10838" t="s">
        <v>32474</v>
      </c>
      <c r="C10838" t="s">
        <v>32474</v>
      </c>
      <c r="D10838" t="str">
        <f>HYPERLINK("https://zfin.org/ZDB-GENE-041212-7")</f>
        <v>https://zfin.org/ZDB-GENE-041212-7</v>
      </c>
      <c r="E10838" t="s">
        <v>32475</v>
      </c>
    </row>
    <row r="10839" spans="1:5" x14ac:dyDescent="0.2">
      <c r="A10839" t="s">
        <v>32476</v>
      </c>
      <c r="B10839" t="s">
        <v>32477</v>
      </c>
      <c r="C10839" t="s">
        <v>32477</v>
      </c>
      <c r="D10839" t="str">
        <f>HYPERLINK("https://zfin.org/ZDB-GENE-070912-533")</f>
        <v>https://zfin.org/ZDB-GENE-070912-533</v>
      </c>
      <c r="E10839" t="s">
        <v>32478</v>
      </c>
    </row>
    <row r="10840" spans="1:5" x14ac:dyDescent="0.2">
      <c r="A10840" t="s">
        <v>32479</v>
      </c>
      <c r="B10840" t="s">
        <v>32480</v>
      </c>
      <c r="C10840" t="s">
        <v>32480</v>
      </c>
      <c r="D10840" t="str">
        <f>HYPERLINK("https://zfin.org/ZDB-GENE-081104-270")</f>
        <v>https://zfin.org/ZDB-GENE-081104-270</v>
      </c>
      <c r="E10840" t="s">
        <v>32481</v>
      </c>
    </row>
    <row r="10841" spans="1:5" x14ac:dyDescent="0.2">
      <c r="A10841" t="s">
        <v>32482</v>
      </c>
      <c r="B10841" t="s">
        <v>32483</v>
      </c>
      <c r="C10841" t="s">
        <v>32483</v>
      </c>
      <c r="D10841" t="str">
        <f>HYPERLINK("https://zfin.org/ZDB-GENE-030616-513")</f>
        <v>https://zfin.org/ZDB-GENE-030616-513</v>
      </c>
      <c r="E10841" t="s">
        <v>32484</v>
      </c>
    </row>
    <row r="10842" spans="1:5" x14ac:dyDescent="0.2">
      <c r="A10842" t="s">
        <v>32485</v>
      </c>
      <c r="B10842" t="s">
        <v>32486</v>
      </c>
      <c r="C10842" t="s">
        <v>32486</v>
      </c>
      <c r="D10842" t="str">
        <f>HYPERLINK("https://zfin.org/ZDB-GENE-040426-759")</f>
        <v>https://zfin.org/ZDB-GENE-040426-759</v>
      </c>
      <c r="E10842" t="s">
        <v>32487</v>
      </c>
    </row>
    <row r="10843" spans="1:5" x14ac:dyDescent="0.2">
      <c r="A10843" t="s">
        <v>32488</v>
      </c>
      <c r="B10843" t="s">
        <v>32489</v>
      </c>
      <c r="C10843" t="s">
        <v>32489</v>
      </c>
      <c r="D10843" t="str">
        <f>HYPERLINK("https://zfin.org/ZDB-GENE-040912-167")</f>
        <v>https://zfin.org/ZDB-GENE-040912-167</v>
      </c>
      <c r="E10843" t="s">
        <v>32490</v>
      </c>
    </row>
    <row r="10844" spans="1:5" x14ac:dyDescent="0.2">
      <c r="A10844" t="s">
        <v>32491</v>
      </c>
      <c r="B10844" t="s">
        <v>32492</v>
      </c>
      <c r="C10844" t="s">
        <v>32492</v>
      </c>
      <c r="D10844" t="str">
        <f>HYPERLINK("https://zfin.org/ZDB-GENE-070705-473")</f>
        <v>https://zfin.org/ZDB-GENE-070705-473</v>
      </c>
      <c r="E10844" t="s">
        <v>32493</v>
      </c>
    </row>
    <row r="10845" spans="1:5" x14ac:dyDescent="0.2">
      <c r="A10845" t="s">
        <v>32494</v>
      </c>
      <c r="B10845" t="s">
        <v>32495</v>
      </c>
      <c r="C10845" t="s">
        <v>32496</v>
      </c>
      <c r="D10845" t="str">
        <f>HYPERLINK("https://zfin.org/")</f>
        <v>https://zfin.org/</v>
      </c>
    </row>
    <row r="10846" spans="1:5" x14ac:dyDescent="0.2">
      <c r="A10846" t="s">
        <v>32497</v>
      </c>
      <c r="B10846" t="s">
        <v>32498</v>
      </c>
      <c r="C10846" t="s">
        <v>32498</v>
      </c>
      <c r="D10846" t="str">
        <f>HYPERLINK("https://zfin.org/ZDB-GENE-060929-612")</f>
        <v>https://zfin.org/ZDB-GENE-060929-612</v>
      </c>
      <c r="E10846" t="s">
        <v>32499</v>
      </c>
    </row>
    <row r="10847" spans="1:5" x14ac:dyDescent="0.2">
      <c r="A10847" t="s">
        <v>32500</v>
      </c>
      <c r="B10847" t="s">
        <v>32501</v>
      </c>
      <c r="C10847" t="s">
        <v>32501</v>
      </c>
      <c r="D10847" t="str">
        <f>HYPERLINK("https://zfin.org/ZDB-GENE-070820-17")</f>
        <v>https://zfin.org/ZDB-GENE-070820-17</v>
      </c>
      <c r="E10847" t="s">
        <v>32502</v>
      </c>
    </row>
    <row r="10848" spans="1:5" x14ac:dyDescent="0.2">
      <c r="A10848" t="s">
        <v>32503</v>
      </c>
      <c r="B10848" t="s">
        <v>32504</v>
      </c>
      <c r="C10848" t="s">
        <v>32504</v>
      </c>
      <c r="D10848" t="str">
        <f>HYPERLINK("https://zfin.org/ZDB-GENE-041210-60")</f>
        <v>https://zfin.org/ZDB-GENE-041210-60</v>
      </c>
      <c r="E10848" t="s">
        <v>32505</v>
      </c>
    </row>
    <row r="10849" spans="1:5" x14ac:dyDescent="0.2">
      <c r="A10849" t="s">
        <v>32506</v>
      </c>
      <c r="B10849" t="s">
        <v>32507</v>
      </c>
      <c r="C10849" t="s">
        <v>32507</v>
      </c>
      <c r="D10849" t="str">
        <f>HYPERLINK("https://zfin.org/ZDB-GENE-990715-7")</f>
        <v>https://zfin.org/ZDB-GENE-990715-7</v>
      </c>
      <c r="E10849" t="s">
        <v>32508</v>
      </c>
    </row>
    <row r="10850" spans="1:5" x14ac:dyDescent="0.2">
      <c r="A10850" t="s">
        <v>32509</v>
      </c>
      <c r="B10850" t="s">
        <v>32510</v>
      </c>
      <c r="C10850" t="s">
        <v>32510</v>
      </c>
      <c r="D10850" t="str">
        <f>HYPERLINK("https://zfin.org/ZDB-GENE-100921-50")</f>
        <v>https://zfin.org/ZDB-GENE-100921-50</v>
      </c>
      <c r="E10850" t="s">
        <v>32511</v>
      </c>
    </row>
    <row r="10851" spans="1:5" x14ac:dyDescent="0.2">
      <c r="A10851" t="s">
        <v>32512</v>
      </c>
      <c r="B10851" t="s">
        <v>32513</v>
      </c>
      <c r="C10851" t="s">
        <v>32513</v>
      </c>
      <c r="D10851" t="str">
        <f>HYPERLINK("https://zfin.org/ZDB-GENE-030131-9543")</f>
        <v>https://zfin.org/ZDB-GENE-030131-9543</v>
      </c>
      <c r="E10851" t="s">
        <v>32514</v>
      </c>
    </row>
    <row r="10852" spans="1:5" x14ac:dyDescent="0.2">
      <c r="A10852" t="s">
        <v>32515</v>
      </c>
      <c r="B10852" t="s">
        <v>32516</v>
      </c>
      <c r="C10852" t="s">
        <v>32516</v>
      </c>
      <c r="D10852" t="str">
        <f>HYPERLINK("https://zfin.org/ZDB-GENE-000831-1")</f>
        <v>https://zfin.org/ZDB-GENE-000831-1</v>
      </c>
      <c r="E10852" t="s">
        <v>32517</v>
      </c>
    </row>
    <row r="10853" spans="1:5" x14ac:dyDescent="0.2">
      <c r="A10853" t="s">
        <v>32518</v>
      </c>
      <c r="B10853" t="s">
        <v>32519</v>
      </c>
      <c r="C10853" t="s">
        <v>32519</v>
      </c>
      <c r="D10853" t="str">
        <f>HYPERLINK("https://zfin.org/ZDB-GENE-030131-8228")</f>
        <v>https://zfin.org/ZDB-GENE-030131-8228</v>
      </c>
      <c r="E10853" t="s">
        <v>32520</v>
      </c>
    </row>
    <row r="10854" spans="1:5" x14ac:dyDescent="0.2">
      <c r="A10854" t="s">
        <v>32521</v>
      </c>
      <c r="B10854" t="s">
        <v>32522</v>
      </c>
      <c r="C10854" t="s">
        <v>32522</v>
      </c>
      <c r="D10854" t="str">
        <f>HYPERLINK("https://zfin.org/ZDB-GENE-131120-18")</f>
        <v>https://zfin.org/ZDB-GENE-131120-18</v>
      </c>
      <c r="E10854" t="s">
        <v>32523</v>
      </c>
    </row>
    <row r="10855" spans="1:5" x14ac:dyDescent="0.2">
      <c r="A10855" t="s">
        <v>32524</v>
      </c>
      <c r="B10855" t="s">
        <v>32525</v>
      </c>
      <c r="C10855" t="s">
        <v>32525</v>
      </c>
      <c r="D10855" t="str">
        <f>HYPERLINK("https://zfin.org/ZDB-GENE-050208-585")</f>
        <v>https://zfin.org/ZDB-GENE-050208-585</v>
      </c>
      <c r="E10855" t="s">
        <v>32526</v>
      </c>
    </row>
    <row r="10856" spans="1:5" x14ac:dyDescent="0.2">
      <c r="A10856" t="s">
        <v>32527</v>
      </c>
      <c r="B10856" t="s">
        <v>32528</v>
      </c>
      <c r="C10856" t="s">
        <v>32528</v>
      </c>
      <c r="D10856" t="str">
        <f>HYPERLINK("https://zfin.org/ZDB-GENE-040718-335")</f>
        <v>https://zfin.org/ZDB-GENE-040718-335</v>
      </c>
      <c r="E10856" t="s">
        <v>32529</v>
      </c>
    </row>
    <row r="10857" spans="1:5" x14ac:dyDescent="0.2">
      <c r="A10857" t="s">
        <v>32530</v>
      </c>
      <c r="B10857" t="s">
        <v>32531</v>
      </c>
      <c r="C10857" t="s">
        <v>32531</v>
      </c>
      <c r="D10857" t="str">
        <f>HYPERLINK("https://zfin.org/ZDB-GENE-030131-2931")</f>
        <v>https://zfin.org/ZDB-GENE-030131-2931</v>
      </c>
      <c r="E10857" t="s">
        <v>32532</v>
      </c>
    </row>
    <row r="10858" spans="1:5" x14ac:dyDescent="0.2">
      <c r="A10858" t="s">
        <v>32533</v>
      </c>
      <c r="B10858" t="s">
        <v>32534</v>
      </c>
      <c r="C10858" t="s">
        <v>32534</v>
      </c>
      <c r="D10858" t="str">
        <f>HYPERLINK("https://zfin.org/ZDB-GENE-080212-11")</f>
        <v>https://zfin.org/ZDB-GENE-080212-11</v>
      </c>
      <c r="E10858" t="s">
        <v>32535</v>
      </c>
    </row>
    <row r="10859" spans="1:5" x14ac:dyDescent="0.2">
      <c r="A10859" t="s">
        <v>32536</v>
      </c>
      <c r="B10859" t="s">
        <v>32537</v>
      </c>
      <c r="C10859" t="s">
        <v>32537</v>
      </c>
      <c r="D10859" t="str">
        <f>HYPERLINK("https://zfin.org/ZDB-GENE-061103-82")</f>
        <v>https://zfin.org/ZDB-GENE-061103-82</v>
      </c>
      <c r="E10859" t="s">
        <v>32538</v>
      </c>
    </row>
    <row r="10860" spans="1:5" x14ac:dyDescent="0.2">
      <c r="A10860" t="s">
        <v>32539</v>
      </c>
      <c r="B10860" t="s">
        <v>32540</v>
      </c>
      <c r="C10860" t="s">
        <v>32540</v>
      </c>
      <c r="D10860" t="str">
        <f>HYPERLINK("https://zfin.org/ZDB-GENE-160114-6")</f>
        <v>https://zfin.org/ZDB-GENE-160114-6</v>
      </c>
      <c r="E10860" t="s">
        <v>32541</v>
      </c>
    </row>
    <row r="10861" spans="1:5" x14ac:dyDescent="0.2">
      <c r="A10861" t="s">
        <v>32542</v>
      </c>
      <c r="B10861" t="s">
        <v>32543</v>
      </c>
      <c r="C10861" t="s">
        <v>32543</v>
      </c>
      <c r="D10861" t="str">
        <f>HYPERLINK("https://zfin.org/ZDB-GENE-021206-2")</f>
        <v>https://zfin.org/ZDB-GENE-021206-2</v>
      </c>
      <c r="E10861" t="s">
        <v>32544</v>
      </c>
    </row>
    <row r="10862" spans="1:5" x14ac:dyDescent="0.2">
      <c r="A10862" t="s">
        <v>32545</v>
      </c>
      <c r="B10862" t="s">
        <v>32546</v>
      </c>
      <c r="C10862" t="s">
        <v>32546</v>
      </c>
      <c r="D10862" t="str">
        <f>HYPERLINK("https://zfin.org/ZDB-GENE-070912-181")</f>
        <v>https://zfin.org/ZDB-GENE-070912-181</v>
      </c>
      <c r="E10862" t="s">
        <v>32547</v>
      </c>
    </row>
    <row r="10863" spans="1:5" x14ac:dyDescent="0.2">
      <c r="A10863" t="s">
        <v>32548</v>
      </c>
      <c r="B10863" t="s">
        <v>32549</v>
      </c>
      <c r="C10863" t="s">
        <v>32549</v>
      </c>
      <c r="D10863" t="str">
        <f>HYPERLINK("https://zfin.org/ZDB-GENE-050522-316")</f>
        <v>https://zfin.org/ZDB-GENE-050522-316</v>
      </c>
      <c r="E10863" t="s">
        <v>32550</v>
      </c>
    </row>
    <row r="10864" spans="1:5" x14ac:dyDescent="0.2">
      <c r="A10864" t="s">
        <v>32551</v>
      </c>
      <c r="B10864" t="s">
        <v>32552</v>
      </c>
      <c r="C10864" t="s">
        <v>32552</v>
      </c>
      <c r="D10864" t="str">
        <f>HYPERLINK("https://zfin.org/ZDB-GENE-070912-389")</f>
        <v>https://zfin.org/ZDB-GENE-070912-389</v>
      </c>
      <c r="E10864" t="s">
        <v>32553</v>
      </c>
    </row>
    <row r="10865" spans="1:5" x14ac:dyDescent="0.2">
      <c r="A10865" t="s">
        <v>32554</v>
      </c>
      <c r="B10865" t="s">
        <v>32555</v>
      </c>
      <c r="C10865" t="s">
        <v>32555</v>
      </c>
      <c r="D10865" t="str">
        <f>HYPERLINK("https://zfin.org/ZDB-GENE-110411-237")</f>
        <v>https://zfin.org/ZDB-GENE-110411-237</v>
      </c>
      <c r="E10865" t="s">
        <v>32556</v>
      </c>
    </row>
    <row r="10866" spans="1:5" x14ac:dyDescent="0.2">
      <c r="A10866" t="s">
        <v>32557</v>
      </c>
      <c r="B10866" t="s">
        <v>32558</v>
      </c>
      <c r="C10866" t="s">
        <v>32558</v>
      </c>
      <c r="D10866" t="str">
        <f>HYPERLINK("https://zfin.org/ZDB-GENE-030131-9925")</f>
        <v>https://zfin.org/ZDB-GENE-030131-9925</v>
      </c>
      <c r="E10866" t="s">
        <v>32559</v>
      </c>
    </row>
    <row r="10867" spans="1:5" x14ac:dyDescent="0.2">
      <c r="A10867" t="s">
        <v>32560</v>
      </c>
      <c r="B10867" t="s">
        <v>32561</v>
      </c>
      <c r="C10867" t="s">
        <v>32561</v>
      </c>
      <c r="D10867" t="str">
        <f>HYPERLINK("https://zfin.org/ZDB-GENE-040718-159")</f>
        <v>https://zfin.org/ZDB-GENE-040718-159</v>
      </c>
      <c r="E10867" t="s">
        <v>32562</v>
      </c>
    </row>
    <row r="10868" spans="1:5" x14ac:dyDescent="0.2">
      <c r="A10868" t="s">
        <v>32563</v>
      </c>
      <c r="B10868" t="s">
        <v>32564</v>
      </c>
      <c r="C10868" t="s">
        <v>32564</v>
      </c>
      <c r="D10868" t="str">
        <f>HYPERLINK("https://zfin.org/ZDB-GENE-020419-5")</f>
        <v>https://zfin.org/ZDB-GENE-020419-5</v>
      </c>
      <c r="E10868" t="s">
        <v>32565</v>
      </c>
    </row>
    <row r="10869" spans="1:5" x14ac:dyDescent="0.2">
      <c r="A10869" t="s">
        <v>32566</v>
      </c>
      <c r="B10869" t="s">
        <v>32567</v>
      </c>
      <c r="C10869" t="s">
        <v>32568</v>
      </c>
      <c r="D10869" t="str">
        <f>HYPERLINK("https://zfin.org/ZDB-GENE-041212-27")</f>
        <v>https://zfin.org/ZDB-GENE-041212-27</v>
      </c>
      <c r="E10869" t="s">
        <v>32569</v>
      </c>
    </row>
    <row r="10870" spans="1:5" x14ac:dyDescent="0.2">
      <c r="A10870" t="s">
        <v>32570</v>
      </c>
      <c r="B10870" t="s">
        <v>32571</v>
      </c>
      <c r="C10870" t="s">
        <v>32571</v>
      </c>
      <c r="D10870" t="str">
        <f>HYPERLINK("https://zfin.org/ZDB-GENE-090313-80")</f>
        <v>https://zfin.org/ZDB-GENE-090313-80</v>
      </c>
      <c r="E10870" t="s">
        <v>32572</v>
      </c>
    </row>
    <row r="10871" spans="1:5" x14ac:dyDescent="0.2">
      <c r="A10871" t="s">
        <v>32573</v>
      </c>
      <c r="B10871" t="s">
        <v>32574</v>
      </c>
      <c r="C10871" t="s">
        <v>32574</v>
      </c>
      <c r="D10871" t="str">
        <f>HYPERLINK("https://zfin.org/ZDB-GENE-040801-204")</f>
        <v>https://zfin.org/ZDB-GENE-040801-204</v>
      </c>
      <c r="E10871" t="s">
        <v>32575</v>
      </c>
    </row>
    <row r="10872" spans="1:5" x14ac:dyDescent="0.2">
      <c r="A10872" t="s">
        <v>32576</v>
      </c>
      <c r="B10872" t="s">
        <v>32577</v>
      </c>
      <c r="C10872" t="s">
        <v>32577</v>
      </c>
      <c r="D10872" t="str">
        <f>HYPERLINK("https://zfin.org/ZDB-GENE-061103-124")</f>
        <v>https://zfin.org/ZDB-GENE-061103-124</v>
      </c>
      <c r="E10872" t="s">
        <v>32578</v>
      </c>
    </row>
    <row r="10873" spans="1:5" x14ac:dyDescent="0.2">
      <c r="A10873" t="s">
        <v>32579</v>
      </c>
      <c r="B10873" t="s">
        <v>32567</v>
      </c>
      <c r="C10873" t="s">
        <v>32580</v>
      </c>
      <c r="D10873" t="str">
        <f>HYPERLINK("https://zfin.org/ZDB-GENE-060312-8")</f>
        <v>https://zfin.org/ZDB-GENE-060312-8</v>
      </c>
      <c r="E10873" t="s">
        <v>32581</v>
      </c>
    </row>
    <row r="10874" spans="1:5" x14ac:dyDescent="0.2">
      <c r="A10874" t="s">
        <v>32582</v>
      </c>
      <c r="B10874" t="s">
        <v>32583</v>
      </c>
      <c r="C10874" t="s">
        <v>32583</v>
      </c>
      <c r="D10874" t="str">
        <f>HYPERLINK("https://zfin.org/ZDB-GENE-131121-369")</f>
        <v>https://zfin.org/ZDB-GENE-131121-369</v>
      </c>
      <c r="E10874" t="s">
        <v>32584</v>
      </c>
    </row>
    <row r="10875" spans="1:5" x14ac:dyDescent="0.2">
      <c r="A10875" t="s">
        <v>32585</v>
      </c>
      <c r="B10875" t="s">
        <v>32586</v>
      </c>
      <c r="C10875" t="s">
        <v>32586</v>
      </c>
      <c r="D10875" t="str">
        <f>HYPERLINK("https://zfin.org/ZDB-GENE-040426-1545")</f>
        <v>https://zfin.org/ZDB-GENE-040426-1545</v>
      </c>
      <c r="E10875" t="s">
        <v>32587</v>
      </c>
    </row>
    <row r="10876" spans="1:5" x14ac:dyDescent="0.2">
      <c r="A10876" t="s">
        <v>32588</v>
      </c>
      <c r="B10876" t="s">
        <v>32589</v>
      </c>
      <c r="C10876" t="s">
        <v>32589</v>
      </c>
      <c r="D10876" t="str">
        <f>HYPERLINK("https://zfin.org/ZDB-GENE-040718-351")</f>
        <v>https://zfin.org/ZDB-GENE-040718-351</v>
      </c>
      <c r="E10876" t="s">
        <v>32590</v>
      </c>
    </row>
    <row r="10877" spans="1:5" x14ac:dyDescent="0.2">
      <c r="A10877" t="s">
        <v>32591</v>
      </c>
      <c r="B10877" t="s">
        <v>32592</v>
      </c>
      <c r="C10877" t="s">
        <v>32592</v>
      </c>
      <c r="D10877" t="str">
        <f>HYPERLINK("https://zfin.org/ZDB-GENE-030131-945")</f>
        <v>https://zfin.org/ZDB-GENE-030131-945</v>
      </c>
      <c r="E10877" t="s">
        <v>32593</v>
      </c>
    </row>
    <row r="10878" spans="1:5" x14ac:dyDescent="0.2">
      <c r="A10878" t="s">
        <v>32594</v>
      </c>
      <c r="B10878" t="s">
        <v>32595</v>
      </c>
      <c r="C10878" t="s">
        <v>32595</v>
      </c>
      <c r="D10878" t="str">
        <f>HYPERLINK("https://zfin.org/ZDB-GENE-040426-806")</f>
        <v>https://zfin.org/ZDB-GENE-040426-806</v>
      </c>
      <c r="E10878" t="s">
        <v>32596</v>
      </c>
    </row>
    <row r="10879" spans="1:5" x14ac:dyDescent="0.2">
      <c r="A10879" t="s">
        <v>32597</v>
      </c>
      <c r="B10879" t="s">
        <v>32598</v>
      </c>
      <c r="C10879" t="s">
        <v>32598</v>
      </c>
      <c r="D10879" t="str">
        <f>HYPERLINK("https://zfin.org/ZDB-GENE-080721-23")</f>
        <v>https://zfin.org/ZDB-GENE-080721-23</v>
      </c>
      <c r="E10879" t="s">
        <v>32599</v>
      </c>
    </row>
    <row r="10880" spans="1:5" x14ac:dyDescent="0.2">
      <c r="A10880" t="s">
        <v>32600</v>
      </c>
      <c r="B10880" t="s">
        <v>32601</v>
      </c>
      <c r="C10880" t="s">
        <v>32601</v>
      </c>
      <c r="D10880" t="str">
        <f>HYPERLINK("https://zfin.org/ZDB-GENE-081104-341")</f>
        <v>https://zfin.org/ZDB-GENE-081104-341</v>
      </c>
      <c r="E10880" t="s">
        <v>32602</v>
      </c>
    </row>
    <row r="10881" spans="1:5" x14ac:dyDescent="0.2">
      <c r="A10881" t="s">
        <v>32603</v>
      </c>
      <c r="B10881" t="s">
        <v>32604</v>
      </c>
      <c r="C10881" t="s">
        <v>32604</v>
      </c>
      <c r="D10881" t="str">
        <f>HYPERLINK("https://zfin.org/ZDB-GENE-040426-2772")</f>
        <v>https://zfin.org/ZDB-GENE-040426-2772</v>
      </c>
      <c r="E10881" t="s">
        <v>32605</v>
      </c>
    </row>
    <row r="10882" spans="1:5" x14ac:dyDescent="0.2">
      <c r="A10882" t="s">
        <v>32606</v>
      </c>
      <c r="B10882" t="s">
        <v>32607</v>
      </c>
      <c r="C10882" t="s">
        <v>32607</v>
      </c>
      <c r="D10882" t="str">
        <f>HYPERLINK("https://zfin.org/ZDB-GENE-050417-219")</f>
        <v>https://zfin.org/ZDB-GENE-050417-219</v>
      </c>
      <c r="E10882" t="s">
        <v>32608</v>
      </c>
    </row>
    <row r="10883" spans="1:5" x14ac:dyDescent="0.2">
      <c r="A10883" t="s">
        <v>32609</v>
      </c>
      <c r="B10883" t="s">
        <v>32610</v>
      </c>
      <c r="C10883" t="s">
        <v>32610</v>
      </c>
      <c r="D10883" t="str">
        <f>HYPERLINK("https://zfin.org/ZDB-GENE-041111-211")</f>
        <v>https://zfin.org/ZDB-GENE-041111-211</v>
      </c>
      <c r="E10883" t="s">
        <v>32611</v>
      </c>
    </row>
    <row r="10884" spans="1:5" x14ac:dyDescent="0.2">
      <c r="A10884" t="s">
        <v>32612</v>
      </c>
      <c r="B10884" t="s">
        <v>32613</v>
      </c>
      <c r="C10884" t="s">
        <v>32613</v>
      </c>
      <c r="D10884" t="str">
        <f>HYPERLINK("https://zfin.org/ZDB-GENE-020709-1")</f>
        <v>https://zfin.org/ZDB-GENE-020709-1</v>
      </c>
      <c r="E10884" t="s">
        <v>32614</v>
      </c>
    </row>
    <row r="10885" spans="1:5" x14ac:dyDescent="0.2">
      <c r="A10885" t="s">
        <v>32615</v>
      </c>
      <c r="B10885" t="s">
        <v>32616</v>
      </c>
      <c r="C10885" t="s">
        <v>32616</v>
      </c>
      <c r="D10885" t="str">
        <f>HYPERLINK("https://zfin.org/ZDB-GENE-030722-6")</f>
        <v>https://zfin.org/ZDB-GENE-030722-6</v>
      </c>
      <c r="E10885" t="s">
        <v>32617</v>
      </c>
    </row>
    <row r="10886" spans="1:5" x14ac:dyDescent="0.2">
      <c r="A10886" t="s">
        <v>32618</v>
      </c>
      <c r="B10886" t="s">
        <v>32619</v>
      </c>
      <c r="C10886" t="s">
        <v>32619</v>
      </c>
      <c r="D10886" t="str">
        <f>HYPERLINK("https://zfin.org/ZDB-GENE-061013-542")</f>
        <v>https://zfin.org/ZDB-GENE-061013-542</v>
      </c>
      <c r="E10886" t="s">
        <v>32620</v>
      </c>
    </row>
    <row r="10887" spans="1:5" x14ac:dyDescent="0.2">
      <c r="A10887" t="s">
        <v>32621</v>
      </c>
      <c r="B10887" t="s">
        <v>32622</v>
      </c>
      <c r="C10887" t="s">
        <v>32622</v>
      </c>
      <c r="D10887" t="str">
        <f>HYPERLINK("https://zfin.org/ZDB-GENE-070705-218")</f>
        <v>https://zfin.org/ZDB-GENE-070705-218</v>
      </c>
      <c r="E10887" t="s">
        <v>32623</v>
      </c>
    </row>
    <row r="10888" spans="1:5" x14ac:dyDescent="0.2">
      <c r="A10888" t="s">
        <v>32624</v>
      </c>
      <c r="B10888" t="s">
        <v>32625</v>
      </c>
      <c r="C10888" t="s">
        <v>32625</v>
      </c>
      <c r="D10888" t="str">
        <f>HYPERLINK("https://zfin.org/ZDB-GENE-090220-1")</f>
        <v>https://zfin.org/ZDB-GENE-090220-1</v>
      </c>
      <c r="E10888" t="s">
        <v>32626</v>
      </c>
    </row>
    <row r="10889" spans="1:5" x14ac:dyDescent="0.2">
      <c r="A10889" t="s">
        <v>32627</v>
      </c>
      <c r="B10889" t="s">
        <v>32628</v>
      </c>
      <c r="C10889" t="s">
        <v>32628</v>
      </c>
      <c r="D10889" t="str">
        <f>HYPERLINK("https://zfin.org/ZDB-GENE-121214-321")</f>
        <v>https://zfin.org/ZDB-GENE-121214-321</v>
      </c>
      <c r="E10889" t="s">
        <v>32629</v>
      </c>
    </row>
    <row r="10890" spans="1:5" x14ac:dyDescent="0.2">
      <c r="A10890" t="s">
        <v>32630</v>
      </c>
      <c r="B10890" t="s">
        <v>32631</v>
      </c>
      <c r="C10890" t="s">
        <v>32631</v>
      </c>
      <c r="D10890" t="str">
        <f>HYPERLINK("https://zfin.org/ZDB-GENE-081104-269")</f>
        <v>https://zfin.org/ZDB-GENE-081104-269</v>
      </c>
      <c r="E10890" t="s">
        <v>32632</v>
      </c>
    </row>
    <row r="10891" spans="1:5" x14ac:dyDescent="0.2">
      <c r="A10891" t="s">
        <v>32633</v>
      </c>
      <c r="B10891" t="s">
        <v>32634</v>
      </c>
      <c r="C10891" t="s">
        <v>32634</v>
      </c>
      <c r="D10891" t="str">
        <f>HYPERLINK("https://zfin.org/ZDB-GENE-040625-125")</f>
        <v>https://zfin.org/ZDB-GENE-040625-125</v>
      </c>
      <c r="E10891" t="s">
        <v>32635</v>
      </c>
    </row>
    <row r="10892" spans="1:5" x14ac:dyDescent="0.2">
      <c r="A10892" t="s">
        <v>32636</v>
      </c>
      <c r="B10892" t="s">
        <v>32637</v>
      </c>
      <c r="C10892" t="s">
        <v>32637</v>
      </c>
      <c r="D10892" t="str">
        <f>HYPERLINK("https://zfin.org/ZDB-GENE-040426-1600")</f>
        <v>https://zfin.org/ZDB-GENE-040426-1600</v>
      </c>
      <c r="E10892" t="s">
        <v>32638</v>
      </c>
    </row>
    <row r="10893" spans="1:5" x14ac:dyDescent="0.2">
      <c r="A10893" t="s">
        <v>32639</v>
      </c>
      <c r="B10893" t="s">
        <v>32640</v>
      </c>
      <c r="C10893" t="s">
        <v>32640</v>
      </c>
      <c r="D10893" t="str">
        <f>HYPERLINK("https://zfin.org/ZDB-GENE-030131-5310")</f>
        <v>https://zfin.org/ZDB-GENE-030131-5310</v>
      </c>
      <c r="E10893" t="s">
        <v>32641</v>
      </c>
    </row>
    <row r="10894" spans="1:5" x14ac:dyDescent="0.2">
      <c r="A10894" t="s">
        <v>32642</v>
      </c>
      <c r="B10894" t="s">
        <v>32567</v>
      </c>
      <c r="C10894" t="s">
        <v>32643</v>
      </c>
      <c r="D10894" t="str">
        <f>HYPERLINK("https://zfin.org/ZDB-GENE-131126-37")</f>
        <v>https://zfin.org/ZDB-GENE-131126-37</v>
      </c>
      <c r="E10894" t="s">
        <v>32644</v>
      </c>
    </row>
    <row r="10895" spans="1:5" x14ac:dyDescent="0.2">
      <c r="A10895" t="s">
        <v>32645</v>
      </c>
      <c r="B10895" t="s">
        <v>32646</v>
      </c>
      <c r="C10895" t="s">
        <v>32646</v>
      </c>
      <c r="D10895" t="str">
        <f>HYPERLINK("https://zfin.org/ZDB-GENE-050208-458")</f>
        <v>https://zfin.org/ZDB-GENE-050208-458</v>
      </c>
      <c r="E10895" t="s">
        <v>32647</v>
      </c>
    </row>
    <row r="10896" spans="1:5" x14ac:dyDescent="0.2">
      <c r="A10896" t="s">
        <v>32648</v>
      </c>
      <c r="B10896" t="s">
        <v>32649</v>
      </c>
      <c r="C10896" t="s">
        <v>32649</v>
      </c>
      <c r="D10896" t="str">
        <f>HYPERLINK("https://zfin.org/ZDB-GENE-040718-394")</f>
        <v>https://zfin.org/ZDB-GENE-040718-394</v>
      </c>
      <c r="E10896" t="s">
        <v>32650</v>
      </c>
    </row>
    <row r="10897" spans="1:5" x14ac:dyDescent="0.2">
      <c r="A10897" t="s">
        <v>32651</v>
      </c>
      <c r="B10897" t="s">
        <v>32652</v>
      </c>
      <c r="C10897" t="s">
        <v>32652</v>
      </c>
      <c r="D10897" t="str">
        <f>HYPERLINK("https://zfin.org/ZDB-GENE-031118-50")</f>
        <v>https://zfin.org/ZDB-GENE-031118-50</v>
      </c>
      <c r="E10897" t="s">
        <v>32653</v>
      </c>
    </row>
    <row r="10898" spans="1:5" x14ac:dyDescent="0.2">
      <c r="A10898" t="s">
        <v>32654</v>
      </c>
      <c r="B10898" t="s">
        <v>32655</v>
      </c>
      <c r="C10898" t="s">
        <v>32655</v>
      </c>
      <c r="D10898" t="str">
        <f>HYPERLINK("https://zfin.org/ZDB-GENE-131121-314")</f>
        <v>https://zfin.org/ZDB-GENE-131121-314</v>
      </c>
      <c r="E10898" t="s">
        <v>32656</v>
      </c>
    </row>
    <row r="10899" spans="1:5" x14ac:dyDescent="0.2">
      <c r="A10899" t="s">
        <v>32657</v>
      </c>
      <c r="B10899" t="s">
        <v>32658</v>
      </c>
      <c r="C10899" t="s">
        <v>32658</v>
      </c>
      <c r="D10899" t="str">
        <f>HYPERLINK("https://zfin.org/ZDB-GENE-090311-44")</f>
        <v>https://zfin.org/ZDB-GENE-090311-44</v>
      </c>
      <c r="E10899" t="s">
        <v>32659</v>
      </c>
    </row>
    <row r="10900" spans="1:5" x14ac:dyDescent="0.2">
      <c r="A10900" t="s">
        <v>32660</v>
      </c>
      <c r="B10900" t="s">
        <v>32661</v>
      </c>
      <c r="C10900" t="s">
        <v>32661</v>
      </c>
      <c r="D10900" t="str">
        <f>HYPERLINK("https://zfin.org/ZDB-GENE-061215-5")</f>
        <v>https://zfin.org/ZDB-GENE-061215-5</v>
      </c>
      <c r="E10900" t="s">
        <v>32662</v>
      </c>
    </row>
    <row r="10901" spans="1:5" x14ac:dyDescent="0.2">
      <c r="A10901" t="s">
        <v>32663</v>
      </c>
      <c r="B10901" t="s">
        <v>32664</v>
      </c>
      <c r="C10901" t="s">
        <v>32664</v>
      </c>
      <c r="D10901" t="str">
        <f>HYPERLINK("https://zfin.org/ZDB-GENE-050417-99")</f>
        <v>https://zfin.org/ZDB-GENE-050417-99</v>
      </c>
      <c r="E10901" t="s">
        <v>32665</v>
      </c>
    </row>
    <row r="10902" spans="1:5" x14ac:dyDescent="0.2">
      <c r="A10902" t="s">
        <v>32666</v>
      </c>
      <c r="B10902" t="s">
        <v>32667</v>
      </c>
      <c r="C10902" t="s">
        <v>32667</v>
      </c>
      <c r="D10902" t="str">
        <f>HYPERLINK("https://zfin.org/ZDB-GENE-060825-176")</f>
        <v>https://zfin.org/ZDB-GENE-060825-176</v>
      </c>
      <c r="E10902" t="s">
        <v>32668</v>
      </c>
    </row>
    <row r="10903" spans="1:5" x14ac:dyDescent="0.2">
      <c r="A10903" t="s">
        <v>32669</v>
      </c>
      <c r="B10903" t="s">
        <v>32670</v>
      </c>
      <c r="C10903" t="s">
        <v>32670</v>
      </c>
      <c r="D10903" t="str">
        <f>HYPERLINK("https://zfin.org/ZDB-GENE-030131-5602")</f>
        <v>https://zfin.org/ZDB-GENE-030131-5602</v>
      </c>
      <c r="E10903" t="s">
        <v>32671</v>
      </c>
    </row>
    <row r="10904" spans="1:5" x14ac:dyDescent="0.2">
      <c r="A10904" t="s">
        <v>32672</v>
      </c>
      <c r="B10904" t="s">
        <v>32673</v>
      </c>
      <c r="C10904" t="s">
        <v>32673</v>
      </c>
      <c r="D10904" t="str">
        <f>HYPERLINK("https://zfin.org/ZDB-GENE-141215-26")</f>
        <v>https://zfin.org/ZDB-GENE-141215-26</v>
      </c>
      <c r="E10904" t="s">
        <v>32674</v>
      </c>
    </row>
    <row r="10905" spans="1:5" x14ac:dyDescent="0.2">
      <c r="A10905" t="s">
        <v>32675</v>
      </c>
      <c r="B10905" t="s">
        <v>32676</v>
      </c>
      <c r="C10905" t="s">
        <v>32676</v>
      </c>
      <c r="D10905" t="str">
        <f>HYPERLINK("https://zfin.org/ZDB-GENE-030131-6844")</f>
        <v>https://zfin.org/ZDB-GENE-030131-6844</v>
      </c>
      <c r="E10905" t="s">
        <v>32677</v>
      </c>
    </row>
    <row r="10906" spans="1:5" x14ac:dyDescent="0.2">
      <c r="A10906" t="s">
        <v>32678</v>
      </c>
      <c r="B10906" t="s">
        <v>32679</v>
      </c>
      <c r="C10906" t="s">
        <v>32679</v>
      </c>
      <c r="D10906" t="str">
        <f>HYPERLINK("https://zfin.org/ZDB-GENE-131127-313")</f>
        <v>https://zfin.org/ZDB-GENE-131127-313</v>
      </c>
      <c r="E10906" t="s">
        <v>32680</v>
      </c>
    </row>
    <row r="10907" spans="1:5" x14ac:dyDescent="0.2">
      <c r="A10907" t="s">
        <v>32681</v>
      </c>
      <c r="B10907" t="s">
        <v>32682</v>
      </c>
      <c r="C10907" t="s">
        <v>32682</v>
      </c>
      <c r="D10907" t="str">
        <f>HYPERLINK("https://zfin.org/ZDB-GENE-090730-1")</f>
        <v>https://zfin.org/ZDB-GENE-090730-1</v>
      </c>
      <c r="E10907" t="s">
        <v>32683</v>
      </c>
    </row>
    <row r="10908" spans="1:5" x14ac:dyDescent="0.2">
      <c r="A10908" t="s">
        <v>32684</v>
      </c>
      <c r="B10908" t="s">
        <v>32685</v>
      </c>
      <c r="C10908" t="s">
        <v>32685</v>
      </c>
      <c r="D10908" t="str">
        <f>HYPERLINK("https://zfin.org/ZDB-GENE-060929-1134")</f>
        <v>https://zfin.org/ZDB-GENE-060929-1134</v>
      </c>
      <c r="E10908" t="s">
        <v>32686</v>
      </c>
    </row>
    <row r="10909" spans="1:5" x14ac:dyDescent="0.2">
      <c r="A10909" t="s">
        <v>32687</v>
      </c>
      <c r="B10909" t="s">
        <v>32688</v>
      </c>
      <c r="C10909" t="s">
        <v>32688</v>
      </c>
      <c r="D10909" t="str">
        <f>HYPERLINK("https://zfin.org/ZDB-GENE-110411-139")</f>
        <v>https://zfin.org/ZDB-GENE-110411-139</v>
      </c>
      <c r="E10909" t="s">
        <v>32689</v>
      </c>
    </row>
    <row r="10910" spans="1:5" x14ac:dyDescent="0.2">
      <c r="A10910" t="s">
        <v>32690</v>
      </c>
      <c r="B10910" t="s">
        <v>32691</v>
      </c>
      <c r="C10910" t="s">
        <v>32691</v>
      </c>
      <c r="D10910" t="str">
        <f>HYPERLINK("https://zfin.org/ZDB-GENE-030131-5873")</f>
        <v>https://zfin.org/ZDB-GENE-030131-5873</v>
      </c>
      <c r="E10910" t="s">
        <v>32692</v>
      </c>
    </row>
    <row r="10911" spans="1:5" x14ac:dyDescent="0.2">
      <c r="A10911" t="s">
        <v>32693</v>
      </c>
      <c r="B10911" t="s">
        <v>32694</v>
      </c>
      <c r="C10911" t="s">
        <v>32694</v>
      </c>
      <c r="D10911" t="str">
        <f>HYPERLINK("https://zfin.org/ZDB-GENE-041026-3")</f>
        <v>https://zfin.org/ZDB-GENE-041026-3</v>
      </c>
      <c r="E10911" t="s">
        <v>32695</v>
      </c>
    </row>
    <row r="10912" spans="1:5" x14ac:dyDescent="0.2">
      <c r="A10912" t="s">
        <v>32696</v>
      </c>
      <c r="B10912" t="s">
        <v>32697</v>
      </c>
      <c r="C10912" t="s">
        <v>32697</v>
      </c>
      <c r="D10912" t="str">
        <f>HYPERLINK("https://zfin.org/ZDB-GENE-090629-1")</f>
        <v>https://zfin.org/ZDB-GENE-090629-1</v>
      </c>
      <c r="E10912" t="s">
        <v>32698</v>
      </c>
    </row>
    <row r="10913" spans="1:5" x14ac:dyDescent="0.2">
      <c r="A10913" t="s">
        <v>32699</v>
      </c>
      <c r="B10913" t="s">
        <v>32700</v>
      </c>
      <c r="C10913" t="s">
        <v>32700</v>
      </c>
      <c r="D10913" t="str">
        <f>HYPERLINK("https://zfin.org/ZDB-GENE-040426-2136")</f>
        <v>https://zfin.org/ZDB-GENE-040426-2136</v>
      </c>
      <c r="E10913" t="s">
        <v>32701</v>
      </c>
    </row>
    <row r="10914" spans="1:5" x14ac:dyDescent="0.2">
      <c r="A10914" t="s">
        <v>32702</v>
      </c>
      <c r="B10914" t="s">
        <v>32703</v>
      </c>
      <c r="C10914" t="s">
        <v>32703</v>
      </c>
      <c r="D10914" t="str">
        <f>HYPERLINK("https://zfin.org/ZDB-GENE-091204-359")</f>
        <v>https://zfin.org/ZDB-GENE-091204-359</v>
      </c>
      <c r="E10914" t="s">
        <v>32704</v>
      </c>
    </row>
    <row r="10915" spans="1:5" x14ac:dyDescent="0.2">
      <c r="A10915" t="s">
        <v>32705</v>
      </c>
      <c r="B10915" t="s">
        <v>32706</v>
      </c>
      <c r="C10915" t="s">
        <v>32706</v>
      </c>
      <c r="D10915" t="str">
        <f>HYPERLINK("https://zfin.org/ZDB-GENE-100921-19")</f>
        <v>https://zfin.org/ZDB-GENE-100921-19</v>
      </c>
      <c r="E10915" t="s">
        <v>32707</v>
      </c>
    </row>
    <row r="10916" spans="1:5" x14ac:dyDescent="0.2">
      <c r="A10916" t="s">
        <v>32708</v>
      </c>
      <c r="B10916" t="s">
        <v>32709</v>
      </c>
      <c r="C10916" t="s">
        <v>32709</v>
      </c>
      <c r="D10916" t="str">
        <f>HYPERLINK("https://zfin.org/ZDB-GENE-080523-2")</f>
        <v>https://zfin.org/ZDB-GENE-080523-2</v>
      </c>
      <c r="E10916" t="s">
        <v>32710</v>
      </c>
    </row>
    <row r="10917" spans="1:5" x14ac:dyDescent="0.2">
      <c r="A10917" t="s">
        <v>32711</v>
      </c>
      <c r="B10917" t="s">
        <v>32712</v>
      </c>
      <c r="C10917" t="s">
        <v>32712</v>
      </c>
      <c r="D10917" t="str">
        <f>HYPERLINK("https://zfin.org/ZDB-GENE-040426-1089")</f>
        <v>https://zfin.org/ZDB-GENE-040426-1089</v>
      </c>
      <c r="E10917" t="s">
        <v>32713</v>
      </c>
    </row>
    <row r="10918" spans="1:5" x14ac:dyDescent="0.2">
      <c r="A10918" t="s">
        <v>32714</v>
      </c>
      <c r="B10918" t="s">
        <v>32715</v>
      </c>
      <c r="C10918" t="s">
        <v>32715</v>
      </c>
      <c r="D10918" t="str">
        <f>HYPERLINK("https://zfin.org/ZDB-GENE-040426-2745")</f>
        <v>https://zfin.org/ZDB-GENE-040426-2745</v>
      </c>
      <c r="E10918" t="s">
        <v>32716</v>
      </c>
    </row>
    <row r="10919" spans="1:5" x14ac:dyDescent="0.2">
      <c r="A10919" t="s">
        <v>32717</v>
      </c>
      <c r="B10919" t="s">
        <v>32718</v>
      </c>
      <c r="C10919" t="s">
        <v>32718</v>
      </c>
      <c r="D10919" t="str">
        <f>HYPERLINK("https://zfin.org/ZDB-GENE-121214-235")</f>
        <v>https://zfin.org/ZDB-GENE-121214-235</v>
      </c>
      <c r="E10919" t="s">
        <v>32719</v>
      </c>
    </row>
    <row r="10920" spans="1:5" x14ac:dyDescent="0.2">
      <c r="A10920" t="s">
        <v>32720</v>
      </c>
      <c r="B10920" t="s">
        <v>32721</v>
      </c>
      <c r="C10920" t="s">
        <v>32721</v>
      </c>
      <c r="D10920" t="str">
        <f>HYPERLINK("https://zfin.org/ZDB-GENE-030131-8357")</f>
        <v>https://zfin.org/ZDB-GENE-030131-8357</v>
      </c>
      <c r="E10920" t="s">
        <v>32722</v>
      </c>
    </row>
    <row r="10921" spans="1:5" x14ac:dyDescent="0.2">
      <c r="A10921" t="s">
        <v>32723</v>
      </c>
      <c r="B10921" t="s">
        <v>32724</v>
      </c>
      <c r="C10921" t="s">
        <v>32724</v>
      </c>
      <c r="D10921" t="str">
        <f>HYPERLINK("https://zfin.org/ZDB-GENE-031030-8")</f>
        <v>https://zfin.org/ZDB-GENE-031030-8</v>
      </c>
      <c r="E10921" t="s">
        <v>32725</v>
      </c>
    </row>
    <row r="10922" spans="1:5" x14ac:dyDescent="0.2">
      <c r="A10922" t="s">
        <v>32726</v>
      </c>
      <c r="B10922" t="s">
        <v>32727</v>
      </c>
      <c r="C10922" t="s">
        <v>32727</v>
      </c>
      <c r="D10922" t="str">
        <f>HYPERLINK("https://zfin.org/ZDB-GENE-030131-9345")</f>
        <v>https://zfin.org/ZDB-GENE-030131-9345</v>
      </c>
      <c r="E10922" t="s">
        <v>32728</v>
      </c>
    </row>
    <row r="10923" spans="1:5" x14ac:dyDescent="0.2">
      <c r="A10923" t="s">
        <v>32729</v>
      </c>
      <c r="B10923" t="s">
        <v>32730</v>
      </c>
      <c r="C10923" t="s">
        <v>32730</v>
      </c>
      <c r="D10923" t="str">
        <f>HYPERLINK("https://zfin.org/ZDB-GENE-040718-125")</f>
        <v>https://zfin.org/ZDB-GENE-040718-125</v>
      </c>
      <c r="E10923" t="s">
        <v>32731</v>
      </c>
    </row>
    <row r="10924" spans="1:5" x14ac:dyDescent="0.2">
      <c r="A10924" t="s">
        <v>32732</v>
      </c>
      <c r="B10924" t="s">
        <v>32733</v>
      </c>
      <c r="C10924" t="s">
        <v>32733</v>
      </c>
      <c r="D10924" t="str">
        <f>HYPERLINK("https://zfin.org/ZDB-GENE-070112-702")</f>
        <v>https://zfin.org/ZDB-GENE-070112-702</v>
      </c>
      <c r="E10924" t="s">
        <v>32734</v>
      </c>
    </row>
    <row r="10925" spans="1:5" x14ac:dyDescent="0.2">
      <c r="A10925" t="s">
        <v>32735</v>
      </c>
      <c r="B10925" t="s">
        <v>32736</v>
      </c>
      <c r="C10925" t="s">
        <v>32736</v>
      </c>
      <c r="D10925" t="str">
        <f>HYPERLINK("https://zfin.org/ZDB-GENE-030131-1959")</f>
        <v>https://zfin.org/ZDB-GENE-030131-1959</v>
      </c>
      <c r="E10925" t="s">
        <v>32737</v>
      </c>
    </row>
    <row r="10926" spans="1:5" x14ac:dyDescent="0.2">
      <c r="A10926" t="s">
        <v>32738</v>
      </c>
      <c r="B10926" t="s">
        <v>32739</v>
      </c>
      <c r="C10926" t="s">
        <v>32739</v>
      </c>
      <c r="D10926" t="str">
        <f>HYPERLINK("https://zfin.org/ZDB-GENE-110411-55")</f>
        <v>https://zfin.org/ZDB-GENE-110411-55</v>
      </c>
      <c r="E10926" t="s">
        <v>32740</v>
      </c>
    </row>
    <row r="10927" spans="1:5" x14ac:dyDescent="0.2">
      <c r="A10927" t="s">
        <v>32741</v>
      </c>
      <c r="B10927" t="s">
        <v>32742</v>
      </c>
      <c r="C10927" t="s">
        <v>32742</v>
      </c>
      <c r="D10927" t="str">
        <f>HYPERLINK("https://zfin.org/ZDB-GENE-070112-262")</f>
        <v>https://zfin.org/ZDB-GENE-070112-262</v>
      </c>
      <c r="E10927" t="s">
        <v>32743</v>
      </c>
    </row>
    <row r="10928" spans="1:5" x14ac:dyDescent="0.2">
      <c r="A10928" t="s">
        <v>32744</v>
      </c>
      <c r="B10928" t="s">
        <v>32745</v>
      </c>
      <c r="C10928" t="s">
        <v>32745</v>
      </c>
      <c r="D10928" t="str">
        <f>HYPERLINK("https://zfin.org/ZDB-GENE-131121-585")</f>
        <v>https://zfin.org/ZDB-GENE-131121-585</v>
      </c>
      <c r="E10928" t="s">
        <v>32746</v>
      </c>
    </row>
    <row r="10929" spans="1:5" x14ac:dyDescent="0.2">
      <c r="A10929" t="s">
        <v>32747</v>
      </c>
      <c r="B10929" t="s">
        <v>32748</v>
      </c>
      <c r="C10929" t="s">
        <v>32748</v>
      </c>
      <c r="D10929" t="str">
        <f>HYPERLINK("https://zfin.org/ZDB-GENE-030131-1796")</f>
        <v>https://zfin.org/ZDB-GENE-030131-1796</v>
      </c>
      <c r="E10929" t="s">
        <v>32749</v>
      </c>
    </row>
    <row r="10930" spans="1:5" x14ac:dyDescent="0.2">
      <c r="A10930" t="s">
        <v>32750</v>
      </c>
      <c r="B10930" t="s">
        <v>32751</v>
      </c>
      <c r="C10930" t="s">
        <v>32751</v>
      </c>
      <c r="D10930" t="str">
        <f>HYPERLINK("https://zfin.org/ZDB-GENE-081104-383")</f>
        <v>https://zfin.org/ZDB-GENE-081104-383</v>
      </c>
      <c r="E10930" t="s">
        <v>32752</v>
      </c>
    </row>
    <row r="10931" spans="1:5" x14ac:dyDescent="0.2">
      <c r="A10931" t="s">
        <v>32753</v>
      </c>
      <c r="B10931" t="s">
        <v>32754</v>
      </c>
      <c r="C10931" t="s">
        <v>32754</v>
      </c>
      <c r="D10931" t="str">
        <f>HYPERLINK("https://zfin.org/ZDB-GENE-130531-8")</f>
        <v>https://zfin.org/ZDB-GENE-130531-8</v>
      </c>
      <c r="E10931" t="s">
        <v>32755</v>
      </c>
    </row>
    <row r="10932" spans="1:5" x14ac:dyDescent="0.2">
      <c r="A10932" t="s">
        <v>32756</v>
      </c>
      <c r="B10932" t="s">
        <v>32757</v>
      </c>
      <c r="C10932" t="s">
        <v>32757</v>
      </c>
      <c r="D10932" t="str">
        <f>HYPERLINK("https://zfin.org/ZDB-GENE-140106-118")</f>
        <v>https://zfin.org/ZDB-GENE-140106-118</v>
      </c>
      <c r="E10932" t="s">
        <v>32758</v>
      </c>
    </row>
    <row r="10933" spans="1:5" x14ac:dyDescent="0.2">
      <c r="A10933" t="s">
        <v>32759</v>
      </c>
      <c r="B10933" t="s">
        <v>32760</v>
      </c>
      <c r="C10933" t="s">
        <v>32760</v>
      </c>
      <c r="D10933" t="str">
        <f>HYPERLINK("https://zfin.org/ZDB-GENE-050419-226")</f>
        <v>https://zfin.org/ZDB-GENE-050419-226</v>
      </c>
      <c r="E10933" t="s">
        <v>32761</v>
      </c>
    </row>
    <row r="10934" spans="1:5" x14ac:dyDescent="0.2">
      <c r="A10934" t="s">
        <v>32762</v>
      </c>
      <c r="B10934" t="s">
        <v>32763</v>
      </c>
      <c r="C10934" t="s">
        <v>32763</v>
      </c>
      <c r="D10934" t="str">
        <f>HYPERLINK("https://zfin.org/ZDB-GENE-080722-25")</f>
        <v>https://zfin.org/ZDB-GENE-080722-25</v>
      </c>
      <c r="E10934" t="s">
        <v>32764</v>
      </c>
    </row>
    <row r="10935" spans="1:5" x14ac:dyDescent="0.2">
      <c r="A10935" t="s">
        <v>32765</v>
      </c>
      <c r="B10935" t="s">
        <v>32766</v>
      </c>
      <c r="C10935" t="s">
        <v>32766</v>
      </c>
      <c r="D10935" t="str">
        <f>HYPERLINK("https://zfin.org/ZDB-GENE-040426-1280")</f>
        <v>https://zfin.org/ZDB-GENE-040426-1280</v>
      </c>
      <c r="E10935" t="s">
        <v>32767</v>
      </c>
    </row>
    <row r="10936" spans="1:5" x14ac:dyDescent="0.2">
      <c r="A10936" t="s">
        <v>32768</v>
      </c>
      <c r="B10936" t="s">
        <v>32769</v>
      </c>
      <c r="C10936" t="s">
        <v>32769</v>
      </c>
      <c r="D10936" t="str">
        <f>HYPERLINK("https://zfin.org/ZDB-GENE-030131-9751")</f>
        <v>https://zfin.org/ZDB-GENE-030131-9751</v>
      </c>
      <c r="E10936" t="s">
        <v>32770</v>
      </c>
    </row>
    <row r="10937" spans="1:5" x14ac:dyDescent="0.2">
      <c r="A10937" t="s">
        <v>32771</v>
      </c>
      <c r="B10937" t="s">
        <v>32772</v>
      </c>
      <c r="C10937" t="s">
        <v>32772</v>
      </c>
      <c r="D10937" t="str">
        <f>HYPERLINK("https://zfin.org/ZDB-GENE-031222-2")</f>
        <v>https://zfin.org/ZDB-GENE-031222-2</v>
      </c>
      <c r="E10937" t="s">
        <v>32773</v>
      </c>
    </row>
    <row r="10938" spans="1:5" x14ac:dyDescent="0.2">
      <c r="A10938" t="s">
        <v>32774</v>
      </c>
      <c r="B10938" t="s">
        <v>32775</v>
      </c>
      <c r="C10938" t="s">
        <v>32775</v>
      </c>
      <c r="D10938" t="str">
        <f>HYPERLINK("https://zfin.org/ZDB-GENE-040516-3")</f>
        <v>https://zfin.org/ZDB-GENE-040516-3</v>
      </c>
      <c r="E10938" t="s">
        <v>32776</v>
      </c>
    </row>
    <row r="10939" spans="1:5" x14ac:dyDescent="0.2">
      <c r="A10939" t="s">
        <v>32777</v>
      </c>
      <c r="B10939" t="s">
        <v>32778</v>
      </c>
      <c r="C10939" t="s">
        <v>32778</v>
      </c>
      <c r="D10939" t="str">
        <f>HYPERLINK("https://zfin.org/ZDB-GENE-070912-627")</f>
        <v>https://zfin.org/ZDB-GENE-070912-627</v>
      </c>
      <c r="E10939" t="s">
        <v>32779</v>
      </c>
    </row>
    <row r="10940" spans="1:5" x14ac:dyDescent="0.2">
      <c r="A10940" t="s">
        <v>32780</v>
      </c>
      <c r="B10940" t="s">
        <v>32781</v>
      </c>
      <c r="C10940" t="s">
        <v>32781</v>
      </c>
      <c r="D10940" t="str">
        <f>HYPERLINK("https://zfin.org/ZDB-GENE-040426-818")</f>
        <v>https://zfin.org/ZDB-GENE-040426-818</v>
      </c>
      <c r="E10940" t="s">
        <v>32782</v>
      </c>
    </row>
    <row r="10941" spans="1:5" x14ac:dyDescent="0.2">
      <c r="A10941" t="s">
        <v>32783</v>
      </c>
      <c r="B10941" t="s">
        <v>32784</v>
      </c>
      <c r="C10941" t="s">
        <v>32784</v>
      </c>
      <c r="D10941" t="str">
        <f>HYPERLINK("https://zfin.org/ZDB-GENE-020808-2")</f>
        <v>https://zfin.org/ZDB-GENE-020808-2</v>
      </c>
      <c r="E10941" t="s">
        <v>32785</v>
      </c>
    </row>
    <row r="10942" spans="1:5" x14ac:dyDescent="0.2">
      <c r="A10942" t="s">
        <v>32786</v>
      </c>
      <c r="B10942" t="s">
        <v>32787</v>
      </c>
      <c r="C10942" t="s">
        <v>32787</v>
      </c>
      <c r="D10942" t="str">
        <f>HYPERLINK("https://zfin.org/ZDB-GENE-091118-35")</f>
        <v>https://zfin.org/ZDB-GENE-091118-35</v>
      </c>
      <c r="E10942" t="s">
        <v>32788</v>
      </c>
    </row>
    <row r="10943" spans="1:5" x14ac:dyDescent="0.2">
      <c r="A10943" t="s">
        <v>32789</v>
      </c>
      <c r="B10943" t="s">
        <v>32790</v>
      </c>
      <c r="C10943" t="s">
        <v>32790</v>
      </c>
      <c r="D10943" t="str">
        <f>HYPERLINK("https://zfin.org/ZDB-GENE-131121-400")</f>
        <v>https://zfin.org/ZDB-GENE-131121-400</v>
      </c>
      <c r="E10943" t="s">
        <v>32791</v>
      </c>
    </row>
    <row r="10944" spans="1:5" x14ac:dyDescent="0.2">
      <c r="A10944" t="s">
        <v>32792</v>
      </c>
      <c r="B10944" t="s">
        <v>32793</v>
      </c>
      <c r="C10944" t="s">
        <v>32793</v>
      </c>
      <c r="D10944" t="str">
        <f>HYPERLINK("https://zfin.org/ZDB-GENE-040718-239")</f>
        <v>https://zfin.org/ZDB-GENE-040718-239</v>
      </c>
      <c r="E10944" t="s">
        <v>32794</v>
      </c>
    </row>
    <row r="10945" spans="1:5" x14ac:dyDescent="0.2">
      <c r="A10945" t="s">
        <v>32795</v>
      </c>
      <c r="B10945" t="s">
        <v>32796</v>
      </c>
      <c r="C10945" t="s">
        <v>32796</v>
      </c>
      <c r="D10945" t="str">
        <f>HYPERLINK("https://zfin.org/ZDB-GENE-041210-303")</f>
        <v>https://zfin.org/ZDB-GENE-041210-303</v>
      </c>
      <c r="E10945" t="s">
        <v>32797</v>
      </c>
    </row>
    <row r="10946" spans="1:5" x14ac:dyDescent="0.2">
      <c r="A10946" t="s">
        <v>32798</v>
      </c>
      <c r="B10946" t="s">
        <v>32799</v>
      </c>
      <c r="C10946" t="s">
        <v>32799</v>
      </c>
      <c r="D10946" t="str">
        <f>HYPERLINK("https://zfin.org/ZDB-GENE-070912-292")</f>
        <v>https://zfin.org/ZDB-GENE-070912-292</v>
      </c>
      <c r="E10946" t="s">
        <v>32800</v>
      </c>
    </row>
    <row r="10947" spans="1:5" x14ac:dyDescent="0.2">
      <c r="A10947" t="s">
        <v>32801</v>
      </c>
      <c r="B10947" t="s">
        <v>32802</v>
      </c>
      <c r="C10947" t="s">
        <v>32802</v>
      </c>
      <c r="D10947" t="str">
        <f>HYPERLINK("https://zfin.org/ZDB-GENE-040426-2627")</f>
        <v>https://zfin.org/ZDB-GENE-040426-2627</v>
      </c>
      <c r="E10947" t="s">
        <v>32803</v>
      </c>
    </row>
    <row r="10948" spans="1:5" x14ac:dyDescent="0.2">
      <c r="A10948" t="s">
        <v>32804</v>
      </c>
      <c r="B10948" t="s">
        <v>32805</v>
      </c>
      <c r="C10948" t="s">
        <v>32805</v>
      </c>
      <c r="D10948" t="str">
        <f>HYPERLINK("https://zfin.org/ZDB-GENE-030131-9810")</f>
        <v>https://zfin.org/ZDB-GENE-030131-9810</v>
      </c>
      <c r="E10948" t="s">
        <v>32806</v>
      </c>
    </row>
    <row r="10949" spans="1:5" x14ac:dyDescent="0.2">
      <c r="A10949" t="s">
        <v>32807</v>
      </c>
      <c r="B10949" t="s">
        <v>32808</v>
      </c>
      <c r="C10949" t="s">
        <v>32808</v>
      </c>
      <c r="D10949" t="str">
        <f>HYPERLINK("https://zfin.org/ZDB-GENE-030131-6140")</f>
        <v>https://zfin.org/ZDB-GENE-030131-6140</v>
      </c>
      <c r="E10949" t="s">
        <v>32809</v>
      </c>
    </row>
    <row r="10950" spans="1:5" x14ac:dyDescent="0.2">
      <c r="A10950" t="s">
        <v>32810</v>
      </c>
      <c r="B10950" t="s">
        <v>32811</v>
      </c>
      <c r="C10950" t="s">
        <v>32811</v>
      </c>
      <c r="D10950" t="str">
        <f>HYPERLINK("https://zfin.org/ZDB-GENE-131120-32")</f>
        <v>https://zfin.org/ZDB-GENE-131120-32</v>
      </c>
      <c r="E10950" t="s">
        <v>32812</v>
      </c>
    </row>
    <row r="10951" spans="1:5" x14ac:dyDescent="0.2">
      <c r="A10951" t="s">
        <v>32813</v>
      </c>
      <c r="B10951" t="s">
        <v>32814</v>
      </c>
      <c r="C10951" t="s">
        <v>32814</v>
      </c>
      <c r="D10951" t="str">
        <f>HYPERLINK("https://zfin.org/ZDB-GENE-030131-1904")</f>
        <v>https://zfin.org/ZDB-GENE-030131-1904</v>
      </c>
      <c r="E10951" t="s">
        <v>32815</v>
      </c>
    </row>
    <row r="10952" spans="1:5" x14ac:dyDescent="0.2">
      <c r="A10952" t="s">
        <v>32816</v>
      </c>
      <c r="B10952" t="s">
        <v>32817</v>
      </c>
      <c r="C10952" t="s">
        <v>32817</v>
      </c>
      <c r="D10952" t="str">
        <f>HYPERLINK("https://zfin.org/ZDB-GENE-040426-1556")</f>
        <v>https://zfin.org/ZDB-GENE-040426-1556</v>
      </c>
      <c r="E10952" t="s">
        <v>32818</v>
      </c>
    </row>
    <row r="10953" spans="1:5" x14ac:dyDescent="0.2">
      <c r="A10953" t="s">
        <v>32819</v>
      </c>
      <c r="B10953" t="s">
        <v>32820</v>
      </c>
      <c r="C10953" t="s">
        <v>32820</v>
      </c>
      <c r="D10953" t="str">
        <f>HYPERLINK("https://zfin.org/ZDB-GENE-060213-2")</f>
        <v>https://zfin.org/ZDB-GENE-060213-2</v>
      </c>
      <c r="E10953" t="s">
        <v>32821</v>
      </c>
    </row>
    <row r="10954" spans="1:5" x14ac:dyDescent="0.2">
      <c r="A10954" t="s">
        <v>32822</v>
      </c>
      <c r="B10954" t="s">
        <v>32823</v>
      </c>
      <c r="C10954" t="s">
        <v>32823</v>
      </c>
      <c r="D10954" t="str">
        <f>HYPERLINK("https://zfin.org/ZDB-GENE-100917-2")</f>
        <v>https://zfin.org/ZDB-GENE-100917-2</v>
      </c>
      <c r="E10954" t="s">
        <v>32824</v>
      </c>
    </row>
    <row r="10955" spans="1:5" x14ac:dyDescent="0.2">
      <c r="A10955" t="s">
        <v>32825</v>
      </c>
      <c r="B10955" t="s">
        <v>32826</v>
      </c>
      <c r="C10955" t="s">
        <v>32826</v>
      </c>
      <c r="D10955" t="str">
        <f>HYPERLINK("https://zfin.org/ZDB-GENE-131121-220")</f>
        <v>https://zfin.org/ZDB-GENE-131121-220</v>
      </c>
      <c r="E10955" t="s">
        <v>32827</v>
      </c>
    </row>
    <row r="10956" spans="1:5" x14ac:dyDescent="0.2">
      <c r="A10956" t="s">
        <v>32828</v>
      </c>
      <c r="B10956" t="s">
        <v>32829</v>
      </c>
      <c r="C10956" t="s">
        <v>32829</v>
      </c>
      <c r="D10956" t="str">
        <f>HYPERLINK("https://zfin.org/ZDB-GENE-050522-338")</f>
        <v>https://zfin.org/ZDB-GENE-050522-338</v>
      </c>
      <c r="E10956" t="s">
        <v>32830</v>
      </c>
    </row>
    <row r="10957" spans="1:5" x14ac:dyDescent="0.2">
      <c r="A10957" t="s">
        <v>32831</v>
      </c>
      <c r="B10957" t="s">
        <v>32832</v>
      </c>
      <c r="C10957" t="s">
        <v>32832</v>
      </c>
      <c r="D10957" t="str">
        <f>HYPERLINK("https://zfin.org/ZDB-GENE-061013-512")</f>
        <v>https://zfin.org/ZDB-GENE-061013-512</v>
      </c>
      <c r="E10957" t="s">
        <v>32833</v>
      </c>
    </row>
    <row r="10958" spans="1:5" x14ac:dyDescent="0.2">
      <c r="A10958" t="s">
        <v>32834</v>
      </c>
      <c r="B10958" t="s">
        <v>32835</v>
      </c>
      <c r="C10958" t="s">
        <v>32835</v>
      </c>
      <c r="D10958" t="str">
        <f>HYPERLINK("https://zfin.org/ZDB-GENE-040822-24")</f>
        <v>https://zfin.org/ZDB-GENE-040822-24</v>
      </c>
      <c r="E10958" t="s">
        <v>32836</v>
      </c>
    </row>
    <row r="10959" spans="1:5" x14ac:dyDescent="0.2">
      <c r="A10959" t="s">
        <v>32837</v>
      </c>
      <c r="B10959" t="s">
        <v>32838</v>
      </c>
      <c r="C10959" t="s">
        <v>32839</v>
      </c>
      <c r="D10959" t="str">
        <f>HYPERLINK("https://zfin.org/ZDB-GENE-040704-16")</f>
        <v>https://zfin.org/ZDB-GENE-040704-16</v>
      </c>
      <c r="E10959" t="s">
        <v>32840</v>
      </c>
    </row>
    <row r="10960" spans="1:5" x14ac:dyDescent="0.2">
      <c r="A10960" t="s">
        <v>32841</v>
      </c>
      <c r="B10960" t="s">
        <v>32842</v>
      </c>
      <c r="C10960" t="s">
        <v>32842</v>
      </c>
      <c r="D10960" t="str">
        <f>HYPERLINK("https://zfin.org/ZDB-GENE-070410-56")</f>
        <v>https://zfin.org/ZDB-GENE-070410-56</v>
      </c>
      <c r="E10960" t="s">
        <v>32843</v>
      </c>
    </row>
    <row r="10961" spans="1:5" x14ac:dyDescent="0.2">
      <c r="A10961" t="s">
        <v>32844</v>
      </c>
      <c r="B10961" t="s">
        <v>32845</v>
      </c>
      <c r="C10961" t="s">
        <v>32845</v>
      </c>
      <c r="D10961" t="str">
        <f>HYPERLINK("https://zfin.org/ZDB-GENE-030131-2597")</f>
        <v>https://zfin.org/ZDB-GENE-030131-2597</v>
      </c>
      <c r="E10961" t="s">
        <v>32846</v>
      </c>
    </row>
    <row r="10962" spans="1:5" x14ac:dyDescent="0.2">
      <c r="A10962" t="s">
        <v>32847</v>
      </c>
      <c r="B10962" t="s">
        <v>32848</v>
      </c>
      <c r="C10962" t="s">
        <v>32848</v>
      </c>
      <c r="D10962" t="str">
        <f>HYPERLINK("https://zfin.org/ZDB-GENE-080917-55")</f>
        <v>https://zfin.org/ZDB-GENE-080917-55</v>
      </c>
      <c r="E10962" t="s">
        <v>32849</v>
      </c>
    </row>
    <row r="10963" spans="1:5" x14ac:dyDescent="0.2">
      <c r="A10963" t="s">
        <v>32850</v>
      </c>
      <c r="B10963" t="s">
        <v>32851</v>
      </c>
      <c r="C10963" t="s">
        <v>32851</v>
      </c>
      <c r="D10963" t="str">
        <f>HYPERLINK("https://zfin.org/ZDB-GENE-030131-5448")</f>
        <v>https://zfin.org/ZDB-GENE-030131-5448</v>
      </c>
      <c r="E10963" t="s">
        <v>32852</v>
      </c>
    </row>
    <row r="10964" spans="1:5" x14ac:dyDescent="0.2">
      <c r="A10964" t="s">
        <v>32853</v>
      </c>
      <c r="B10964" t="s">
        <v>32854</v>
      </c>
      <c r="C10964" t="s">
        <v>32854</v>
      </c>
      <c r="D10964" t="str">
        <f>HYPERLINK("https://zfin.org/ZDB-GENE-040426-1955")</f>
        <v>https://zfin.org/ZDB-GENE-040426-1955</v>
      </c>
      <c r="E10964" t="s">
        <v>32855</v>
      </c>
    </row>
    <row r="10965" spans="1:5" x14ac:dyDescent="0.2">
      <c r="A10965" t="s">
        <v>32856</v>
      </c>
      <c r="B10965" t="s">
        <v>32857</v>
      </c>
      <c r="C10965" t="s">
        <v>32857</v>
      </c>
      <c r="D10965" t="str">
        <f>HYPERLINK("https://zfin.org/ZDB-GENE-000330-4")</f>
        <v>https://zfin.org/ZDB-GENE-000330-4</v>
      </c>
      <c r="E10965" t="s">
        <v>32858</v>
      </c>
    </row>
    <row r="10966" spans="1:5" x14ac:dyDescent="0.2">
      <c r="A10966" t="s">
        <v>32859</v>
      </c>
      <c r="B10966" t="s">
        <v>32860</v>
      </c>
      <c r="C10966" t="s">
        <v>32860</v>
      </c>
      <c r="D10966" t="str">
        <f>HYPERLINK("https://zfin.org/ZDB-GENE-040426-2697")</f>
        <v>https://zfin.org/ZDB-GENE-040426-2697</v>
      </c>
      <c r="E10966" t="s">
        <v>32861</v>
      </c>
    </row>
    <row r="10967" spans="1:5" x14ac:dyDescent="0.2">
      <c r="A10967" t="s">
        <v>32862</v>
      </c>
      <c r="B10967" t="s">
        <v>32863</v>
      </c>
      <c r="C10967" t="s">
        <v>32863</v>
      </c>
      <c r="D10967" t="str">
        <f>HYPERLINK("https://zfin.org/ZDB-GENE-040218-1")</f>
        <v>https://zfin.org/ZDB-GENE-040218-1</v>
      </c>
      <c r="E10967" t="s">
        <v>32864</v>
      </c>
    </row>
    <row r="10968" spans="1:5" x14ac:dyDescent="0.2">
      <c r="A10968" t="s">
        <v>32865</v>
      </c>
      <c r="B10968" t="s">
        <v>32866</v>
      </c>
      <c r="C10968" t="s">
        <v>32866</v>
      </c>
      <c r="D10968" t="str">
        <f>HYPERLINK("https://zfin.org/ZDB-GENE-040426-1687")</f>
        <v>https://zfin.org/ZDB-GENE-040426-1687</v>
      </c>
      <c r="E10968" t="s">
        <v>32867</v>
      </c>
    </row>
    <row r="10969" spans="1:5" x14ac:dyDescent="0.2">
      <c r="A10969" t="s">
        <v>32868</v>
      </c>
      <c r="B10969" t="s">
        <v>32869</v>
      </c>
      <c r="C10969" t="s">
        <v>32869</v>
      </c>
      <c r="D10969" t="str">
        <f>HYPERLINK("https://zfin.org/ZDB-GENE-060503-103")</f>
        <v>https://zfin.org/ZDB-GENE-060503-103</v>
      </c>
      <c r="E10969" t="s">
        <v>32870</v>
      </c>
    </row>
    <row r="10970" spans="1:5" x14ac:dyDescent="0.2">
      <c r="A10970" t="s">
        <v>32871</v>
      </c>
      <c r="B10970" t="s">
        <v>32872</v>
      </c>
      <c r="C10970" t="s">
        <v>32872</v>
      </c>
      <c r="D10970" t="str">
        <f>HYPERLINK("https://zfin.org/ZDB-GENE-050208-517")</f>
        <v>https://zfin.org/ZDB-GENE-050208-517</v>
      </c>
      <c r="E10970" t="s">
        <v>32873</v>
      </c>
    </row>
    <row r="10971" spans="1:5" x14ac:dyDescent="0.2">
      <c r="A10971" t="s">
        <v>32874</v>
      </c>
      <c r="B10971" t="s">
        <v>32875</v>
      </c>
      <c r="C10971" t="s">
        <v>32875</v>
      </c>
      <c r="D10971" t="str">
        <f>HYPERLINK("https://zfin.org/ZDB-GENE-990415-183")</f>
        <v>https://zfin.org/ZDB-GENE-990415-183</v>
      </c>
      <c r="E10971" t="s">
        <v>32876</v>
      </c>
    </row>
    <row r="10972" spans="1:5" x14ac:dyDescent="0.2">
      <c r="A10972" t="s">
        <v>32877</v>
      </c>
      <c r="B10972" t="s">
        <v>32878</v>
      </c>
      <c r="C10972" t="s">
        <v>32878</v>
      </c>
      <c r="D10972" t="str">
        <f>HYPERLINK("https://zfin.org/ZDB-GENE-111117-1")</f>
        <v>https://zfin.org/ZDB-GENE-111117-1</v>
      </c>
      <c r="E10972" t="s">
        <v>32879</v>
      </c>
    </row>
    <row r="10973" spans="1:5" x14ac:dyDescent="0.2">
      <c r="A10973" t="s">
        <v>32880</v>
      </c>
      <c r="B10973" t="s">
        <v>32881</v>
      </c>
      <c r="C10973" t="s">
        <v>32881</v>
      </c>
      <c r="D10973" t="str">
        <f>HYPERLINK("https://zfin.org/ZDB-GENE-070912-616")</f>
        <v>https://zfin.org/ZDB-GENE-070912-616</v>
      </c>
      <c r="E10973" t="s">
        <v>32882</v>
      </c>
    </row>
    <row r="10974" spans="1:5" x14ac:dyDescent="0.2">
      <c r="A10974" t="s">
        <v>32883</v>
      </c>
      <c r="B10974" t="s">
        <v>32884</v>
      </c>
      <c r="C10974" t="s">
        <v>32884</v>
      </c>
      <c r="D10974" t="str">
        <f>HYPERLINK("https://zfin.org/ZDB-GENE-041210-167")</f>
        <v>https://zfin.org/ZDB-GENE-041210-167</v>
      </c>
      <c r="E10974" t="s">
        <v>32885</v>
      </c>
    </row>
    <row r="10975" spans="1:5" x14ac:dyDescent="0.2">
      <c r="A10975" t="s">
        <v>32886</v>
      </c>
      <c r="B10975" t="s">
        <v>32887</v>
      </c>
      <c r="C10975" t="s">
        <v>32887</v>
      </c>
      <c r="D10975" t="str">
        <f>HYPERLINK("https://zfin.org/ZDB-GENE-081022-16")</f>
        <v>https://zfin.org/ZDB-GENE-081022-16</v>
      </c>
      <c r="E10975" t="s">
        <v>32888</v>
      </c>
    </row>
    <row r="10976" spans="1:5" x14ac:dyDescent="0.2">
      <c r="A10976" t="s">
        <v>32889</v>
      </c>
      <c r="B10976" t="s">
        <v>32890</v>
      </c>
      <c r="C10976" t="s">
        <v>32890</v>
      </c>
      <c r="D10976" t="str">
        <f>HYPERLINK("https://zfin.org/ZDB-GENE-131121-217")</f>
        <v>https://zfin.org/ZDB-GENE-131121-217</v>
      </c>
      <c r="E10976" t="s">
        <v>32891</v>
      </c>
    </row>
    <row r="10977" spans="1:5" x14ac:dyDescent="0.2">
      <c r="A10977" t="s">
        <v>32892</v>
      </c>
      <c r="B10977" t="s">
        <v>32893</v>
      </c>
      <c r="C10977" t="s">
        <v>32893</v>
      </c>
      <c r="D10977" t="str">
        <f>HYPERLINK("https://zfin.org/ZDB-GENE-041114-185")</f>
        <v>https://zfin.org/ZDB-GENE-041114-185</v>
      </c>
      <c r="E10977" t="s">
        <v>32894</v>
      </c>
    </row>
    <row r="10978" spans="1:5" x14ac:dyDescent="0.2">
      <c r="A10978" t="s">
        <v>32895</v>
      </c>
      <c r="B10978" t="s">
        <v>32896</v>
      </c>
      <c r="C10978" t="s">
        <v>32896</v>
      </c>
      <c r="D10978" t="str">
        <f>HYPERLINK("https://zfin.org/ZDB-GENE-040910-5")</f>
        <v>https://zfin.org/ZDB-GENE-040910-5</v>
      </c>
      <c r="E10978" t="s">
        <v>32897</v>
      </c>
    </row>
    <row r="10979" spans="1:5" x14ac:dyDescent="0.2">
      <c r="A10979" t="s">
        <v>32898</v>
      </c>
      <c r="B10979" t="s">
        <v>32899</v>
      </c>
      <c r="C10979" t="s">
        <v>32899</v>
      </c>
      <c r="D10979" t="str">
        <f>HYPERLINK("https://zfin.org/ZDB-GENE-081104-421")</f>
        <v>https://zfin.org/ZDB-GENE-081104-421</v>
      </c>
      <c r="E10979" t="s">
        <v>32900</v>
      </c>
    </row>
    <row r="10980" spans="1:5" x14ac:dyDescent="0.2">
      <c r="A10980" t="s">
        <v>32901</v>
      </c>
      <c r="B10980" t="s">
        <v>32902</v>
      </c>
      <c r="C10980" t="s">
        <v>32902</v>
      </c>
      <c r="D10980" t="str">
        <f>HYPERLINK("https://zfin.org/ZDB-GENE-050522-529")</f>
        <v>https://zfin.org/ZDB-GENE-050522-529</v>
      </c>
      <c r="E10980" t="s">
        <v>32903</v>
      </c>
    </row>
    <row r="10981" spans="1:5" x14ac:dyDescent="0.2">
      <c r="A10981" t="s">
        <v>32904</v>
      </c>
      <c r="B10981" t="s">
        <v>32905</v>
      </c>
      <c r="C10981" t="s">
        <v>32905</v>
      </c>
      <c r="D10981" t="str">
        <f>HYPERLINK("https://zfin.org/ZDB-GENE-030131-3562")</f>
        <v>https://zfin.org/ZDB-GENE-030131-3562</v>
      </c>
      <c r="E10981" t="s">
        <v>32906</v>
      </c>
    </row>
    <row r="10982" spans="1:5" x14ac:dyDescent="0.2">
      <c r="A10982" t="s">
        <v>32907</v>
      </c>
      <c r="B10982" t="s">
        <v>32908</v>
      </c>
      <c r="C10982" t="s">
        <v>32908</v>
      </c>
      <c r="D10982" t="str">
        <f>HYPERLINK("https://zfin.org/ZDB-GENE-141215-51")</f>
        <v>https://zfin.org/ZDB-GENE-141215-51</v>
      </c>
      <c r="E10982" t="s">
        <v>32909</v>
      </c>
    </row>
    <row r="10983" spans="1:5" x14ac:dyDescent="0.2">
      <c r="A10983" t="s">
        <v>32910</v>
      </c>
      <c r="B10983" t="s">
        <v>32911</v>
      </c>
      <c r="C10983" t="s">
        <v>32911</v>
      </c>
      <c r="D10983" t="str">
        <f>HYPERLINK("https://zfin.org/ZDB-GENE-100922-240")</f>
        <v>https://zfin.org/ZDB-GENE-100922-240</v>
      </c>
      <c r="E10983" t="s">
        <v>32912</v>
      </c>
    </row>
    <row r="10984" spans="1:5" x14ac:dyDescent="0.2">
      <c r="A10984" t="s">
        <v>32913</v>
      </c>
      <c r="B10984" t="s">
        <v>32914</v>
      </c>
      <c r="C10984" t="s">
        <v>32914</v>
      </c>
      <c r="D10984" t="str">
        <f>HYPERLINK("https://zfin.org/ZDB-GENE-080220-45")</f>
        <v>https://zfin.org/ZDB-GENE-080220-45</v>
      </c>
      <c r="E10984" t="s">
        <v>32915</v>
      </c>
    </row>
    <row r="10985" spans="1:5" x14ac:dyDescent="0.2">
      <c r="A10985" t="s">
        <v>32916</v>
      </c>
      <c r="B10985" t="s">
        <v>32917</v>
      </c>
      <c r="C10985" t="s">
        <v>32917</v>
      </c>
      <c r="D10985" t="str">
        <f>HYPERLINK("https://zfin.org/ZDB-GENE-030131-7745")</f>
        <v>https://zfin.org/ZDB-GENE-030131-7745</v>
      </c>
      <c r="E10985" t="s">
        <v>32918</v>
      </c>
    </row>
    <row r="10986" spans="1:5" x14ac:dyDescent="0.2">
      <c r="A10986" t="s">
        <v>32919</v>
      </c>
      <c r="B10986" t="s">
        <v>32920</v>
      </c>
      <c r="C10986" t="s">
        <v>32920</v>
      </c>
      <c r="D10986" t="str">
        <f>HYPERLINK("https://zfin.org/ZDB-GENE-030826-4")</f>
        <v>https://zfin.org/ZDB-GENE-030826-4</v>
      </c>
      <c r="E10986" t="s">
        <v>32921</v>
      </c>
    </row>
    <row r="10987" spans="1:5" x14ac:dyDescent="0.2">
      <c r="A10987" t="s">
        <v>32922</v>
      </c>
      <c r="B10987" t="s">
        <v>32923</v>
      </c>
      <c r="C10987" t="s">
        <v>32923</v>
      </c>
      <c r="D10987" t="str">
        <f>HYPERLINK("https://zfin.org/ZDB-GENE-060503-734")</f>
        <v>https://zfin.org/ZDB-GENE-060503-734</v>
      </c>
      <c r="E10987" t="s">
        <v>32924</v>
      </c>
    </row>
    <row r="10988" spans="1:5" x14ac:dyDescent="0.2">
      <c r="A10988" t="s">
        <v>32925</v>
      </c>
      <c r="B10988" t="s">
        <v>32926</v>
      </c>
      <c r="C10988" t="s">
        <v>32926</v>
      </c>
      <c r="D10988" t="str">
        <f>HYPERLINK("https://zfin.org/ZDB-GENE-030131-7917")</f>
        <v>https://zfin.org/ZDB-GENE-030131-7917</v>
      </c>
      <c r="E10988" t="s">
        <v>32927</v>
      </c>
    </row>
    <row r="10989" spans="1:5" x14ac:dyDescent="0.2">
      <c r="A10989" t="s">
        <v>32928</v>
      </c>
      <c r="B10989" t="s">
        <v>32929</v>
      </c>
      <c r="C10989" t="s">
        <v>32929</v>
      </c>
      <c r="D10989" t="str">
        <f>HYPERLINK("https://zfin.org/ZDB-GENE-090918-5")</f>
        <v>https://zfin.org/ZDB-GENE-090918-5</v>
      </c>
      <c r="E10989" t="s">
        <v>32930</v>
      </c>
    </row>
    <row r="10990" spans="1:5" x14ac:dyDescent="0.2">
      <c r="A10990" t="s">
        <v>32931</v>
      </c>
      <c r="B10990" t="s">
        <v>32932</v>
      </c>
      <c r="C10990" t="s">
        <v>32932</v>
      </c>
      <c r="D10990" t="str">
        <f>HYPERLINK("https://zfin.org/ZDB-GENE-040426-701")</f>
        <v>https://zfin.org/ZDB-GENE-040426-701</v>
      </c>
      <c r="E10990" t="s">
        <v>32933</v>
      </c>
    </row>
    <row r="10991" spans="1:5" x14ac:dyDescent="0.2">
      <c r="A10991" t="s">
        <v>32934</v>
      </c>
      <c r="B10991" t="s">
        <v>32935</v>
      </c>
      <c r="C10991" t="s">
        <v>32935</v>
      </c>
      <c r="D10991" t="str">
        <f>HYPERLINK("https://zfin.org/ZDB-GENE-130530-684")</f>
        <v>https://zfin.org/ZDB-GENE-130530-684</v>
      </c>
      <c r="E10991" t="s">
        <v>32936</v>
      </c>
    </row>
    <row r="10992" spans="1:5" x14ac:dyDescent="0.2">
      <c r="A10992" t="s">
        <v>32937</v>
      </c>
      <c r="B10992" t="s">
        <v>32938</v>
      </c>
      <c r="C10992" t="s">
        <v>32938</v>
      </c>
      <c r="D10992" t="str">
        <f>HYPERLINK("https://zfin.org/ZDB-GENE-040801-136")</f>
        <v>https://zfin.org/ZDB-GENE-040801-136</v>
      </c>
      <c r="E10992" t="s">
        <v>32939</v>
      </c>
    </row>
    <row r="10993" spans="1:5" x14ac:dyDescent="0.2">
      <c r="A10993" t="s">
        <v>32940</v>
      </c>
      <c r="B10993" t="s">
        <v>32941</v>
      </c>
      <c r="C10993" t="s">
        <v>32941</v>
      </c>
      <c r="D10993" t="str">
        <f>HYPERLINK("https://zfin.org/ZDB-GENE-030605-1")</f>
        <v>https://zfin.org/ZDB-GENE-030605-1</v>
      </c>
      <c r="E10993" t="s">
        <v>32942</v>
      </c>
    </row>
    <row r="10994" spans="1:5" x14ac:dyDescent="0.2">
      <c r="A10994" t="s">
        <v>32943</v>
      </c>
      <c r="B10994" t="s">
        <v>32944</v>
      </c>
      <c r="C10994" t="s">
        <v>32944</v>
      </c>
      <c r="D10994" t="str">
        <f>HYPERLINK("https://zfin.org/ZDB-GENE-050208-380")</f>
        <v>https://zfin.org/ZDB-GENE-050208-380</v>
      </c>
      <c r="E10994" t="s">
        <v>32945</v>
      </c>
    </row>
    <row r="10995" spans="1:5" x14ac:dyDescent="0.2">
      <c r="A10995" t="s">
        <v>32946</v>
      </c>
      <c r="B10995" t="s">
        <v>32947</v>
      </c>
      <c r="C10995" t="s">
        <v>32947</v>
      </c>
      <c r="D10995" t="str">
        <f>HYPERLINK("https://zfin.org/ZDB-GENE-030131-9513")</f>
        <v>https://zfin.org/ZDB-GENE-030131-9513</v>
      </c>
      <c r="E10995" t="s">
        <v>32948</v>
      </c>
    </row>
    <row r="10996" spans="1:5" x14ac:dyDescent="0.2">
      <c r="A10996" t="s">
        <v>32949</v>
      </c>
      <c r="B10996" t="s">
        <v>32950</v>
      </c>
      <c r="C10996" t="s">
        <v>32950</v>
      </c>
      <c r="D10996" t="str">
        <f>HYPERLINK("https://zfin.org/ZDB-GENE-070912-275")</f>
        <v>https://zfin.org/ZDB-GENE-070912-275</v>
      </c>
      <c r="E10996" t="s">
        <v>32951</v>
      </c>
    </row>
    <row r="10997" spans="1:5" x14ac:dyDescent="0.2">
      <c r="A10997" t="s">
        <v>32952</v>
      </c>
      <c r="B10997" t="s">
        <v>32953</v>
      </c>
      <c r="C10997" t="s">
        <v>32953</v>
      </c>
      <c r="D10997" t="str">
        <f>HYPERLINK("https://zfin.org/ZDB-GENE-041210-55")</f>
        <v>https://zfin.org/ZDB-GENE-041210-55</v>
      </c>
      <c r="E10997" t="s">
        <v>32954</v>
      </c>
    </row>
    <row r="10998" spans="1:5" x14ac:dyDescent="0.2">
      <c r="A10998" t="s">
        <v>32955</v>
      </c>
      <c r="B10998" t="s">
        <v>32956</v>
      </c>
      <c r="C10998" t="s">
        <v>32956</v>
      </c>
      <c r="D10998" t="str">
        <f>HYPERLINK("https://zfin.org/ZDB-GENE-081104-403")</f>
        <v>https://zfin.org/ZDB-GENE-081104-403</v>
      </c>
      <c r="E10998" t="s">
        <v>32957</v>
      </c>
    </row>
    <row r="10999" spans="1:5" x14ac:dyDescent="0.2">
      <c r="A10999" t="s">
        <v>32958</v>
      </c>
      <c r="B10999" t="s">
        <v>32959</v>
      </c>
      <c r="C10999" t="s">
        <v>32959</v>
      </c>
      <c r="D10999" t="str">
        <f>HYPERLINK("https://zfin.org/ZDB-GENE-040426-2466")</f>
        <v>https://zfin.org/ZDB-GENE-040426-2466</v>
      </c>
      <c r="E10999" t="s">
        <v>32960</v>
      </c>
    </row>
    <row r="11000" spans="1:5" x14ac:dyDescent="0.2">
      <c r="A11000" t="s">
        <v>32961</v>
      </c>
      <c r="B11000" t="s">
        <v>32962</v>
      </c>
      <c r="C11000" t="s">
        <v>32962</v>
      </c>
      <c r="D11000" t="str">
        <f>HYPERLINK("https://zfin.org/ZDB-GENE-060503-438")</f>
        <v>https://zfin.org/ZDB-GENE-060503-438</v>
      </c>
      <c r="E11000" t="s">
        <v>32963</v>
      </c>
    </row>
    <row r="11001" spans="1:5" x14ac:dyDescent="0.2">
      <c r="A11001" t="s">
        <v>32964</v>
      </c>
      <c r="B11001" t="s">
        <v>32965</v>
      </c>
      <c r="C11001" t="s">
        <v>32965</v>
      </c>
      <c r="D11001" t="str">
        <f>HYPERLINK("https://zfin.org/ZDB-GENE-090313-354")</f>
        <v>https://zfin.org/ZDB-GENE-090313-354</v>
      </c>
      <c r="E11001" t="s">
        <v>32966</v>
      </c>
    </row>
    <row r="11002" spans="1:5" x14ac:dyDescent="0.2">
      <c r="A11002" t="s">
        <v>32967</v>
      </c>
      <c r="B11002" t="s">
        <v>32968</v>
      </c>
      <c r="C11002" t="s">
        <v>32968</v>
      </c>
      <c r="D11002" t="str">
        <f>HYPERLINK("https://zfin.org/ZDB-GENE-100922-192")</f>
        <v>https://zfin.org/ZDB-GENE-100922-192</v>
      </c>
      <c r="E11002" t="s">
        <v>32969</v>
      </c>
    </row>
    <row r="11003" spans="1:5" x14ac:dyDescent="0.2">
      <c r="A11003" t="s">
        <v>32970</v>
      </c>
      <c r="B11003" t="s">
        <v>32971</v>
      </c>
      <c r="C11003" t="s">
        <v>32971</v>
      </c>
      <c r="D11003" t="str">
        <f>HYPERLINK("https://zfin.org/ZDB-GENE-110914-115")</f>
        <v>https://zfin.org/ZDB-GENE-110914-115</v>
      </c>
      <c r="E11003" t="s">
        <v>32972</v>
      </c>
    </row>
    <row r="11004" spans="1:5" x14ac:dyDescent="0.2">
      <c r="A11004" t="s">
        <v>32973</v>
      </c>
      <c r="B11004" t="s">
        <v>32974</v>
      </c>
      <c r="C11004" t="s">
        <v>32974</v>
      </c>
      <c r="D11004" t="str">
        <f>HYPERLINK("https://zfin.org/ZDB-GENE-030131-1936")</f>
        <v>https://zfin.org/ZDB-GENE-030131-1936</v>
      </c>
      <c r="E11004" t="s">
        <v>32975</v>
      </c>
    </row>
    <row r="11005" spans="1:5" x14ac:dyDescent="0.2">
      <c r="A11005" t="s">
        <v>32976</v>
      </c>
      <c r="B11005" t="s">
        <v>32977</v>
      </c>
      <c r="C11005" t="s">
        <v>32977</v>
      </c>
      <c r="D11005" t="str">
        <f>HYPERLINK("https://zfin.org/ZDB-GENE-040426-1882")</f>
        <v>https://zfin.org/ZDB-GENE-040426-1882</v>
      </c>
      <c r="E11005" t="s">
        <v>32978</v>
      </c>
    </row>
    <row r="11006" spans="1:5" x14ac:dyDescent="0.2">
      <c r="A11006" t="s">
        <v>32979</v>
      </c>
      <c r="B11006" t="s">
        <v>32980</v>
      </c>
      <c r="C11006" t="s">
        <v>32980</v>
      </c>
      <c r="D11006" t="str">
        <f>HYPERLINK("https://zfin.org/ZDB-GENE-050419-96")</f>
        <v>https://zfin.org/ZDB-GENE-050419-96</v>
      </c>
      <c r="E11006" t="s">
        <v>32981</v>
      </c>
    </row>
    <row r="11007" spans="1:5" x14ac:dyDescent="0.2">
      <c r="A11007" t="s">
        <v>32982</v>
      </c>
      <c r="B11007" t="s">
        <v>32983</v>
      </c>
      <c r="C11007" t="s">
        <v>32983</v>
      </c>
      <c r="D11007" t="str">
        <f>HYPERLINK("https://zfin.org/ZDB-GENE-061207-66")</f>
        <v>https://zfin.org/ZDB-GENE-061207-66</v>
      </c>
      <c r="E11007" t="s">
        <v>32984</v>
      </c>
    </row>
    <row r="11008" spans="1:5" x14ac:dyDescent="0.2">
      <c r="A11008" t="s">
        <v>32985</v>
      </c>
      <c r="B11008" t="s">
        <v>32986</v>
      </c>
      <c r="C11008" t="s">
        <v>32986</v>
      </c>
      <c r="D11008" t="str">
        <f>HYPERLINK("https://zfin.org/ZDB-GENE-041010-86")</f>
        <v>https://zfin.org/ZDB-GENE-041010-86</v>
      </c>
      <c r="E11008" t="s">
        <v>32987</v>
      </c>
    </row>
    <row r="11009" spans="1:5" x14ac:dyDescent="0.2">
      <c r="A11009" t="s">
        <v>32988</v>
      </c>
      <c r="B11009" t="s">
        <v>32989</v>
      </c>
      <c r="C11009" t="s">
        <v>32989</v>
      </c>
      <c r="D11009" t="str">
        <f>HYPERLINK("https://zfin.org/ZDB-GENE-041114-4")</f>
        <v>https://zfin.org/ZDB-GENE-041114-4</v>
      </c>
      <c r="E11009" t="s">
        <v>32990</v>
      </c>
    </row>
    <row r="11010" spans="1:5" x14ac:dyDescent="0.2">
      <c r="A11010" t="s">
        <v>32991</v>
      </c>
      <c r="B11010" t="s">
        <v>32992</v>
      </c>
      <c r="C11010" t="s">
        <v>32992</v>
      </c>
      <c r="D11010" t="str">
        <f>HYPERLINK("https://zfin.org/ZDB-GENE-070720-17")</f>
        <v>https://zfin.org/ZDB-GENE-070720-17</v>
      </c>
      <c r="E11010" t="s">
        <v>32993</v>
      </c>
    </row>
    <row r="11011" spans="1:5" x14ac:dyDescent="0.2">
      <c r="A11011" t="s">
        <v>32994</v>
      </c>
      <c r="B11011" t="s">
        <v>32995</v>
      </c>
      <c r="C11011" t="s">
        <v>32995</v>
      </c>
      <c r="D11011" t="str">
        <f>HYPERLINK("https://zfin.org/ZDB-GENE-060503-911")</f>
        <v>https://zfin.org/ZDB-GENE-060503-911</v>
      </c>
      <c r="E11011" t="s">
        <v>32996</v>
      </c>
    </row>
    <row r="11012" spans="1:5" x14ac:dyDescent="0.2">
      <c r="A11012" t="s">
        <v>32997</v>
      </c>
      <c r="B11012" t="s">
        <v>32998</v>
      </c>
      <c r="C11012" t="s">
        <v>32998</v>
      </c>
      <c r="D11012" t="str">
        <f>HYPERLINK("https://zfin.org/ZDB-GENE-050706-89")</f>
        <v>https://zfin.org/ZDB-GENE-050706-89</v>
      </c>
      <c r="E11012" t="s">
        <v>32999</v>
      </c>
    </row>
    <row r="11013" spans="1:5" x14ac:dyDescent="0.2">
      <c r="A11013" t="s">
        <v>33000</v>
      </c>
      <c r="B11013" t="s">
        <v>33001</v>
      </c>
      <c r="C11013" t="s">
        <v>33001</v>
      </c>
      <c r="D11013" t="str">
        <f>HYPERLINK("https://zfin.org/ZDB-GENE-050809-132")</f>
        <v>https://zfin.org/ZDB-GENE-050809-132</v>
      </c>
      <c r="E11013" t="s">
        <v>33002</v>
      </c>
    </row>
    <row r="11014" spans="1:5" x14ac:dyDescent="0.2">
      <c r="A11014" t="s">
        <v>33003</v>
      </c>
      <c r="B11014" t="s">
        <v>33004</v>
      </c>
      <c r="C11014" t="s">
        <v>33004</v>
      </c>
      <c r="D11014" t="str">
        <f>HYPERLINK("https://zfin.org/ZDB-GENE-040718-328")</f>
        <v>https://zfin.org/ZDB-GENE-040718-328</v>
      </c>
      <c r="E11014" t="s">
        <v>33005</v>
      </c>
    </row>
    <row r="11015" spans="1:5" x14ac:dyDescent="0.2">
      <c r="A11015" t="s">
        <v>33006</v>
      </c>
      <c r="B11015" t="s">
        <v>33007</v>
      </c>
      <c r="C11015" t="s">
        <v>33007</v>
      </c>
      <c r="D11015" t="str">
        <f>HYPERLINK("https://zfin.org/ZDB-GENE-041014-166")</f>
        <v>https://zfin.org/ZDB-GENE-041014-166</v>
      </c>
      <c r="E11015" t="s">
        <v>33008</v>
      </c>
    </row>
    <row r="11016" spans="1:5" x14ac:dyDescent="0.2">
      <c r="A11016" t="s">
        <v>33009</v>
      </c>
      <c r="B11016" t="s">
        <v>33010</v>
      </c>
      <c r="C11016" t="s">
        <v>33010</v>
      </c>
      <c r="D11016" t="str">
        <f>HYPERLINK("https://zfin.org/ZDB-GENE-040912-22")</f>
        <v>https://zfin.org/ZDB-GENE-040912-22</v>
      </c>
      <c r="E11016" t="s">
        <v>33011</v>
      </c>
    </row>
    <row r="11017" spans="1:5" x14ac:dyDescent="0.2">
      <c r="A11017" t="s">
        <v>33012</v>
      </c>
      <c r="B11017" t="s">
        <v>33013</v>
      </c>
      <c r="C11017" t="s">
        <v>33013</v>
      </c>
      <c r="D11017" t="str">
        <f>HYPERLINK("https://zfin.org/ZDB-GENE-050308-1")</f>
        <v>https://zfin.org/ZDB-GENE-050308-1</v>
      </c>
      <c r="E11017" t="s">
        <v>33014</v>
      </c>
    </row>
    <row r="11018" spans="1:5" x14ac:dyDescent="0.2">
      <c r="A11018" t="s">
        <v>33015</v>
      </c>
      <c r="B11018" t="s">
        <v>33016</v>
      </c>
      <c r="C11018" t="s">
        <v>33016</v>
      </c>
      <c r="D11018" t="str">
        <f>HYPERLINK("https://zfin.org/ZDB-GENE-041014-189")</f>
        <v>https://zfin.org/ZDB-GENE-041014-189</v>
      </c>
      <c r="E11018" t="s">
        <v>33017</v>
      </c>
    </row>
    <row r="11019" spans="1:5" x14ac:dyDescent="0.2">
      <c r="A11019" t="s">
        <v>33018</v>
      </c>
      <c r="B11019" t="s">
        <v>33019</v>
      </c>
      <c r="C11019" t="s">
        <v>33019</v>
      </c>
      <c r="D11019" t="str">
        <f>HYPERLINK("https://zfin.org/ZDB-GENE-030131-5181")</f>
        <v>https://zfin.org/ZDB-GENE-030131-5181</v>
      </c>
      <c r="E11019" t="s">
        <v>33020</v>
      </c>
    </row>
    <row r="11020" spans="1:5" x14ac:dyDescent="0.2">
      <c r="A11020" t="s">
        <v>33021</v>
      </c>
      <c r="B11020" t="s">
        <v>33022</v>
      </c>
      <c r="C11020" t="s">
        <v>33022</v>
      </c>
      <c r="D11020" t="str">
        <f>HYPERLINK("https://zfin.org/ZDB-GENE-070604-2")</f>
        <v>https://zfin.org/ZDB-GENE-070604-2</v>
      </c>
      <c r="E11020" t="s">
        <v>33023</v>
      </c>
    </row>
    <row r="11021" spans="1:5" x14ac:dyDescent="0.2">
      <c r="A11021" t="s">
        <v>33024</v>
      </c>
      <c r="B11021" t="s">
        <v>32567</v>
      </c>
      <c r="C11021" t="s">
        <v>33025</v>
      </c>
      <c r="D11021" t="str">
        <f>HYPERLINK("https://zfin.org/ZDB-GENE-070820-9")</f>
        <v>https://zfin.org/ZDB-GENE-070820-9</v>
      </c>
      <c r="E11021" t="s">
        <v>33026</v>
      </c>
    </row>
    <row r="11022" spans="1:5" x14ac:dyDescent="0.2">
      <c r="A11022" t="s">
        <v>33027</v>
      </c>
      <c r="B11022" t="s">
        <v>33028</v>
      </c>
      <c r="C11022" t="s">
        <v>33028</v>
      </c>
      <c r="D11022" t="str">
        <f>HYPERLINK("https://zfin.org/ZDB-GENE-020503-3")</f>
        <v>https://zfin.org/ZDB-GENE-020503-3</v>
      </c>
      <c r="E11022" t="s">
        <v>33029</v>
      </c>
    </row>
    <row r="11023" spans="1:5" x14ac:dyDescent="0.2">
      <c r="A11023" t="s">
        <v>33030</v>
      </c>
      <c r="B11023" t="s">
        <v>33031</v>
      </c>
      <c r="C11023" t="s">
        <v>33031</v>
      </c>
      <c r="D11023" t="str">
        <f>HYPERLINK("https://zfin.org/ZDB-GENE-081104-296")</f>
        <v>https://zfin.org/ZDB-GENE-081104-296</v>
      </c>
      <c r="E11023" t="s">
        <v>33032</v>
      </c>
    </row>
    <row r="11024" spans="1:5" x14ac:dyDescent="0.2">
      <c r="A11024" t="s">
        <v>33033</v>
      </c>
      <c r="B11024" t="s">
        <v>33034</v>
      </c>
      <c r="C11024" t="s">
        <v>33034</v>
      </c>
      <c r="D11024" t="str">
        <f>HYPERLINK("https://zfin.org/ZDB-GENE-030616-525")</f>
        <v>https://zfin.org/ZDB-GENE-030616-525</v>
      </c>
      <c r="E11024" t="s">
        <v>33035</v>
      </c>
    </row>
    <row r="11025" spans="1:5" x14ac:dyDescent="0.2">
      <c r="A11025" t="s">
        <v>33036</v>
      </c>
      <c r="B11025" t="s">
        <v>33037</v>
      </c>
      <c r="C11025" t="s">
        <v>33037</v>
      </c>
      <c r="D11025" t="str">
        <f>HYPERLINK("https://zfin.org/ZDB-GENE-100728-5")</f>
        <v>https://zfin.org/ZDB-GENE-100728-5</v>
      </c>
      <c r="E11025" t="s">
        <v>33038</v>
      </c>
    </row>
    <row r="11026" spans="1:5" x14ac:dyDescent="0.2">
      <c r="A11026" t="s">
        <v>33039</v>
      </c>
      <c r="B11026" t="s">
        <v>33040</v>
      </c>
      <c r="C11026" t="s">
        <v>33040</v>
      </c>
      <c r="D11026" t="str">
        <f>HYPERLINK("https://zfin.org/ZDB-GENE-091204-358")</f>
        <v>https://zfin.org/ZDB-GENE-091204-358</v>
      </c>
      <c r="E11026" t="s">
        <v>33041</v>
      </c>
    </row>
    <row r="11027" spans="1:5" x14ac:dyDescent="0.2">
      <c r="A11027" t="s">
        <v>33042</v>
      </c>
      <c r="B11027" t="s">
        <v>33043</v>
      </c>
      <c r="C11027" t="s">
        <v>33043</v>
      </c>
      <c r="D11027" t="str">
        <f>HYPERLINK("https://zfin.org/ZDB-GENE-070112-972")</f>
        <v>https://zfin.org/ZDB-GENE-070112-972</v>
      </c>
      <c r="E11027" t="s">
        <v>33044</v>
      </c>
    </row>
    <row r="11028" spans="1:5" x14ac:dyDescent="0.2">
      <c r="A11028" t="s">
        <v>33045</v>
      </c>
      <c r="B11028" t="s">
        <v>33046</v>
      </c>
      <c r="C11028" t="s">
        <v>33046</v>
      </c>
      <c r="D11028" t="str">
        <f>HYPERLINK("https://zfin.org/ZDB-GENE-050327-20")</f>
        <v>https://zfin.org/ZDB-GENE-050327-20</v>
      </c>
      <c r="E11028" t="s">
        <v>33047</v>
      </c>
    </row>
    <row r="11029" spans="1:5" x14ac:dyDescent="0.2">
      <c r="A11029" t="s">
        <v>33048</v>
      </c>
      <c r="B11029" t="s">
        <v>33049</v>
      </c>
      <c r="C11029" t="s">
        <v>33049</v>
      </c>
      <c r="D11029" t="str">
        <f>HYPERLINK("https://zfin.org/ZDB-GENE-120215-147")</f>
        <v>https://zfin.org/ZDB-GENE-120215-147</v>
      </c>
      <c r="E11029" t="s">
        <v>33050</v>
      </c>
    </row>
    <row r="11030" spans="1:5" x14ac:dyDescent="0.2">
      <c r="A11030" t="s">
        <v>33051</v>
      </c>
      <c r="B11030" t="s">
        <v>33052</v>
      </c>
      <c r="C11030" t="s">
        <v>33052</v>
      </c>
      <c r="D11030" t="str">
        <f>HYPERLINK("https://zfin.org/ZDB-GENE-021223-1")</f>
        <v>https://zfin.org/ZDB-GENE-021223-1</v>
      </c>
      <c r="E11030" t="s">
        <v>33053</v>
      </c>
    </row>
    <row r="11031" spans="1:5" x14ac:dyDescent="0.2">
      <c r="A11031" t="s">
        <v>33054</v>
      </c>
      <c r="B11031" t="s">
        <v>33055</v>
      </c>
      <c r="C11031" t="s">
        <v>33055</v>
      </c>
      <c r="D11031" t="str">
        <f>HYPERLINK("https://zfin.org/ZDB-GENE-141216-428")</f>
        <v>https://zfin.org/ZDB-GENE-141216-428</v>
      </c>
      <c r="E11031" t="s">
        <v>33056</v>
      </c>
    </row>
    <row r="11032" spans="1:5" x14ac:dyDescent="0.2">
      <c r="A11032" t="s">
        <v>33057</v>
      </c>
      <c r="B11032" t="s">
        <v>33058</v>
      </c>
      <c r="C11032" t="s">
        <v>33058</v>
      </c>
      <c r="D11032" t="str">
        <f>HYPERLINK("https://zfin.org/ZDB-GENE-060427-2")</f>
        <v>https://zfin.org/ZDB-GENE-060427-2</v>
      </c>
      <c r="E11032" t="s">
        <v>33059</v>
      </c>
    </row>
    <row r="11033" spans="1:5" x14ac:dyDescent="0.2">
      <c r="A11033" t="s">
        <v>33060</v>
      </c>
      <c r="B11033" t="s">
        <v>33061</v>
      </c>
      <c r="C11033" t="s">
        <v>33061</v>
      </c>
      <c r="D11033" t="str">
        <f>HYPERLINK("https://zfin.org/ZDB-GENE-041015-373")</f>
        <v>https://zfin.org/ZDB-GENE-041015-373</v>
      </c>
      <c r="E11033" t="s">
        <v>33062</v>
      </c>
    </row>
    <row r="11034" spans="1:5" x14ac:dyDescent="0.2">
      <c r="A11034" t="s">
        <v>33063</v>
      </c>
      <c r="B11034" t="s">
        <v>33064</v>
      </c>
      <c r="C11034" t="s">
        <v>33064</v>
      </c>
      <c r="D11034" t="str">
        <f>HYPERLINK("https://zfin.org/ZDB-GENE-110621-3")</f>
        <v>https://zfin.org/ZDB-GENE-110621-3</v>
      </c>
      <c r="E11034" t="s">
        <v>33065</v>
      </c>
    </row>
    <row r="11035" spans="1:5" x14ac:dyDescent="0.2">
      <c r="A11035" t="s">
        <v>33066</v>
      </c>
      <c r="B11035" t="s">
        <v>33067</v>
      </c>
      <c r="C11035" t="s">
        <v>33067</v>
      </c>
      <c r="D11035" t="str">
        <f>HYPERLINK("https://zfin.org/ZDB-GENE-050417-29")</f>
        <v>https://zfin.org/ZDB-GENE-050417-29</v>
      </c>
      <c r="E11035" t="s">
        <v>33068</v>
      </c>
    </row>
    <row r="11036" spans="1:5" x14ac:dyDescent="0.2">
      <c r="A11036" t="s">
        <v>33069</v>
      </c>
      <c r="B11036" t="s">
        <v>33070</v>
      </c>
      <c r="C11036" t="s">
        <v>33070</v>
      </c>
      <c r="D11036" t="str">
        <f>HYPERLINK("https://zfin.org/ZDB-GENE-090312-135")</f>
        <v>https://zfin.org/ZDB-GENE-090312-135</v>
      </c>
      <c r="E11036" t="s">
        <v>33071</v>
      </c>
    </row>
    <row r="11037" spans="1:5" x14ac:dyDescent="0.2">
      <c r="A11037" t="s">
        <v>33072</v>
      </c>
      <c r="B11037" t="s">
        <v>33073</v>
      </c>
      <c r="C11037" t="s">
        <v>33073</v>
      </c>
      <c r="D11037" t="str">
        <f>HYPERLINK("https://zfin.org/ZDB-GENE-030131-7951")</f>
        <v>https://zfin.org/ZDB-GENE-030131-7951</v>
      </c>
      <c r="E11037" t="s">
        <v>33074</v>
      </c>
    </row>
    <row r="11038" spans="1:5" x14ac:dyDescent="0.2">
      <c r="A11038" t="s">
        <v>33075</v>
      </c>
      <c r="B11038" t="s">
        <v>33076</v>
      </c>
      <c r="C11038" t="s">
        <v>33076</v>
      </c>
      <c r="D11038" t="str">
        <f>HYPERLINK("https://zfin.org/ZDB-GENE-030131-5767")</f>
        <v>https://zfin.org/ZDB-GENE-030131-5767</v>
      </c>
      <c r="E11038" t="s">
        <v>33077</v>
      </c>
    </row>
    <row r="11039" spans="1:5" x14ac:dyDescent="0.2">
      <c r="A11039" t="s">
        <v>33078</v>
      </c>
      <c r="B11039" t="s">
        <v>33079</v>
      </c>
      <c r="C11039" t="s">
        <v>33079</v>
      </c>
      <c r="D11039" t="str">
        <f>HYPERLINK("https://zfin.org/ZDB-GENE-040426-1643")</f>
        <v>https://zfin.org/ZDB-GENE-040426-1643</v>
      </c>
      <c r="E11039" t="s">
        <v>33080</v>
      </c>
    </row>
    <row r="11040" spans="1:5" x14ac:dyDescent="0.2">
      <c r="A11040" t="s">
        <v>33081</v>
      </c>
      <c r="B11040" t="s">
        <v>33082</v>
      </c>
      <c r="C11040" t="s">
        <v>33082</v>
      </c>
      <c r="D11040" t="str">
        <f>HYPERLINK("https://zfin.org/ZDB-GENE-070112-1352")</f>
        <v>https://zfin.org/ZDB-GENE-070112-1352</v>
      </c>
      <c r="E11040" t="s">
        <v>33083</v>
      </c>
    </row>
    <row r="11041" spans="1:5" x14ac:dyDescent="0.2">
      <c r="A11041" t="s">
        <v>33084</v>
      </c>
      <c r="B11041" t="s">
        <v>33085</v>
      </c>
      <c r="C11041" t="s">
        <v>33085</v>
      </c>
      <c r="D11041" t="str">
        <f>HYPERLINK("https://zfin.org/ZDB-GENE-040718-352")</f>
        <v>https://zfin.org/ZDB-GENE-040718-352</v>
      </c>
      <c r="E11041" t="s">
        <v>33086</v>
      </c>
    </row>
    <row r="11042" spans="1:5" x14ac:dyDescent="0.2">
      <c r="A11042" t="s">
        <v>33087</v>
      </c>
      <c r="B11042" t="s">
        <v>33088</v>
      </c>
      <c r="C11042" t="s">
        <v>33088</v>
      </c>
      <c r="D11042" t="str">
        <f>HYPERLINK("https://zfin.org/")</f>
        <v>https://zfin.org/</v>
      </c>
    </row>
    <row r="11043" spans="1:5" x14ac:dyDescent="0.2">
      <c r="A11043" t="s">
        <v>33089</v>
      </c>
      <c r="B11043" t="s">
        <v>32567</v>
      </c>
      <c r="C11043" t="s">
        <v>33090</v>
      </c>
      <c r="D11043" t="str">
        <f>HYPERLINK("https://zfin.org/")</f>
        <v>https://zfin.org/</v>
      </c>
      <c r="E11043" t="s">
        <v>33091</v>
      </c>
    </row>
    <row r="11044" spans="1:5" x14ac:dyDescent="0.2">
      <c r="A11044" t="s">
        <v>33092</v>
      </c>
      <c r="B11044" t="s">
        <v>33093</v>
      </c>
      <c r="C11044" t="s">
        <v>33093</v>
      </c>
      <c r="D11044" t="str">
        <f>HYPERLINK("https://zfin.org/ZDB-GENE-030131-6308")</f>
        <v>https://zfin.org/ZDB-GENE-030131-6308</v>
      </c>
      <c r="E11044" t="s">
        <v>33094</v>
      </c>
    </row>
    <row r="11045" spans="1:5" x14ac:dyDescent="0.2">
      <c r="A11045" t="s">
        <v>33095</v>
      </c>
      <c r="B11045" t="s">
        <v>33096</v>
      </c>
      <c r="C11045" t="s">
        <v>33096</v>
      </c>
      <c r="D11045" t="str">
        <f>HYPERLINK("https://zfin.org/ZDB-GENE-040426-704")</f>
        <v>https://zfin.org/ZDB-GENE-040426-704</v>
      </c>
      <c r="E11045" t="s">
        <v>33097</v>
      </c>
    </row>
    <row r="11046" spans="1:5" x14ac:dyDescent="0.2">
      <c r="A11046" t="s">
        <v>33098</v>
      </c>
      <c r="B11046" t="s">
        <v>33099</v>
      </c>
      <c r="C11046" t="s">
        <v>33099</v>
      </c>
      <c r="D11046" t="str">
        <f>HYPERLINK("https://zfin.org/ZDB-GENE-030131-1621")</f>
        <v>https://zfin.org/ZDB-GENE-030131-1621</v>
      </c>
      <c r="E11046" t="s">
        <v>33100</v>
      </c>
    </row>
    <row r="11047" spans="1:5" x14ac:dyDescent="0.2">
      <c r="A11047" t="s">
        <v>33101</v>
      </c>
      <c r="B11047" t="s">
        <v>33102</v>
      </c>
      <c r="C11047" t="s">
        <v>33102</v>
      </c>
      <c r="D11047" t="str">
        <f>HYPERLINK("https://zfin.org/ZDB-GENE-050208-41")</f>
        <v>https://zfin.org/ZDB-GENE-050208-41</v>
      </c>
      <c r="E11047" t="s">
        <v>33103</v>
      </c>
    </row>
    <row r="11048" spans="1:5" x14ac:dyDescent="0.2">
      <c r="A11048" t="s">
        <v>33104</v>
      </c>
      <c r="B11048" t="s">
        <v>33105</v>
      </c>
      <c r="C11048" t="s">
        <v>33105</v>
      </c>
      <c r="D11048" t="str">
        <f>HYPERLINK("https://zfin.org/ZDB-GENE-040426-1806")</f>
        <v>https://zfin.org/ZDB-GENE-040426-1806</v>
      </c>
      <c r="E11048" t="s">
        <v>33106</v>
      </c>
    </row>
    <row r="11049" spans="1:5" x14ac:dyDescent="0.2">
      <c r="A11049" t="s">
        <v>33107</v>
      </c>
      <c r="B11049" t="s">
        <v>33108</v>
      </c>
      <c r="C11049" t="s">
        <v>33108</v>
      </c>
      <c r="D11049" t="str">
        <f>HYPERLINK("https://zfin.org/ZDB-GENE-030131-4091")</f>
        <v>https://zfin.org/ZDB-GENE-030131-4091</v>
      </c>
      <c r="E11049" t="s">
        <v>33109</v>
      </c>
    </row>
    <row r="11050" spans="1:5" x14ac:dyDescent="0.2">
      <c r="A11050" t="s">
        <v>33110</v>
      </c>
      <c r="B11050" t="s">
        <v>33111</v>
      </c>
      <c r="C11050" t="s">
        <v>33111</v>
      </c>
      <c r="D11050" t="str">
        <f>HYPERLINK("https://zfin.org/ZDB-GENE-030131-2374")</f>
        <v>https://zfin.org/ZDB-GENE-030131-2374</v>
      </c>
      <c r="E11050" t="s">
        <v>33112</v>
      </c>
    </row>
    <row r="11051" spans="1:5" x14ac:dyDescent="0.2">
      <c r="A11051" t="s">
        <v>33113</v>
      </c>
      <c r="B11051" t="s">
        <v>33114</v>
      </c>
      <c r="C11051" t="s">
        <v>33114</v>
      </c>
      <c r="D11051" t="str">
        <f>HYPERLINK("https://zfin.org/ZDB-GENE-050208-510")</f>
        <v>https://zfin.org/ZDB-GENE-050208-510</v>
      </c>
      <c r="E11051" t="s">
        <v>33115</v>
      </c>
    </row>
    <row r="11052" spans="1:5" x14ac:dyDescent="0.2">
      <c r="A11052" t="s">
        <v>33116</v>
      </c>
      <c r="B11052" t="s">
        <v>33117</v>
      </c>
      <c r="C11052" t="s">
        <v>33117</v>
      </c>
      <c r="D11052" t="str">
        <f>HYPERLINK("https://zfin.org/ZDB-GENE-070112-1972")</f>
        <v>https://zfin.org/ZDB-GENE-070112-1972</v>
      </c>
      <c r="E11052" t="s">
        <v>33118</v>
      </c>
    </row>
    <row r="11053" spans="1:5" x14ac:dyDescent="0.2">
      <c r="A11053" t="s">
        <v>33119</v>
      </c>
      <c r="B11053" t="s">
        <v>33120</v>
      </c>
      <c r="C11053" t="s">
        <v>33120</v>
      </c>
      <c r="D11053" t="str">
        <f>HYPERLINK("https://zfin.org/ZDB-GENE-030131-5663")</f>
        <v>https://zfin.org/ZDB-GENE-030131-5663</v>
      </c>
      <c r="E11053" t="s">
        <v>33121</v>
      </c>
    </row>
    <row r="11054" spans="1:5" x14ac:dyDescent="0.2">
      <c r="A11054" t="s">
        <v>33122</v>
      </c>
      <c r="B11054" t="s">
        <v>33123</v>
      </c>
      <c r="C11054" t="s">
        <v>33123</v>
      </c>
      <c r="D11054" t="str">
        <f>HYPERLINK("https://zfin.org/ZDB-GENE-040801-37")</f>
        <v>https://zfin.org/ZDB-GENE-040801-37</v>
      </c>
      <c r="E11054" t="s">
        <v>33124</v>
      </c>
    </row>
    <row r="11055" spans="1:5" x14ac:dyDescent="0.2">
      <c r="A11055" t="s">
        <v>33125</v>
      </c>
      <c r="B11055" t="s">
        <v>33126</v>
      </c>
      <c r="C11055" t="s">
        <v>33126</v>
      </c>
      <c r="D11055" t="str">
        <f>HYPERLINK("https://zfin.org/ZDB-GENE-070522-3")</f>
        <v>https://zfin.org/ZDB-GENE-070522-3</v>
      </c>
      <c r="E11055" t="s">
        <v>33127</v>
      </c>
    </row>
    <row r="11056" spans="1:5" x14ac:dyDescent="0.2">
      <c r="A11056" t="s">
        <v>33128</v>
      </c>
      <c r="B11056" t="s">
        <v>33129</v>
      </c>
      <c r="C11056" t="s">
        <v>33129</v>
      </c>
      <c r="D11056" t="str">
        <f>HYPERLINK("https://zfin.org/ZDB-GENE-040614-3")</f>
        <v>https://zfin.org/ZDB-GENE-040614-3</v>
      </c>
      <c r="E11056" t="s">
        <v>33130</v>
      </c>
    </row>
    <row r="11057" spans="1:5" x14ac:dyDescent="0.2">
      <c r="A11057" t="s">
        <v>33131</v>
      </c>
      <c r="B11057" t="s">
        <v>33132</v>
      </c>
      <c r="C11057" t="s">
        <v>33132</v>
      </c>
      <c r="D11057" t="str">
        <f>HYPERLINK("https://zfin.org/ZDB-GENE-040426-915")</f>
        <v>https://zfin.org/ZDB-GENE-040426-915</v>
      </c>
      <c r="E11057" t="s">
        <v>33133</v>
      </c>
    </row>
    <row r="11058" spans="1:5" x14ac:dyDescent="0.2">
      <c r="A11058" t="s">
        <v>33134</v>
      </c>
      <c r="B11058" t="s">
        <v>33135</v>
      </c>
      <c r="C11058" t="s">
        <v>33135</v>
      </c>
      <c r="D11058" t="str">
        <f>HYPERLINK("https://zfin.org/ZDB-GENE-141216-242")</f>
        <v>https://zfin.org/ZDB-GENE-141216-242</v>
      </c>
      <c r="E11058" t="s">
        <v>33136</v>
      </c>
    </row>
    <row r="11059" spans="1:5" x14ac:dyDescent="0.2">
      <c r="A11059" t="s">
        <v>33137</v>
      </c>
      <c r="B11059" t="s">
        <v>33138</v>
      </c>
      <c r="C11059" t="s">
        <v>33138</v>
      </c>
      <c r="D11059" t="str">
        <f>HYPERLINK("https://zfin.org/ZDB-GENE-051113-268")</f>
        <v>https://zfin.org/ZDB-GENE-051113-268</v>
      </c>
      <c r="E11059" t="s">
        <v>33139</v>
      </c>
    </row>
    <row r="11060" spans="1:5" x14ac:dyDescent="0.2">
      <c r="A11060" t="s">
        <v>33140</v>
      </c>
      <c r="B11060" t="s">
        <v>33141</v>
      </c>
      <c r="C11060" t="s">
        <v>33141</v>
      </c>
      <c r="D11060" t="str">
        <f>HYPERLINK("https://zfin.org/ZDB-GENE-040426-2942")</f>
        <v>https://zfin.org/ZDB-GENE-040426-2942</v>
      </c>
      <c r="E11060" t="s">
        <v>33142</v>
      </c>
    </row>
    <row r="11061" spans="1:5" x14ac:dyDescent="0.2">
      <c r="A11061" t="s">
        <v>33143</v>
      </c>
      <c r="B11061" t="s">
        <v>33144</v>
      </c>
      <c r="C11061" t="s">
        <v>33144</v>
      </c>
      <c r="D11061" t="str">
        <f>HYPERLINK("https://zfin.org/ZDB-GENE-020806-3")</f>
        <v>https://zfin.org/ZDB-GENE-020806-3</v>
      </c>
      <c r="E11061" t="s">
        <v>33145</v>
      </c>
    </row>
    <row r="11062" spans="1:5" x14ac:dyDescent="0.2">
      <c r="A11062" t="s">
        <v>33146</v>
      </c>
      <c r="B11062" t="s">
        <v>33147</v>
      </c>
      <c r="C11062" t="s">
        <v>33147</v>
      </c>
      <c r="D11062" t="str">
        <f>HYPERLINK("https://zfin.org/ZDB-GENE-070518-1")</f>
        <v>https://zfin.org/ZDB-GENE-070518-1</v>
      </c>
      <c r="E11062" t="s">
        <v>33148</v>
      </c>
    </row>
    <row r="11063" spans="1:5" x14ac:dyDescent="0.2">
      <c r="A11063" t="s">
        <v>33149</v>
      </c>
      <c r="B11063" t="s">
        <v>33150</v>
      </c>
      <c r="C11063" t="s">
        <v>33150</v>
      </c>
      <c r="D11063" t="str">
        <f>HYPERLINK("https://zfin.org/ZDB-GENE-040801-125")</f>
        <v>https://zfin.org/ZDB-GENE-040801-125</v>
      </c>
      <c r="E11063" t="s">
        <v>33151</v>
      </c>
    </row>
    <row r="11064" spans="1:5" x14ac:dyDescent="0.2">
      <c r="A11064" t="s">
        <v>33152</v>
      </c>
      <c r="B11064" t="s">
        <v>33153</v>
      </c>
      <c r="C11064" t="s">
        <v>33153</v>
      </c>
      <c r="D11064" t="str">
        <f>HYPERLINK("https://zfin.org/ZDB-GENE-040718-181")</f>
        <v>https://zfin.org/ZDB-GENE-040718-181</v>
      </c>
      <c r="E11064" t="s">
        <v>33154</v>
      </c>
    </row>
    <row r="11065" spans="1:5" x14ac:dyDescent="0.2">
      <c r="A11065" t="s">
        <v>33155</v>
      </c>
      <c r="B11065" t="s">
        <v>33156</v>
      </c>
      <c r="C11065" t="s">
        <v>33156</v>
      </c>
      <c r="D11065" t="str">
        <f>HYPERLINK("https://zfin.org/ZDB-GENE-990415-71")</f>
        <v>https://zfin.org/ZDB-GENE-990415-71</v>
      </c>
      <c r="E11065" t="s">
        <v>33157</v>
      </c>
    </row>
    <row r="11066" spans="1:5" x14ac:dyDescent="0.2">
      <c r="A11066" t="s">
        <v>33158</v>
      </c>
      <c r="B11066" t="s">
        <v>33159</v>
      </c>
      <c r="C11066" t="s">
        <v>33159</v>
      </c>
      <c r="D11066" t="str">
        <f>HYPERLINK("https://zfin.org/ZDB-GENE-090312-99")</f>
        <v>https://zfin.org/ZDB-GENE-090312-99</v>
      </c>
      <c r="E11066" t="s">
        <v>33160</v>
      </c>
    </row>
    <row r="11067" spans="1:5" x14ac:dyDescent="0.2">
      <c r="A11067" t="s">
        <v>33161</v>
      </c>
      <c r="B11067" t="s">
        <v>33162</v>
      </c>
      <c r="C11067" t="s">
        <v>33162</v>
      </c>
      <c r="D11067" t="str">
        <f>HYPERLINK("https://zfin.org/ZDB-GENE-041212-83")</f>
        <v>https://zfin.org/ZDB-GENE-041212-83</v>
      </c>
      <c r="E11067" t="s">
        <v>33163</v>
      </c>
    </row>
    <row r="11068" spans="1:5" x14ac:dyDescent="0.2">
      <c r="A11068" t="s">
        <v>33164</v>
      </c>
      <c r="B11068" t="s">
        <v>33165</v>
      </c>
      <c r="C11068" t="s">
        <v>33165</v>
      </c>
      <c r="D11068" t="str">
        <f>HYPERLINK("https://zfin.org/ZDB-GENE-040426-1956")</f>
        <v>https://zfin.org/ZDB-GENE-040426-1956</v>
      </c>
      <c r="E11068" t="s">
        <v>33166</v>
      </c>
    </row>
    <row r="11069" spans="1:5" x14ac:dyDescent="0.2">
      <c r="A11069" t="s">
        <v>33167</v>
      </c>
      <c r="B11069" t="s">
        <v>33168</v>
      </c>
      <c r="C11069" t="s">
        <v>33168</v>
      </c>
      <c r="D11069" t="str">
        <f>HYPERLINK("https://zfin.org/ZDB-GENE-030131-2878")</f>
        <v>https://zfin.org/ZDB-GENE-030131-2878</v>
      </c>
      <c r="E11069" t="s">
        <v>33169</v>
      </c>
    </row>
    <row r="11070" spans="1:5" x14ac:dyDescent="0.2">
      <c r="A11070" t="s">
        <v>33170</v>
      </c>
      <c r="B11070" t="s">
        <v>33171</v>
      </c>
      <c r="C11070" t="s">
        <v>33171</v>
      </c>
      <c r="D11070" t="str">
        <f>HYPERLINK("https://zfin.org/ZDB-GENE-141212-269")</f>
        <v>https://zfin.org/ZDB-GENE-141212-269</v>
      </c>
      <c r="E11070" t="s">
        <v>33172</v>
      </c>
    </row>
    <row r="11071" spans="1:5" x14ac:dyDescent="0.2">
      <c r="A11071" t="s">
        <v>33173</v>
      </c>
      <c r="B11071" t="s">
        <v>33174</v>
      </c>
      <c r="C11071" t="s">
        <v>33174</v>
      </c>
      <c r="D11071" t="str">
        <f>HYPERLINK("https://zfin.org/ZDB-GENE-040625-92")</f>
        <v>https://zfin.org/ZDB-GENE-040625-92</v>
      </c>
      <c r="E11071" t="s">
        <v>33175</v>
      </c>
    </row>
    <row r="11072" spans="1:5" x14ac:dyDescent="0.2">
      <c r="A11072" t="s">
        <v>33176</v>
      </c>
      <c r="B11072" t="s">
        <v>33177</v>
      </c>
      <c r="C11072" t="s">
        <v>33177</v>
      </c>
      <c r="D11072" t="str">
        <f>HYPERLINK("https://zfin.org/ZDB-GENE-131127-191")</f>
        <v>https://zfin.org/ZDB-GENE-131127-191</v>
      </c>
      <c r="E11072" t="s">
        <v>33178</v>
      </c>
    </row>
    <row r="11073" spans="1:5" x14ac:dyDescent="0.2">
      <c r="A11073" t="s">
        <v>33179</v>
      </c>
      <c r="B11073" t="s">
        <v>33180</v>
      </c>
      <c r="C11073" t="s">
        <v>33180</v>
      </c>
      <c r="D11073" t="str">
        <f>HYPERLINK("https://zfin.org/ZDB-GENE-030131-2735")</f>
        <v>https://zfin.org/ZDB-GENE-030131-2735</v>
      </c>
      <c r="E11073" t="s">
        <v>33181</v>
      </c>
    </row>
    <row r="11074" spans="1:5" x14ac:dyDescent="0.2">
      <c r="A11074" t="s">
        <v>33182</v>
      </c>
      <c r="B11074" t="s">
        <v>33183</v>
      </c>
      <c r="C11074" t="s">
        <v>33183</v>
      </c>
      <c r="D11074" t="str">
        <f>HYPERLINK("https://zfin.org/ZDB-GENE-040426-1750")</f>
        <v>https://zfin.org/ZDB-GENE-040426-1750</v>
      </c>
      <c r="E11074" t="s">
        <v>33184</v>
      </c>
    </row>
    <row r="11075" spans="1:5" x14ac:dyDescent="0.2">
      <c r="A11075" t="s">
        <v>33185</v>
      </c>
      <c r="B11075" t="s">
        <v>33186</v>
      </c>
      <c r="C11075" t="s">
        <v>33186</v>
      </c>
      <c r="D11075" t="str">
        <f>HYPERLINK("https://zfin.org/ZDB-GENE-050419-182")</f>
        <v>https://zfin.org/ZDB-GENE-050419-182</v>
      </c>
      <c r="E11075" t="s">
        <v>33187</v>
      </c>
    </row>
    <row r="11076" spans="1:5" x14ac:dyDescent="0.2">
      <c r="A11076" t="s">
        <v>33188</v>
      </c>
      <c r="B11076" t="s">
        <v>33189</v>
      </c>
      <c r="C11076" t="s">
        <v>33189</v>
      </c>
      <c r="D11076" t="str">
        <f>HYPERLINK("https://zfin.org/ZDB-GENE-040426-1819")</f>
        <v>https://zfin.org/ZDB-GENE-040426-1819</v>
      </c>
      <c r="E11076" t="s">
        <v>33190</v>
      </c>
    </row>
    <row r="11077" spans="1:5" x14ac:dyDescent="0.2">
      <c r="A11077" t="s">
        <v>33191</v>
      </c>
      <c r="B11077" t="s">
        <v>33192</v>
      </c>
      <c r="C11077" t="s">
        <v>33192</v>
      </c>
      <c r="D11077" t="str">
        <f>HYPERLINK("https://zfin.org/ZDB-GENE-030131-1577")</f>
        <v>https://zfin.org/ZDB-GENE-030131-1577</v>
      </c>
      <c r="E11077" t="s">
        <v>33193</v>
      </c>
    </row>
    <row r="11078" spans="1:5" x14ac:dyDescent="0.2">
      <c r="A11078" t="s">
        <v>33194</v>
      </c>
      <c r="B11078" t="s">
        <v>33195</v>
      </c>
      <c r="C11078" t="s">
        <v>33195</v>
      </c>
      <c r="D11078" t="str">
        <f>HYPERLINK("https://zfin.org/ZDB-GENE-040426-1238")</f>
        <v>https://zfin.org/ZDB-GENE-040426-1238</v>
      </c>
      <c r="E11078" t="s">
        <v>33196</v>
      </c>
    </row>
    <row r="11079" spans="1:5" x14ac:dyDescent="0.2">
      <c r="A11079" t="s">
        <v>33197</v>
      </c>
      <c r="B11079" t="s">
        <v>33198</v>
      </c>
      <c r="C11079" t="s">
        <v>33198</v>
      </c>
      <c r="D11079" t="str">
        <f>HYPERLINK("https://zfin.org/ZDB-GENE-040704-53")</f>
        <v>https://zfin.org/ZDB-GENE-040704-53</v>
      </c>
      <c r="E11079" t="s">
        <v>33199</v>
      </c>
    </row>
    <row r="11080" spans="1:5" x14ac:dyDescent="0.2">
      <c r="A11080" t="s">
        <v>33200</v>
      </c>
      <c r="B11080" t="s">
        <v>33201</v>
      </c>
      <c r="C11080" t="s">
        <v>33201</v>
      </c>
      <c r="D11080" t="str">
        <f>HYPERLINK("https://zfin.org/ZDB-GENE-061013-169")</f>
        <v>https://zfin.org/ZDB-GENE-061013-169</v>
      </c>
      <c r="E11080" t="s">
        <v>33202</v>
      </c>
    </row>
    <row r="11081" spans="1:5" x14ac:dyDescent="0.2">
      <c r="A11081" t="s">
        <v>33203</v>
      </c>
      <c r="B11081" t="s">
        <v>33204</v>
      </c>
      <c r="C11081" t="s">
        <v>33204</v>
      </c>
      <c r="D11081" t="str">
        <f>HYPERLINK("https://zfin.org/ZDB-GENE-020503-4")</f>
        <v>https://zfin.org/ZDB-GENE-020503-4</v>
      </c>
      <c r="E11081" t="s">
        <v>33205</v>
      </c>
    </row>
    <row r="11082" spans="1:5" x14ac:dyDescent="0.2">
      <c r="A11082" t="s">
        <v>33206</v>
      </c>
      <c r="B11082" t="s">
        <v>33207</v>
      </c>
      <c r="C11082" t="s">
        <v>33207</v>
      </c>
      <c r="D11082" t="str">
        <f>HYPERLINK("https://zfin.org/ZDB-GENE-040822-28")</f>
        <v>https://zfin.org/ZDB-GENE-040822-28</v>
      </c>
      <c r="E11082" t="s">
        <v>33208</v>
      </c>
    </row>
    <row r="11083" spans="1:5" x14ac:dyDescent="0.2">
      <c r="A11083" t="s">
        <v>33209</v>
      </c>
      <c r="B11083" t="s">
        <v>33210</v>
      </c>
      <c r="C11083" t="s">
        <v>33210</v>
      </c>
      <c r="D11083" t="str">
        <f>HYPERLINK("https://zfin.org/ZDB-GENE-040822-44")</f>
        <v>https://zfin.org/ZDB-GENE-040822-44</v>
      </c>
      <c r="E11083" t="s">
        <v>33211</v>
      </c>
    </row>
    <row r="11084" spans="1:5" x14ac:dyDescent="0.2">
      <c r="A11084" t="s">
        <v>33212</v>
      </c>
      <c r="B11084" t="s">
        <v>33213</v>
      </c>
      <c r="C11084" t="s">
        <v>33213</v>
      </c>
      <c r="D11084" t="str">
        <f>HYPERLINK("https://zfin.org/ZDB-GENE-130325-1")</f>
        <v>https://zfin.org/ZDB-GENE-130325-1</v>
      </c>
      <c r="E11084" t="s">
        <v>33214</v>
      </c>
    </row>
    <row r="11085" spans="1:5" x14ac:dyDescent="0.2">
      <c r="A11085" t="s">
        <v>33215</v>
      </c>
      <c r="B11085" t="s">
        <v>33216</v>
      </c>
      <c r="C11085" t="s">
        <v>33216</v>
      </c>
      <c r="D11085" t="str">
        <f>HYPERLINK("https://zfin.org/ZDB-GENE-091204-447")</f>
        <v>https://zfin.org/ZDB-GENE-091204-447</v>
      </c>
      <c r="E11085" t="s">
        <v>33217</v>
      </c>
    </row>
    <row r="11086" spans="1:5" x14ac:dyDescent="0.2">
      <c r="A11086" t="s">
        <v>33218</v>
      </c>
      <c r="B11086" t="s">
        <v>33219</v>
      </c>
      <c r="C11086" t="s">
        <v>33219</v>
      </c>
      <c r="D11086" t="str">
        <f>HYPERLINK("https://zfin.org/ZDB-GENE-131120-68")</f>
        <v>https://zfin.org/ZDB-GENE-131120-68</v>
      </c>
      <c r="E11086" t="s">
        <v>33220</v>
      </c>
    </row>
    <row r="11087" spans="1:5" x14ac:dyDescent="0.2">
      <c r="A11087" t="s">
        <v>33221</v>
      </c>
      <c r="B11087" t="s">
        <v>33222</v>
      </c>
      <c r="C11087" t="s">
        <v>33222</v>
      </c>
      <c r="D11087" t="str">
        <f>HYPERLINK("https://zfin.org/ZDB-GENE-030131-3724")</f>
        <v>https://zfin.org/ZDB-GENE-030131-3724</v>
      </c>
      <c r="E11087" t="s">
        <v>33223</v>
      </c>
    </row>
    <row r="11088" spans="1:5" x14ac:dyDescent="0.2">
      <c r="A11088" t="s">
        <v>33224</v>
      </c>
      <c r="B11088" t="s">
        <v>33225</v>
      </c>
      <c r="C11088" t="s">
        <v>33225</v>
      </c>
      <c r="D11088" t="str">
        <f>HYPERLINK("https://zfin.org/ZDB-GENE-030716-1")</f>
        <v>https://zfin.org/ZDB-GENE-030716-1</v>
      </c>
      <c r="E11088" t="s">
        <v>33226</v>
      </c>
    </row>
    <row r="11089" spans="1:5" x14ac:dyDescent="0.2">
      <c r="A11089" t="s">
        <v>33227</v>
      </c>
      <c r="B11089" t="s">
        <v>33228</v>
      </c>
      <c r="C11089" t="s">
        <v>33228</v>
      </c>
      <c r="D11089" t="str">
        <f>HYPERLINK("https://zfin.org/ZDB-GENE-040801-225")</f>
        <v>https://zfin.org/ZDB-GENE-040801-225</v>
      </c>
      <c r="E11089" t="s">
        <v>33229</v>
      </c>
    </row>
    <row r="11090" spans="1:5" x14ac:dyDescent="0.2">
      <c r="A11090" t="s">
        <v>33230</v>
      </c>
      <c r="B11090" t="s">
        <v>33231</v>
      </c>
      <c r="C11090" t="s">
        <v>33231</v>
      </c>
      <c r="D11090" t="str">
        <f>HYPERLINK("https://zfin.org/ZDB-GENE-060818-29")</f>
        <v>https://zfin.org/ZDB-GENE-060818-29</v>
      </c>
      <c r="E11090" t="s">
        <v>33232</v>
      </c>
    </row>
    <row r="11091" spans="1:5" x14ac:dyDescent="0.2">
      <c r="A11091" t="s">
        <v>33233</v>
      </c>
      <c r="B11091" t="s">
        <v>33234</v>
      </c>
      <c r="C11091" t="s">
        <v>33234</v>
      </c>
      <c r="D11091" t="str">
        <f>HYPERLINK("https://zfin.org/ZDB-GENE-060929-720")</f>
        <v>https://zfin.org/ZDB-GENE-060929-720</v>
      </c>
      <c r="E11091" t="s">
        <v>33235</v>
      </c>
    </row>
    <row r="11092" spans="1:5" x14ac:dyDescent="0.2">
      <c r="A11092" t="s">
        <v>33236</v>
      </c>
      <c r="B11092" t="s">
        <v>33237</v>
      </c>
      <c r="C11092" t="s">
        <v>33237</v>
      </c>
      <c r="D11092" t="str">
        <f>HYPERLINK("https://zfin.org/ZDB-GENE-060503-826")</f>
        <v>https://zfin.org/ZDB-GENE-060503-826</v>
      </c>
      <c r="E11092" t="s">
        <v>33238</v>
      </c>
    </row>
    <row r="11093" spans="1:5" x14ac:dyDescent="0.2">
      <c r="A11093" t="s">
        <v>33239</v>
      </c>
      <c r="B11093" t="s">
        <v>33240</v>
      </c>
      <c r="C11093" t="s">
        <v>33240</v>
      </c>
      <c r="D11093" t="str">
        <f>HYPERLINK("https://zfin.org/ZDB-GENE-040426-2695")</f>
        <v>https://zfin.org/ZDB-GENE-040426-2695</v>
      </c>
      <c r="E11093" t="s">
        <v>33241</v>
      </c>
    </row>
    <row r="11094" spans="1:5" x14ac:dyDescent="0.2">
      <c r="A11094" t="s">
        <v>33242</v>
      </c>
      <c r="B11094" t="s">
        <v>33243</v>
      </c>
      <c r="C11094" t="s">
        <v>33243</v>
      </c>
      <c r="D11094" t="str">
        <f>HYPERLINK("https://zfin.org/ZDB-GENE-141219-31")</f>
        <v>https://zfin.org/ZDB-GENE-141219-31</v>
      </c>
      <c r="E11094" t="s">
        <v>33244</v>
      </c>
    </row>
    <row r="11095" spans="1:5" x14ac:dyDescent="0.2">
      <c r="A11095" t="s">
        <v>33245</v>
      </c>
      <c r="B11095" t="s">
        <v>33246</v>
      </c>
      <c r="C11095" t="s">
        <v>33246</v>
      </c>
      <c r="D11095" t="str">
        <f>HYPERLINK("https://zfin.org/ZDB-GENE-040426-2933")</f>
        <v>https://zfin.org/ZDB-GENE-040426-2933</v>
      </c>
      <c r="E11095" t="s">
        <v>33247</v>
      </c>
    </row>
    <row r="11096" spans="1:5" x14ac:dyDescent="0.2">
      <c r="A11096" t="s">
        <v>33248</v>
      </c>
      <c r="B11096" t="s">
        <v>33249</v>
      </c>
      <c r="C11096" t="s">
        <v>33249</v>
      </c>
      <c r="D11096" t="str">
        <f>HYPERLINK("https://zfin.org/ZDB-GENE-050208-538")</f>
        <v>https://zfin.org/ZDB-GENE-050208-538</v>
      </c>
      <c r="E11096" t="s">
        <v>33250</v>
      </c>
    </row>
    <row r="11097" spans="1:5" x14ac:dyDescent="0.2">
      <c r="A11097" t="s">
        <v>33251</v>
      </c>
      <c r="B11097" t="s">
        <v>33252</v>
      </c>
      <c r="C11097" t="s">
        <v>33252</v>
      </c>
      <c r="D11097" t="str">
        <f>HYPERLINK("https://zfin.org/ZDB-GENE-060804-1")</f>
        <v>https://zfin.org/ZDB-GENE-060804-1</v>
      </c>
      <c r="E11097" t="s">
        <v>33253</v>
      </c>
    </row>
    <row r="11098" spans="1:5" x14ac:dyDescent="0.2">
      <c r="A11098" t="s">
        <v>33254</v>
      </c>
      <c r="B11098" t="s">
        <v>33255</v>
      </c>
      <c r="C11098" t="s">
        <v>33255</v>
      </c>
      <c r="D11098" t="str">
        <f>HYPERLINK("https://zfin.org/ZDB-GENE-130531-67")</f>
        <v>https://zfin.org/ZDB-GENE-130531-67</v>
      </c>
      <c r="E11098" t="s">
        <v>33256</v>
      </c>
    </row>
    <row r="11099" spans="1:5" x14ac:dyDescent="0.2">
      <c r="A11099" t="s">
        <v>33257</v>
      </c>
      <c r="B11099" t="s">
        <v>33258</v>
      </c>
      <c r="C11099" t="s">
        <v>33258</v>
      </c>
      <c r="D11099" t="str">
        <f>HYPERLINK("https://zfin.org/ZDB-GENE-990715-11")</f>
        <v>https://zfin.org/ZDB-GENE-990715-11</v>
      </c>
      <c r="E11099" t="s">
        <v>33259</v>
      </c>
    </row>
    <row r="11100" spans="1:5" x14ac:dyDescent="0.2">
      <c r="A11100" t="s">
        <v>33260</v>
      </c>
      <c r="B11100" t="s">
        <v>33261</v>
      </c>
      <c r="C11100" t="s">
        <v>33261</v>
      </c>
      <c r="D11100" t="str">
        <f>HYPERLINK("https://zfin.org/ZDB-GENE-131121-326")</f>
        <v>https://zfin.org/ZDB-GENE-131121-326</v>
      </c>
      <c r="E11100" t="s">
        <v>33262</v>
      </c>
    </row>
    <row r="11101" spans="1:5" x14ac:dyDescent="0.2">
      <c r="A11101" t="s">
        <v>33263</v>
      </c>
      <c r="B11101" t="s">
        <v>33264</v>
      </c>
      <c r="C11101" t="s">
        <v>33264</v>
      </c>
      <c r="D11101" t="str">
        <f>HYPERLINK("https://zfin.org/ZDB-GENE-061215-46")</f>
        <v>https://zfin.org/ZDB-GENE-061215-46</v>
      </c>
      <c r="E11101" t="s">
        <v>33265</v>
      </c>
    </row>
    <row r="11102" spans="1:5" x14ac:dyDescent="0.2">
      <c r="A11102" t="s">
        <v>33266</v>
      </c>
      <c r="B11102" t="s">
        <v>33267</v>
      </c>
      <c r="C11102" t="s">
        <v>33267</v>
      </c>
      <c r="D11102" t="str">
        <f>HYPERLINK("https://zfin.org/ZDB-GENE-130531-44")</f>
        <v>https://zfin.org/ZDB-GENE-130531-44</v>
      </c>
      <c r="E11102" t="s">
        <v>33268</v>
      </c>
    </row>
    <row r="11103" spans="1:5" x14ac:dyDescent="0.2">
      <c r="A11103" t="s">
        <v>33269</v>
      </c>
      <c r="B11103" t="s">
        <v>33270</v>
      </c>
      <c r="C11103" t="s">
        <v>33270</v>
      </c>
      <c r="D11103" t="str">
        <f>HYPERLINK("https://zfin.org/ZDB-GENE-131121-256")</f>
        <v>https://zfin.org/ZDB-GENE-131121-256</v>
      </c>
      <c r="E11103" t="s">
        <v>33271</v>
      </c>
    </row>
    <row r="11104" spans="1:5" x14ac:dyDescent="0.2">
      <c r="A11104" t="s">
        <v>33272</v>
      </c>
      <c r="B11104" t="s">
        <v>33273</v>
      </c>
      <c r="C11104" t="s">
        <v>33273</v>
      </c>
      <c r="D11104" t="str">
        <f>HYPERLINK("https://zfin.org/ZDB-GENE-030131-5986")</f>
        <v>https://zfin.org/ZDB-GENE-030131-5986</v>
      </c>
      <c r="E11104" t="s">
        <v>33274</v>
      </c>
    </row>
    <row r="11105" spans="1:5" x14ac:dyDescent="0.2">
      <c r="A11105" t="s">
        <v>33275</v>
      </c>
      <c r="B11105" t="s">
        <v>33276</v>
      </c>
      <c r="C11105" t="s">
        <v>33276</v>
      </c>
      <c r="D11105" t="str">
        <f>HYPERLINK("https://zfin.org/ZDB-GENE-030131-5673")</f>
        <v>https://zfin.org/ZDB-GENE-030131-5673</v>
      </c>
      <c r="E11105" t="s">
        <v>33277</v>
      </c>
    </row>
    <row r="11106" spans="1:5" x14ac:dyDescent="0.2">
      <c r="A11106" t="s">
        <v>33278</v>
      </c>
      <c r="B11106" t="s">
        <v>33279</v>
      </c>
      <c r="C11106" t="s">
        <v>33279</v>
      </c>
      <c r="D11106" t="str">
        <f>HYPERLINK("https://zfin.org/ZDB-GENE-060503-102")</f>
        <v>https://zfin.org/ZDB-GENE-060503-102</v>
      </c>
      <c r="E11106" t="s">
        <v>33280</v>
      </c>
    </row>
    <row r="11107" spans="1:5" x14ac:dyDescent="0.2">
      <c r="A11107" t="s">
        <v>33281</v>
      </c>
      <c r="B11107" t="s">
        <v>33282</v>
      </c>
      <c r="C11107" t="s">
        <v>33282</v>
      </c>
      <c r="D11107" t="str">
        <f>HYPERLINK("https://zfin.org/ZDB-GENE-040426-1783")</f>
        <v>https://zfin.org/ZDB-GENE-040426-1783</v>
      </c>
      <c r="E11107" t="s">
        <v>33283</v>
      </c>
    </row>
    <row r="11108" spans="1:5" x14ac:dyDescent="0.2">
      <c r="A11108" t="s">
        <v>33284</v>
      </c>
      <c r="B11108" t="s">
        <v>33285</v>
      </c>
      <c r="C11108" t="s">
        <v>33285</v>
      </c>
      <c r="D11108" t="str">
        <f>HYPERLINK("https://zfin.org/ZDB-GENE-050913-133")</f>
        <v>https://zfin.org/ZDB-GENE-050913-133</v>
      </c>
      <c r="E11108" t="s">
        <v>33286</v>
      </c>
    </row>
    <row r="11109" spans="1:5" x14ac:dyDescent="0.2">
      <c r="A11109" t="s">
        <v>33287</v>
      </c>
      <c r="B11109" t="s">
        <v>33288</v>
      </c>
      <c r="C11109" t="s">
        <v>33288</v>
      </c>
      <c r="D11109" t="str">
        <f>HYPERLINK("https://zfin.org/ZDB-GENE-131127-548")</f>
        <v>https://zfin.org/ZDB-GENE-131127-548</v>
      </c>
      <c r="E11109" t="s">
        <v>33289</v>
      </c>
    </row>
    <row r="11110" spans="1:5" x14ac:dyDescent="0.2">
      <c r="A11110" t="s">
        <v>33290</v>
      </c>
      <c r="B11110" t="s">
        <v>33291</v>
      </c>
      <c r="C11110" t="s">
        <v>33291</v>
      </c>
      <c r="D11110" t="str">
        <f>HYPERLINK("https://zfin.org/ZDB-GENE-050306-25")</f>
        <v>https://zfin.org/ZDB-GENE-050306-25</v>
      </c>
      <c r="E11110" t="s">
        <v>33292</v>
      </c>
    </row>
    <row r="11111" spans="1:5" x14ac:dyDescent="0.2">
      <c r="A11111" t="s">
        <v>33293</v>
      </c>
      <c r="B11111" t="s">
        <v>33294</v>
      </c>
      <c r="C11111" t="s">
        <v>33294</v>
      </c>
      <c r="D11111" t="str">
        <f>HYPERLINK("https://zfin.org/ZDB-GENE-041014-350")</f>
        <v>https://zfin.org/ZDB-GENE-041014-350</v>
      </c>
      <c r="E11111" t="s">
        <v>33295</v>
      </c>
    </row>
    <row r="11112" spans="1:5" x14ac:dyDescent="0.2">
      <c r="A11112" t="s">
        <v>33296</v>
      </c>
      <c r="B11112" t="s">
        <v>33297</v>
      </c>
      <c r="C11112" t="s">
        <v>33297</v>
      </c>
      <c r="D11112" t="str">
        <f>HYPERLINK("https://zfin.org/ZDB-GENE-131127-60")</f>
        <v>https://zfin.org/ZDB-GENE-131127-60</v>
      </c>
      <c r="E11112" t="s">
        <v>33298</v>
      </c>
    </row>
    <row r="11113" spans="1:5" x14ac:dyDescent="0.2">
      <c r="A11113" t="s">
        <v>33299</v>
      </c>
      <c r="B11113" t="s">
        <v>33300</v>
      </c>
      <c r="C11113" t="s">
        <v>33300</v>
      </c>
      <c r="D11113" t="str">
        <f>HYPERLINK("https://zfin.org/ZDB-GENE-030131-3272")</f>
        <v>https://zfin.org/ZDB-GENE-030131-3272</v>
      </c>
      <c r="E11113" t="s">
        <v>33301</v>
      </c>
    </row>
    <row r="11114" spans="1:5" x14ac:dyDescent="0.2">
      <c r="A11114" t="s">
        <v>33302</v>
      </c>
      <c r="B11114" t="s">
        <v>33303</v>
      </c>
      <c r="C11114" t="s">
        <v>33303</v>
      </c>
      <c r="D11114" t="str">
        <f>HYPERLINK("https://zfin.org/ZDB-GENE-060810-52")</f>
        <v>https://zfin.org/ZDB-GENE-060810-52</v>
      </c>
      <c r="E11114" t="s">
        <v>33304</v>
      </c>
    </row>
    <row r="11115" spans="1:5" x14ac:dyDescent="0.2">
      <c r="A11115" t="s">
        <v>33305</v>
      </c>
      <c r="B11115" t="s">
        <v>33306</v>
      </c>
      <c r="C11115" t="s">
        <v>33306</v>
      </c>
      <c r="D11115" t="str">
        <f>HYPERLINK("https://zfin.org/ZDB-GENE-040426-1567")</f>
        <v>https://zfin.org/ZDB-GENE-040426-1567</v>
      </c>
      <c r="E11115" t="s">
        <v>33307</v>
      </c>
    </row>
    <row r="11116" spans="1:5" x14ac:dyDescent="0.2">
      <c r="A11116" t="s">
        <v>33308</v>
      </c>
      <c r="B11116" t="s">
        <v>33309</v>
      </c>
      <c r="C11116" t="s">
        <v>33309</v>
      </c>
      <c r="D11116" t="str">
        <f>HYPERLINK("https://zfin.org/ZDB-GENE-030616-628")</f>
        <v>https://zfin.org/ZDB-GENE-030616-628</v>
      </c>
      <c r="E11116" t="s">
        <v>33310</v>
      </c>
    </row>
    <row r="11117" spans="1:5" x14ac:dyDescent="0.2">
      <c r="A11117" t="s">
        <v>33311</v>
      </c>
      <c r="B11117" t="s">
        <v>33312</v>
      </c>
      <c r="C11117" t="s">
        <v>33312</v>
      </c>
      <c r="D11117" t="str">
        <f>HYPERLINK("https://zfin.org/ZDB-GENE-050220-10")</f>
        <v>https://zfin.org/ZDB-GENE-050220-10</v>
      </c>
      <c r="E11117" t="s">
        <v>33313</v>
      </c>
    </row>
    <row r="11118" spans="1:5" x14ac:dyDescent="0.2">
      <c r="A11118" t="s">
        <v>33314</v>
      </c>
      <c r="B11118" t="s">
        <v>33315</v>
      </c>
      <c r="C11118" t="s">
        <v>33315</v>
      </c>
      <c r="D11118" t="str">
        <f>HYPERLINK("https://zfin.org/ZDB-GENE-050417-446")</f>
        <v>https://zfin.org/ZDB-GENE-050417-446</v>
      </c>
      <c r="E11118" t="s">
        <v>33316</v>
      </c>
    </row>
    <row r="11119" spans="1:5" x14ac:dyDescent="0.2">
      <c r="A11119" t="s">
        <v>33317</v>
      </c>
      <c r="B11119" t="s">
        <v>33318</v>
      </c>
      <c r="C11119" t="s">
        <v>33318</v>
      </c>
      <c r="D11119" t="str">
        <f>HYPERLINK("https://zfin.org/ZDB-GENE-060126-3")</f>
        <v>https://zfin.org/ZDB-GENE-060126-3</v>
      </c>
      <c r="E11119" t="s">
        <v>33319</v>
      </c>
    </row>
    <row r="11120" spans="1:5" x14ac:dyDescent="0.2">
      <c r="A11120" t="s">
        <v>33320</v>
      </c>
      <c r="B11120" t="s">
        <v>33321</v>
      </c>
      <c r="C11120" t="s">
        <v>33321</v>
      </c>
      <c r="D11120" t="str">
        <f>HYPERLINK("https://zfin.org/ZDB-GENE-041010-80")</f>
        <v>https://zfin.org/ZDB-GENE-041010-80</v>
      </c>
      <c r="E11120" t="s">
        <v>33322</v>
      </c>
    </row>
    <row r="11121" spans="1:5" x14ac:dyDescent="0.2">
      <c r="A11121" t="s">
        <v>33323</v>
      </c>
      <c r="B11121" t="s">
        <v>33324</v>
      </c>
      <c r="C11121" t="s">
        <v>33324</v>
      </c>
      <c r="D11121" t="str">
        <f>HYPERLINK("https://zfin.org/ZDB-GENE-041014-346")</f>
        <v>https://zfin.org/ZDB-GENE-041014-346</v>
      </c>
      <c r="E11121" t="s">
        <v>33325</v>
      </c>
    </row>
    <row r="11122" spans="1:5" x14ac:dyDescent="0.2">
      <c r="A11122" t="s">
        <v>33326</v>
      </c>
      <c r="B11122" t="s">
        <v>33327</v>
      </c>
      <c r="C11122" t="s">
        <v>33327</v>
      </c>
      <c r="D11122" t="str">
        <f>HYPERLINK("https://zfin.org/ZDB-GENE-080204-65")</f>
        <v>https://zfin.org/ZDB-GENE-080204-65</v>
      </c>
      <c r="E11122" t="s">
        <v>33328</v>
      </c>
    </row>
    <row r="11123" spans="1:5" x14ac:dyDescent="0.2">
      <c r="A11123" t="s">
        <v>33329</v>
      </c>
      <c r="B11123" t="s">
        <v>33330</v>
      </c>
      <c r="C11123" t="s">
        <v>33330</v>
      </c>
      <c r="D11123" t="str">
        <f>HYPERLINK("https://zfin.org/ZDB-GENE-030131-9828")</f>
        <v>https://zfin.org/ZDB-GENE-030131-9828</v>
      </c>
      <c r="E11123" t="s">
        <v>33331</v>
      </c>
    </row>
    <row r="11124" spans="1:5" x14ac:dyDescent="0.2">
      <c r="A11124" t="s">
        <v>33332</v>
      </c>
      <c r="B11124" t="s">
        <v>33333</v>
      </c>
      <c r="C11124" t="s">
        <v>33333</v>
      </c>
      <c r="D11124" t="str">
        <f>HYPERLINK("https://zfin.org/ZDB-GENE-080220-35")</f>
        <v>https://zfin.org/ZDB-GENE-080220-35</v>
      </c>
      <c r="E11124" t="s">
        <v>33334</v>
      </c>
    </row>
    <row r="11125" spans="1:5" x14ac:dyDescent="0.2">
      <c r="A11125" t="s">
        <v>33335</v>
      </c>
      <c r="B11125" t="s">
        <v>33336</v>
      </c>
      <c r="C11125" t="s">
        <v>33336</v>
      </c>
      <c r="D11125" t="str">
        <f>HYPERLINK("https://zfin.org/ZDB-GENE-040801-236")</f>
        <v>https://zfin.org/ZDB-GENE-040801-236</v>
      </c>
      <c r="E11125" t="s">
        <v>33337</v>
      </c>
    </row>
    <row r="11126" spans="1:5" x14ac:dyDescent="0.2">
      <c r="A11126" t="s">
        <v>33338</v>
      </c>
      <c r="B11126" t="s">
        <v>33339</v>
      </c>
      <c r="C11126" t="s">
        <v>33339</v>
      </c>
      <c r="D11126" t="str">
        <f>HYPERLINK("https://zfin.org/ZDB-GENE-030131-4325")</f>
        <v>https://zfin.org/ZDB-GENE-030131-4325</v>
      </c>
      <c r="E11126" t="s">
        <v>33340</v>
      </c>
    </row>
    <row r="11127" spans="1:5" x14ac:dyDescent="0.2">
      <c r="A11127" t="s">
        <v>33341</v>
      </c>
      <c r="B11127" t="s">
        <v>33342</v>
      </c>
      <c r="C11127" t="s">
        <v>33342</v>
      </c>
      <c r="D11127" t="str">
        <f>HYPERLINK("https://zfin.org/ZDB-GENE-031006-13")</f>
        <v>https://zfin.org/ZDB-GENE-031006-13</v>
      </c>
      <c r="E11127" t="s">
        <v>33343</v>
      </c>
    </row>
    <row r="11128" spans="1:5" x14ac:dyDescent="0.2">
      <c r="A11128" t="s">
        <v>33344</v>
      </c>
      <c r="B11128" t="s">
        <v>33345</v>
      </c>
      <c r="C11128" t="s">
        <v>33345</v>
      </c>
      <c r="D11128" t="str">
        <f>HYPERLINK("https://zfin.org/ZDB-GENE-100921-11")</f>
        <v>https://zfin.org/ZDB-GENE-100921-11</v>
      </c>
      <c r="E11128" t="s">
        <v>33346</v>
      </c>
    </row>
    <row r="11129" spans="1:5" x14ac:dyDescent="0.2">
      <c r="A11129" t="s">
        <v>33347</v>
      </c>
      <c r="B11129" t="s">
        <v>33348</v>
      </c>
      <c r="C11129" t="s">
        <v>33348</v>
      </c>
      <c r="D11129" t="str">
        <f>HYPERLINK("https://zfin.org/ZDB-GENE-030616-47")</f>
        <v>https://zfin.org/ZDB-GENE-030616-47</v>
      </c>
      <c r="E11129" t="s">
        <v>33349</v>
      </c>
    </row>
    <row r="11130" spans="1:5" x14ac:dyDescent="0.2">
      <c r="A11130" t="s">
        <v>33350</v>
      </c>
      <c r="B11130" t="s">
        <v>33351</v>
      </c>
      <c r="C11130" t="s">
        <v>33351</v>
      </c>
      <c r="D11130" t="str">
        <f>HYPERLINK("https://zfin.org/ZDB-GENE-080723-23")</f>
        <v>https://zfin.org/ZDB-GENE-080723-23</v>
      </c>
      <c r="E11130" t="s">
        <v>33352</v>
      </c>
    </row>
    <row r="11131" spans="1:5" x14ac:dyDescent="0.2">
      <c r="A11131" t="s">
        <v>33353</v>
      </c>
      <c r="B11131" t="s">
        <v>33354</v>
      </c>
      <c r="C11131" t="s">
        <v>33354</v>
      </c>
      <c r="D11131" t="str">
        <f>HYPERLINK("https://zfin.org/ZDB-GENE-040801-6")</f>
        <v>https://zfin.org/ZDB-GENE-040801-6</v>
      </c>
      <c r="E11131" t="s">
        <v>33355</v>
      </c>
    </row>
    <row r="11132" spans="1:5" x14ac:dyDescent="0.2">
      <c r="A11132" t="s">
        <v>33356</v>
      </c>
      <c r="B11132" t="s">
        <v>33357</v>
      </c>
      <c r="C11132" t="s">
        <v>33357</v>
      </c>
      <c r="D11132" t="str">
        <f>HYPERLINK("https://zfin.org/ZDB-GENE-060825-154")</f>
        <v>https://zfin.org/ZDB-GENE-060825-154</v>
      </c>
      <c r="E11132" t="s">
        <v>33358</v>
      </c>
    </row>
    <row r="11133" spans="1:5" x14ac:dyDescent="0.2">
      <c r="A11133" t="s">
        <v>33359</v>
      </c>
      <c r="B11133" t="s">
        <v>33360</v>
      </c>
      <c r="C11133" t="s">
        <v>33360</v>
      </c>
      <c r="D11133" t="str">
        <f>HYPERLINK("https://zfin.org/ZDB-GENE-040718-487")</f>
        <v>https://zfin.org/ZDB-GENE-040718-487</v>
      </c>
      <c r="E11133" t="s">
        <v>33361</v>
      </c>
    </row>
    <row r="11134" spans="1:5" x14ac:dyDescent="0.2">
      <c r="A11134" t="s">
        <v>33362</v>
      </c>
      <c r="B11134" t="s">
        <v>33363</v>
      </c>
      <c r="C11134" t="s">
        <v>33363</v>
      </c>
      <c r="D11134" t="str">
        <f>HYPERLINK("https://zfin.org/ZDB-GENE-040426-1775")</f>
        <v>https://zfin.org/ZDB-GENE-040426-1775</v>
      </c>
      <c r="E11134" t="s">
        <v>33364</v>
      </c>
    </row>
    <row r="11135" spans="1:5" x14ac:dyDescent="0.2">
      <c r="A11135" t="s">
        <v>33365</v>
      </c>
      <c r="B11135" t="s">
        <v>33366</v>
      </c>
      <c r="C11135" t="s">
        <v>33366</v>
      </c>
      <c r="D11135" t="str">
        <f>HYPERLINK("https://zfin.org/ZDB-GENE-060503-297")</f>
        <v>https://zfin.org/ZDB-GENE-060503-297</v>
      </c>
      <c r="E11135" t="s">
        <v>33367</v>
      </c>
    </row>
    <row r="11136" spans="1:5" x14ac:dyDescent="0.2">
      <c r="A11136" t="s">
        <v>33368</v>
      </c>
      <c r="B11136" t="s">
        <v>33369</v>
      </c>
      <c r="C11136" t="s">
        <v>33369</v>
      </c>
      <c r="D11136" t="str">
        <f>HYPERLINK("https://zfin.org/ZDB-GENE-990415-252")</f>
        <v>https://zfin.org/ZDB-GENE-990415-252</v>
      </c>
      <c r="E11136" t="s">
        <v>33370</v>
      </c>
    </row>
    <row r="11137" spans="1:5" x14ac:dyDescent="0.2">
      <c r="A11137" t="s">
        <v>33371</v>
      </c>
      <c r="B11137" t="s">
        <v>33372</v>
      </c>
      <c r="C11137" t="s">
        <v>33372</v>
      </c>
      <c r="D11137" t="str">
        <f>HYPERLINK("https://zfin.org/ZDB-GENE-141212-273")</f>
        <v>https://zfin.org/ZDB-GENE-141212-273</v>
      </c>
      <c r="E11137" t="s">
        <v>33373</v>
      </c>
    </row>
    <row r="11138" spans="1:5" x14ac:dyDescent="0.2">
      <c r="A11138" t="s">
        <v>33374</v>
      </c>
      <c r="B11138" t="s">
        <v>33375</v>
      </c>
      <c r="C11138" t="s">
        <v>33375</v>
      </c>
      <c r="D11138" t="str">
        <f>HYPERLINK("https://zfin.org/ZDB-GENE-141215-60")</f>
        <v>https://zfin.org/ZDB-GENE-141215-60</v>
      </c>
      <c r="E11138" t="s">
        <v>33376</v>
      </c>
    </row>
    <row r="11139" spans="1:5" x14ac:dyDescent="0.2">
      <c r="A11139" t="s">
        <v>33377</v>
      </c>
      <c r="B11139" t="s">
        <v>33378</v>
      </c>
      <c r="C11139" t="s">
        <v>33378</v>
      </c>
      <c r="D11139" t="str">
        <f>HYPERLINK("https://zfin.org/ZDB-GENE-980526-464")</f>
        <v>https://zfin.org/ZDB-GENE-980526-464</v>
      </c>
      <c r="E11139" t="s">
        <v>33379</v>
      </c>
    </row>
    <row r="11140" spans="1:5" x14ac:dyDescent="0.2">
      <c r="A11140" t="s">
        <v>33380</v>
      </c>
      <c r="B11140" t="s">
        <v>33381</v>
      </c>
      <c r="C11140" t="s">
        <v>33381</v>
      </c>
      <c r="D11140" t="str">
        <f>HYPERLINK("https://zfin.org/ZDB-GENE-040801-266")</f>
        <v>https://zfin.org/ZDB-GENE-040801-266</v>
      </c>
      <c r="E11140" t="s">
        <v>33382</v>
      </c>
    </row>
    <row r="11141" spans="1:5" x14ac:dyDescent="0.2">
      <c r="A11141" t="s">
        <v>33383</v>
      </c>
      <c r="B11141" t="s">
        <v>33384</v>
      </c>
      <c r="C11141" t="s">
        <v>33384</v>
      </c>
      <c r="D11141" t="str">
        <f>HYPERLINK("https://zfin.org/ZDB-GENE-050522-47")</f>
        <v>https://zfin.org/ZDB-GENE-050522-47</v>
      </c>
      <c r="E11141" t="s">
        <v>33385</v>
      </c>
    </row>
    <row r="11142" spans="1:5" x14ac:dyDescent="0.2">
      <c r="A11142" t="s">
        <v>33386</v>
      </c>
      <c r="B11142" t="s">
        <v>33387</v>
      </c>
      <c r="C11142" t="s">
        <v>33387</v>
      </c>
      <c r="D11142" t="str">
        <f>HYPERLINK("https://zfin.org/ZDB-GENE-041114-181")</f>
        <v>https://zfin.org/ZDB-GENE-041114-181</v>
      </c>
      <c r="E11142" t="s">
        <v>33388</v>
      </c>
    </row>
    <row r="11143" spans="1:5" x14ac:dyDescent="0.2">
      <c r="A11143" t="s">
        <v>33389</v>
      </c>
      <c r="B11143" t="s">
        <v>33390</v>
      </c>
      <c r="C11143" t="s">
        <v>33390</v>
      </c>
      <c r="D11143" t="str">
        <f>HYPERLINK("https://zfin.org/ZDB-GENE-050419-107")</f>
        <v>https://zfin.org/ZDB-GENE-050419-107</v>
      </c>
      <c r="E11143" t="s">
        <v>33391</v>
      </c>
    </row>
    <row r="11144" spans="1:5" x14ac:dyDescent="0.2">
      <c r="A11144" t="s">
        <v>33392</v>
      </c>
      <c r="B11144" t="s">
        <v>33393</v>
      </c>
      <c r="C11144" t="s">
        <v>33393</v>
      </c>
      <c r="D11144" t="str">
        <f>HYPERLINK("https://zfin.org/ZDB-GENE-040426-1912")</f>
        <v>https://zfin.org/ZDB-GENE-040426-1912</v>
      </c>
      <c r="E11144" t="s">
        <v>33394</v>
      </c>
    </row>
    <row r="11145" spans="1:5" x14ac:dyDescent="0.2">
      <c r="A11145" t="s">
        <v>33395</v>
      </c>
      <c r="B11145" t="s">
        <v>33396</v>
      </c>
      <c r="C11145" t="s">
        <v>33396</v>
      </c>
      <c r="D11145" t="str">
        <f>HYPERLINK("https://zfin.org/ZDB-GENE-061013-184")</f>
        <v>https://zfin.org/ZDB-GENE-061013-184</v>
      </c>
      <c r="E11145" t="s">
        <v>33397</v>
      </c>
    </row>
    <row r="11146" spans="1:5" x14ac:dyDescent="0.2">
      <c r="A11146" t="s">
        <v>33398</v>
      </c>
      <c r="B11146" t="s">
        <v>33399</v>
      </c>
      <c r="C11146" t="s">
        <v>33399</v>
      </c>
      <c r="D11146" t="str">
        <f>HYPERLINK("https://zfin.org/ZDB-GENE-030131-9303")</f>
        <v>https://zfin.org/ZDB-GENE-030131-9303</v>
      </c>
      <c r="E11146" t="s">
        <v>33400</v>
      </c>
    </row>
    <row r="11147" spans="1:5" x14ac:dyDescent="0.2">
      <c r="A11147" t="s">
        <v>33401</v>
      </c>
      <c r="B11147" t="s">
        <v>33402</v>
      </c>
      <c r="C11147" t="s">
        <v>33402</v>
      </c>
      <c r="D11147" t="str">
        <f>HYPERLINK("https://zfin.org/ZDB-GENE-030131-5253")</f>
        <v>https://zfin.org/ZDB-GENE-030131-5253</v>
      </c>
      <c r="E11147" t="s">
        <v>33403</v>
      </c>
    </row>
    <row r="11148" spans="1:5" x14ac:dyDescent="0.2">
      <c r="A11148" t="s">
        <v>33404</v>
      </c>
      <c r="B11148" t="s">
        <v>33405</v>
      </c>
      <c r="C11148" t="s">
        <v>33405</v>
      </c>
      <c r="D11148" t="str">
        <f>HYPERLINK("https://zfin.org/ZDB-GENE-040426-2789")</f>
        <v>https://zfin.org/ZDB-GENE-040426-2789</v>
      </c>
      <c r="E11148" t="s">
        <v>33406</v>
      </c>
    </row>
    <row r="11149" spans="1:5" x14ac:dyDescent="0.2">
      <c r="A11149" t="s">
        <v>33407</v>
      </c>
      <c r="B11149" t="s">
        <v>33408</v>
      </c>
      <c r="C11149" t="s">
        <v>33408</v>
      </c>
      <c r="D11149" t="str">
        <f>HYPERLINK("https://zfin.org/ZDB-GENE-070912-390")</f>
        <v>https://zfin.org/ZDB-GENE-070912-390</v>
      </c>
      <c r="E11149" t="s">
        <v>33409</v>
      </c>
    </row>
    <row r="11150" spans="1:5" x14ac:dyDescent="0.2">
      <c r="A11150" t="s">
        <v>33410</v>
      </c>
      <c r="B11150" t="s">
        <v>33411</v>
      </c>
      <c r="C11150" t="s">
        <v>33411</v>
      </c>
      <c r="D11150" t="str">
        <f>HYPERLINK("https://zfin.org/ZDB-GENE-030131-210")</f>
        <v>https://zfin.org/ZDB-GENE-030131-210</v>
      </c>
      <c r="E11150" t="s">
        <v>33412</v>
      </c>
    </row>
    <row r="11151" spans="1:5" x14ac:dyDescent="0.2">
      <c r="A11151" t="s">
        <v>33413</v>
      </c>
      <c r="B11151" t="s">
        <v>33414</v>
      </c>
      <c r="C11151" t="s">
        <v>33414</v>
      </c>
      <c r="D11151" t="str">
        <f>HYPERLINK("https://zfin.org/ZDB-GENE-050809-1")</f>
        <v>https://zfin.org/ZDB-GENE-050809-1</v>
      </c>
      <c r="E11151" t="s">
        <v>33415</v>
      </c>
    </row>
    <row r="11152" spans="1:5" x14ac:dyDescent="0.2">
      <c r="A11152" t="s">
        <v>33416</v>
      </c>
      <c r="B11152" t="s">
        <v>33417</v>
      </c>
      <c r="C11152" t="s">
        <v>33417</v>
      </c>
      <c r="D11152" t="str">
        <f>HYPERLINK("https://zfin.org/ZDB-GENE-080211-1")</f>
        <v>https://zfin.org/ZDB-GENE-080211-1</v>
      </c>
      <c r="E11152" t="s">
        <v>33418</v>
      </c>
    </row>
    <row r="11153" spans="1:5" x14ac:dyDescent="0.2">
      <c r="A11153" t="s">
        <v>33419</v>
      </c>
      <c r="B11153" t="s">
        <v>33420</v>
      </c>
      <c r="C11153" t="s">
        <v>33420</v>
      </c>
      <c r="D11153" t="str">
        <f>HYPERLINK("https://zfin.org/ZDB-GENE-110914-176")</f>
        <v>https://zfin.org/ZDB-GENE-110914-176</v>
      </c>
      <c r="E11153" t="s">
        <v>33421</v>
      </c>
    </row>
    <row r="11154" spans="1:5" x14ac:dyDescent="0.2">
      <c r="A11154" t="s">
        <v>33422</v>
      </c>
      <c r="B11154" t="s">
        <v>33423</v>
      </c>
      <c r="C11154" t="s">
        <v>33423</v>
      </c>
      <c r="D11154" t="str">
        <f>HYPERLINK("https://zfin.org/ZDB-GENE-980526-255")</f>
        <v>https://zfin.org/ZDB-GENE-980526-255</v>
      </c>
      <c r="E11154" t="s">
        <v>33424</v>
      </c>
    </row>
    <row r="11155" spans="1:5" x14ac:dyDescent="0.2">
      <c r="A11155" t="s">
        <v>33425</v>
      </c>
      <c r="B11155" t="s">
        <v>33426</v>
      </c>
      <c r="C11155" t="s">
        <v>33426</v>
      </c>
      <c r="D11155" t="str">
        <f>HYPERLINK("https://zfin.org/ZDB-GENE-110914-36")</f>
        <v>https://zfin.org/ZDB-GENE-110914-36</v>
      </c>
      <c r="E11155" t="s">
        <v>33427</v>
      </c>
    </row>
    <row r="11156" spans="1:5" x14ac:dyDescent="0.2">
      <c r="A11156" t="s">
        <v>33428</v>
      </c>
      <c r="B11156" t="s">
        <v>33429</v>
      </c>
      <c r="C11156" t="s">
        <v>33429</v>
      </c>
      <c r="D11156" t="str">
        <f>HYPERLINK("https://zfin.org/ZDB-GENE-130530-744")</f>
        <v>https://zfin.org/ZDB-GENE-130530-744</v>
      </c>
      <c r="E11156" t="s">
        <v>33430</v>
      </c>
    </row>
    <row r="11157" spans="1:5" x14ac:dyDescent="0.2">
      <c r="A11157" t="s">
        <v>33431</v>
      </c>
      <c r="B11157" t="s">
        <v>33432</v>
      </c>
      <c r="C11157" t="s">
        <v>33432</v>
      </c>
      <c r="D11157" t="str">
        <f>HYPERLINK("https://zfin.org/ZDB-GENE-040426-2719")</f>
        <v>https://zfin.org/ZDB-GENE-040426-2719</v>
      </c>
      <c r="E11157" t="s">
        <v>33433</v>
      </c>
    </row>
    <row r="11158" spans="1:5" x14ac:dyDescent="0.2">
      <c r="A11158" t="s">
        <v>33434</v>
      </c>
      <c r="B11158" t="s">
        <v>33435</v>
      </c>
      <c r="C11158" t="s">
        <v>33435</v>
      </c>
      <c r="D11158" t="str">
        <f>HYPERLINK("https://zfin.org/ZDB-GENE-030131-8485")</f>
        <v>https://zfin.org/ZDB-GENE-030131-8485</v>
      </c>
      <c r="E11158" t="s">
        <v>33436</v>
      </c>
    </row>
    <row r="11159" spans="1:5" x14ac:dyDescent="0.2">
      <c r="A11159" t="s">
        <v>33437</v>
      </c>
      <c r="B11159" t="s">
        <v>33438</v>
      </c>
      <c r="C11159" t="s">
        <v>33438</v>
      </c>
      <c r="D11159" t="str">
        <f>HYPERLINK("https://zfin.org/ZDB-GENE-030131-7754")</f>
        <v>https://zfin.org/ZDB-GENE-030131-7754</v>
      </c>
      <c r="E11159" t="s">
        <v>33439</v>
      </c>
    </row>
    <row r="11160" spans="1:5" x14ac:dyDescent="0.2">
      <c r="A11160" t="s">
        <v>33440</v>
      </c>
      <c r="B11160" t="s">
        <v>33441</v>
      </c>
      <c r="C11160" t="s">
        <v>33441</v>
      </c>
      <c r="D11160" t="str">
        <f>HYPERLINK("https://zfin.org/ZDB-GENE-131121-245")</f>
        <v>https://zfin.org/ZDB-GENE-131121-245</v>
      </c>
      <c r="E11160" t="s">
        <v>33442</v>
      </c>
    </row>
    <row r="11161" spans="1:5" x14ac:dyDescent="0.2">
      <c r="A11161" t="s">
        <v>33443</v>
      </c>
      <c r="B11161" t="s">
        <v>33444</v>
      </c>
      <c r="C11161" t="s">
        <v>33444</v>
      </c>
      <c r="D11161" t="str">
        <f>HYPERLINK("https://zfin.org/")</f>
        <v>https://zfin.org/</v>
      </c>
    </row>
    <row r="11162" spans="1:5" x14ac:dyDescent="0.2">
      <c r="A11162" t="s">
        <v>33445</v>
      </c>
      <c r="B11162" t="s">
        <v>33446</v>
      </c>
      <c r="C11162" t="s">
        <v>33446</v>
      </c>
      <c r="D11162" t="str">
        <f>HYPERLINK("https://zfin.org/ZDB-GENE-041008-148")</f>
        <v>https://zfin.org/ZDB-GENE-041008-148</v>
      </c>
      <c r="E11162" t="s">
        <v>33447</v>
      </c>
    </row>
    <row r="11163" spans="1:5" x14ac:dyDescent="0.2">
      <c r="A11163" t="s">
        <v>33448</v>
      </c>
      <c r="B11163" t="s">
        <v>33449</v>
      </c>
      <c r="C11163" t="s">
        <v>33449</v>
      </c>
      <c r="D11163" t="str">
        <f>HYPERLINK("https://zfin.org/ZDB-GENE-031113-19")</f>
        <v>https://zfin.org/ZDB-GENE-031113-19</v>
      </c>
      <c r="E11163" t="s">
        <v>33450</v>
      </c>
    </row>
    <row r="11164" spans="1:5" x14ac:dyDescent="0.2">
      <c r="A11164" t="s">
        <v>33451</v>
      </c>
      <c r="B11164" t="s">
        <v>33452</v>
      </c>
      <c r="C11164" t="s">
        <v>33452</v>
      </c>
      <c r="D11164" t="str">
        <f>HYPERLINK("https://zfin.org/ZDB-GENE-110913-132")</f>
        <v>https://zfin.org/ZDB-GENE-110913-132</v>
      </c>
      <c r="E11164" t="s">
        <v>33453</v>
      </c>
    </row>
    <row r="11165" spans="1:5" x14ac:dyDescent="0.2">
      <c r="A11165" t="s">
        <v>33454</v>
      </c>
      <c r="B11165" t="s">
        <v>33455</v>
      </c>
      <c r="C11165" t="s">
        <v>33455</v>
      </c>
      <c r="D11165" t="str">
        <f>HYPERLINK("https://zfin.org/ZDB-GENE-010328-16")</f>
        <v>https://zfin.org/ZDB-GENE-010328-16</v>
      </c>
      <c r="E11165" t="s">
        <v>33456</v>
      </c>
    </row>
    <row r="11166" spans="1:5" x14ac:dyDescent="0.2">
      <c r="A11166" t="s">
        <v>33457</v>
      </c>
      <c r="B11166" t="s">
        <v>33458</v>
      </c>
      <c r="C11166" t="s">
        <v>33458</v>
      </c>
      <c r="D11166" t="str">
        <f>HYPERLINK("https://zfin.org/ZDB-GENE-041008-108")</f>
        <v>https://zfin.org/ZDB-GENE-041008-108</v>
      </c>
      <c r="E11166" t="s">
        <v>33459</v>
      </c>
    </row>
    <row r="11167" spans="1:5" x14ac:dyDescent="0.2">
      <c r="A11167" t="s">
        <v>33460</v>
      </c>
      <c r="B11167" t="s">
        <v>33461</v>
      </c>
      <c r="C11167" t="s">
        <v>33461</v>
      </c>
      <c r="D11167" t="str">
        <f>HYPERLINK("https://zfin.org/ZDB-GENE-131121-527")</f>
        <v>https://zfin.org/ZDB-GENE-131121-527</v>
      </c>
      <c r="E11167" t="s">
        <v>33462</v>
      </c>
    </row>
    <row r="11168" spans="1:5" x14ac:dyDescent="0.2">
      <c r="A11168" t="s">
        <v>33463</v>
      </c>
      <c r="B11168" t="s">
        <v>33464</v>
      </c>
      <c r="C11168" t="s">
        <v>33464</v>
      </c>
      <c r="D11168" t="str">
        <f>HYPERLINK("https://zfin.org/ZDB-GENE-081104-224")</f>
        <v>https://zfin.org/ZDB-GENE-081104-224</v>
      </c>
      <c r="E11168" t="s">
        <v>33465</v>
      </c>
    </row>
    <row r="11169" spans="1:5" x14ac:dyDescent="0.2">
      <c r="A11169" t="s">
        <v>33466</v>
      </c>
      <c r="B11169" t="s">
        <v>33467</v>
      </c>
      <c r="C11169" t="s">
        <v>33467</v>
      </c>
      <c r="D11169" t="str">
        <f>HYPERLINK("https://zfin.org/ZDB-GENE-040426-1019")</f>
        <v>https://zfin.org/ZDB-GENE-040426-1019</v>
      </c>
      <c r="E11169" t="s">
        <v>33468</v>
      </c>
    </row>
    <row r="11170" spans="1:5" x14ac:dyDescent="0.2">
      <c r="A11170" t="s">
        <v>33469</v>
      </c>
      <c r="B11170" t="s">
        <v>33470</v>
      </c>
      <c r="C11170" t="s">
        <v>33470</v>
      </c>
      <c r="D11170" t="str">
        <f>HYPERLINK("https://zfin.org/ZDB-GENE-060810-114")</f>
        <v>https://zfin.org/ZDB-GENE-060810-114</v>
      </c>
      <c r="E11170" t="s">
        <v>33471</v>
      </c>
    </row>
    <row r="11171" spans="1:5" x14ac:dyDescent="0.2">
      <c r="A11171" t="s">
        <v>33472</v>
      </c>
      <c r="B11171" t="s">
        <v>33473</v>
      </c>
      <c r="C11171" t="s">
        <v>33473</v>
      </c>
      <c r="D11171" t="str">
        <f>HYPERLINK("https://zfin.org/ZDB-GENE-120703-31")</f>
        <v>https://zfin.org/ZDB-GENE-120703-31</v>
      </c>
      <c r="E11171" t="s">
        <v>33474</v>
      </c>
    </row>
    <row r="11172" spans="1:5" x14ac:dyDescent="0.2">
      <c r="A11172" t="s">
        <v>33475</v>
      </c>
      <c r="B11172" t="s">
        <v>33476</v>
      </c>
      <c r="C11172" t="s">
        <v>33476</v>
      </c>
      <c r="D11172" t="str">
        <f>HYPERLINK("https://zfin.org/ZDB-GENE-110913-97")</f>
        <v>https://zfin.org/ZDB-GENE-110913-97</v>
      </c>
      <c r="E11172" t="s">
        <v>33477</v>
      </c>
    </row>
    <row r="11173" spans="1:5" x14ac:dyDescent="0.2">
      <c r="A11173" t="s">
        <v>33478</v>
      </c>
      <c r="B11173" t="s">
        <v>33479</v>
      </c>
      <c r="C11173" t="s">
        <v>33479</v>
      </c>
      <c r="D11173" t="str">
        <f>HYPERLINK("https://zfin.org/ZDB-GENE-120709-21")</f>
        <v>https://zfin.org/ZDB-GENE-120709-21</v>
      </c>
      <c r="E11173" t="s">
        <v>33480</v>
      </c>
    </row>
    <row r="11174" spans="1:5" x14ac:dyDescent="0.2">
      <c r="A11174" t="s">
        <v>33481</v>
      </c>
      <c r="B11174" t="s">
        <v>33482</v>
      </c>
      <c r="C11174" t="s">
        <v>33482</v>
      </c>
      <c r="D11174" t="str">
        <f>HYPERLINK("https://zfin.org/ZDB-GENE-060526-334")</f>
        <v>https://zfin.org/ZDB-GENE-060526-334</v>
      </c>
      <c r="E11174" t="s">
        <v>33483</v>
      </c>
    </row>
    <row r="11175" spans="1:5" x14ac:dyDescent="0.2">
      <c r="A11175" t="s">
        <v>33484</v>
      </c>
      <c r="B11175" t="s">
        <v>33485</v>
      </c>
      <c r="C11175" t="s">
        <v>33485</v>
      </c>
      <c r="D11175" t="str">
        <f>HYPERLINK("https://zfin.org/ZDB-GENE-030131-2554")</f>
        <v>https://zfin.org/ZDB-GENE-030131-2554</v>
      </c>
      <c r="E11175" t="s">
        <v>33486</v>
      </c>
    </row>
    <row r="11176" spans="1:5" x14ac:dyDescent="0.2">
      <c r="A11176" t="s">
        <v>33487</v>
      </c>
      <c r="B11176" t="s">
        <v>33488</v>
      </c>
      <c r="C11176" t="s">
        <v>33488</v>
      </c>
      <c r="D11176" t="str">
        <f>HYPERLINK("https://zfin.org/ZDB-GENE-040801-62")</f>
        <v>https://zfin.org/ZDB-GENE-040801-62</v>
      </c>
      <c r="E11176" t="s">
        <v>33489</v>
      </c>
    </row>
    <row r="11177" spans="1:5" x14ac:dyDescent="0.2">
      <c r="A11177" t="s">
        <v>33490</v>
      </c>
      <c r="B11177" t="s">
        <v>33491</v>
      </c>
      <c r="C11177" t="s">
        <v>33491</v>
      </c>
      <c r="D11177" t="str">
        <f>HYPERLINK("https://zfin.org/ZDB-GENE-040426-2682")</f>
        <v>https://zfin.org/ZDB-GENE-040426-2682</v>
      </c>
      <c r="E11177" t="s">
        <v>33492</v>
      </c>
    </row>
    <row r="11178" spans="1:5" x14ac:dyDescent="0.2">
      <c r="A11178" t="s">
        <v>33493</v>
      </c>
      <c r="B11178" t="s">
        <v>33494</v>
      </c>
      <c r="C11178" t="s">
        <v>33494</v>
      </c>
      <c r="D11178" t="str">
        <f>HYPERLINK("https://zfin.org/ZDB-GENE-090319-5")</f>
        <v>https://zfin.org/ZDB-GENE-090319-5</v>
      </c>
      <c r="E11178" t="s">
        <v>33495</v>
      </c>
    </row>
    <row r="11179" spans="1:5" x14ac:dyDescent="0.2">
      <c r="A11179" t="s">
        <v>33496</v>
      </c>
      <c r="B11179" t="s">
        <v>33497</v>
      </c>
      <c r="C11179" t="s">
        <v>33497</v>
      </c>
      <c r="D11179" t="str">
        <f>HYPERLINK("https://zfin.org/ZDB-GENE-140106-97")</f>
        <v>https://zfin.org/ZDB-GENE-140106-97</v>
      </c>
      <c r="E11179" t="s">
        <v>33498</v>
      </c>
    </row>
    <row r="11180" spans="1:5" x14ac:dyDescent="0.2">
      <c r="A11180" t="s">
        <v>33499</v>
      </c>
      <c r="B11180" t="s">
        <v>33500</v>
      </c>
      <c r="C11180" t="s">
        <v>33500</v>
      </c>
      <c r="D11180" t="str">
        <f>HYPERLINK("https://zfin.org/ZDB-GENE-041111-296")</f>
        <v>https://zfin.org/ZDB-GENE-041111-296</v>
      </c>
      <c r="E11180" t="s">
        <v>33501</v>
      </c>
    </row>
    <row r="11181" spans="1:5" x14ac:dyDescent="0.2">
      <c r="A11181" t="s">
        <v>33502</v>
      </c>
      <c r="B11181" t="s">
        <v>33503</v>
      </c>
      <c r="C11181" t="s">
        <v>33503</v>
      </c>
      <c r="D11181" t="str">
        <f>HYPERLINK("https://zfin.org/ZDB-GENE-040718-292")</f>
        <v>https://zfin.org/ZDB-GENE-040718-292</v>
      </c>
      <c r="E11181" t="s">
        <v>33504</v>
      </c>
    </row>
    <row r="11182" spans="1:5" x14ac:dyDescent="0.2">
      <c r="A11182" t="s">
        <v>33505</v>
      </c>
      <c r="B11182" t="s">
        <v>33506</v>
      </c>
      <c r="C11182" t="s">
        <v>33506</v>
      </c>
      <c r="D11182" t="str">
        <f>HYPERLINK("https://zfin.org/ZDB-GENE-051120-147")</f>
        <v>https://zfin.org/ZDB-GENE-051120-147</v>
      </c>
      <c r="E11182" t="s">
        <v>33507</v>
      </c>
    </row>
    <row r="11183" spans="1:5" x14ac:dyDescent="0.2">
      <c r="A11183" t="s">
        <v>33508</v>
      </c>
      <c r="B11183" t="s">
        <v>33509</v>
      </c>
      <c r="C11183" t="s">
        <v>33509</v>
      </c>
      <c r="D11183" t="str">
        <f>HYPERLINK("https://zfin.org/ZDB-GENE-091204-310")</f>
        <v>https://zfin.org/ZDB-GENE-091204-310</v>
      </c>
      <c r="E11183" t="s">
        <v>33510</v>
      </c>
    </row>
    <row r="11184" spans="1:5" x14ac:dyDescent="0.2">
      <c r="A11184" t="s">
        <v>33511</v>
      </c>
      <c r="B11184" t="s">
        <v>33512</v>
      </c>
      <c r="C11184" t="s">
        <v>33512</v>
      </c>
      <c r="D11184" t="str">
        <f>HYPERLINK("https://zfin.org/ZDB-GENE-030131-2637")</f>
        <v>https://zfin.org/ZDB-GENE-030131-2637</v>
      </c>
      <c r="E11184" t="s">
        <v>33513</v>
      </c>
    </row>
    <row r="11185" spans="1:5" x14ac:dyDescent="0.2">
      <c r="A11185" t="s">
        <v>33514</v>
      </c>
      <c r="B11185" t="s">
        <v>33515</v>
      </c>
      <c r="C11185" t="s">
        <v>33515</v>
      </c>
      <c r="D11185" t="str">
        <f>HYPERLINK("https://zfin.org/ZDB-GENE-010730-1")</f>
        <v>https://zfin.org/ZDB-GENE-010730-1</v>
      </c>
      <c r="E11185" t="s">
        <v>33516</v>
      </c>
    </row>
    <row r="11186" spans="1:5" x14ac:dyDescent="0.2">
      <c r="A11186" t="s">
        <v>33517</v>
      </c>
      <c r="B11186" t="s">
        <v>33518</v>
      </c>
      <c r="C11186" t="s">
        <v>33518</v>
      </c>
      <c r="D11186" t="str">
        <f>HYPERLINK("https://zfin.org/ZDB-GENE-050809-129")</f>
        <v>https://zfin.org/ZDB-GENE-050809-129</v>
      </c>
      <c r="E11186" t="s">
        <v>33519</v>
      </c>
    </row>
    <row r="11187" spans="1:5" x14ac:dyDescent="0.2">
      <c r="A11187" t="s">
        <v>33520</v>
      </c>
      <c r="B11187" t="s">
        <v>33521</v>
      </c>
      <c r="C11187" t="s">
        <v>33521</v>
      </c>
      <c r="D11187" t="str">
        <f>HYPERLINK("https://zfin.org/ZDB-GENE-070424-65")</f>
        <v>https://zfin.org/ZDB-GENE-070424-65</v>
      </c>
      <c r="E11187" t="s">
        <v>33522</v>
      </c>
    </row>
    <row r="11188" spans="1:5" x14ac:dyDescent="0.2">
      <c r="A11188" t="s">
        <v>33523</v>
      </c>
      <c r="B11188" t="s">
        <v>33524</v>
      </c>
      <c r="C11188" t="s">
        <v>33524</v>
      </c>
      <c r="D11188" t="str">
        <f>HYPERLINK("https://zfin.org/ZDB-GENE-030311-1")</f>
        <v>https://zfin.org/ZDB-GENE-030311-1</v>
      </c>
      <c r="E11188" t="s">
        <v>33525</v>
      </c>
    </row>
    <row r="11189" spans="1:5" x14ac:dyDescent="0.2">
      <c r="A11189" t="s">
        <v>33526</v>
      </c>
      <c r="B11189" t="s">
        <v>33527</v>
      </c>
      <c r="C11189" t="s">
        <v>33527</v>
      </c>
      <c r="D11189" t="str">
        <f>HYPERLINK("https://zfin.org/ZDB-GENE-060929-240")</f>
        <v>https://zfin.org/ZDB-GENE-060929-240</v>
      </c>
      <c r="E11189" t="s">
        <v>33528</v>
      </c>
    </row>
    <row r="11190" spans="1:5" x14ac:dyDescent="0.2">
      <c r="A11190" t="s">
        <v>33529</v>
      </c>
      <c r="B11190" t="s">
        <v>33530</v>
      </c>
      <c r="C11190" t="s">
        <v>33530</v>
      </c>
      <c r="D11190" t="str">
        <f>HYPERLINK("https://zfin.org/ZDB-GENE-050208-740")</f>
        <v>https://zfin.org/ZDB-GENE-050208-740</v>
      </c>
      <c r="E11190" t="s">
        <v>33531</v>
      </c>
    </row>
    <row r="11191" spans="1:5" x14ac:dyDescent="0.2">
      <c r="A11191" t="s">
        <v>33532</v>
      </c>
      <c r="B11191" t="s">
        <v>33533</v>
      </c>
      <c r="C11191" t="s">
        <v>33533</v>
      </c>
      <c r="D11191" t="str">
        <f>HYPERLINK("https://zfin.org/ZDB-GENE-030131-975")</f>
        <v>https://zfin.org/ZDB-GENE-030131-975</v>
      </c>
      <c r="E11191" t="s">
        <v>33534</v>
      </c>
    </row>
    <row r="11192" spans="1:5" x14ac:dyDescent="0.2">
      <c r="A11192" t="s">
        <v>33535</v>
      </c>
      <c r="B11192" t="s">
        <v>33536</v>
      </c>
      <c r="C11192" t="s">
        <v>33536</v>
      </c>
      <c r="D11192" t="str">
        <f>HYPERLINK("https://zfin.org/ZDB-GENE-061013-403")</f>
        <v>https://zfin.org/ZDB-GENE-061013-403</v>
      </c>
      <c r="E11192" t="s">
        <v>33537</v>
      </c>
    </row>
    <row r="11193" spans="1:5" x14ac:dyDescent="0.2">
      <c r="A11193" t="s">
        <v>33538</v>
      </c>
      <c r="B11193" t="s">
        <v>33539</v>
      </c>
      <c r="C11193" t="s">
        <v>33539</v>
      </c>
      <c r="D11193" t="str">
        <f>HYPERLINK("https://zfin.org/ZDB-GENE-050506-42")</f>
        <v>https://zfin.org/ZDB-GENE-050506-42</v>
      </c>
      <c r="E11193" t="s">
        <v>33540</v>
      </c>
    </row>
    <row r="11194" spans="1:5" x14ac:dyDescent="0.2">
      <c r="A11194" t="s">
        <v>33541</v>
      </c>
      <c r="B11194" t="s">
        <v>33542</v>
      </c>
      <c r="C11194" t="s">
        <v>33542</v>
      </c>
      <c r="D11194" t="str">
        <f>HYPERLINK("https://zfin.org/ZDB-GENE-141211-81")</f>
        <v>https://zfin.org/ZDB-GENE-141211-81</v>
      </c>
      <c r="E11194" t="s">
        <v>33543</v>
      </c>
    </row>
    <row r="11195" spans="1:5" x14ac:dyDescent="0.2">
      <c r="A11195" t="s">
        <v>33544</v>
      </c>
      <c r="B11195" t="s">
        <v>33545</v>
      </c>
      <c r="C11195" t="s">
        <v>33545</v>
      </c>
      <c r="D11195" t="str">
        <f>HYPERLINK("https://zfin.org/ZDB-GENE-131127-646")</f>
        <v>https://zfin.org/ZDB-GENE-131127-646</v>
      </c>
      <c r="E11195" t="s">
        <v>33546</v>
      </c>
    </row>
    <row r="11196" spans="1:5" x14ac:dyDescent="0.2">
      <c r="A11196" t="s">
        <v>33547</v>
      </c>
      <c r="B11196" t="s">
        <v>33548</v>
      </c>
      <c r="C11196" t="s">
        <v>33548</v>
      </c>
      <c r="D11196" t="str">
        <f>HYPERLINK("https://zfin.org/ZDB-GENE-081104-156")</f>
        <v>https://zfin.org/ZDB-GENE-081104-156</v>
      </c>
      <c r="E11196" t="s">
        <v>33549</v>
      </c>
    </row>
    <row r="11197" spans="1:5" x14ac:dyDescent="0.2">
      <c r="A11197" t="s">
        <v>33550</v>
      </c>
      <c r="B11197" t="s">
        <v>33551</v>
      </c>
      <c r="C11197" t="s">
        <v>33551</v>
      </c>
      <c r="D11197" t="str">
        <f>HYPERLINK("https://zfin.org/ZDB-GENE-050208-529")</f>
        <v>https://zfin.org/ZDB-GENE-050208-529</v>
      </c>
      <c r="E11197" t="s">
        <v>33552</v>
      </c>
    </row>
    <row r="11198" spans="1:5" x14ac:dyDescent="0.2">
      <c r="A11198" t="s">
        <v>33553</v>
      </c>
      <c r="B11198" t="s">
        <v>33554</v>
      </c>
      <c r="C11198" t="s">
        <v>33554</v>
      </c>
      <c r="D11198" t="str">
        <f>HYPERLINK("https://zfin.org/ZDB-GENE-060126-2")</f>
        <v>https://zfin.org/ZDB-GENE-060126-2</v>
      </c>
      <c r="E11198" t="s">
        <v>33555</v>
      </c>
    </row>
    <row r="11199" spans="1:5" x14ac:dyDescent="0.2">
      <c r="A11199" t="s">
        <v>33556</v>
      </c>
      <c r="B11199" t="s">
        <v>33557</v>
      </c>
      <c r="C11199" t="s">
        <v>33557</v>
      </c>
      <c r="D11199" t="str">
        <f>HYPERLINK("https://zfin.org/ZDB-GENE-040426-2951")</f>
        <v>https://zfin.org/ZDB-GENE-040426-2951</v>
      </c>
      <c r="E11199" t="s">
        <v>33558</v>
      </c>
    </row>
    <row r="11200" spans="1:5" x14ac:dyDescent="0.2">
      <c r="A11200" t="s">
        <v>33559</v>
      </c>
      <c r="B11200" t="s">
        <v>33560</v>
      </c>
      <c r="C11200" t="s">
        <v>33560</v>
      </c>
      <c r="D11200" t="str">
        <f>HYPERLINK("https://zfin.org/ZDB-GENE-020103-2")</f>
        <v>https://zfin.org/ZDB-GENE-020103-2</v>
      </c>
      <c r="E11200" t="s">
        <v>33561</v>
      </c>
    </row>
    <row r="11201" spans="1:5" x14ac:dyDescent="0.2">
      <c r="A11201" t="s">
        <v>33562</v>
      </c>
      <c r="B11201" t="s">
        <v>33563</v>
      </c>
      <c r="C11201" t="s">
        <v>33563</v>
      </c>
      <c r="D11201" t="str">
        <f>HYPERLINK("https://zfin.org/ZDB-GENE-110411-183")</f>
        <v>https://zfin.org/ZDB-GENE-110411-183</v>
      </c>
      <c r="E11201" t="s">
        <v>33564</v>
      </c>
    </row>
    <row r="11202" spans="1:5" x14ac:dyDescent="0.2">
      <c r="A11202" t="s">
        <v>33565</v>
      </c>
      <c r="B11202" t="s">
        <v>33566</v>
      </c>
      <c r="C11202" t="s">
        <v>33566</v>
      </c>
      <c r="D11202" t="str">
        <f>HYPERLINK("https://zfin.org/ZDB-GENE-011212-1")</f>
        <v>https://zfin.org/ZDB-GENE-011212-1</v>
      </c>
      <c r="E11202" t="s">
        <v>33567</v>
      </c>
    </row>
    <row r="11203" spans="1:5" x14ac:dyDescent="0.2">
      <c r="A11203" t="s">
        <v>33568</v>
      </c>
      <c r="B11203" t="s">
        <v>33569</v>
      </c>
      <c r="C11203" t="s">
        <v>33569</v>
      </c>
      <c r="D11203" t="str">
        <f>HYPERLINK("https://zfin.org/ZDB-GENE-040801-95")</f>
        <v>https://zfin.org/ZDB-GENE-040801-95</v>
      </c>
      <c r="E11203" t="s">
        <v>33570</v>
      </c>
    </row>
    <row r="11204" spans="1:5" x14ac:dyDescent="0.2">
      <c r="A11204" t="s">
        <v>33571</v>
      </c>
      <c r="B11204" t="s">
        <v>33572</v>
      </c>
      <c r="C11204" t="s">
        <v>33572</v>
      </c>
      <c r="D11204" t="str">
        <f>HYPERLINK("https://zfin.org/ZDB-GENE-041210-223")</f>
        <v>https://zfin.org/ZDB-GENE-041210-223</v>
      </c>
      <c r="E11204" t="s">
        <v>33573</v>
      </c>
    </row>
    <row r="11205" spans="1:5" x14ac:dyDescent="0.2">
      <c r="A11205" t="s">
        <v>33574</v>
      </c>
      <c r="B11205" t="s">
        <v>33575</v>
      </c>
      <c r="C11205" t="s">
        <v>33575</v>
      </c>
      <c r="D11205" t="str">
        <f>HYPERLINK("https://zfin.org/ZDB-GENE-050208-449")</f>
        <v>https://zfin.org/ZDB-GENE-050208-449</v>
      </c>
      <c r="E11205" t="s">
        <v>33576</v>
      </c>
    </row>
    <row r="11206" spans="1:5" x14ac:dyDescent="0.2">
      <c r="A11206" t="s">
        <v>33577</v>
      </c>
      <c r="B11206" t="s">
        <v>33578</v>
      </c>
      <c r="C11206" t="s">
        <v>33578</v>
      </c>
      <c r="D11206" t="str">
        <f>HYPERLINK("https://zfin.org/ZDB-GENE-040426-2238")</f>
        <v>https://zfin.org/ZDB-GENE-040426-2238</v>
      </c>
      <c r="E11206" t="s">
        <v>33579</v>
      </c>
    </row>
    <row r="11207" spans="1:5" x14ac:dyDescent="0.2">
      <c r="A11207" t="s">
        <v>33580</v>
      </c>
      <c r="B11207" t="s">
        <v>33581</v>
      </c>
      <c r="C11207" t="s">
        <v>33581</v>
      </c>
      <c r="D11207" t="str">
        <f>HYPERLINK("https://zfin.org/ZDB-GENE-030825-3")</f>
        <v>https://zfin.org/ZDB-GENE-030825-3</v>
      </c>
      <c r="E11207" t="s">
        <v>33582</v>
      </c>
    </row>
    <row r="11208" spans="1:5" x14ac:dyDescent="0.2">
      <c r="A11208" t="s">
        <v>33583</v>
      </c>
      <c r="B11208" t="s">
        <v>33584</v>
      </c>
      <c r="C11208" t="s">
        <v>33584</v>
      </c>
      <c r="D11208" t="str">
        <f>HYPERLINK("https://zfin.org/ZDB-GENE-060815-4")</f>
        <v>https://zfin.org/ZDB-GENE-060815-4</v>
      </c>
      <c r="E11208" t="s">
        <v>33585</v>
      </c>
    </row>
    <row r="11209" spans="1:5" x14ac:dyDescent="0.2">
      <c r="A11209" t="s">
        <v>33586</v>
      </c>
      <c r="B11209" t="s">
        <v>33587</v>
      </c>
      <c r="C11209" t="s">
        <v>33587</v>
      </c>
      <c r="D11209" t="str">
        <f>HYPERLINK("https://zfin.org/ZDB-GENE-030616-512")</f>
        <v>https://zfin.org/ZDB-GENE-030616-512</v>
      </c>
      <c r="E11209" t="s">
        <v>33588</v>
      </c>
    </row>
    <row r="11210" spans="1:5" x14ac:dyDescent="0.2">
      <c r="A11210" t="s">
        <v>33589</v>
      </c>
      <c r="B11210" t="s">
        <v>33590</v>
      </c>
      <c r="C11210" t="s">
        <v>33590</v>
      </c>
      <c r="D11210" t="str">
        <f>HYPERLINK("https://zfin.org/ZDB-GENE-040827-4")</f>
        <v>https://zfin.org/ZDB-GENE-040827-4</v>
      </c>
      <c r="E11210" t="s">
        <v>33591</v>
      </c>
    </row>
    <row r="11211" spans="1:5" x14ac:dyDescent="0.2">
      <c r="A11211" t="s">
        <v>33592</v>
      </c>
      <c r="B11211" t="s">
        <v>33593</v>
      </c>
      <c r="C11211" t="s">
        <v>33593</v>
      </c>
      <c r="D11211" t="str">
        <f>HYPERLINK("https://zfin.org/ZDB-GENE-060531-152")</f>
        <v>https://zfin.org/ZDB-GENE-060531-152</v>
      </c>
      <c r="E11211" t="s">
        <v>33594</v>
      </c>
    </row>
    <row r="11212" spans="1:5" x14ac:dyDescent="0.2">
      <c r="A11212" t="s">
        <v>33595</v>
      </c>
      <c r="B11212" t="s">
        <v>33596</v>
      </c>
      <c r="C11212" t="s">
        <v>33596</v>
      </c>
      <c r="D11212" t="str">
        <f>HYPERLINK("https://zfin.org/ZDB-GENE-030113-3")</f>
        <v>https://zfin.org/ZDB-GENE-030113-3</v>
      </c>
      <c r="E11212" t="s">
        <v>33597</v>
      </c>
    </row>
    <row r="11213" spans="1:5" x14ac:dyDescent="0.2">
      <c r="A11213" t="s">
        <v>33598</v>
      </c>
      <c r="B11213" t="s">
        <v>33599</v>
      </c>
      <c r="C11213" t="s">
        <v>33599</v>
      </c>
      <c r="D11213" t="str">
        <f>HYPERLINK("https://zfin.org/ZDB-GENE-040426-1342")</f>
        <v>https://zfin.org/ZDB-GENE-040426-1342</v>
      </c>
      <c r="E11213" t="s">
        <v>33600</v>
      </c>
    </row>
    <row r="11214" spans="1:5" x14ac:dyDescent="0.2">
      <c r="A11214" t="s">
        <v>33601</v>
      </c>
      <c r="B11214" t="s">
        <v>33602</v>
      </c>
      <c r="C11214" t="s">
        <v>33602</v>
      </c>
      <c r="D11214" t="str">
        <f>HYPERLINK("https://zfin.org/ZDB-GENE-030131-4108")</f>
        <v>https://zfin.org/ZDB-GENE-030131-4108</v>
      </c>
      <c r="E11214" t="s">
        <v>33603</v>
      </c>
    </row>
    <row r="11215" spans="1:5" x14ac:dyDescent="0.2">
      <c r="A11215" t="s">
        <v>33604</v>
      </c>
      <c r="B11215" t="s">
        <v>33605</v>
      </c>
      <c r="C11215" t="s">
        <v>33605</v>
      </c>
      <c r="D11215" t="str">
        <f>HYPERLINK("https://zfin.org/ZDB-GENE-061013-323")</f>
        <v>https://zfin.org/ZDB-GENE-061013-323</v>
      </c>
      <c r="E11215" t="s">
        <v>33606</v>
      </c>
    </row>
    <row r="11216" spans="1:5" x14ac:dyDescent="0.2">
      <c r="A11216" t="s">
        <v>33607</v>
      </c>
      <c r="B11216" t="s">
        <v>33608</v>
      </c>
      <c r="C11216" t="s">
        <v>33608</v>
      </c>
      <c r="D11216" t="str">
        <f>HYPERLINK("https://zfin.org/ZDB-GENE-030616-531")</f>
        <v>https://zfin.org/ZDB-GENE-030616-531</v>
      </c>
      <c r="E11216" t="s">
        <v>33609</v>
      </c>
    </row>
    <row r="11217" spans="1:5" x14ac:dyDescent="0.2">
      <c r="A11217" t="s">
        <v>33610</v>
      </c>
      <c r="B11217" t="s">
        <v>33611</v>
      </c>
      <c r="C11217" t="s">
        <v>33611</v>
      </c>
      <c r="D11217" t="str">
        <f>HYPERLINK("https://zfin.org/ZDB-GENE-131125-74")</f>
        <v>https://zfin.org/ZDB-GENE-131125-74</v>
      </c>
      <c r="E11217" t="s">
        <v>33612</v>
      </c>
    </row>
    <row r="11218" spans="1:5" x14ac:dyDescent="0.2">
      <c r="A11218" t="s">
        <v>33613</v>
      </c>
      <c r="B11218" t="s">
        <v>33614</v>
      </c>
      <c r="C11218" t="s">
        <v>33614</v>
      </c>
      <c r="D11218" t="str">
        <f>HYPERLINK("https://zfin.org/ZDB-GENE-030616-532")</f>
        <v>https://zfin.org/ZDB-GENE-030616-532</v>
      </c>
      <c r="E11218" t="s">
        <v>33615</v>
      </c>
    </row>
    <row r="11219" spans="1:5" x14ac:dyDescent="0.2">
      <c r="A11219" t="s">
        <v>33616</v>
      </c>
      <c r="B11219" t="s">
        <v>33617</v>
      </c>
      <c r="C11219" t="s">
        <v>33617</v>
      </c>
      <c r="D11219" t="str">
        <f>HYPERLINK("https://zfin.org/")</f>
        <v>https://zfin.org/</v>
      </c>
    </row>
    <row r="11220" spans="1:5" x14ac:dyDescent="0.2">
      <c r="A11220" t="s">
        <v>33618</v>
      </c>
      <c r="B11220" t="s">
        <v>33619</v>
      </c>
      <c r="C11220" t="s">
        <v>33619</v>
      </c>
      <c r="D11220" t="str">
        <f>HYPERLINK("https://zfin.org/ZDB-GENE-040426-1307")</f>
        <v>https://zfin.org/ZDB-GENE-040426-1307</v>
      </c>
      <c r="E11220" t="s">
        <v>33620</v>
      </c>
    </row>
    <row r="11221" spans="1:5" x14ac:dyDescent="0.2">
      <c r="A11221" t="s">
        <v>33621</v>
      </c>
      <c r="B11221" t="s">
        <v>33622</v>
      </c>
      <c r="C11221" t="s">
        <v>33622</v>
      </c>
      <c r="D11221" t="str">
        <f>HYPERLINK("https://zfin.org/ZDB-GENE-020318-2")</f>
        <v>https://zfin.org/ZDB-GENE-020318-2</v>
      </c>
      <c r="E11221" t="s">
        <v>33623</v>
      </c>
    </row>
    <row r="11222" spans="1:5" x14ac:dyDescent="0.2">
      <c r="A11222" t="s">
        <v>33624</v>
      </c>
      <c r="B11222" t="s">
        <v>33625</v>
      </c>
      <c r="C11222" t="s">
        <v>33625</v>
      </c>
      <c r="D11222" t="str">
        <f>HYPERLINK("https://zfin.org/ZDB-GENE-110914-194")</f>
        <v>https://zfin.org/ZDB-GENE-110914-194</v>
      </c>
      <c r="E11222" t="s">
        <v>33626</v>
      </c>
    </row>
    <row r="11223" spans="1:5" x14ac:dyDescent="0.2">
      <c r="A11223" t="s">
        <v>33627</v>
      </c>
      <c r="B11223" t="s">
        <v>33628</v>
      </c>
      <c r="C11223" t="s">
        <v>33628</v>
      </c>
      <c r="D11223" t="str">
        <f>HYPERLINK("https://zfin.org/ZDB-GENE-040621-2")</f>
        <v>https://zfin.org/ZDB-GENE-040621-2</v>
      </c>
      <c r="E11223" t="s">
        <v>33629</v>
      </c>
    </row>
    <row r="11224" spans="1:5" x14ac:dyDescent="0.2">
      <c r="A11224" t="s">
        <v>33630</v>
      </c>
      <c r="B11224" t="s">
        <v>33631</v>
      </c>
      <c r="C11224" t="s">
        <v>33631</v>
      </c>
      <c r="D11224" t="str">
        <f>HYPERLINK("https://zfin.org/ZDB-GENE-090512-6")</f>
        <v>https://zfin.org/ZDB-GENE-090512-6</v>
      </c>
      <c r="E11224" t="s">
        <v>33632</v>
      </c>
    </row>
    <row r="11225" spans="1:5" x14ac:dyDescent="0.2">
      <c r="A11225" t="s">
        <v>33633</v>
      </c>
      <c r="B11225" t="s">
        <v>33634</v>
      </c>
      <c r="C11225" t="s">
        <v>33634</v>
      </c>
      <c r="D11225" t="str">
        <f>HYPERLINK("https://zfin.org/ZDB-GENE-091118-60")</f>
        <v>https://zfin.org/ZDB-GENE-091118-60</v>
      </c>
      <c r="E11225" t="s">
        <v>33635</v>
      </c>
    </row>
    <row r="11226" spans="1:5" x14ac:dyDescent="0.2">
      <c r="A11226" t="s">
        <v>33636</v>
      </c>
      <c r="B11226" t="s">
        <v>33637</v>
      </c>
      <c r="C11226" t="s">
        <v>33637</v>
      </c>
      <c r="D11226" t="str">
        <f>HYPERLINK("https://zfin.org/ZDB-GENE-030131-4450")</f>
        <v>https://zfin.org/ZDB-GENE-030131-4450</v>
      </c>
      <c r="E11226" t="s">
        <v>33638</v>
      </c>
    </row>
    <row r="11227" spans="1:5" x14ac:dyDescent="0.2">
      <c r="A11227" t="s">
        <v>33639</v>
      </c>
      <c r="B11227" t="s">
        <v>33640</v>
      </c>
      <c r="C11227" t="s">
        <v>33640</v>
      </c>
      <c r="D11227" t="str">
        <f>HYPERLINK("https://zfin.org/ZDB-GENE-090313-199")</f>
        <v>https://zfin.org/ZDB-GENE-090313-199</v>
      </c>
      <c r="E11227" t="s">
        <v>33641</v>
      </c>
    </row>
    <row r="11228" spans="1:5" x14ac:dyDescent="0.2">
      <c r="A11228" t="s">
        <v>33642</v>
      </c>
      <c r="B11228" t="s">
        <v>33643</v>
      </c>
      <c r="C11228" t="s">
        <v>33643</v>
      </c>
      <c r="D11228" t="str">
        <f>HYPERLINK("https://zfin.org/ZDB-GENE-131121-569")</f>
        <v>https://zfin.org/ZDB-GENE-131121-569</v>
      </c>
      <c r="E11228" t="s">
        <v>33644</v>
      </c>
    </row>
    <row r="11229" spans="1:5" x14ac:dyDescent="0.2">
      <c r="A11229" t="s">
        <v>33645</v>
      </c>
      <c r="B11229" t="s">
        <v>33646</v>
      </c>
      <c r="C11229" t="s">
        <v>33646</v>
      </c>
      <c r="D11229" t="str">
        <f>HYPERLINK("https://zfin.org/ZDB-GENE-131127-564")</f>
        <v>https://zfin.org/ZDB-GENE-131127-564</v>
      </c>
      <c r="E11229" t="s">
        <v>33647</v>
      </c>
    </row>
    <row r="11230" spans="1:5" x14ac:dyDescent="0.2">
      <c r="A11230" t="s">
        <v>33648</v>
      </c>
      <c r="B11230" t="s">
        <v>33649</v>
      </c>
      <c r="C11230" t="s">
        <v>33649</v>
      </c>
      <c r="D11230" t="str">
        <f>HYPERLINK("https://zfin.org/ZDB-GENE-040718-112")</f>
        <v>https://zfin.org/ZDB-GENE-040718-112</v>
      </c>
      <c r="E11230" t="s">
        <v>33650</v>
      </c>
    </row>
    <row r="11231" spans="1:5" x14ac:dyDescent="0.2">
      <c r="A11231" t="s">
        <v>33651</v>
      </c>
      <c r="B11231" t="s">
        <v>33652</v>
      </c>
      <c r="C11231" t="s">
        <v>33652</v>
      </c>
      <c r="D11231" t="str">
        <f>HYPERLINK("https://zfin.org/ZDB-GENE-090313-231")</f>
        <v>https://zfin.org/ZDB-GENE-090313-231</v>
      </c>
      <c r="E11231" t="s">
        <v>33653</v>
      </c>
    </row>
    <row r="11232" spans="1:5" x14ac:dyDescent="0.2">
      <c r="A11232" t="s">
        <v>33654</v>
      </c>
      <c r="B11232" t="s">
        <v>33655</v>
      </c>
      <c r="C11232" t="s">
        <v>33655</v>
      </c>
      <c r="D11232" t="str">
        <f>HYPERLINK("https://zfin.org/ZDB-GENE-021016-1")</f>
        <v>https://zfin.org/ZDB-GENE-021016-1</v>
      </c>
      <c r="E11232" t="s">
        <v>33656</v>
      </c>
    </row>
    <row r="11233" spans="1:5" x14ac:dyDescent="0.2">
      <c r="A11233" t="s">
        <v>33657</v>
      </c>
      <c r="B11233" t="s">
        <v>33658</v>
      </c>
      <c r="C11233" t="s">
        <v>33658</v>
      </c>
      <c r="D11233" t="str">
        <f>HYPERLINK("https://zfin.org/ZDB-GENE-050417-345")</f>
        <v>https://zfin.org/ZDB-GENE-050417-345</v>
      </c>
      <c r="E11233" t="s">
        <v>33659</v>
      </c>
    </row>
    <row r="11234" spans="1:5" x14ac:dyDescent="0.2">
      <c r="A11234" t="s">
        <v>33660</v>
      </c>
      <c r="B11234" t="s">
        <v>33661</v>
      </c>
      <c r="C11234" t="s">
        <v>33661</v>
      </c>
      <c r="D11234" t="str">
        <f>HYPERLINK("https://zfin.org/ZDB-GENE-030131-8410")</f>
        <v>https://zfin.org/ZDB-GENE-030131-8410</v>
      </c>
      <c r="E11234" t="s">
        <v>33662</v>
      </c>
    </row>
    <row r="11235" spans="1:5" x14ac:dyDescent="0.2">
      <c r="A11235" t="s">
        <v>33663</v>
      </c>
      <c r="B11235" t="s">
        <v>33664</v>
      </c>
      <c r="C11235" t="s">
        <v>33664</v>
      </c>
      <c r="D11235" t="str">
        <f>HYPERLINK("https://zfin.org/ZDB-GENE-030131-4967")</f>
        <v>https://zfin.org/ZDB-GENE-030131-4967</v>
      </c>
      <c r="E11235" t="s">
        <v>33665</v>
      </c>
    </row>
    <row r="11236" spans="1:5" x14ac:dyDescent="0.2">
      <c r="A11236" t="s">
        <v>33666</v>
      </c>
      <c r="B11236" t="s">
        <v>33667</v>
      </c>
      <c r="C11236" t="s">
        <v>33667</v>
      </c>
      <c r="D11236" t="str">
        <f>HYPERLINK("https://zfin.org/ZDB-GENE-060302-3")</f>
        <v>https://zfin.org/ZDB-GENE-060302-3</v>
      </c>
      <c r="E11236" t="s">
        <v>33668</v>
      </c>
    </row>
    <row r="11237" spans="1:5" x14ac:dyDescent="0.2">
      <c r="A11237" t="s">
        <v>33669</v>
      </c>
      <c r="B11237" t="s">
        <v>33670</v>
      </c>
      <c r="C11237" t="s">
        <v>33670</v>
      </c>
      <c r="D11237" t="str">
        <f>HYPERLINK("https://zfin.org/ZDB-GENE-070629-1")</f>
        <v>https://zfin.org/ZDB-GENE-070629-1</v>
      </c>
      <c r="E11237" t="s">
        <v>33671</v>
      </c>
    </row>
    <row r="11238" spans="1:5" x14ac:dyDescent="0.2">
      <c r="A11238" t="s">
        <v>33672</v>
      </c>
      <c r="B11238" t="s">
        <v>33673</v>
      </c>
      <c r="C11238" t="s">
        <v>33673</v>
      </c>
      <c r="D11238" t="str">
        <f>HYPERLINK("https://zfin.org/ZDB-GENE-040325-2")</f>
        <v>https://zfin.org/ZDB-GENE-040325-2</v>
      </c>
      <c r="E11238" t="s">
        <v>33674</v>
      </c>
    </row>
    <row r="11239" spans="1:5" x14ac:dyDescent="0.2">
      <c r="A11239" t="s">
        <v>33675</v>
      </c>
      <c r="B11239" t="s">
        <v>33676</v>
      </c>
      <c r="C11239" t="s">
        <v>33676</v>
      </c>
      <c r="D11239" t="str">
        <f>HYPERLINK("https://zfin.org/ZDB-GENE-040426-2788")</f>
        <v>https://zfin.org/ZDB-GENE-040426-2788</v>
      </c>
      <c r="E11239" t="s">
        <v>33677</v>
      </c>
    </row>
    <row r="11240" spans="1:5" x14ac:dyDescent="0.2">
      <c r="A11240" t="s">
        <v>33678</v>
      </c>
      <c r="B11240" t="s">
        <v>33679</v>
      </c>
      <c r="C11240" t="s">
        <v>33679</v>
      </c>
      <c r="D11240" t="str">
        <f>HYPERLINK("https://zfin.org/ZDB-GENE-000501-2")</f>
        <v>https://zfin.org/ZDB-GENE-000501-2</v>
      </c>
      <c r="E11240" t="s">
        <v>33680</v>
      </c>
    </row>
    <row r="11241" spans="1:5" x14ac:dyDescent="0.2">
      <c r="A11241" t="s">
        <v>33681</v>
      </c>
      <c r="B11241" t="s">
        <v>33682</v>
      </c>
      <c r="C11241" t="s">
        <v>33682</v>
      </c>
      <c r="D11241" t="str">
        <f>HYPERLINK("https://zfin.org/ZDB-GENE-030131-2092")</f>
        <v>https://zfin.org/ZDB-GENE-030131-2092</v>
      </c>
      <c r="E11241" t="s">
        <v>33683</v>
      </c>
    </row>
    <row r="11242" spans="1:5" x14ac:dyDescent="0.2">
      <c r="A11242" t="s">
        <v>33684</v>
      </c>
      <c r="B11242" t="s">
        <v>33685</v>
      </c>
      <c r="C11242" t="s">
        <v>33685</v>
      </c>
      <c r="D11242" t="str">
        <f>HYPERLINK("https://zfin.org/ZDB-GENE-060407-1")</f>
        <v>https://zfin.org/ZDB-GENE-060407-1</v>
      </c>
      <c r="E11242" t="s">
        <v>33686</v>
      </c>
    </row>
    <row r="11243" spans="1:5" x14ac:dyDescent="0.2">
      <c r="A11243" t="s">
        <v>33687</v>
      </c>
      <c r="B11243" t="s">
        <v>33688</v>
      </c>
      <c r="C11243" t="s">
        <v>33688</v>
      </c>
      <c r="D11243" t="str">
        <f>HYPERLINK("https://zfin.org/ZDB-GENE-040426-2671")</f>
        <v>https://zfin.org/ZDB-GENE-040426-2671</v>
      </c>
      <c r="E11243" t="s">
        <v>33689</v>
      </c>
    </row>
    <row r="11244" spans="1:5" x14ac:dyDescent="0.2">
      <c r="A11244" t="s">
        <v>33690</v>
      </c>
      <c r="B11244" t="s">
        <v>33691</v>
      </c>
      <c r="C11244" t="s">
        <v>33691</v>
      </c>
      <c r="D11244" t="str">
        <f>HYPERLINK("https://zfin.org/ZDB-GENE-061103-277")</f>
        <v>https://zfin.org/ZDB-GENE-061103-277</v>
      </c>
      <c r="E11244" t="s">
        <v>33692</v>
      </c>
    </row>
    <row r="11245" spans="1:5" x14ac:dyDescent="0.2">
      <c r="A11245" t="s">
        <v>33693</v>
      </c>
      <c r="B11245" t="s">
        <v>33694</v>
      </c>
      <c r="C11245" t="s">
        <v>33694</v>
      </c>
      <c r="D11245" t="str">
        <f>HYPERLINK("https://zfin.org/ZDB-GENE-041007-1")</f>
        <v>https://zfin.org/ZDB-GENE-041007-1</v>
      </c>
      <c r="E11245" t="s">
        <v>33695</v>
      </c>
    </row>
    <row r="11246" spans="1:5" x14ac:dyDescent="0.2">
      <c r="A11246" t="s">
        <v>33696</v>
      </c>
      <c r="B11246" t="s">
        <v>33697</v>
      </c>
      <c r="C11246" t="s">
        <v>33697</v>
      </c>
      <c r="D11246" t="str">
        <f>HYPERLINK("https://zfin.org/ZDB-GENE-110914-66")</f>
        <v>https://zfin.org/ZDB-GENE-110914-66</v>
      </c>
      <c r="E11246" t="s">
        <v>33698</v>
      </c>
    </row>
    <row r="11247" spans="1:5" x14ac:dyDescent="0.2">
      <c r="A11247" t="s">
        <v>33699</v>
      </c>
      <c r="B11247" t="s">
        <v>33700</v>
      </c>
      <c r="C11247" t="s">
        <v>33700</v>
      </c>
      <c r="D11247" t="str">
        <f>HYPERLINK("https://zfin.org/ZDB-GENE-050417-346")</f>
        <v>https://zfin.org/ZDB-GENE-050417-346</v>
      </c>
      <c r="E11247" t="s">
        <v>33701</v>
      </c>
    </row>
    <row r="11248" spans="1:5" x14ac:dyDescent="0.2">
      <c r="A11248" t="s">
        <v>33702</v>
      </c>
      <c r="B11248" t="s">
        <v>33703</v>
      </c>
      <c r="C11248" t="s">
        <v>33703</v>
      </c>
      <c r="D11248" t="str">
        <f>HYPERLINK("https://zfin.org/ZDB-GENE-131120-195")</f>
        <v>https://zfin.org/ZDB-GENE-131120-195</v>
      </c>
      <c r="E11248" t="s">
        <v>33704</v>
      </c>
    </row>
    <row r="11249" spans="1:5" x14ac:dyDescent="0.2">
      <c r="A11249" t="s">
        <v>33705</v>
      </c>
      <c r="B11249" t="s">
        <v>33706</v>
      </c>
      <c r="C11249" t="s">
        <v>33706</v>
      </c>
      <c r="D11249" t="str">
        <f>HYPERLINK("https://zfin.org/ZDB-GENE-030829-2")</f>
        <v>https://zfin.org/ZDB-GENE-030829-2</v>
      </c>
      <c r="E11249" t="s">
        <v>33707</v>
      </c>
    </row>
    <row r="11250" spans="1:5" x14ac:dyDescent="0.2">
      <c r="A11250" t="s">
        <v>33708</v>
      </c>
      <c r="B11250" t="s">
        <v>33709</v>
      </c>
      <c r="C11250" t="s">
        <v>33709</v>
      </c>
      <c r="D11250" t="str">
        <f>HYPERLINK("https://zfin.org/ZDB-GENE-081104-153")</f>
        <v>https://zfin.org/ZDB-GENE-081104-153</v>
      </c>
      <c r="E11250" t="s">
        <v>33710</v>
      </c>
    </row>
    <row r="11251" spans="1:5" x14ac:dyDescent="0.2">
      <c r="A11251" t="s">
        <v>33711</v>
      </c>
      <c r="B11251" t="s">
        <v>33712</v>
      </c>
      <c r="C11251" t="s">
        <v>33712</v>
      </c>
      <c r="D11251" t="str">
        <f>HYPERLINK("https://zfin.org/ZDB-GENE-030131-7762")</f>
        <v>https://zfin.org/ZDB-GENE-030131-7762</v>
      </c>
      <c r="E11251" t="s">
        <v>33713</v>
      </c>
    </row>
    <row r="11252" spans="1:5" x14ac:dyDescent="0.2">
      <c r="A11252" t="s">
        <v>33714</v>
      </c>
      <c r="B11252" t="s">
        <v>33715</v>
      </c>
      <c r="C11252" t="s">
        <v>33715</v>
      </c>
      <c r="D11252" t="str">
        <f>HYPERLINK("https://zfin.org/ZDB-GENE-110913-143")</f>
        <v>https://zfin.org/ZDB-GENE-110913-143</v>
      </c>
      <c r="E11252" t="s">
        <v>33716</v>
      </c>
    </row>
    <row r="11253" spans="1:5" x14ac:dyDescent="0.2">
      <c r="A11253" t="s">
        <v>33717</v>
      </c>
      <c r="B11253" t="s">
        <v>33718</v>
      </c>
      <c r="C11253" t="s">
        <v>33718</v>
      </c>
      <c r="D11253" t="str">
        <f>HYPERLINK("https://zfin.org/ZDB-GENE-010328-9")</f>
        <v>https://zfin.org/ZDB-GENE-010328-9</v>
      </c>
      <c r="E11253" t="s">
        <v>33719</v>
      </c>
    </row>
    <row r="11254" spans="1:5" x14ac:dyDescent="0.2">
      <c r="A11254" t="s">
        <v>33720</v>
      </c>
      <c r="B11254" t="s">
        <v>33721</v>
      </c>
      <c r="C11254" t="s">
        <v>33721</v>
      </c>
      <c r="D11254" t="str">
        <f>HYPERLINK("https://zfin.org/ZDB-GENE-040426-2759")</f>
        <v>https://zfin.org/ZDB-GENE-040426-2759</v>
      </c>
      <c r="E11254" t="s">
        <v>33722</v>
      </c>
    </row>
    <row r="11255" spans="1:5" x14ac:dyDescent="0.2">
      <c r="A11255" t="s">
        <v>33723</v>
      </c>
      <c r="B11255" t="s">
        <v>33724</v>
      </c>
      <c r="C11255" t="s">
        <v>33724</v>
      </c>
      <c r="D11255" t="str">
        <f>HYPERLINK("https://zfin.org/ZDB-GENE-030131-8286")</f>
        <v>https://zfin.org/ZDB-GENE-030131-8286</v>
      </c>
      <c r="E11255" t="s">
        <v>33725</v>
      </c>
    </row>
    <row r="11256" spans="1:5" x14ac:dyDescent="0.2">
      <c r="A11256" t="s">
        <v>33726</v>
      </c>
      <c r="B11256" t="s">
        <v>33727</v>
      </c>
      <c r="C11256" t="s">
        <v>33727</v>
      </c>
      <c r="D11256" t="str">
        <f>HYPERLINK("https://zfin.org/ZDB-GENE-060531-63")</f>
        <v>https://zfin.org/ZDB-GENE-060531-63</v>
      </c>
      <c r="E11256" t="s">
        <v>33728</v>
      </c>
    </row>
    <row r="11257" spans="1:5" x14ac:dyDescent="0.2">
      <c r="A11257" t="s">
        <v>33729</v>
      </c>
      <c r="B11257" t="s">
        <v>33730</v>
      </c>
      <c r="C11257" t="s">
        <v>33730</v>
      </c>
      <c r="D11257" t="str">
        <f>HYPERLINK("https://zfin.org/ZDB-GENE-030131-5516")</f>
        <v>https://zfin.org/ZDB-GENE-030131-5516</v>
      </c>
      <c r="E11257" t="s">
        <v>33731</v>
      </c>
    </row>
    <row r="11258" spans="1:5" x14ac:dyDescent="0.2">
      <c r="A11258" t="s">
        <v>33732</v>
      </c>
      <c r="B11258" t="s">
        <v>33733</v>
      </c>
      <c r="C11258" t="s">
        <v>33733</v>
      </c>
      <c r="D11258" t="str">
        <f>HYPERLINK("https://zfin.org/ZDB-GENE-020513-2")</f>
        <v>https://zfin.org/ZDB-GENE-020513-2</v>
      </c>
      <c r="E11258" t="s">
        <v>33734</v>
      </c>
    </row>
    <row r="11259" spans="1:5" x14ac:dyDescent="0.2">
      <c r="A11259" t="s">
        <v>33735</v>
      </c>
      <c r="B11259" t="s">
        <v>33736</v>
      </c>
      <c r="C11259" t="s">
        <v>33736</v>
      </c>
      <c r="D11259" t="str">
        <f>HYPERLINK("https://zfin.org/ZDB-GENE-040426-972")</f>
        <v>https://zfin.org/ZDB-GENE-040426-972</v>
      </c>
      <c r="E11259" t="s">
        <v>33737</v>
      </c>
    </row>
    <row r="11260" spans="1:5" x14ac:dyDescent="0.2">
      <c r="A11260" t="s">
        <v>33738</v>
      </c>
      <c r="B11260" t="s">
        <v>33739</v>
      </c>
      <c r="C11260" t="s">
        <v>33739</v>
      </c>
      <c r="D11260" t="str">
        <f>HYPERLINK("https://zfin.org/ZDB-GENE-030131-3410")</f>
        <v>https://zfin.org/ZDB-GENE-030131-3410</v>
      </c>
      <c r="E11260" t="s">
        <v>33740</v>
      </c>
    </row>
    <row r="11261" spans="1:5" x14ac:dyDescent="0.2">
      <c r="A11261" t="s">
        <v>33741</v>
      </c>
      <c r="B11261" t="s">
        <v>33742</v>
      </c>
      <c r="C11261" t="s">
        <v>33742</v>
      </c>
      <c r="D11261" t="str">
        <f>HYPERLINK("https://zfin.org/ZDB-GENE-030131-8752")</f>
        <v>https://zfin.org/ZDB-GENE-030131-8752</v>
      </c>
      <c r="E11261" t="s">
        <v>33743</v>
      </c>
    </row>
    <row r="11262" spans="1:5" x14ac:dyDescent="0.2">
      <c r="A11262" t="s">
        <v>33744</v>
      </c>
      <c r="B11262" t="s">
        <v>33745</v>
      </c>
      <c r="C11262" t="s">
        <v>33745</v>
      </c>
      <c r="D11262" t="str">
        <f>HYPERLINK("https://zfin.org/ZDB-GENE-050208-654")</f>
        <v>https://zfin.org/ZDB-GENE-050208-654</v>
      </c>
      <c r="E11262" t="s">
        <v>33746</v>
      </c>
    </row>
    <row r="11263" spans="1:5" x14ac:dyDescent="0.2">
      <c r="A11263" t="s">
        <v>33747</v>
      </c>
      <c r="B11263" t="s">
        <v>33748</v>
      </c>
      <c r="C11263" t="s">
        <v>33748</v>
      </c>
      <c r="D11263" t="str">
        <f>HYPERLINK("https://zfin.org/ZDB-GENE-041010-149")</f>
        <v>https://zfin.org/ZDB-GENE-041010-149</v>
      </c>
      <c r="E11263" t="s">
        <v>33749</v>
      </c>
    </row>
    <row r="11264" spans="1:5" x14ac:dyDescent="0.2">
      <c r="A11264" t="s">
        <v>33750</v>
      </c>
      <c r="B11264" t="s">
        <v>33751</v>
      </c>
      <c r="C11264" t="s">
        <v>33751</v>
      </c>
      <c r="D11264" t="str">
        <f>HYPERLINK("https://zfin.org/ZDB-GENE-030131-9111")</f>
        <v>https://zfin.org/ZDB-GENE-030131-9111</v>
      </c>
      <c r="E11264" t="s">
        <v>33752</v>
      </c>
    </row>
    <row r="11265" spans="1:5" x14ac:dyDescent="0.2">
      <c r="A11265" t="s">
        <v>33753</v>
      </c>
      <c r="B11265" t="s">
        <v>33754</v>
      </c>
      <c r="C11265" t="s">
        <v>33754</v>
      </c>
      <c r="D11265" t="str">
        <f>HYPERLINK("https://zfin.org/ZDB-GENE-041010-207")</f>
        <v>https://zfin.org/ZDB-GENE-041010-207</v>
      </c>
      <c r="E11265" t="s">
        <v>33755</v>
      </c>
    </row>
    <row r="11266" spans="1:5" x14ac:dyDescent="0.2">
      <c r="A11266" t="s">
        <v>33756</v>
      </c>
      <c r="B11266" t="s">
        <v>33757</v>
      </c>
      <c r="C11266" t="s">
        <v>33757</v>
      </c>
      <c r="D11266" t="str">
        <f>HYPERLINK("https://zfin.org/ZDB-GENE-061207-80")</f>
        <v>https://zfin.org/ZDB-GENE-061207-80</v>
      </c>
      <c r="E11266" t="s">
        <v>33758</v>
      </c>
    </row>
    <row r="11267" spans="1:5" x14ac:dyDescent="0.2">
      <c r="A11267" t="s">
        <v>33759</v>
      </c>
      <c r="B11267" t="s">
        <v>33760</v>
      </c>
      <c r="C11267" t="s">
        <v>33760</v>
      </c>
      <c r="D11267" t="str">
        <f>HYPERLINK("https://zfin.org/ZDB-GENE-030131-1650")</f>
        <v>https://zfin.org/ZDB-GENE-030131-1650</v>
      </c>
      <c r="E11267" t="s">
        <v>33761</v>
      </c>
    </row>
    <row r="11268" spans="1:5" x14ac:dyDescent="0.2">
      <c r="A11268" t="s">
        <v>33762</v>
      </c>
      <c r="B11268" t="s">
        <v>33763</v>
      </c>
      <c r="C11268" t="s">
        <v>33763</v>
      </c>
      <c r="D11268" t="str">
        <f>HYPERLINK("https://zfin.org/ZDB-GENE-091111-4")</f>
        <v>https://zfin.org/ZDB-GENE-091111-4</v>
      </c>
      <c r="E11268" t="s">
        <v>33764</v>
      </c>
    </row>
    <row r="11269" spans="1:5" x14ac:dyDescent="0.2">
      <c r="A11269" t="s">
        <v>33765</v>
      </c>
      <c r="B11269" t="s">
        <v>33766</v>
      </c>
      <c r="C11269" t="s">
        <v>33766</v>
      </c>
      <c r="D11269" t="str">
        <f>HYPERLINK("https://zfin.org/ZDB-GENE-050809-3")</f>
        <v>https://zfin.org/ZDB-GENE-050809-3</v>
      </c>
      <c r="E11269" t="s">
        <v>33767</v>
      </c>
    </row>
    <row r="11270" spans="1:5" x14ac:dyDescent="0.2">
      <c r="A11270" t="s">
        <v>33768</v>
      </c>
      <c r="B11270" t="s">
        <v>33769</v>
      </c>
      <c r="C11270" t="s">
        <v>33769</v>
      </c>
      <c r="D11270" t="str">
        <f>HYPERLINK("https://zfin.org/ZDB-GENE-030131-9034")</f>
        <v>https://zfin.org/ZDB-GENE-030131-9034</v>
      </c>
      <c r="E11270" t="s">
        <v>33770</v>
      </c>
    </row>
    <row r="11271" spans="1:5" x14ac:dyDescent="0.2">
      <c r="A11271" t="s">
        <v>33771</v>
      </c>
      <c r="B11271" t="s">
        <v>33772</v>
      </c>
      <c r="C11271" t="s">
        <v>33772</v>
      </c>
      <c r="D11271" t="str">
        <f>HYPERLINK("https://zfin.org/ZDB-GENE-040724-166")</f>
        <v>https://zfin.org/ZDB-GENE-040724-166</v>
      </c>
      <c r="E11271" t="s">
        <v>33773</v>
      </c>
    </row>
    <row r="11272" spans="1:5" x14ac:dyDescent="0.2">
      <c r="A11272" t="s">
        <v>33774</v>
      </c>
      <c r="B11272" t="s">
        <v>33775</v>
      </c>
      <c r="C11272" t="s">
        <v>33775</v>
      </c>
      <c r="D11272" t="str">
        <f>HYPERLINK("https://zfin.org/ZDB-GENE-030131-7518")</f>
        <v>https://zfin.org/ZDB-GENE-030131-7518</v>
      </c>
      <c r="E11272" t="s">
        <v>33776</v>
      </c>
    </row>
    <row r="11273" spans="1:5" x14ac:dyDescent="0.2">
      <c r="A11273" t="s">
        <v>33777</v>
      </c>
      <c r="B11273" t="s">
        <v>33778</v>
      </c>
      <c r="C11273" t="s">
        <v>33778</v>
      </c>
      <c r="D11273" t="str">
        <f>HYPERLINK("https://zfin.org/ZDB-GENE-091204-296")</f>
        <v>https://zfin.org/ZDB-GENE-091204-296</v>
      </c>
      <c r="E11273" t="s">
        <v>33779</v>
      </c>
    </row>
    <row r="11274" spans="1:5" x14ac:dyDescent="0.2">
      <c r="A11274" t="s">
        <v>33780</v>
      </c>
      <c r="B11274" t="s">
        <v>33781</v>
      </c>
      <c r="C11274" t="s">
        <v>33781</v>
      </c>
      <c r="D11274" t="str">
        <f>HYPERLINK("https://zfin.org/ZDB-GENE-050417-95")</f>
        <v>https://zfin.org/ZDB-GENE-050417-95</v>
      </c>
      <c r="E11274" t="s">
        <v>33782</v>
      </c>
    </row>
    <row r="11275" spans="1:5" x14ac:dyDescent="0.2">
      <c r="A11275" t="s">
        <v>33783</v>
      </c>
      <c r="B11275" t="s">
        <v>33784</v>
      </c>
      <c r="C11275" t="s">
        <v>33784</v>
      </c>
      <c r="D11275" t="str">
        <f>HYPERLINK("https://zfin.org/ZDB-GENE-050320-147")</f>
        <v>https://zfin.org/ZDB-GENE-050320-147</v>
      </c>
      <c r="E11275" t="s">
        <v>33785</v>
      </c>
    </row>
    <row r="11276" spans="1:5" x14ac:dyDescent="0.2">
      <c r="A11276" t="s">
        <v>33786</v>
      </c>
      <c r="B11276" t="s">
        <v>33787</v>
      </c>
      <c r="C11276" t="s">
        <v>33787</v>
      </c>
      <c r="D11276" t="str">
        <f>HYPERLINK("https://zfin.org/ZDB-GENE-060531-26")</f>
        <v>https://zfin.org/ZDB-GENE-060531-26</v>
      </c>
      <c r="E11276" t="s">
        <v>33788</v>
      </c>
    </row>
    <row r="11277" spans="1:5" x14ac:dyDescent="0.2">
      <c r="A11277" t="s">
        <v>33789</v>
      </c>
      <c r="B11277" t="s">
        <v>33790</v>
      </c>
      <c r="C11277" t="s">
        <v>33790</v>
      </c>
      <c r="D11277" t="str">
        <f>HYPERLINK("https://zfin.org/ZDB-GENE-030131-5221")</f>
        <v>https://zfin.org/ZDB-GENE-030131-5221</v>
      </c>
      <c r="E11277" t="s">
        <v>33791</v>
      </c>
    </row>
    <row r="11278" spans="1:5" x14ac:dyDescent="0.2">
      <c r="A11278" t="s">
        <v>33792</v>
      </c>
      <c r="B11278" t="s">
        <v>33793</v>
      </c>
      <c r="C11278" t="s">
        <v>33793</v>
      </c>
      <c r="D11278" t="str">
        <f>HYPERLINK("https://zfin.org/ZDB-GENE-071022-3")</f>
        <v>https://zfin.org/ZDB-GENE-071022-3</v>
      </c>
      <c r="E11278" t="s">
        <v>33794</v>
      </c>
    </row>
    <row r="11279" spans="1:5" x14ac:dyDescent="0.2">
      <c r="A11279" t="s">
        <v>33795</v>
      </c>
      <c r="B11279" t="s">
        <v>33796</v>
      </c>
      <c r="C11279" t="s">
        <v>33796</v>
      </c>
      <c r="D11279" t="str">
        <f>HYPERLINK("https://zfin.org/ZDB-GENE-030131-5561")</f>
        <v>https://zfin.org/ZDB-GENE-030131-5561</v>
      </c>
      <c r="E11279" t="s">
        <v>33797</v>
      </c>
    </row>
    <row r="11280" spans="1:5" x14ac:dyDescent="0.2">
      <c r="A11280" t="s">
        <v>33798</v>
      </c>
      <c r="B11280" t="s">
        <v>33799</v>
      </c>
      <c r="C11280" t="s">
        <v>33799</v>
      </c>
      <c r="D11280" t="str">
        <f>HYPERLINK("https://zfin.org/ZDB-GENE-060628-3")</f>
        <v>https://zfin.org/ZDB-GENE-060628-3</v>
      </c>
      <c r="E11280" t="s">
        <v>33800</v>
      </c>
    </row>
    <row r="11281" spans="1:5" x14ac:dyDescent="0.2">
      <c r="A11281" t="s">
        <v>33801</v>
      </c>
      <c r="B11281" t="s">
        <v>33802</v>
      </c>
      <c r="C11281" t="s">
        <v>33802</v>
      </c>
      <c r="D11281" t="str">
        <f>HYPERLINK("https://zfin.org/ZDB-GENE-141211-4")</f>
        <v>https://zfin.org/ZDB-GENE-141211-4</v>
      </c>
      <c r="E11281" t="s">
        <v>33803</v>
      </c>
    </row>
    <row r="11282" spans="1:5" x14ac:dyDescent="0.2">
      <c r="A11282" t="s">
        <v>33804</v>
      </c>
      <c r="B11282" t="s">
        <v>33805</v>
      </c>
      <c r="C11282" t="s">
        <v>33805</v>
      </c>
      <c r="D11282" t="str">
        <f>HYPERLINK("https://zfin.org/ZDB-GENE-030616-542")</f>
        <v>https://zfin.org/ZDB-GENE-030616-542</v>
      </c>
      <c r="E11282" t="s">
        <v>33806</v>
      </c>
    </row>
    <row r="11283" spans="1:5" x14ac:dyDescent="0.2">
      <c r="A11283" t="s">
        <v>33807</v>
      </c>
      <c r="B11283" t="s">
        <v>33808</v>
      </c>
      <c r="C11283" t="s">
        <v>33808</v>
      </c>
      <c r="D11283" t="str">
        <f>HYPERLINK("https://zfin.org/ZDB-GENE-081104-343")</f>
        <v>https://zfin.org/ZDB-GENE-081104-343</v>
      </c>
      <c r="E11283" t="s">
        <v>33809</v>
      </c>
    </row>
    <row r="11284" spans="1:5" x14ac:dyDescent="0.2">
      <c r="A11284" t="s">
        <v>33810</v>
      </c>
      <c r="B11284" t="s">
        <v>33811</v>
      </c>
      <c r="C11284" t="s">
        <v>33811</v>
      </c>
      <c r="D11284" t="str">
        <f>HYPERLINK("https://zfin.org/ZDB-GENE-040718-143")</f>
        <v>https://zfin.org/ZDB-GENE-040718-143</v>
      </c>
      <c r="E11284" t="s">
        <v>33812</v>
      </c>
    </row>
    <row r="11285" spans="1:5" x14ac:dyDescent="0.2">
      <c r="A11285" t="s">
        <v>33813</v>
      </c>
      <c r="B11285" t="s">
        <v>33814</v>
      </c>
      <c r="C11285" t="s">
        <v>33814</v>
      </c>
      <c r="D11285" t="str">
        <f>HYPERLINK("https://zfin.org/ZDB-GENE-041114-177")</f>
        <v>https://zfin.org/ZDB-GENE-041114-177</v>
      </c>
      <c r="E11285" t="s">
        <v>33815</v>
      </c>
    </row>
    <row r="11286" spans="1:5" x14ac:dyDescent="0.2">
      <c r="A11286" t="s">
        <v>33816</v>
      </c>
      <c r="B11286" t="s">
        <v>33817</v>
      </c>
      <c r="C11286" t="s">
        <v>33817</v>
      </c>
      <c r="D11286" t="str">
        <f>HYPERLINK("https://zfin.org/ZDB-GENE-090312-107")</f>
        <v>https://zfin.org/ZDB-GENE-090312-107</v>
      </c>
      <c r="E11286" t="s">
        <v>33818</v>
      </c>
    </row>
    <row r="11287" spans="1:5" x14ac:dyDescent="0.2">
      <c r="A11287" t="s">
        <v>33819</v>
      </c>
      <c r="B11287" t="s">
        <v>33820</v>
      </c>
      <c r="C11287" t="s">
        <v>33820</v>
      </c>
      <c r="D11287" t="str">
        <f>HYPERLINK("https://zfin.org/ZDB-GENE-030131-5557")</f>
        <v>https://zfin.org/ZDB-GENE-030131-5557</v>
      </c>
      <c r="E11287" t="s">
        <v>33821</v>
      </c>
    </row>
    <row r="11288" spans="1:5" x14ac:dyDescent="0.2">
      <c r="A11288" t="s">
        <v>33822</v>
      </c>
      <c r="B11288" t="s">
        <v>33823</v>
      </c>
      <c r="C11288" t="s">
        <v>33823</v>
      </c>
      <c r="D11288" t="str">
        <f>HYPERLINK("https://zfin.org/ZDB-GENE-030131-2458")</f>
        <v>https://zfin.org/ZDB-GENE-030131-2458</v>
      </c>
      <c r="E11288" t="s">
        <v>33824</v>
      </c>
    </row>
    <row r="11289" spans="1:5" x14ac:dyDescent="0.2">
      <c r="A11289" t="s">
        <v>33825</v>
      </c>
      <c r="B11289" t="s">
        <v>33826</v>
      </c>
      <c r="C11289" t="s">
        <v>33826</v>
      </c>
      <c r="D11289" t="str">
        <f>HYPERLINK("https://zfin.org/ZDB-GENE-040426-1808")</f>
        <v>https://zfin.org/ZDB-GENE-040426-1808</v>
      </c>
      <c r="E11289" t="s">
        <v>33827</v>
      </c>
    </row>
    <row r="11290" spans="1:5" x14ac:dyDescent="0.2">
      <c r="A11290" t="s">
        <v>33828</v>
      </c>
      <c r="B11290" t="s">
        <v>33829</v>
      </c>
      <c r="C11290" t="s">
        <v>33829</v>
      </c>
      <c r="D11290" t="str">
        <f>HYPERLINK("https://zfin.org/ZDB-GENE-030131-7438")</f>
        <v>https://zfin.org/ZDB-GENE-030131-7438</v>
      </c>
      <c r="E11290" t="s">
        <v>33830</v>
      </c>
    </row>
    <row r="11291" spans="1:5" x14ac:dyDescent="0.2">
      <c r="A11291" t="s">
        <v>33831</v>
      </c>
      <c r="B11291" t="s">
        <v>33832</v>
      </c>
      <c r="C11291" t="s">
        <v>33832</v>
      </c>
      <c r="D11291" t="str">
        <f>HYPERLINK("https://zfin.org/ZDB-GENE-040426-2691")</f>
        <v>https://zfin.org/ZDB-GENE-040426-2691</v>
      </c>
      <c r="E11291" t="s">
        <v>33833</v>
      </c>
    </row>
    <row r="11292" spans="1:5" x14ac:dyDescent="0.2">
      <c r="A11292" t="s">
        <v>33834</v>
      </c>
      <c r="B11292" t="s">
        <v>33835</v>
      </c>
      <c r="C11292" t="s">
        <v>33835</v>
      </c>
      <c r="D11292" t="str">
        <f>HYPERLINK("https://zfin.org/ZDB-GENE-040426-953")</f>
        <v>https://zfin.org/ZDB-GENE-040426-953</v>
      </c>
      <c r="E11292" t="s">
        <v>33836</v>
      </c>
    </row>
    <row r="11293" spans="1:5" x14ac:dyDescent="0.2">
      <c r="A11293" t="s">
        <v>33837</v>
      </c>
      <c r="B11293" t="s">
        <v>33838</v>
      </c>
      <c r="C11293" t="s">
        <v>33838</v>
      </c>
      <c r="D11293" t="str">
        <f>HYPERLINK("https://zfin.org/ZDB-GENE-050522-419")</f>
        <v>https://zfin.org/ZDB-GENE-050522-419</v>
      </c>
      <c r="E11293" t="s">
        <v>33839</v>
      </c>
    </row>
    <row r="11294" spans="1:5" x14ac:dyDescent="0.2">
      <c r="A11294" t="s">
        <v>33840</v>
      </c>
      <c r="B11294" t="s">
        <v>33841</v>
      </c>
      <c r="C11294" t="s">
        <v>33841</v>
      </c>
      <c r="D11294" t="str">
        <f>HYPERLINK("https://zfin.org/ZDB-GENE-050417-96")</f>
        <v>https://zfin.org/ZDB-GENE-050417-96</v>
      </c>
      <c r="E11294" t="s">
        <v>33842</v>
      </c>
    </row>
    <row r="11295" spans="1:5" x14ac:dyDescent="0.2">
      <c r="A11295" t="s">
        <v>33843</v>
      </c>
      <c r="B11295" t="s">
        <v>33844</v>
      </c>
      <c r="C11295" t="s">
        <v>33844</v>
      </c>
      <c r="D11295" t="str">
        <f>HYPERLINK("https://zfin.org/ZDB-GENE-101203-5")</f>
        <v>https://zfin.org/ZDB-GENE-101203-5</v>
      </c>
      <c r="E11295" t="s">
        <v>33845</v>
      </c>
    </row>
    <row r="11296" spans="1:5" x14ac:dyDescent="0.2">
      <c r="A11296" t="s">
        <v>33846</v>
      </c>
      <c r="B11296" t="s">
        <v>33847</v>
      </c>
      <c r="C11296" t="s">
        <v>33847</v>
      </c>
      <c r="D11296" t="str">
        <f>HYPERLINK("https://zfin.org/ZDB-GENE-111013-3")</f>
        <v>https://zfin.org/ZDB-GENE-111013-3</v>
      </c>
      <c r="E11296" t="s">
        <v>33848</v>
      </c>
    </row>
    <row r="11297" spans="1:5" x14ac:dyDescent="0.2">
      <c r="A11297" t="s">
        <v>33849</v>
      </c>
      <c r="B11297" t="s">
        <v>33850</v>
      </c>
      <c r="C11297" t="s">
        <v>33850</v>
      </c>
      <c r="D11297" t="str">
        <f>HYPERLINK("https://zfin.org/ZDB-GENE-980526-124")</f>
        <v>https://zfin.org/ZDB-GENE-980526-124</v>
      </c>
      <c r="E11297" t="s">
        <v>33851</v>
      </c>
    </row>
    <row r="11298" spans="1:5" x14ac:dyDescent="0.2">
      <c r="A11298" t="s">
        <v>33852</v>
      </c>
      <c r="B11298" t="s">
        <v>33853</v>
      </c>
      <c r="C11298" t="s">
        <v>33853</v>
      </c>
      <c r="D11298" t="str">
        <f>HYPERLINK("https://zfin.org/ZDB-GENE-050102-7")</f>
        <v>https://zfin.org/ZDB-GENE-050102-7</v>
      </c>
      <c r="E11298" t="s">
        <v>33854</v>
      </c>
    </row>
    <row r="11299" spans="1:5" x14ac:dyDescent="0.2">
      <c r="A11299" t="s">
        <v>33855</v>
      </c>
      <c r="B11299" t="s">
        <v>33856</v>
      </c>
      <c r="C11299" t="s">
        <v>33856</v>
      </c>
      <c r="D11299" t="str">
        <f>HYPERLINK("https://zfin.org/ZDB-GENE-030521-5")</f>
        <v>https://zfin.org/ZDB-GENE-030521-5</v>
      </c>
      <c r="E11299" t="s">
        <v>33857</v>
      </c>
    </row>
    <row r="11300" spans="1:5" x14ac:dyDescent="0.2">
      <c r="A11300" t="s">
        <v>33858</v>
      </c>
      <c r="B11300" t="s">
        <v>33859</v>
      </c>
      <c r="C11300" t="s">
        <v>33859</v>
      </c>
      <c r="D11300" t="str">
        <f>HYPERLINK("https://zfin.org/ZDB-GENE-041014-181")</f>
        <v>https://zfin.org/ZDB-GENE-041014-181</v>
      </c>
      <c r="E11300" t="s">
        <v>33860</v>
      </c>
    </row>
    <row r="11301" spans="1:5" x14ac:dyDescent="0.2">
      <c r="A11301" t="s">
        <v>33861</v>
      </c>
      <c r="B11301" t="s">
        <v>33862</v>
      </c>
      <c r="C11301" t="s">
        <v>33862</v>
      </c>
      <c r="D11301" t="str">
        <f>HYPERLINK("https://zfin.org/ZDB-GENE-040718-259")</f>
        <v>https://zfin.org/ZDB-GENE-040718-259</v>
      </c>
      <c r="E11301" t="s">
        <v>33863</v>
      </c>
    </row>
    <row r="11302" spans="1:5" x14ac:dyDescent="0.2">
      <c r="A11302" t="s">
        <v>33864</v>
      </c>
      <c r="B11302" t="s">
        <v>33865</v>
      </c>
      <c r="C11302" t="s">
        <v>33865</v>
      </c>
      <c r="D11302" t="str">
        <f>HYPERLINK("https://zfin.org/ZDB-GENE-041114-207")</f>
        <v>https://zfin.org/ZDB-GENE-041114-207</v>
      </c>
      <c r="E11302" t="s">
        <v>33866</v>
      </c>
    </row>
    <row r="11303" spans="1:5" x14ac:dyDescent="0.2">
      <c r="A11303" t="s">
        <v>33867</v>
      </c>
      <c r="B11303" t="s">
        <v>33868</v>
      </c>
      <c r="C11303" t="s">
        <v>33868</v>
      </c>
      <c r="D11303" t="str">
        <f>HYPERLINK("https://zfin.org/ZDB-GENE-030131-2403")</f>
        <v>https://zfin.org/ZDB-GENE-030131-2403</v>
      </c>
      <c r="E11303" t="s">
        <v>33869</v>
      </c>
    </row>
    <row r="11304" spans="1:5" x14ac:dyDescent="0.2">
      <c r="A11304" t="s">
        <v>33870</v>
      </c>
      <c r="B11304" t="s">
        <v>33871</v>
      </c>
      <c r="C11304" t="s">
        <v>33871</v>
      </c>
      <c r="D11304" t="str">
        <f>HYPERLINK("https://zfin.org/ZDB-GENE-030616-523")</f>
        <v>https://zfin.org/ZDB-GENE-030616-523</v>
      </c>
      <c r="E11304" t="s">
        <v>33872</v>
      </c>
    </row>
    <row r="11305" spans="1:5" x14ac:dyDescent="0.2">
      <c r="A11305" t="s">
        <v>33873</v>
      </c>
      <c r="B11305" t="s">
        <v>33874</v>
      </c>
      <c r="C11305" t="s">
        <v>33874</v>
      </c>
      <c r="D11305" t="str">
        <f>HYPERLINK("https://zfin.org/ZDB-GENE-060503-343")</f>
        <v>https://zfin.org/ZDB-GENE-060503-343</v>
      </c>
      <c r="E11305" t="s">
        <v>33875</v>
      </c>
    </row>
    <row r="11306" spans="1:5" x14ac:dyDescent="0.2">
      <c r="A11306" t="s">
        <v>33876</v>
      </c>
      <c r="B11306" t="s">
        <v>33877</v>
      </c>
      <c r="C11306" t="s">
        <v>33877</v>
      </c>
      <c r="D11306" t="str">
        <f>HYPERLINK("https://zfin.org/ZDB-GENE-070718-1")</f>
        <v>https://zfin.org/ZDB-GENE-070718-1</v>
      </c>
      <c r="E11306" t="s">
        <v>33878</v>
      </c>
    </row>
    <row r="11307" spans="1:5" x14ac:dyDescent="0.2">
      <c r="A11307" t="s">
        <v>33879</v>
      </c>
      <c r="B11307" t="s">
        <v>33880</v>
      </c>
      <c r="C11307" t="s">
        <v>33880</v>
      </c>
      <c r="D11307" t="str">
        <f>HYPERLINK("https://zfin.org/ZDB-GENE-070925-3")</f>
        <v>https://zfin.org/ZDB-GENE-070925-3</v>
      </c>
      <c r="E11307" t="s">
        <v>33881</v>
      </c>
    </row>
    <row r="11308" spans="1:5" x14ac:dyDescent="0.2">
      <c r="A11308" t="s">
        <v>33882</v>
      </c>
      <c r="B11308" t="s">
        <v>33883</v>
      </c>
      <c r="C11308" t="s">
        <v>33883</v>
      </c>
      <c r="D11308" t="str">
        <f>HYPERLINK("https://zfin.org/ZDB-GENE-070906-1")</f>
        <v>https://zfin.org/ZDB-GENE-070906-1</v>
      </c>
      <c r="E11308" t="s">
        <v>33884</v>
      </c>
    </row>
    <row r="11309" spans="1:5" x14ac:dyDescent="0.2">
      <c r="A11309" t="s">
        <v>33885</v>
      </c>
      <c r="B11309" t="s">
        <v>33886</v>
      </c>
      <c r="C11309" t="s">
        <v>33886</v>
      </c>
      <c r="D11309" t="str">
        <f>HYPERLINK("https://zfin.org/ZDB-GENE-081104-137")</f>
        <v>https://zfin.org/ZDB-GENE-081104-137</v>
      </c>
      <c r="E11309" t="s">
        <v>33887</v>
      </c>
    </row>
    <row r="11310" spans="1:5" x14ac:dyDescent="0.2">
      <c r="A11310" t="s">
        <v>33888</v>
      </c>
      <c r="B11310" t="s">
        <v>33889</v>
      </c>
      <c r="C11310" t="s">
        <v>33889</v>
      </c>
      <c r="D11310" t="str">
        <f>HYPERLINK("https://zfin.org/ZDB-GENE-060306-2")</f>
        <v>https://zfin.org/ZDB-GENE-060306-2</v>
      </c>
      <c r="E11310" t="s">
        <v>33890</v>
      </c>
    </row>
    <row r="11311" spans="1:5" x14ac:dyDescent="0.2">
      <c r="A11311" t="s">
        <v>33891</v>
      </c>
      <c r="B11311" t="s">
        <v>33892</v>
      </c>
      <c r="C11311" t="s">
        <v>33892</v>
      </c>
      <c r="D11311" t="str">
        <f>HYPERLINK("https://zfin.org/ZDB-GENE-030131-8191")</f>
        <v>https://zfin.org/ZDB-GENE-030131-8191</v>
      </c>
      <c r="E11311" t="s">
        <v>33893</v>
      </c>
    </row>
    <row r="11312" spans="1:5" x14ac:dyDescent="0.2">
      <c r="A11312" t="s">
        <v>33894</v>
      </c>
      <c r="B11312" t="s">
        <v>33895</v>
      </c>
      <c r="C11312" t="s">
        <v>33895</v>
      </c>
      <c r="D11312" t="str">
        <f>HYPERLINK("https://zfin.org/ZDB-GENE-141215-56")</f>
        <v>https://zfin.org/ZDB-GENE-141215-56</v>
      </c>
      <c r="E11312" t="s">
        <v>33896</v>
      </c>
    </row>
    <row r="11313" spans="1:5" x14ac:dyDescent="0.2">
      <c r="A11313" t="s">
        <v>33897</v>
      </c>
      <c r="B11313" t="s">
        <v>33898</v>
      </c>
      <c r="C11313" t="s">
        <v>33898</v>
      </c>
      <c r="D11313" t="str">
        <f>HYPERLINK("https://zfin.org/ZDB-GENE-041210-168")</f>
        <v>https://zfin.org/ZDB-GENE-041210-168</v>
      </c>
      <c r="E11313" t="s">
        <v>33899</v>
      </c>
    </row>
    <row r="11314" spans="1:5" x14ac:dyDescent="0.2">
      <c r="A11314" t="s">
        <v>33900</v>
      </c>
      <c r="B11314" t="s">
        <v>33901</v>
      </c>
      <c r="C11314" t="s">
        <v>33901</v>
      </c>
      <c r="D11314" t="str">
        <f>HYPERLINK("https://zfin.org/ZDB-GENE-120215-85")</f>
        <v>https://zfin.org/ZDB-GENE-120215-85</v>
      </c>
      <c r="E11314" t="s">
        <v>33902</v>
      </c>
    </row>
    <row r="11315" spans="1:5" x14ac:dyDescent="0.2">
      <c r="A11315" t="s">
        <v>33903</v>
      </c>
      <c r="B11315" t="s">
        <v>33904</v>
      </c>
      <c r="C11315" t="s">
        <v>33904</v>
      </c>
      <c r="D11315" t="str">
        <f>HYPERLINK("https://zfin.org/ZDB-GENE-050208-675")</f>
        <v>https://zfin.org/ZDB-GENE-050208-675</v>
      </c>
      <c r="E11315" t="s">
        <v>33905</v>
      </c>
    </row>
    <row r="11316" spans="1:5" x14ac:dyDescent="0.2">
      <c r="A11316" t="s">
        <v>33906</v>
      </c>
      <c r="B11316" t="s">
        <v>33907</v>
      </c>
      <c r="C11316" t="s">
        <v>33907</v>
      </c>
      <c r="D11316" t="str">
        <f>HYPERLINK("https://zfin.org/ZDB-GENE-081104-154")</f>
        <v>https://zfin.org/ZDB-GENE-081104-154</v>
      </c>
      <c r="E11316" t="s">
        <v>33908</v>
      </c>
    </row>
    <row r="11317" spans="1:5" x14ac:dyDescent="0.2">
      <c r="A11317" t="s">
        <v>33909</v>
      </c>
      <c r="B11317" t="s">
        <v>33910</v>
      </c>
      <c r="C11317" t="s">
        <v>33910</v>
      </c>
      <c r="D11317" t="str">
        <f>HYPERLINK("https://zfin.org/ZDB-GENE-070928-31")</f>
        <v>https://zfin.org/ZDB-GENE-070928-31</v>
      </c>
      <c r="E11317" t="s">
        <v>33911</v>
      </c>
    </row>
    <row r="11318" spans="1:5" x14ac:dyDescent="0.2">
      <c r="A11318" t="s">
        <v>33912</v>
      </c>
      <c r="B11318" t="s">
        <v>33913</v>
      </c>
      <c r="C11318" t="s">
        <v>33913</v>
      </c>
      <c r="D11318" t="str">
        <f>HYPERLINK("https://zfin.org/ZDB-GENE-131125-36")</f>
        <v>https://zfin.org/ZDB-GENE-131125-36</v>
      </c>
      <c r="E11318" t="s">
        <v>33914</v>
      </c>
    </row>
    <row r="11319" spans="1:5" x14ac:dyDescent="0.2">
      <c r="A11319" t="s">
        <v>33915</v>
      </c>
      <c r="B11319" t="s">
        <v>33916</v>
      </c>
      <c r="C11319" t="s">
        <v>33916</v>
      </c>
      <c r="D11319" t="str">
        <f>HYPERLINK("https://zfin.org/ZDB-GENE-121116-1")</f>
        <v>https://zfin.org/ZDB-GENE-121116-1</v>
      </c>
      <c r="E11319" t="s">
        <v>33917</v>
      </c>
    </row>
    <row r="11320" spans="1:5" x14ac:dyDescent="0.2">
      <c r="A11320" t="s">
        <v>33918</v>
      </c>
      <c r="B11320" t="s">
        <v>33919</v>
      </c>
      <c r="C11320" t="s">
        <v>33919</v>
      </c>
      <c r="D11320" t="str">
        <f>HYPERLINK("https://zfin.org/ZDB-GENE-050419-52")</f>
        <v>https://zfin.org/ZDB-GENE-050419-52</v>
      </c>
      <c r="E11320" t="s">
        <v>33920</v>
      </c>
    </row>
    <row r="11321" spans="1:5" x14ac:dyDescent="0.2">
      <c r="A11321" t="s">
        <v>33921</v>
      </c>
      <c r="B11321" t="s">
        <v>33922</v>
      </c>
      <c r="C11321" t="s">
        <v>33922</v>
      </c>
      <c r="D11321" t="str">
        <f>HYPERLINK("https://zfin.org/ZDB-GENE-080829-1")</f>
        <v>https://zfin.org/ZDB-GENE-080829-1</v>
      </c>
      <c r="E11321" t="s">
        <v>33923</v>
      </c>
    </row>
    <row r="11322" spans="1:5" x14ac:dyDescent="0.2">
      <c r="A11322" t="s">
        <v>33924</v>
      </c>
      <c r="B11322" t="s">
        <v>33925</v>
      </c>
      <c r="C11322" t="s">
        <v>33925</v>
      </c>
      <c r="D11322" t="str">
        <f>HYPERLINK("https://zfin.org/ZDB-GENE-121204-2")</f>
        <v>https://zfin.org/ZDB-GENE-121204-2</v>
      </c>
      <c r="E11322" t="s">
        <v>33926</v>
      </c>
    </row>
    <row r="11323" spans="1:5" x14ac:dyDescent="0.2">
      <c r="A11323" t="s">
        <v>33927</v>
      </c>
      <c r="B11323" t="s">
        <v>33928</v>
      </c>
      <c r="C11323" t="s">
        <v>33928</v>
      </c>
      <c r="D11323" t="str">
        <f>HYPERLINK("https://zfin.org/ZDB-GENE-050706-131")</f>
        <v>https://zfin.org/ZDB-GENE-050706-131</v>
      </c>
      <c r="E11323" t="s">
        <v>33929</v>
      </c>
    </row>
    <row r="11324" spans="1:5" x14ac:dyDescent="0.2">
      <c r="A11324" t="s">
        <v>33930</v>
      </c>
      <c r="B11324" t="s">
        <v>33931</v>
      </c>
      <c r="C11324" t="s">
        <v>33931</v>
      </c>
      <c r="D11324" t="str">
        <f>HYPERLINK("https://zfin.org/ZDB-GENE-030131-8823")</f>
        <v>https://zfin.org/ZDB-GENE-030131-8823</v>
      </c>
      <c r="E11324" t="s">
        <v>33932</v>
      </c>
    </row>
    <row r="11325" spans="1:5" x14ac:dyDescent="0.2">
      <c r="A11325" t="s">
        <v>33933</v>
      </c>
      <c r="B11325" t="s">
        <v>33934</v>
      </c>
      <c r="C11325" t="s">
        <v>33934</v>
      </c>
      <c r="D11325" t="str">
        <f>HYPERLINK("https://zfin.org/ZDB-GENE-060312-42")</f>
        <v>https://zfin.org/ZDB-GENE-060312-42</v>
      </c>
      <c r="E11325" t="s">
        <v>33935</v>
      </c>
    </row>
    <row r="11326" spans="1:5" x14ac:dyDescent="0.2">
      <c r="A11326" t="s">
        <v>33936</v>
      </c>
      <c r="B11326" t="s">
        <v>33937</v>
      </c>
      <c r="C11326" t="s">
        <v>33937</v>
      </c>
      <c r="D11326" t="str">
        <f>HYPERLINK("https://zfin.org/ZDB-GENE-031116-72")</f>
        <v>https://zfin.org/ZDB-GENE-031116-72</v>
      </c>
      <c r="E11326" t="s">
        <v>33938</v>
      </c>
    </row>
    <row r="11327" spans="1:5" x14ac:dyDescent="0.2">
      <c r="A11327" t="s">
        <v>33939</v>
      </c>
      <c r="B11327" t="s">
        <v>33940</v>
      </c>
      <c r="C11327" t="s">
        <v>33940</v>
      </c>
      <c r="D11327" t="str">
        <f>HYPERLINK("https://zfin.org/ZDB-GENE-060503-16")</f>
        <v>https://zfin.org/ZDB-GENE-060503-16</v>
      </c>
      <c r="E11327" t="s">
        <v>33941</v>
      </c>
    </row>
    <row r="11328" spans="1:5" x14ac:dyDescent="0.2">
      <c r="A11328" t="s">
        <v>33942</v>
      </c>
      <c r="B11328" t="s">
        <v>33943</v>
      </c>
      <c r="C11328" t="s">
        <v>33943</v>
      </c>
      <c r="D11328" t="str">
        <f>HYPERLINK("https://zfin.org/ZDB-GENE-141216-186")</f>
        <v>https://zfin.org/ZDB-GENE-141216-186</v>
      </c>
      <c r="E11328" t="s">
        <v>33944</v>
      </c>
    </row>
    <row r="11329" spans="1:5" x14ac:dyDescent="0.2">
      <c r="A11329" t="s">
        <v>33945</v>
      </c>
      <c r="B11329" t="s">
        <v>33946</v>
      </c>
      <c r="C11329" t="s">
        <v>33946</v>
      </c>
      <c r="D11329" t="str">
        <f>HYPERLINK("https://zfin.org/ZDB-GENE-020418-2")</f>
        <v>https://zfin.org/ZDB-GENE-020418-2</v>
      </c>
      <c r="E11329" t="s">
        <v>33947</v>
      </c>
    </row>
    <row r="11330" spans="1:5" x14ac:dyDescent="0.2">
      <c r="A11330" t="s">
        <v>33948</v>
      </c>
      <c r="B11330" t="s">
        <v>33949</v>
      </c>
      <c r="C11330" t="s">
        <v>33949</v>
      </c>
      <c r="D11330" t="str">
        <f>HYPERLINK("https://zfin.org/ZDB-GENE-060503-195")</f>
        <v>https://zfin.org/ZDB-GENE-060503-195</v>
      </c>
      <c r="E11330" t="s">
        <v>33950</v>
      </c>
    </row>
    <row r="11331" spans="1:5" x14ac:dyDescent="0.2">
      <c r="A11331" t="s">
        <v>33951</v>
      </c>
      <c r="B11331" t="s">
        <v>33952</v>
      </c>
      <c r="C11331" t="s">
        <v>33952</v>
      </c>
      <c r="D11331" t="str">
        <f>HYPERLINK("https://zfin.org/ZDB-GENE-061023-2")</f>
        <v>https://zfin.org/ZDB-GENE-061023-2</v>
      </c>
      <c r="E11331" t="s">
        <v>33953</v>
      </c>
    </row>
    <row r="11332" spans="1:5" x14ac:dyDescent="0.2">
      <c r="A11332" t="s">
        <v>33954</v>
      </c>
      <c r="B11332" t="s">
        <v>33955</v>
      </c>
      <c r="C11332" t="s">
        <v>33955</v>
      </c>
      <c r="D11332" t="str">
        <f>HYPERLINK("https://zfin.org/ZDB-GENE-040912-175")</f>
        <v>https://zfin.org/ZDB-GENE-040912-175</v>
      </c>
      <c r="E11332" t="s">
        <v>33956</v>
      </c>
    </row>
    <row r="11333" spans="1:5" x14ac:dyDescent="0.2">
      <c r="A11333" t="s">
        <v>33957</v>
      </c>
      <c r="B11333" t="s">
        <v>33958</v>
      </c>
      <c r="C11333" t="s">
        <v>33958</v>
      </c>
      <c r="D11333" t="str">
        <f>HYPERLINK("https://zfin.org/ZDB-GENE-050228-1")</f>
        <v>https://zfin.org/ZDB-GENE-050228-1</v>
      </c>
      <c r="E11333" t="s">
        <v>33959</v>
      </c>
    </row>
    <row r="11334" spans="1:5" x14ac:dyDescent="0.2">
      <c r="A11334" t="s">
        <v>33960</v>
      </c>
      <c r="B11334" t="s">
        <v>33961</v>
      </c>
      <c r="C11334" t="s">
        <v>33961</v>
      </c>
      <c r="D11334" t="str">
        <f>HYPERLINK("https://zfin.org/ZDB-GENE-050913-123")</f>
        <v>https://zfin.org/ZDB-GENE-050913-123</v>
      </c>
      <c r="E11334" t="s">
        <v>33962</v>
      </c>
    </row>
    <row r="11335" spans="1:5" x14ac:dyDescent="0.2">
      <c r="A11335" t="s">
        <v>33963</v>
      </c>
      <c r="B11335" t="s">
        <v>33964</v>
      </c>
      <c r="C11335" t="s">
        <v>33964</v>
      </c>
      <c r="D11335" t="str">
        <f>HYPERLINK("https://zfin.org/ZDB-GENE-110913-39")</f>
        <v>https://zfin.org/ZDB-GENE-110913-39</v>
      </c>
      <c r="E11335" t="s">
        <v>33965</v>
      </c>
    </row>
    <row r="11336" spans="1:5" x14ac:dyDescent="0.2">
      <c r="A11336" t="s">
        <v>33966</v>
      </c>
      <c r="B11336" t="s">
        <v>33967</v>
      </c>
      <c r="C11336" t="s">
        <v>33967</v>
      </c>
      <c r="D11336" t="str">
        <f>HYPERLINK("https://zfin.org/ZDB-GENE-040912-90")</f>
        <v>https://zfin.org/ZDB-GENE-040912-90</v>
      </c>
      <c r="E11336" t="s">
        <v>33968</v>
      </c>
    </row>
    <row r="11337" spans="1:5" x14ac:dyDescent="0.2">
      <c r="A11337" t="s">
        <v>33969</v>
      </c>
      <c r="B11337" t="s">
        <v>33970</v>
      </c>
      <c r="C11337" t="s">
        <v>33970</v>
      </c>
      <c r="D11337" t="str">
        <f>HYPERLINK("https://zfin.org/ZDB-GENE-030131-755")</f>
        <v>https://zfin.org/ZDB-GENE-030131-755</v>
      </c>
      <c r="E11337" t="s">
        <v>33971</v>
      </c>
    </row>
    <row r="11338" spans="1:5" x14ac:dyDescent="0.2">
      <c r="A11338" t="s">
        <v>33972</v>
      </c>
      <c r="B11338" t="s">
        <v>33973</v>
      </c>
      <c r="C11338" t="s">
        <v>33973</v>
      </c>
      <c r="D11338" t="str">
        <f>HYPERLINK("https://zfin.org/ZDB-GENE-061027-365")</f>
        <v>https://zfin.org/ZDB-GENE-061027-365</v>
      </c>
      <c r="E11338" t="s">
        <v>33974</v>
      </c>
    </row>
    <row r="11339" spans="1:5" x14ac:dyDescent="0.2">
      <c r="A11339" t="s">
        <v>33975</v>
      </c>
      <c r="B11339" t="s">
        <v>33976</v>
      </c>
      <c r="C11339" t="s">
        <v>33976</v>
      </c>
      <c r="D11339" t="str">
        <f>HYPERLINK("https://zfin.org/ZDB-GENE-041210-348")</f>
        <v>https://zfin.org/ZDB-GENE-041210-348</v>
      </c>
      <c r="E11339" t="s">
        <v>33977</v>
      </c>
    </row>
    <row r="11340" spans="1:5" x14ac:dyDescent="0.2">
      <c r="A11340" t="s">
        <v>33978</v>
      </c>
      <c r="B11340" t="s">
        <v>33979</v>
      </c>
      <c r="C11340" t="s">
        <v>33979</v>
      </c>
      <c r="D11340" t="str">
        <f>HYPERLINK("https://zfin.org/ZDB-GENE-040801-36")</f>
        <v>https://zfin.org/ZDB-GENE-040801-36</v>
      </c>
      <c r="E11340" t="s">
        <v>33980</v>
      </c>
    </row>
    <row r="11341" spans="1:5" x14ac:dyDescent="0.2">
      <c r="A11341" t="s">
        <v>33981</v>
      </c>
      <c r="B11341" t="s">
        <v>33982</v>
      </c>
      <c r="C11341" t="s">
        <v>33982</v>
      </c>
      <c r="D11341" t="str">
        <f>HYPERLINK("https://zfin.org/ZDB-GENE-081104-526")</f>
        <v>https://zfin.org/ZDB-GENE-081104-526</v>
      </c>
      <c r="E11341" t="s">
        <v>33983</v>
      </c>
    </row>
    <row r="11342" spans="1:5" x14ac:dyDescent="0.2">
      <c r="A11342" t="s">
        <v>33984</v>
      </c>
      <c r="B11342" t="s">
        <v>33985</v>
      </c>
      <c r="C11342" t="s">
        <v>33985</v>
      </c>
      <c r="D11342" t="str">
        <f>HYPERLINK("https://zfin.org/ZDB-GENE-070410-99")</f>
        <v>https://zfin.org/ZDB-GENE-070410-99</v>
      </c>
      <c r="E11342" t="s">
        <v>33986</v>
      </c>
    </row>
    <row r="11343" spans="1:5" x14ac:dyDescent="0.2">
      <c r="A11343" t="s">
        <v>33987</v>
      </c>
      <c r="B11343" t="s">
        <v>33988</v>
      </c>
      <c r="C11343" t="s">
        <v>33988</v>
      </c>
      <c r="D11343" t="str">
        <f>HYPERLINK("https://zfin.org/ZDB-GENE-050522-404")</f>
        <v>https://zfin.org/ZDB-GENE-050522-404</v>
      </c>
      <c r="E11343" t="s">
        <v>33989</v>
      </c>
    </row>
    <row r="11344" spans="1:5" x14ac:dyDescent="0.2">
      <c r="A11344" t="s">
        <v>33990</v>
      </c>
      <c r="B11344" t="s">
        <v>33973</v>
      </c>
      <c r="C11344" t="s">
        <v>33991</v>
      </c>
      <c r="D11344" t="str">
        <f>HYPERLINK("https://zfin.org/ZDB-GENE-070424-9")</f>
        <v>https://zfin.org/ZDB-GENE-070424-9</v>
      </c>
      <c r="E11344" t="s">
        <v>33992</v>
      </c>
    </row>
    <row r="11345" spans="1:5" x14ac:dyDescent="0.2">
      <c r="A11345" t="s">
        <v>33993</v>
      </c>
      <c r="B11345" t="s">
        <v>33994</v>
      </c>
      <c r="C11345" t="s">
        <v>33994</v>
      </c>
      <c r="D11345" t="str">
        <f>HYPERLINK("https://zfin.org/ZDB-GENE-131121-641")</f>
        <v>https://zfin.org/ZDB-GENE-131121-641</v>
      </c>
      <c r="E11345" t="s">
        <v>33995</v>
      </c>
    </row>
    <row r="11346" spans="1:5" x14ac:dyDescent="0.2">
      <c r="A11346" t="s">
        <v>33996</v>
      </c>
      <c r="B11346" t="s">
        <v>33997</v>
      </c>
      <c r="C11346" t="s">
        <v>33997</v>
      </c>
      <c r="D11346" t="str">
        <f>HYPERLINK("https://zfin.org/ZDB-GENE-110914-22")</f>
        <v>https://zfin.org/ZDB-GENE-110914-22</v>
      </c>
      <c r="E11346" t="s">
        <v>33998</v>
      </c>
    </row>
    <row r="11347" spans="1:5" x14ac:dyDescent="0.2">
      <c r="A11347" t="s">
        <v>33999</v>
      </c>
      <c r="B11347" t="s">
        <v>34000</v>
      </c>
      <c r="C11347" t="s">
        <v>34000</v>
      </c>
      <c r="D11347" t="str">
        <f>HYPERLINK("https://zfin.org/ZDB-GENE-061110-129")</f>
        <v>https://zfin.org/ZDB-GENE-061110-129</v>
      </c>
      <c r="E11347" t="s">
        <v>34001</v>
      </c>
    </row>
    <row r="11348" spans="1:5" x14ac:dyDescent="0.2">
      <c r="A11348" t="s">
        <v>34002</v>
      </c>
      <c r="B11348" t="s">
        <v>34003</v>
      </c>
      <c r="C11348" t="s">
        <v>34003</v>
      </c>
      <c r="D11348" t="str">
        <f>HYPERLINK("https://zfin.org/ZDB-GENE-060825-13")</f>
        <v>https://zfin.org/ZDB-GENE-060825-13</v>
      </c>
      <c r="E11348" t="s">
        <v>34004</v>
      </c>
    </row>
    <row r="11349" spans="1:5" x14ac:dyDescent="0.2">
      <c r="A11349" t="s">
        <v>34005</v>
      </c>
      <c r="B11349" t="s">
        <v>34006</v>
      </c>
      <c r="C11349" t="s">
        <v>34006</v>
      </c>
      <c r="D11349" t="str">
        <f>HYPERLINK("https://zfin.org/ZDB-GENE-030925-30")</f>
        <v>https://zfin.org/ZDB-GENE-030925-30</v>
      </c>
      <c r="E11349" t="s">
        <v>34007</v>
      </c>
    </row>
    <row r="11350" spans="1:5" x14ac:dyDescent="0.2">
      <c r="A11350" t="s">
        <v>34008</v>
      </c>
      <c r="B11350" t="s">
        <v>34009</v>
      </c>
      <c r="C11350" t="s">
        <v>34009</v>
      </c>
      <c r="D11350" t="str">
        <f>HYPERLINK("https://zfin.org/ZDB-GENE-070509-1")</f>
        <v>https://zfin.org/ZDB-GENE-070509-1</v>
      </c>
      <c r="E11350" t="s">
        <v>34010</v>
      </c>
    </row>
    <row r="11351" spans="1:5" x14ac:dyDescent="0.2">
      <c r="A11351" t="s">
        <v>34011</v>
      </c>
      <c r="B11351" t="s">
        <v>34012</v>
      </c>
      <c r="C11351" t="s">
        <v>34012</v>
      </c>
      <c r="D11351" t="str">
        <f>HYPERLINK("https://zfin.org/ZDB-GENE-041210-339")</f>
        <v>https://zfin.org/ZDB-GENE-041210-339</v>
      </c>
      <c r="E11351" t="s">
        <v>34013</v>
      </c>
    </row>
    <row r="11352" spans="1:5" x14ac:dyDescent="0.2">
      <c r="A11352" t="s">
        <v>34014</v>
      </c>
      <c r="B11352" t="s">
        <v>34015</v>
      </c>
      <c r="C11352" t="s">
        <v>34015</v>
      </c>
      <c r="D11352" t="str">
        <f>HYPERLINK("https://zfin.org/ZDB-GENE-041210-347")</f>
        <v>https://zfin.org/ZDB-GENE-041210-347</v>
      </c>
      <c r="E11352" t="s">
        <v>34016</v>
      </c>
    </row>
    <row r="11353" spans="1:5" x14ac:dyDescent="0.2">
      <c r="A11353" t="s">
        <v>34017</v>
      </c>
      <c r="B11353" t="s">
        <v>34018</v>
      </c>
      <c r="C11353" t="s">
        <v>34018</v>
      </c>
      <c r="D11353" t="str">
        <f>HYPERLINK("https://zfin.org/ZDB-GENE-040426-1163")</f>
        <v>https://zfin.org/ZDB-GENE-040426-1163</v>
      </c>
      <c r="E11353" t="s">
        <v>34019</v>
      </c>
    </row>
    <row r="11354" spans="1:5" x14ac:dyDescent="0.2">
      <c r="A11354" t="s">
        <v>34020</v>
      </c>
      <c r="B11354" t="s">
        <v>34021</v>
      </c>
      <c r="C11354" t="s">
        <v>34021</v>
      </c>
      <c r="D11354" t="str">
        <f>HYPERLINK("https://zfin.org/ZDB-GENE-040801-89")</f>
        <v>https://zfin.org/ZDB-GENE-040801-89</v>
      </c>
      <c r="E11354" t="s">
        <v>34022</v>
      </c>
    </row>
    <row r="11355" spans="1:5" x14ac:dyDescent="0.2">
      <c r="A11355" t="s">
        <v>34023</v>
      </c>
      <c r="B11355" t="s">
        <v>34024</v>
      </c>
      <c r="C11355" t="s">
        <v>34024</v>
      </c>
      <c r="D11355" t="str">
        <f>HYPERLINK("https://zfin.org/ZDB-GENE-050410-11")</f>
        <v>https://zfin.org/ZDB-GENE-050410-11</v>
      </c>
      <c r="E11355" t="s">
        <v>34025</v>
      </c>
    </row>
    <row r="11356" spans="1:5" x14ac:dyDescent="0.2">
      <c r="A11356" t="s">
        <v>34026</v>
      </c>
      <c r="B11356" t="s">
        <v>34027</v>
      </c>
      <c r="C11356" t="s">
        <v>34027</v>
      </c>
      <c r="D11356" t="str">
        <f>HYPERLINK("https://zfin.org/ZDB-GENE-041008-101")</f>
        <v>https://zfin.org/ZDB-GENE-041008-101</v>
      </c>
      <c r="E11356" t="s">
        <v>34028</v>
      </c>
    </row>
    <row r="11357" spans="1:5" x14ac:dyDescent="0.2">
      <c r="A11357" t="s">
        <v>34029</v>
      </c>
      <c r="B11357" t="s">
        <v>34030</v>
      </c>
      <c r="C11357" t="s">
        <v>34030</v>
      </c>
      <c r="D11357" t="str">
        <f>HYPERLINK("https://zfin.org/ZDB-GENE-110914-211")</f>
        <v>https://zfin.org/ZDB-GENE-110914-211</v>
      </c>
      <c r="E11357" t="s">
        <v>34031</v>
      </c>
    </row>
    <row r="11358" spans="1:5" x14ac:dyDescent="0.2">
      <c r="A11358" t="s">
        <v>34032</v>
      </c>
      <c r="B11358" t="s">
        <v>34033</v>
      </c>
      <c r="C11358" t="s">
        <v>34033</v>
      </c>
      <c r="D11358" t="str">
        <f>HYPERLINK("https://zfin.org/ZDB-GENE-040426-1866")</f>
        <v>https://zfin.org/ZDB-GENE-040426-1866</v>
      </c>
      <c r="E11358" t="s">
        <v>34034</v>
      </c>
    </row>
    <row r="11359" spans="1:5" x14ac:dyDescent="0.2">
      <c r="A11359" t="s">
        <v>34035</v>
      </c>
      <c r="B11359" t="s">
        <v>34036</v>
      </c>
      <c r="C11359" t="s">
        <v>34036</v>
      </c>
      <c r="D11359" t="str">
        <f>HYPERLINK("https://zfin.org/ZDB-GENE-030131-8867")</f>
        <v>https://zfin.org/ZDB-GENE-030131-8867</v>
      </c>
      <c r="E11359" t="s">
        <v>34037</v>
      </c>
    </row>
    <row r="11360" spans="1:5" x14ac:dyDescent="0.2">
      <c r="A11360" t="s">
        <v>34038</v>
      </c>
      <c r="B11360" t="s">
        <v>34039</v>
      </c>
      <c r="C11360" t="s">
        <v>34039</v>
      </c>
      <c r="D11360" t="str">
        <f>HYPERLINK("https://zfin.org/ZDB-GENE-050113-2")</f>
        <v>https://zfin.org/ZDB-GENE-050113-2</v>
      </c>
      <c r="E11360" t="s">
        <v>34040</v>
      </c>
    </row>
    <row r="11361" spans="1:5" x14ac:dyDescent="0.2">
      <c r="A11361" t="s">
        <v>34041</v>
      </c>
      <c r="B11361" t="s">
        <v>34042</v>
      </c>
      <c r="C11361" t="s">
        <v>34042</v>
      </c>
      <c r="D11361" t="str">
        <f>HYPERLINK("https://zfin.org/ZDB-GENE-050417-327")</f>
        <v>https://zfin.org/ZDB-GENE-050417-327</v>
      </c>
      <c r="E11361" t="s">
        <v>34043</v>
      </c>
    </row>
    <row r="11362" spans="1:5" x14ac:dyDescent="0.2">
      <c r="A11362" t="s">
        <v>34044</v>
      </c>
      <c r="B11362" t="s">
        <v>34045</v>
      </c>
      <c r="C11362" t="s">
        <v>34045</v>
      </c>
      <c r="D11362" t="str">
        <f>HYPERLINK("https://zfin.org/ZDB-GENE-070912-270")</f>
        <v>https://zfin.org/ZDB-GENE-070912-270</v>
      </c>
      <c r="E11362" t="s">
        <v>34046</v>
      </c>
    </row>
    <row r="11363" spans="1:5" x14ac:dyDescent="0.2">
      <c r="A11363" t="s">
        <v>34047</v>
      </c>
      <c r="B11363" t="s">
        <v>34048</v>
      </c>
      <c r="C11363" t="s">
        <v>34048</v>
      </c>
      <c r="D11363" t="str">
        <f>HYPERLINK("https://zfin.org/ZDB-GENE-081104-340")</f>
        <v>https://zfin.org/ZDB-GENE-081104-340</v>
      </c>
      <c r="E11363" t="s">
        <v>34049</v>
      </c>
    </row>
    <row r="11364" spans="1:5" x14ac:dyDescent="0.2">
      <c r="A11364" t="s">
        <v>34050</v>
      </c>
      <c r="B11364" t="s">
        <v>34051</v>
      </c>
      <c r="C11364" t="s">
        <v>34051</v>
      </c>
      <c r="D11364" t="str">
        <f>HYPERLINK("https://zfin.org/ZDB-GENE-090313-238")</f>
        <v>https://zfin.org/ZDB-GENE-090313-238</v>
      </c>
      <c r="E11364" t="s">
        <v>34052</v>
      </c>
    </row>
    <row r="11365" spans="1:5" x14ac:dyDescent="0.2">
      <c r="A11365" t="s">
        <v>34053</v>
      </c>
      <c r="B11365" t="s">
        <v>34054</v>
      </c>
      <c r="C11365" t="s">
        <v>34054</v>
      </c>
      <c r="D11365" t="str">
        <f>HYPERLINK("https://zfin.org/ZDB-GENE-030131-681")</f>
        <v>https://zfin.org/ZDB-GENE-030131-681</v>
      </c>
      <c r="E11365" t="s">
        <v>34055</v>
      </c>
    </row>
    <row r="11366" spans="1:5" x14ac:dyDescent="0.2">
      <c r="A11366" t="s">
        <v>34056</v>
      </c>
      <c r="B11366" t="s">
        <v>34057</v>
      </c>
      <c r="C11366" t="s">
        <v>34057</v>
      </c>
      <c r="D11366" t="str">
        <f>HYPERLINK("https://zfin.org/ZDB-GENE-050522-274")</f>
        <v>https://zfin.org/ZDB-GENE-050522-274</v>
      </c>
      <c r="E11366" t="s">
        <v>34058</v>
      </c>
    </row>
    <row r="11367" spans="1:5" x14ac:dyDescent="0.2">
      <c r="A11367" t="s">
        <v>34059</v>
      </c>
      <c r="B11367" t="s">
        <v>34060</v>
      </c>
      <c r="C11367" t="s">
        <v>34060</v>
      </c>
      <c r="D11367" t="str">
        <f>HYPERLINK("https://zfin.org/ZDB-GENE-081104-415")</f>
        <v>https://zfin.org/ZDB-GENE-081104-415</v>
      </c>
      <c r="E11367" t="s">
        <v>34061</v>
      </c>
    </row>
    <row r="11368" spans="1:5" x14ac:dyDescent="0.2">
      <c r="A11368" t="s">
        <v>34062</v>
      </c>
      <c r="B11368" t="s">
        <v>34063</v>
      </c>
      <c r="C11368" t="s">
        <v>34063</v>
      </c>
      <c r="D11368" t="str">
        <f>HYPERLINK("https://zfin.org/ZDB-GENE-040426-2889")</f>
        <v>https://zfin.org/ZDB-GENE-040426-2889</v>
      </c>
      <c r="E11368" t="s">
        <v>34064</v>
      </c>
    </row>
    <row r="11369" spans="1:5" x14ac:dyDescent="0.2">
      <c r="A11369" t="s">
        <v>34065</v>
      </c>
      <c r="B11369" t="s">
        <v>34066</v>
      </c>
      <c r="C11369" t="s">
        <v>34066</v>
      </c>
      <c r="D11369" t="str">
        <f>HYPERLINK("https://zfin.org/ZDB-GENE-040426-2285")</f>
        <v>https://zfin.org/ZDB-GENE-040426-2285</v>
      </c>
      <c r="E11369" t="s">
        <v>34067</v>
      </c>
    </row>
    <row r="11370" spans="1:5" x14ac:dyDescent="0.2">
      <c r="A11370" t="s">
        <v>34068</v>
      </c>
      <c r="B11370" t="s">
        <v>34069</v>
      </c>
      <c r="C11370" t="s">
        <v>34069</v>
      </c>
      <c r="D11370" t="str">
        <f>HYPERLINK("https://zfin.org/ZDB-GENE-030131-3152")</f>
        <v>https://zfin.org/ZDB-GENE-030131-3152</v>
      </c>
      <c r="E11370" t="s">
        <v>34070</v>
      </c>
    </row>
    <row r="11371" spans="1:5" x14ac:dyDescent="0.2">
      <c r="A11371" t="s">
        <v>34071</v>
      </c>
      <c r="B11371" t="s">
        <v>34072</v>
      </c>
      <c r="C11371" t="s">
        <v>34072</v>
      </c>
      <c r="D11371" t="str">
        <f>HYPERLINK("https://zfin.org/ZDB-GENE-060503-616")</f>
        <v>https://zfin.org/ZDB-GENE-060503-616</v>
      </c>
      <c r="E11371" t="s">
        <v>34073</v>
      </c>
    </row>
    <row r="11372" spans="1:5" x14ac:dyDescent="0.2">
      <c r="A11372" t="s">
        <v>34074</v>
      </c>
      <c r="B11372" t="s">
        <v>34075</v>
      </c>
      <c r="C11372" t="s">
        <v>34075</v>
      </c>
      <c r="D11372" t="str">
        <f>HYPERLINK("https://zfin.org/ZDB-GENE-030612-1")</f>
        <v>https://zfin.org/ZDB-GENE-030612-1</v>
      </c>
      <c r="E11372" t="s">
        <v>34076</v>
      </c>
    </row>
    <row r="11373" spans="1:5" x14ac:dyDescent="0.2">
      <c r="A11373" t="s">
        <v>34077</v>
      </c>
      <c r="B11373" t="s">
        <v>34078</v>
      </c>
      <c r="C11373" t="s">
        <v>34078</v>
      </c>
      <c r="D11373" t="str">
        <f>HYPERLINK("https://zfin.org/ZDB-GENE-090313-3")</f>
        <v>https://zfin.org/ZDB-GENE-090313-3</v>
      </c>
      <c r="E11373" t="s">
        <v>34079</v>
      </c>
    </row>
    <row r="11374" spans="1:5" x14ac:dyDescent="0.2">
      <c r="A11374" t="s">
        <v>34080</v>
      </c>
      <c r="B11374" t="s">
        <v>34081</v>
      </c>
      <c r="C11374" t="s">
        <v>34081</v>
      </c>
      <c r="D11374" t="str">
        <f>HYPERLINK("https://zfin.org/ZDB-GENE-060606-2")</f>
        <v>https://zfin.org/ZDB-GENE-060606-2</v>
      </c>
      <c r="E11374" t="s">
        <v>34082</v>
      </c>
    </row>
    <row r="11375" spans="1:5" x14ac:dyDescent="0.2">
      <c r="A11375" t="s">
        <v>34083</v>
      </c>
      <c r="B11375" t="s">
        <v>34084</v>
      </c>
      <c r="C11375" t="s">
        <v>34084</v>
      </c>
      <c r="D11375" t="str">
        <f>HYPERLINK("https://zfin.org/ZDB-GENE-081104-237")</f>
        <v>https://zfin.org/ZDB-GENE-081104-237</v>
      </c>
      <c r="E11375" t="s">
        <v>34085</v>
      </c>
    </row>
    <row r="11376" spans="1:5" x14ac:dyDescent="0.2">
      <c r="A11376" t="s">
        <v>34086</v>
      </c>
      <c r="B11376" t="s">
        <v>34087</v>
      </c>
      <c r="C11376" t="s">
        <v>34087</v>
      </c>
      <c r="D11376" t="str">
        <f>HYPERLINK("https://zfin.org/ZDB-GENE-030131-5365")</f>
        <v>https://zfin.org/ZDB-GENE-030131-5365</v>
      </c>
      <c r="E11376" t="s">
        <v>34088</v>
      </c>
    </row>
    <row r="11377" spans="1:5" x14ac:dyDescent="0.2">
      <c r="A11377" t="s">
        <v>34089</v>
      </c>
      <c r="B11377" t="s">
        <v>34090</v>
      </c>
      <c r="C11377" t="s">
        <v>34090</v>
      </c>
      <c r="D11377" t="str">
        <f>HYPERLINK("https://zfin.org/ZDB-GENE-050626-70")</f>
        <v>https://zfin.org/ZDB-GENE-050626-70</v>
      </c>
      <c r="E11377" t="s">
        <v>34091</v>
      </c>
    </row>
    <row r="11378" spans="1:5" x14ac:dyDescent="0.2">
      <c r="A11378" t="s">
        <v>34092</v>
      </c>
      <c r="B11378" t="s">
        <v>34093</v>
      </c>
      <c r="C11378" t="s">
        <v>34093</v>
      </c>
      <c r="D11378" t="str">
        <f>HYPERLINK("https://zfin.org/ZDB-GENE-030131-4610")</f>
        <v>https://zfin.org/ZDB-GENE-030131-4610</v>
      </c>
      <c r="E11378" t="s">
        <v>34094</v>
      </c>
    </row>
    <row r="11379" spans="1:5" x14ac:dyDescent="0.2">
      <c r="A11379" t="s">
        <v>34095</v>
      </c>
      <c r="B11379" t="s">
        <v>34096</v>
      </c>
      <c r="C11379" t="s">
        <v>34096</v>
      </c>
      <c r="D11379" t="str">
        <f>HYPERLINK("https://zfin.org/ZDB-GENE-110404-2")</f>
        <v>https://zfin.org/ZDB-GENE-110404-2</v>
      </c>
      <c r="E11379" t="s">
        <v>34097</v>
      </c>
    </row>
    <row r="11380" spans="1:5" x14ac:dyDescent="0.2">
      <c r="A11380" t="s">
        <v>34098</v>
      </c>
      <c r="B11380" t="s">
        <v>34099</v>
      </c>
      <c r="C11380" t="s">
        <v>34099</v>
      </c>
      <c r="D11380" t="str">
        <f>HYPERLINK("https://zfin.org/ZDB-GENE-040912-74")</f>
        <v>https://zfin.org/ZDB-GENE-040912-74</v>
      </c>
      <c r="E11380" t="s">
        <v>34100</v>
      </c>
    </row>
    <row r="11381" spans="1:5" x14ac:dyDescent="0.2">
      <c r="A11381" t="s">
        <v>34101</v>
      </c>
      <c r="B11381" t="s">
        <v>34102</v>
      </c>
      <c r="C11381" t="s">
        <v>34102</v>
      </c>
      <c r="D11381" t="str">
        <f>HYPERLINK("https://zfin.org/ZDB-GENE-040426-2319")</f>
        <v>https://zfin.org/ZDB-GENE-040426-2319</v>
      </c>
      <c r="E11381" t="s">
        <v>34103</v>
      </c>
    </row>
    <row r="11382" spans="1:5" x14ac:dyDescent="0.2">
      <c r="A11382" t="s">
        <v>34104</v>
      </c>
      <c r="B11382" t="s">
        <v>34105</v>
      </c>
      <c r="C11382" t="s">
        <v>34105</v>
      </c>
      <c r="D11382" t="str">
        <f>HYPERLINK("https://zfin.org/ZDB-GENE-050913-157")</f>
        <v>https://zfin.org/ZDB-GENE-050913-157</v>
      </c>
      <c r="E11382" t="s">
        <v>34106</v>
      </c>
    </row>
    <row r="11383" spans="1:5" x14ac:dyDescent="0.2">
      <c r="A11383" t="s">
        <v>34107</v>
      </c>
      <c r="B11383" t="s">
        <v>34108</v>
      </c>
      <c r="C11383" t="s">
        <v>34108</v>
      </c>
      <c r="D11383" t="str">
        <f>HYPERLINK("https://zfin.org/ZDB-GENE-040426-2831")</f>
        <v>https://zfin.org/ZDB-GENE-040426-2831</v>
      </c>
      <c r="E11383" t="s">
        <v>34109</v>
      </c>
    </row>
    <row r="11384" spans="1:5" x14ac:dyDescent="0.2">
      <c r="A11384" t="s">
        <v>34110</v>
      </c>
      <c r="B11384" t="s">
        <v>34111</v>
      </c>
      <c r="C11384" t="s">
        <v>34111</v>
      </c>
      <c r="D11384" t="str">
        <f>HYPERLINK("https://zfin.org/ZDB-GENE-031006-8")</f>
        <v>https://zfin.org/ZDB-GENE-031006-8</v>
      </c>
      <c r="E11384" t="s">
        <v>34112</v>
      </c>
    </row>
    <row r="11385" spans="1:5" x14ac:dyDescent="0.2">
      <c r="A11385" t="s">
        <v>34113</v>
      </c>
      <c r="B11385" t="s">
        <v>34114</v>
      </c>
      <c r="C11385" t="s">
        <v>34114</v>
      </c>
      <c r="D11385" t="str">
        <f>HYPERLINK("https://zfin.org/ZDB-GENE-050302-78")</f>
        <v>https://zfin.org/ZDB-GENE-050302-78</v>
      </c>
      <c r="E11385" t="s">
        <v>34115</v>
      </c>
    </row>
    <row r="11386" spans="1:5" x14ac:dyDescent="0.2">
      <c r="A11386" t="s">
        <v>34116</v>
      </c>
      <c r="B11386" t="s">
        <v>34117</v>
      </c>
      <c r="C11386" t="s">
        <v>34117</v>
      </c>
      <c r="D11386" t="str">
        <f>HYPERLINK("https://zfin.org/ZDB-GENE-060825-115")</f>
        <v>https://zfin.org/ZDB-GENE-060825-115</v>
      </c>
      <c r="E11386" t="s">
        <v>34118</v>
      </c>
    </row>
    <row r="11387" spans="1:5" x14ac:dyDescent="0.2">
      <c r="A11387" t="s">
        <v>34119</v>
      </c>
      <c r="B11387" t="s">
        <v>34120</v>
      </c>
      <c r="C11387" t="s">
        <v>34120</v>
      </c>
      <c r="D11387" t="str">
        <f>HYPERLINK("https://zfin.org/ZDB-GENE-050417-425")</f>
        <v>https://zfin.org/ZDB-GENE-050417-425</v>
      </c>
      <c r="E11387" t="s">
        <v>34121</v>
      </c>
    </row>
    <row r="11388" spans="1:5" x14ac:dyDescent="0.2">
      <c r="A11388" t="s">
        <v>34122</v>
      </c>
      <c r="B11388" t="s">
        <v>34123</v>
      </c>
      <c r="C11388" t="s">
        <v>34123</v>
      </c>
      <c r="D11388" t="str">
        <f>HYPERLINK("https://zfin.org/ZDB-GENE-121214-317")</f>
        <v>https://zfin.org/ZDB-GENE-121214-317</v>
      </c>
      <c r="E11388" t="s">
        <v>34124</v>
      </c>
    </row>
    <row r="11389" spans="1:5" x14ac:dyDescent="0.2">
      <c r="A11389" t="s">
        <v>34125</v>
      </c>
      <c r="B11389" t="s">
        <v>34126</v>
      </c>
      <c r="C11389" t="s">
        <v>34126</v>
      </c>
      <c r="D11389" t="str">
        <f>HYPERLINK("https://zfin.org/ZDB-GENE-040928-1")</f>
        <v>https://zfin.org/ZDB-GENE-040928-1</v>
      </c>
      <c r="E11389" t="s">
        <v>34127</v>
      </c>
    </row>
    <row r="11390" spans="1:5" x14ac:dyDescent="0.2">
      <c r="A11390" t="s">
        <v>34128</v>
      </c>
      <c r="B11390" t="s">
        <v>34129</v>
      </c>
      <c r="C11390" t="s">
        <v>34129</v>
      </c>
      <c r="D11390" t="str">
        <f>HYPERLINK("https://zfin.org/ZDB-GENE-040718-85")</f>
        <v>https://zfin.org/ZDB-GENE-040718-85</v>
      </c>
      <c r="E11390" t="s">
        <v>34130</v>
      </c>
    </row>
    <row r="11391" spans="1:5" x14ac:dyDescent="0.2">
      <c r="A11391" t="s">
        <v>34131</v>
      </c>
      <c r="B11391" t="s">
        <v>34132</v>
      </c>
      <c r="C11391" t="s">
        <v>34132</v>
      </c>
      <c r="D11391" t="str">
        <f>HYPERLINK("https://zfin.org/ZDB-GENE-070912-171")</f>
        <v>https://zfin.org/ZDB-GENE-070912-171</v>
      </c>
      <c r="E11391" t="s">
        <v>34133</v>
      </c>
    </row>
    <row r="11392" spans="1:5" x14ac:dyDescent="0.2">
      <c r="A11392" t="s">
        <v>34134</v>
      </c>
      <c r="B11392" t="s">
        <v>34135</v>
      </c>
      <c r="C11392" t="s">
        <v>34135</v>
      </c>
      <c r="D11392" t="str">
        <f>HYPERLINK("https://zfin.org/ZDB-GENE-110627-2")</f>
        <v>https://zfin.org/ZDB-GENE-110627-2</v>
      </c>
      <c r="E11392" t="s">
        <v>34136</v>
      </c>
    </row>
    <row r="11393" spans="1:5" x14ac:dyDescent="0.2">
      <c r="A11393" t="s">
        <v>34137</v>
      </c>
      <c r="B11393" t="s">
        <v>34138</v>
      </c>
      <c r="C11393" t="s">
        <v>34138</v>
      </c>
      <c r="D11393" t="str">
        <f>HYPERLINK("https://zfin.org/ZDB-GENE-081022-204")</f>
        <v>https://zfin.org/ZDB-GENE-081022-204</v>
      </c>
      <c r="E11393" t="s">
        <v>34139</v>
      </c>
    </row>
    <row r="11394" spans="1:5" x14ac:dyDescent="0.2">
      <c r="A11394" t="s">
        <v>34140</v>
      </c>
      <c r="B11394" t="s">
        <v>34141</v>
      </c>
      <c r="C11394" t="s">
        <v>34141</v>
      </c>
      <c r="D11394" t="str">
        <f>HYPERLINK("https://zfin.org/ZDB-GENE-040704-68")</f>
        <v>https://zfin.org/ZDB-GENE-040704-68</v>
      </c>
      <c r="E11394" t="s">
        <v>34142</v>
      </c>
    </row>
    <row r="11395" spans="1:5" x14ac:dyDescent="0.2">
      <c r="A11395" t="s">
        <v>34143</v>
      </c>
      <c r="B11395" t="s">
        <v>34144</v>
      </c>
      <c r="C11395" t="s">
        <v>34144</v>
      </c>
      <c r="D11395" t="str">
        <f>HYPERLINK("https://zfin.org/ZDB-GENE-041210-253")</f>
        <v>https://zfin.org/ZDB-GENE-041210-253</v>
      </c>
      <c r="E11395" t="s">
        <v>34145</v>
      </c>
    </row>
    <row r="11396" spans="1:5" x14ac:dyDescent="0.2">
      <c r="A11396" t="s">
        <v>34146</v>
      </c>
      <c r="B11396" t="s">
        <v>34147</v>
      </c>
      <c r="C11396" t="s">
        <v>34147</v>
      </c>
      <c r="D11396" t="str">
        <f>HYPERLINK("https://zfin.org/ZDB-GENE-040801-137")</f>
        <v>https://zfin.org/ZDB-GENE-040801-137</v>
      </c>
      <c r="E11396" t="s">
        <v>34148</v>
      </c>
    </row>
    <row r="11397" spans="1:5" x14ac:dyDescent="0.2">
      <c r="A11397" t="s">
        <v>34149</v>
      </c>
      <c r="B11397" t="s">
        <v>34150</v>
      </c>
      <c r="C11397" t="s">
        <v>34150</v>
      </c>
      <c r="D11397" t="str">
        <f>HYPERLINK("https://zfin.org/ZDB-GENE-040718-238")</f>
        <v>https://zfin.org/ZDB-GENE-040718-238</v>
      </c>
      <c r="E11397" t="s">
        <v>34151</v>
      </c>
    </row>
    <row r="11398" spans="1:5" x14ac:dyDescent="0.2">
      <c r="A11398" t="s">
        <v>34152</v>
      </c>
      <c r="B11398" t="s">
        <v>34153</v>
      </c>
      <c r="C11398" t="s">
        <v>34153</v>
      </c>
      <c r="D11398" t="str">
        <f>HYPERLINK("https://zfin.org/ZDB-GENE-091204-436")</f>
        <v>https://zfin.org/ZDB-GENE-091204-436</v>
      </c>
      <c r="E11398" t="s">
        <v>34154</v>
      </c>
    </row>
    <row r="11399" spans="1:5" x14ac:dyDescent="0.2">
      <c r="A11399" t="s">
        <v>34155</v>
      </c>
      <c r="B11399" t="s">
        <v>34156</v>
      </c>
      <c r="C11399" t="s">
        <v>34156</v>
      </c>
      <c r="D11399" t="str">
        <f>HYPERLINK("https://zfin.org/ZDB-GENE-040801-109")</f>
        <v>https://zfin.org/ZDB-GENE-040801-109</v>
      </c>
      <c r="E11399" t="s">
        <v>34157</v>
      </c>
    </row>
    <row r="11400" spans="1:5" x14ac:dyDescent="0.2">
      <c r="A11400" t="s">
        <v>34158</v>
      </c>
      <c r="B11400" t="s">
        <v>34159</v>
      </c>
      <c r="C11400" t="s">
        <v>34159</v>
      </c>
      <c r="D11400" t="str">
        <f>HYPERLINK("https://zfin.org/ZDB-GENE-141216-228")</f>
        <v>https://zfin.org/ZDB-GENE-141216-228</v>
      </c>
      <c r="E11400" t="s">
        <v>34160</v>
      </c>
    </row>
    <row r="11401" spans="1:5" x14ac:dyDescent="0.2">
      <c r="A11401" t="s">
        <v>34161</v>
      </c>
      <c r="B11401" t="s">
        <v>34162</v>
      </c>
      <c r="C11401" t="s">
        <v>34162</v>
      </c>
      <c r="D11401" t="str">
        <f>HYPERLINK("https://zfin.org/ZDB-GENE-030131-5942")</f>
        <v>https://zfin.org/ZDB-GENE-030131-5942</v>
      </c>
      <c r="E11401" t="s">
        <v>34163</v>
      </c>
    </row>
    <row r="11402" spans="1:5" x14ac:dyDescent="0.2">
      <c r="A11402" t="s">
        <v>34164</v>
      </c>
      <c r="B11402" t="s">
        <v>34165</v>
      </c>
      <c r="C11402" t="s">
        <v>34165</v>
      </c>
      <c r="D11402" t="str">
        <f>HYPERLINK("https://zfin.org/ZDB-GENE-060503-858")</f>
        <v>https://zfin.org/ZDB-GENE-060503-858</v>
      </c>
      <c r="E11402" t="s">
        <v>34166</v>
      </c>
    </row>
    <row r="11403" spans="1:5" x14ac:dyDescent="0.2">
      <c r="A11403" t="s">
        <v>34167</v>
      </c>
      <c r="B11403" t="s">
        <v>34168</v>
      </c>
      <c r="C11403" t="s">
        <v>34168</v>
      </c>
      <c r="D11403" t="str">
        <f>HYPERLINK("https://zfin.org/ZDB-GENE-070820-5")</f>
        <v>https://zfin.org/ZDB-GENE-070820-5</v>
      </c>
      <c r="E11403" t="s">
        <v>34169</v>
      </c>
    </row>
    <row r="11404" spans="1:5" x14ac:dyDescent="0.2">
      <c r="A11404" t="s">
        <v>34170</v>
      </c>
      <c r="B11404" t="s">
        <v>34171</v>
      </c>
      <c r="C11404" t="s">
        <v>34171</v>
      </c>
      <c r="D11404" t="str">
        <f>HYPERLINK("https://zfin.org/ZDB-GENE-050410-3")</f>
        <v>https://zfin.org/ZDB-GENE-050410-3</v>
      </c>
      <c r="E11404" t="s">
        <v>34172</v>
      </c>
    </row>
    <row r="11405" spans="1:5" x14ac:dyDescent="0.2">
      <c r="A11405" t="s">
        <v>34173</v>
      </c>
      <c r="B11405" t="s">
        <v>34174</v>
      </c>
      <c r="C11405" t="s">
        <v>34174</v>
      </c>
      <c r="D11405" t="str">
        <f>HYPERLINK("https://zfin.org/ZDB-GENE-030131-5174")</f>
        <v>https://zfin.org/ZDB-GENE-030131-5174</v>
      </c>
      <c r="E11405" t="s">
        <v>34175</v>
      </c>
    </row>
    <row r="11406" spans="1:5" x14ac:dyDescent="0.2">
      <c r="A11406" t="s">
        <v>34176</v>
      </c>
      <c r="B11406" t="s">
        <v>34177</v>
      </c>
      <c r="C11406" t="s">
        <v>34177</v>
      </c>
      <c r="D11406" t="str">
        <f>HYPERLINK("https://zfin.org/ZDB-GENE-040426-780")</f>
        <v>https://zfin.org/ZDB-GENE-040426-780</v>
      </c>
      <c r="E11406" t="s">
        <v>34178</v>
      </c>
    </row>
    <row r="11407" spans="1:5" x14ac:dyDescent="0.2">
      <c r="A11407" t="s">
        <v>34179</v>
      </c>
      <c r="B11407" t="s">
        <v>34180</v>
      </c>
      <c r="C11407" t="s">
        <v>34180</v>
      </c>
      <c r="D11407" t="str">
        <f>HYPERLINK("https://zfin.org/ZDB-GENE-131126-72")</f>
        <v>https://zfin.org/ZDB-GENE-131126-72</v>
      </c>
      <c r="E11407" t="s">
        <v>34181</v>
      </c>
    </row>
    <row r="11408" spans="1:5" x14ac:dyDescent="0.2">
      <c r="A11408" t="s">
        <v>34182</v>
      </c>
      <c r="B11408" t="s">
        <v>34183</v>
      </c>
      <c r="C11408" t="s">
        <v>34183</v>
      </c>
      <c r="D11408" t="str">
        <f>HYPERLINK("https://zfin.org/ZDB-GENE-081104-290")</f>
        <v>https://zfin.org/ZDB-GENE-081104-290</v>
      </c>
      <c r="E11408" t="s">
        <v>34184</v>
      </c>
    </row>
    <row r="11409" spans="1:5" x14ac:dyDescent="0.2">
      <c r="A11409" t="s">
        <v>34185</v>
      </c>
      <c r="B11409" t="s">
        <v>34186</v>
      </c>
      <c r="C11409" t="s">
        <v>34186</v>
      </c>
      <c r="D11409" t="str">
        <f>HYPERLINK("https://zfin.org/ZDB-GENE-050417-68")</f>
        <v>https://zfin.org/ZDB-GENE-050417-68</v>
      </c>
      <c r="E11409" t="s">
        <v>34187</v>
      </c>
    </row>
    <row r="11410" spans="1:5" x14ac:dyDescent="0.2">
      <c r="A11410" t="s">
        <v>34188</v>
      </c>
      <c r="B11410" t="s">
        <v>34189</v>
      </c>
      <c r="C11410" t="s">
        <v>34189</v>
      </c>
      <c r="D11410" t="str">
        <f>HYPERLINK("https://zfin.org/ZDB-GENE-091204-465")</f>
        <v>https://zfin.org/ZDB-GENE-091204-465</v>
      </c>
      <c r="E11410" t="s">
        <v>34190</v>
      </c>
    </row>
    <row r="11411" spans="1:5" x14ac:dyDescent="0.2">
      <c r="A11411" t="s">
        <v>34191</v>
      </c>
      <c r="B11411" t="s">
        <v>34192</v>
      </c>
      <c r="C11411" t="s">
        <v>34192</v>
      </c>
      <c r="D11411" t="str">
        <f>HYPERLINK("https://zfin.org/ZDB-GENE-040723-3")</f>
        <v>https://zfin.org/ZDB-GENE-040723-3</v>
      </c>
      <c r="E11411" t="s">
        <v>34193</v>
      </c>
    </row>
    <row r="11412" spans="1:5" x14ac:dyDescent="0.2">
      <c r="A11412" t="s">
        <v>34194</v>
      </c>
      <c r="B11412" t="s">
        <v>34195</v>
      </c>
      <c r="C11412" t="s">
        <v>34195</v>
      </c>
      <c r="D11412" t="str">
        <f>HYPERLINK("https://zfin.org/ZDB-GENE-081104-66")</f>
        <v>https://zfin.org/ZDB-GENE-081104-66</v>
      </c>
      <c r="E11412" t="s">
        <v>34196</v>
      </c>
    </row>
    <row r="11413" spans="1:5" x14ac:dyDescent="0.2">
      <c r="A11413" t="s">
        <v>34197</v>
      </c>
      <c r="B11413" t="s">
        <v>34198</v>
      </c>
      <c r="C11413" t="s">
        <v>34198</v>
      </c>
      <c r="D11413" t="str">
        <f>HYPERLINK("https://zfin.org/ZDB-GENE-051113-296")</f>
        <v>https://zfin.org/ZDB-GENE-051113-296</v>
      </c>
      <c r="E11413" t="s">
        <v>34199</v>
      </c>
    </row>
    <row r="11414" spans="1:5" x14ac:dyDescent="0.2">
      <c r="A11414" t="s">
        <v>34200</v>
      </c>
      <c r="B11414" t="s">
        <v>34201</v>
      </c>
      <c r="C11414" t="s">
        <v>34201</v>
      </c>
      <c r="D11414" t="str">
        <f>HYPERLINK("https://zfin.org/ZDB-GENE-050522-117")</f>
        <v>https://zfin.org/ZDB-GENE-050522-117</v>
      </c>
      <c r="E11414" t="s">
        <v>34202</v>
      </c>
    </row>
    <row r="11415" spans="1:5" x14ac:dyDescent="0.2">
      <c r="A11415" t="s">
        <v>34203</v>
      </c>
      <c r="B11415" t="s">
        <v>34204</v>
      </c>
      <c r="C11415" t="s">
        <v>34204</v>
      </c>
      <c r="D11415" t="str">
        <f>HYPERLINK("https://zfin.org/ZDB-GENE-070209-241")</f>
        <v>https://zfin.org/ZDB-GENE-070209-241</v>
      </c>
      <c r="E11415" t="s">
        <v>34205</v>
      </c>
    </row>
    <row r="11416" spans="1:5" x14ac:dyDescent="0.2">
      <c r="A11416" t="s">
        <v>34206</v>
      </c>
      <c r="B11416" t="s">
        <v>34207</v>
      </c>
      <c r="C11416" t="s">
        <v>34207</v>
      </c>
      <c r="D11416" t="str">
        <f>HYPERLINK("https://zfin.org/ZDB-GENE-061013-552")</f>
        <v>https://zfin.org/ZDB-GENE-061013-552</v>
      </c>
      <c r="E11416" t="s">
        <v>34208</v>
      </c>
    </row>
    <row r="11417" spans="1:5" x14ac:dyDescent="0.2">
      <c r="A11417" t="s">
        <v>34209</v>
      </c>
      <c r="B11417" t="s">
        <v>34210</v>
      </c>
      <c r="C11417" t="s">
        <v>34210</v>
      </c>
      <c r="D11417" t="str">
        <f>HYPERLINK("https://zfin.org/ZDB-GENE-031219-4")</f>
        <v>https://zfin.org/ZDB-GENE-031219-4</v>
      </c>
      <c r="E11417" t="s">
        <v>34211</v>
      </c>
    </row>
    <row r="11418" spans="1:5" x14ac:dyDescent="0.2">
      <c r="A11418" t="s">
        <v>34212</v>
      </c>
      <c r="B11418" t="s">
        <v>34213</v>
      </c>
      <c r="C11418" t="s">
        <v>34213</v>
      </c>
      <c r="D11418" t="str">
        <f>HYPERLINK("https://zfin.org/ZDB-GENE-040426-1703")</f>
        <v>https://zfin.org/ZDB-GENE-040426-1703</v>
      </c>
      <c r="E11418" t="s">
        <v>34214</v>
      </c>
    </row>
    <row r="11419" spans="1:5" x14ac:dyDescent="0.2">
      <c r="A11419" t="s">
        <v>34215</v>
      </c>
      <c r="B11419" t="s">
        <v>34216</v>
      </c>
      <c r="C11419" t="s">
        <v>34216</v>
      </c>
      <c r="D11419" t="str">
        <f>HYPERLINK("https://zfin.org/ZDB-GENE-101102-1")</f>
        <v>https://zfin.org/ZDB-GENE-101102-1</v>
      </c>
      <c r="E11419" t="s">
        <v>34217</v>
      </c>
    </row>
    <row r="11420" spans="1:5" x14ac:dyDescent="0.2">
      <c r="A11420" t="s">
        <v>34218</v>
      </c>
      <c r="B11420" t="s">
        <v>34219</v>
      </c>
      <c r="C11420" t="s">
        <v>34219</v>
      </c>
      <c r="D11420" t="str">
        <f>HYPERLINK("https://zfin.org/ZDB-GENE-030131-4089")</f>
        <v>https://zfin.org/ZDB-GENE-030131-4089</v>
      </c>
      <c r="E11420" t="s">
        <v>34220</v>
      </c>
    </row>
    <row r="11421" spans="1:5" x14ac:dyDescent="0.2">
      <c r="A11421" t="s">
        <v>34221</v>
      </c>
      <c r="B11421" t="s">
        <v>34222</v>
      </c>
      <c r="C11421" t="s">
        <v>34222</v>
      </c>
      <c r="D11421" t="str">
        <f>HYPERLINK("https://zfin.org/ZDB-GENE-041014-10")</f>
        <v>https://zfin.org/ZDB-GENE-041014-10</v>
      </c>
      <c r="E11421" t="s">
        <v>34223</v>
      </c>
    </row>
    <row r="11422" spans="1:5" x14ac:dyDescent="0.2">
      <c r="A11422" t="s">
        <v>34224</v>
      </c>
      <c r="B11422" t="s">
        <v>34225</v>
      </c>
      <c r="C11422" t="s">
        <v>34225</v>
      </c>
      <c r="D11422" t="str">
        <f>HYPERLINK("https://zfin.org/ZDB-GENE-030131-5493")</f>
        <v>https://zfin.org/ZDB-GENE-030131-5493</v>
      </c>
      <c r="E11422" t="s">
        <v>34226</v>
      </c>
    </row>
    <row r="11423" spans="1:5" x14ac:dyDescent="0.2">
      <c r="A11423" t="s">
        <v>34227</v>
      </c>
      <c r="B11423" t="s">
        <v>34228</v>
      </c>
      <c r="C11423" t="s">
        <v>34228</v>
      </c>
      <c r="D11423" t="str">
        <f>HYPERLINK("https://zfin.org/ZDB-GENE-990604-42")</f>
        <v>https://zfin.org/ZDB-GENE-990604-42</v>
      </c>
      <c r="E11423" t="s">
        <v>34229</v>
      </c>
    </row>
    <row r="11424" spans="1:5" x14ac:dyDescent="0.2">
      <c r="A11424" t="s">
        <v>34230</v>
      </c>
      <c r="B11424" t="s">
        <v>34231</v>
      </c>
      <c r="C11424" t="s">
        <v>34232</v>
      </c>
      <c r="D11424" t="str">
        <f>HYPERLINK("https://zfin.org/ZDB-GENE-060503-256")</f>
        <v>https://zfin.org/ZDB-GENE-060503-256</v>
      </c>
      <c r="E11424" t="s">
        <v>34233</v>
      </c>
    </row>
    <row r="11425" spans="1:5" x14ac:dyDescent="0.2">
      <c r="A11425" t="s">
        <v>34234</v>
      </c>
      <c r="B11425" t="s">
        <v>34235</v>
      </c>
      <c r="C11425" t="s">
        <v>34235</v>
      </c>
      <c r="D11425" t="str">
        <f>HYPERLINK("https://zfin.org/ZDB-GENE-041210-156")</f>
        <v>https://zfin.org/ZDB-GENE-041210-156</v>
      </c>
      <c r="E11425" t="s">
        <v>34236</v>
      </c>
    </row>
    <row r="11426" spans="1:5" x14ac:dyDescent="0.2">
      <c r="A11426" t="s">
        <v>34237</v>
      </c>
      <c r="B11426" t="s">
        <v>34238</v>
      </c>
      <c r="C11426" t="s">
        <v>34238</v>
      </c>
      <c r="D11426" t="str">
        <f>HYPERLINK("https://zfin.org/ZDB-GENE-081104-362")</f>
        <v>https://zfin.org/ZDB-GENE-081104-362</v>
      </c>
      <c r="E11426" t="s">
        <v>34239</v>
      </c>
    </row>
    <row r="11427" spans="1:5" x14ac:dyDescent="0.2">
      <c r="A11427" t="s">
        <v>34240</v>
      </c>
      <c r="B11427" t="s">
        <v>34241</v>
      </c>
      <c r="C11427" t="s">
        <v>34241</v>
      </c>
      <c r="D11427" t="str">
        <f>HYPERLINK("https://zfin.org/ZDB-GENE-131127-146")</f>
        <v>https://zfin.org/ZDB-GENE-131127-146</v>
      </c>
      <c r="E11427" t="s">
        <v>34242</v>
      </c>
    </row>
    <row r="11428" spans="1:5" x14ac:dyDescent="0.2">
      <c r="A11428" t="s">
        <v>34243</v>
      </c>
      <c r="B11428" t="s">
        <v>34244</v>
      </c>
      <c r="C11428" t="s">
        <v>34244</v>
      </c>
      <c r="D11428" t="str">
        <f>HYPERLINK("https://zfin.org/ZDB-GENE-070912-539")</f>
        <v>https://zfin.org/ZDB-GENE-070912-539</v>
      </c>
      <c r="E11428" t="s">
        <v>34245</v>
      </c>
    </row>
    <row r="11429" spans="1:5" x14ac:dyDescent="0.2">
      <c r="A11429" t="s">
        <v>34246</v>
      </c>
      <c r="B11429" t="s">
        <v>34247</v>
      </c>
      <c r="C11429" t="s">
        <v>34247</v>
      </c>
      <c r="D11429" t="str">
        <f>HYPERLINK("https://zfin.org/ZDB-GENE-080303-25")</f>
        <v>https://zfin.org/ZDB-GENE-080303-25</v>
      </c>
      <c r="E11429" t="s">
        <v>34248</v>
      </c>
    </row>
    <row r="11430" spans="1:5" x14ac:dyDescent="0.2">
      <c r="A11430" t="s">
        <v>34249</v>
      </c>
      <c r="B11430" t="s">
        <v>34250</v>
      </c>
      <c r="C11430" t="s">
        <v>34250</v>
      </c>
      <c r="D11430" t="str">
        <f>HYPERLINK("https://zfin.org/ZDB-GENE-050522-135")</f>
        <v>https://zfin.org/ZDB-GENE-050522-135</v>
      </c>
      <c r="E11430" t="s">
        <v>34251</v>
      </c>
    </row>
    <row r="11431" spans="1:5" x14ac:dyDescent="0.2">
      <c r="A11431" t="s">
        <v>34252</v>
      </c>
      <c r="B11431" t="s">
        <v>34253</v>
      </c>
      <c r="C11431" t="s">
        <v>34253</v>
      </c>
      <c r="D11431" t="str">
        <f>HYPERLINK("https://zfin.org/ZDB-GENE-050417-137")</f>
        <v>https://zfin.org/ZDB-GENE-050417-137</v>
      </c>
      <c r="E11431" t="s">
        <v>34254</v>
      </c>
    </row>
    <row r="11432" spans="1:5" x14ac:dyDescent="0.2">
      <c r="A11432" t="s">
        <v>34255</v>
      </c>
      <c r="B11432" t="s">
        <v>34256</v>
      </c>
      <c r="C11432" t="s">
        <v>34256</v>
      </c>
      <c r="D11432" t="str">
        <f>HYPERLINK("https://zfin.org/ZDB-GENE-041210-157")</f>
        <v>https://zfin.org/ZDB-GENE-041210-157</v>
      </c>
      <c r="E11432" t="s">
        <v>34257</v>
      </c>
    </row>
    <row r="11433" spans="1:5" x14ac:dyDescent="0.2">
      <c r="A11433" t="s">
        <v>34258</v>
      </c>
      <c r="B11433" t="s">
        <v>34259</v>
      </c>
      <c r="C11433" t="s">
        <v>34259</v>
      </c>
      <c r="D11433" t="str">
        <f>HYPERLINK("https://zfin.org/ZDB-GENE-110913-104")</f>
        <v>https://zfin.org/ZDB-GENE-110913-104</v>
      </c>
      <c r="E11433" t="s">
        <v>34260</v>
      </c>
    </row>
    <row r="11434" spans="1:5" x14ac:dyDescent="0.2">
      <c r="A11434" t="s">
        <v>34261</v>
      </c>
      <c r="B11434" t="s">
        <v>34262</v>
      </c>
      <c r="C11434" t="s">
        <v>34262</v>
      </c>
      <c r="D11434" t="str">
        <f>HYPERLINK("https://zfin.org/ZDB-GENE-070905-1")</f>
        <v>https://zfin.org/ZDB-GENE-070905-1</v>
      </c>
      <c r="E11434" t="s">
        <v>34263</v>
      </c>
    </row>
    <row r="11435" spans="1:5" x14ac:dyDescent="0.2">
      <c r="A11435" t="s">
        <v>34264</v>
      </c>
      <c r="B11435" t="s">
        <v>34265</v>
      </c>
      <c r="C11435" t="s">
        <v>34265</v>
      </c>
      <c r="D11435" t="str">
        <f>HYPERLINK("https://zfin.org/ZDB-GENE-040718-193")</f>
        <v>https://zfin.org/ZDB-GENE-040718-193</v>
      </c>
      <c r="E11435" t="s">
        <v>34266</v>
      </c>
    </row>
    <row r="11436" spans="1:5" x14ac:dyDescent="0.2">
      <c r="A11436" t="s">
        <v>34267</v>
      </c>
      <c r="B11436" t="s">
        <v>34268</v>
      </c>
      <c r="C11436" t="s">
        <v>34268</v>
      </c>
      <c r="D11436" t="str">
        <f>HYPERLINK("https://zfin.org/ZDB-GENE-090313-182")</f>
        <v>https://zfin.org/ZDB-GENE-090313-182</v>
      </c>
      <c r="E11436" t="s">
        <v>34269</v>
      </c>
    </row>
    <row r="11437" spans="1:5" x14ac:dyDescent="0.2">
      <c r="A11437" t="s">
        <v>34270</v>
      </c>
      <c r="B11437" t="s">
        <v>34271</v>
      </c>
      <c r="C11437" t="s">
        <v>34271</v>
      </c>
      <c r="D11437" t="str">
        <f>HYPERLINK("https://zfin.org/ZDB-GENE-040426-2775")</f>
        <v>https://zfin.org/ZDB-GENE-040426-2775</v>
      </c>
      <c r="E11437" t="s">
        <v>34272</v>
      </c>
    </row>
    <row r="11438" spans="1:5" x14ac:dyDescent="0.2">
      <c r="A11438" t="s">
        <v>34273</v>
      </c>
      <c r="B11438" t="s">
        <v>34274</v>
      </c>
      <c r="C11438" t="s">
        <v>34274</v>
      </c>
      <c r="D11438" t="str">
        <f>HYPERLINK("https://zfin.org/ZDB-GENE-050327-48")</f>
        <v>https://zfin.org/ZDB-GENE-050327-48</v>
      </c>
      <c r="E11438" t="s">
        <v>34275</v>
      </c>
    </row>
    <row r="11439" spans="1:5" x14ac:dyDescent="0.2">
      <c r="A11439" t="s">
        <v>34276</v>
      </c>
      <c r="B11439" t="s">
        <v>34277</v>
      </c>
      <c r="C11439" t="s">
        <v>34277</v>
      </c>
      <c r="D11439" t="str">
        <f>HYPERLINK("https://zfin.org/ZDB-GENE-050327-45")</f>
        <v>https://zfin.org/ZDB-GENE-050327-45</v>
      </c>
      <c r="E11439" t="s">
        <v>34278</v>
      </c>
    </row>
    <row r="11440" spans="1:5" x14ac:dyDescent="0.2">
      <c r="A11440" t="s">
        <v>34279</v>
      </c>
      <c r="B11440" t="s">
        <v>34280</v>
      </c>
      <c r="C11440" t="s">
        <v>34280</v>
      </c>
      <c r="D11440" t="str">
        <f>HYPERLINK("https://zfin.org/ZDB-GENE-060503-289")</f>
        <v>https://zfin.org/ZDB-GENE-060503-289</v>
      </c>
      <c r="E11440" t="s">
        <v>34281</v>
      </c>
    </row>
    <row r="11441" spans="1:5" x14ac:dyDescent="0.2">
      <c r="A11441" t="s">
        <v>34282</v>
      </c>
      <c r="B11441" t="s">
        <v>34283</v>
      </c>
      <c r="C11441" t="s">
        <v>34283</v>
      </c>
      <c r="D11441" t="str">
        <f>HYPERLINK("https://zfin.org/ZDB-GENE-030131-6062")</f>
        <v>https://zfin.org/ZDB-GENE-030131-6062</v>
      </c>
      <c r="E11441" t="s">
        <v>34284</v>
      </c>
    </row>
    <row r="11442" spans="1:5" x14ac:dyDescent="0.2">
      <c r="A11442" t="s">
        <v>34285</v>
      </c>
      <c r="B11442" t="s">
        <v>34286</v>
      </c>
      <c r="C11442" t="s">
        <v>34286</v>
      </c>
      <c r="D11442" t="str">
        <f>HYPERLINK("https://zfin.org/ZDB-GENE-121003-1")</f>
        <v>https://zfin.org/ZDB-GENE-121003-1</v>
      </c>
      <c r="E11442" t="s">
        <v>34287</v>
      </c>
    </row>
    <row r="11443" spans="1:5" x14ac:dyDescent="0.2">
      <c r="A11443" t="s">
        <v>34288</v>
      </c>
      <c r="B11443" t="s">
        <v>34289</v>
      </c>
      <c r="C11443" t="s">
        <v>34289</v>
      </c>
      <c r="D11443" t="str">
        <f>HYPERLINK("https://zfin.org/ZDB-GENE-030131-1558")</f>
        <v>https://zfin.org/ZDB-GENE-030131-1558</v>
      </c>
      <c r="E11443" t="s">
        <v>34290</v>
      </c>
    </row>
    <row r="11444" spans="1:5" x14ac:dyDescent="0.2">
      <c r="A11444" t="s">
        <v>34291</v>
      </c>
      <c r="B11444" t="s">
        <v>34292</v>
      </c>
      <c r="C11444" t="s">
        <v>34292</v>
      </c>
      <c r="D11444" t="str">
        <f>HYPERLINK("https://zfin.org/ZDB-GENE-081031-72")</f>
        <v>https://zfin.org/ZDB-GENE-081031-72</v>
      </c>
      <c r="E11444" t="s">
        <v>34293</v>
      </c>
    </row>
    <row r="11445" spans="1:5" x14ac:dyDescent="0.2">
      <c r="A11445" t="s">
        <v>34294</v>
      </c>
      <c r="B11445" t="s">
        <v>34295</v>
      </c>
      <c r="C11445" t="s">
        <v>34295</v>
      </c>
      <c r="D11445" t="str">
        <f>HYPERLINK("https://zfin.org/ZDB-GENE-101202-2")</f>
        <v>https://zfin.org/ZDB-GENE-101202-2</v>
      </c>
      <c r="E11445" t="s">
        <v>34296</v>
      </c>
    </row>
    <row r="11446" spans="1:5" x14ac:dyDescent="0.2">
      <c r="A11446" t="s">
        <v>34297</v>
      </c>
      <c r="B11446" t="s">
        <v>34298</v>
      </c>
      <c r="C11446" t="s">
        <v>34298</v>
      </c>
      <c r="D11446" t="str">
        <f>HYPERLINK("https://zfin.org/ZDB-GENE-031217-1")</f>
        <v>https://zfin.org/ZDB-GENE-031217-1</v>
      </c>
      <c r="E11446" t="s">
        <v>34299</v>
      </c>
    </row>
    <row r="11447" spans="1:5" x14ac:dyDescent="0.2">
      <c r="A11447" t="s">
        <v>34300</v>
      </c>
      <c r="B11447" t="s">
        <v>34301</v>
      </c>
      <c r="C11447" t="s">
        <v>34301</v>
      </c>
      <c r="D11447" t="str">
        <f>HYPERLINK("https://zfin.org/ZDB-GENE-060825-41")</f>
        <v>https://zfin.org/ZDB-GENE-060825-41</v>
      </c>
      <c r="E11447" t="s">
        <v>34302</v>
      </c>
    </row>
    <row r="11448" spans="1:5" x14ac:dyDescent="0.2">
      <c r="A11448" t="s">
        <v>34303</v>
      </c>
      <c r="B11448" t="s">
        <v>34304</v>
      </c>
      <c r="C11448" t="s">
        <v>34304</v>
      </c>
      <c r="D11448" t="str">
        <f>HYPERLINK("https://zfin.org/ZDB-GENE-030903-2")</f>
        <v>https://zfin.org/ZDB-GENE-030903-2</v>
      </c>
      <c r="E11448" t="s">
        <v>34305</v>
      </c>
    </row>
    <row r="11449" spans="1:5" x14ac:dyDescent="0.2">
      <c r="A11449" t="s">
        <v>34306</v>
      </c>
      <c r="B11449" t="s">
        <v>34307</v>
      </c>
      <c r="C11449" t="s">
        <v>34307</v>
      </c>
      <c r="D11449" t="str">
        <f>HYPERLINK("https://zfin.org/ZDB-GENE-041014-11")</f>
        <v>https://zfin.org/ZDB-GENE-041014-11</v>
      </c>
      <c r="E11449" t="s">
        <v>34308</v>
      </c>
    </row>
    <row r="11450" spans="1:5" x14ac:dyDescent="0.2">
      <c r="A11450" t="s">
        <v>34309</v>
      </c>
      <c r="B11450" t="s">
        <v>34310</v>
      </c>
      <c r="C11450" t="s">
        <v>34310</v>
      </c>
      <c r="D11450" t="str">
        <f>HYPERLINK("https://zfin.org/ZDB-GENE-030131-9407")</f>
        <v>https://zfin.org/ZDB-GENE-030131-9407</v>
      </c>
      <c r="E11450" t="s">
        <v>34311</v>
      </c>
    </row>
    <row r="11451" spans="1:5" x14ac:dyDescent="0.2">
      <c r="A11451" t="s">
        <v>34312</v>
      </c>
      <c r="B11451" t="s">
        <v>34313</v>
      </c>
      <c r="C11451" t="s">
        <v>34313</v>
      </c>
      <c r="D11451" t="str">
        <f>HYPERLINK("https://zfin.org/ZDB-GENE-041111-123")</f>
        <v>https://zfin.org/ZDB-GENE-041111-123</v>
      </c>
      <c r="E11451" t="s">
        <v>34314</v>
      </c>
    </row>
    <row r="11452" spans="1:5" x14ac:dyDescent="0.2">
      <c r="A11452" t="s">
        <v>34315</v>
      </c>
      <c r="B11452" t="s">
        <v>34316</v>
      </c>
      <c r="C11452" t="s">
        <v>34316</v>
      </c>
      <c r="D11452" t="str">
        <f>HYPERLINK("https://zfin.org/ZDB-GENE-080220-46")</f>
        <v>https://zfin.org/ZDB-GENE-080220-46</v>
      </c>
      <c r="E11452" t="s">
        <v>34317</v>
      </c>
    </row>
    <row r="11453" spans="1:5" x14ac:dyDescent="0.2">
      <c r="A11453" t="s">
        <v>34318</v>
      </c>
      <c r="B11453" t="s">
        <v>34319</v>
      </c>
      <c r="C11453" t="s">
        <v>34319</v>
      </c>
      <c r="D11453" t="str">
        <f>HYPERLINK("https://zfin.org/ZDB-GENE-121214-275")</f>
        <v>https://zfin.org/ZDB-GENE-121214-275</v>
      </c>
      <c r="E11453" t="s">
        <v>34320</v>
      </c>
    </row>
    <row r="11454" spans="1:5" x14ac:dyDescent="0.2">
      <c r="A11454" t="s">
        <v>34321</v>
      </c>
      <c r="B11454" t="s">
        <v>34322</v>
      </c>
      <c r="C11454" t="s">
        <v>34322</v>
      </c>
      <c r="D11454" t="str">
        <f>HYPERLINK("https://zfin.org/ZDB-GENE-070912-313")</f>
        <v>https://zfin.org/ZDB-GENE-070912-313</v>
      </c>
      <c r="E11454" t="s">
        <v>34323</v>
      </c>
    </row>
    <row r="11455" spans="1:5" x14ac:dyDescent="0.2">
      <c r="A11455" t="s">
        <v>34324</v>
      </c>
      <c r="B11455" t="s">
        <v>34325</v>
      </c>
      <c r="C11455" t="s">
        <v>34325</v>
      </c>
      <c r="D11455" t="str">
        <f>HYPERLINK("https://zfin.org/ZDB-GENE-111107-1")</f>
        <v>https://zfin.org/ZDB-GENE-111107-1</v>
      </c>
      <c r="E11455" t="s">
        <v>34326</v>
      </c>
    </row>
    <row r="11456" spans="1:5" x14ac:dyDescent="0.2">
      <c r="A11456" t="s">
        <v>34327</v>
      </c>
      <c r="B11456" t="s">
        <v>34328</v>
      </c>
      <c r="C11456" t="s">
        <v>34328</v>
      </c>
      <c r="D11456" t="str">
        <f>HYPERLINK("https://zfin.org/ZDB-GENE-040718-114")</f>
        <v>https://zfin.org/ZDB-GENE-040718-114</v>
      </c>
      <c r="E11456" t="s">
        <v>34329</v>
      </c>
    </row>
    <row r="11457" spans="1:5" x14ac:dyDescent="0.2">
      <c r="A11457" t="s">
        <v>34330</v>
      </c>
      <c r="B11457" t="s">
        <v>34331</v>
      </c>
      <c r="C11457" t="s">
        <v>34331</v>
      </c>
      <c r="D11457" t="str">
        <f>HYPERLINK("https://zfin.org/ZDB-GENE-060825-33")</f>
        <v>https://zfin.org/ZDB-GENE-060825-33</v>
      </c>
      <c r="E11457" t="s">
        <v>34332</v>
      </c>
    </row>
    <row r="11458" spans="1:5" x14ac:dyDescent="0.2">
      <c r="A11458" t="s">
        <v>34333</v>
      </c>
      <c r="B11458" t="s">
        <v>34334</v>
      </c>
      <c r="C11458" t="s">
        <v>34334</v>
      </c>
      <c r="D11458" t="str">
        <f>HYPERLINK("https://zfin.org/ZDB-GENE-130103-9")</f>
        <v>https://zfin.org/ZDB-GENE-130103-9</v>
      </c>
      <c r="E11458" t="s">
        <v>34335</v>
      </c>
    </row>
    <row r="11459" spans="1:5" x14ac:dyDescent="0.2">
      <c r="A11459" t="s">
        <v>34336</v>
      </c>
      <c r="B11459" t="s">
        <v>34337</v>
      </c>
      <c r="C11459" t="s">
        <v>34337</v>
      </c>
      <c r="D11459" t="str">
        <f>HYPERLINK("https://zfin.org/ZDB-GENE-120221-1")</f>
        <v>https://zfin.org/ZDB-GENE-120221-1</v>
      </c>
      <c r="E11459" t="s">
        <v>34338</v>
      </c>
    </row>
    <row r="11460" spans="1:5" x14ac:dyDescent="0.2">
      <c r="A11460" t="s">
        <v>34339</v>
      </c>
      <c r="B11460" t="s">
        <v>34340</v>
      </c>
      <c r="C11460" t="s">
        <v>34340</v>
      </c>
      <c r="D11460" t="str">
        <f>HYPERLINK("https://zfin.org/ZDB-GENE-130530-800")</f>
        <v>https://zfin.org/ZDB-GENE-130530-800</v>
      </c>
      <c r="E11460" t="s">
        <v>34341</v>
      </c>
    </row>
    <row r="11461" spans="1:5" x14ac:dyDescent="0.2">
      <c r="A11461" t="s">
        <v>34342</v>
      </c>
      <c r="B11461" t="s">
        <v>34343</v>
      </c>
      <c r="C11461" t="s">
        <v>34343</v>
      </c>
      <c r="D11461" t="str">
        <f>HYPERLINK("https://zfin.org/ZDB-GENE-040426-978")</f>
        <v>https://zfin.org/ZDB-GENE-040426-978</v>
      </c>
      <c r="E11461" t="s">
        <v>34344</v>
      </c>
    </row>
    <row r="11462" spans="1:5" x14ac:dyDescent="0.2">
      <c r="A11462" t="s">
        <v>34345</v>
      </c>
      <c r="B11462" t="s">
        <v>34346</v>
      </c>
      <c r="C11462" t="s">
        <v>34346</v>
      </c>
      <c r="D11462" t="str">
        <f>HYPERLINK("https://zfin.org/ZDB-GENE-131127-601")</f>
        <v>https://zfin.org/ZDB-GENE-131127-601</v>
      </c>
      <c r="E11462" t="s">
        <v>34347</v>
      </c>
    </row>
    <row r="11463" spans="1:5" x14ac:dyDescent="0.2">
      <c r="A11463" t="s">
        <v>34348</v>
      </c>
      <c r="B11463" t="s">
        <v>34349</v>
      </c>
      <c r="C11463" t="s">
        <v>34349</v>
      </c>
      <c r="D11463" t="str">
        <f>HYPERLINK("https://zfin.org/ZDB-GENE-080220-14")</f>
        <v>https://zfin.org/ZDB-GENE-080220-14</v>
      </c>
      <c r="E11463" t="s">
        <v>34350</v>
      </c>
    </row>
    <row r="11464" spans="1:5" x14ac:dyDescent="0.2">
      <c r="A11464" t="s">
        <v>34351</v>
      </c>
      <c r="B11464" t="s">
        <v>34352</v>
      </c>
      <c r="C11464" t="s">
        <v>34352</v>
      </c>
      <c r="D11464" t="str">
        <f>HYPERLINK("https://zfin.org/ZDB-GENE-030131-9120")</f>
        <v>https://zfin.org/ZDB-GENE-030131-9120</v>
      </c>
      <c r="E11464" t="s">
        <v>34353</v>
      </c>
    </row>
    <row r="11465" spans="1:5" x14ac:dyDescent="0.2">
      <c r="A11465" t="s">
        <v>34354</v>
      </c>
      <c r="B11465" t="s">
        <v>34355</v>
      </c>
      <c r="C11465" t="s">
        <v>34355</v>
      </c>
      <c r="D11465" t="str">
        <f>HYPERLINK("https://zfin.org/ZDB-GENE-080220-28")</f>
        <v>https://zfin.org/ZDB-GENE-080220-28</v>
      </c>
      <c r="E11465" t="s">
        <v>34356</v>
      </c>
    </row>
    <row r="11466" spans="1:5" x14ac:dyDescent="0.2">
      <c r="A11466" t="s">
        <v>34357</v>
      </c>
      <c r="B11466" t="s">
        <v>34358</v>
      </c>
      <c r="C11466" t="s">
        <v>34358</v>
      </c>
      <c r="D11466" t="str">
        <f>HYPERLINK("https://zfin.org/ZDB-GENE-121207-1")</f>
        <v>https://zfin.org/ZDB-GENE-121207-1</v>
      </c>
      <c r="E11466" t="s">
        <v>34359</v>
      </c>
    </row>
    <row r="11467" spans="1:5" x14ac:dyDescent="0.2">
      <c r="A11467" t="s">
        <v>34360</v>
      </c>
      <c r="B11467" t="s">
        <v>34349</v>
      </c>
      <c r="C11467" t="s">
        <v>34361</v>
      </c>
      <c r="D11467" t="str">
        <f>HYPERLINK("https://zfin.org/ZDB-GENE-080220-14")</f>
        <v>https://zfin.org/ZDB-GENE-080220-14</v>
      </c>
      <c r="E11467" t="s">
        <v>34350</v>
      </c>
    </row>
    <row r="11468" spans="1:5" x14ac:dyDescent="0.2">
      <c r="A11468" t="s">
        <v>34362</v>
      </c>
      <c r="B11468" t="s">
        <v>34363</v>
      </c>
      <c r="C11468" t="s">
        <v>34363</v>
      </c>
      <c r="D11468" t="str">
        <f>HYPERLINK("https://zfin.org/ZDB-GENE-040801-118")</f>
        <v>https://zfin.org/ZDB-GENE-040801-118</v>
      </c>
      <c r="E11468" t="s">
        <v>34364</v>
      </c>
    </row>
    <row r="11469" spans="1:5" x14ac:dyDescent="0.2">
      <c r="A11469" t="s">
        <v>34365</v>
      </c>
      <c r="B11469" t="s">
        <v>34366</v>
      </c>
      <c r="C11469" t="s">
        <v>34366</v>
      </c>
      <c r="D11469" t="str">
        <f>HYPERLINK("https://zfin.org/ZDB-GENE-121214-21")</f>
        <v>https://zfin.org/ZDB-GENE-121214-21</v>
      </c>
      <c r="E11469" t="s">
        <v>34367</v>
      </c>
    </row>
    <row r="11470" spans="1:5" x14ac:dyDescent="0.2">
      <c r="A11470" t="s">
        <v>34368</v>
      </c>
      <c r="B11470" t="s">
        <v>34369</v>
      </c>
      <c r="C11470" t="s">
        <v>34369</v>
      </c>
      <c r="D11470" t="str">
        <f>HYPERLINK("https://zfin.org/ZDB-GENE-061013-612")</f>
        <v>https://zfin.org/ZDB-GENE-061013-612</v>
      </c>
      <c r="E11470" t="s">
        <v>34370</v>
      </c>
    </row>
    <row r="11471" spans="1:5" x14ac:dyDescent="0.2">
      <c r="A11471" t="s">
        <v>34371</v>
      </c>
      <c r="B11471" t="s">
        <v>34372</v>
      </c>
      <c r="C11471" t="s">
        <v>34372</v>
      </c>
      <c r="D11471" t="str">
        <f>HYPERLINK("https://zfin.org/ZDB-GENE-050320-102")</f>
        <v>https://zfin.org/ZDB-GENE-050320-102</v>
      </c>
      <c r="E11471" t="s">
        <v>34373</v>
      </c>
    </row>
    <row r="11472" spans="1:5" x14ac:dyDescent="0.2">
      <c r="A11472" t="s">
        <v>34374</v>
      </c>
      <c r="B11472" t="s">
        <v>34375</v>
      </c>
      <c r="C11472" t="s">
        <v>34375</v>
      </c>
      <c r="D11472" t="str">
        <f>HYPERLINK("https://zfin.org/ZDB-GENE-100921-72")</f>
        <v>https://zfin.org/ZDB-GENE-100921-72</v>
      </c>
      <c r="E11472" t="s">
        <v>34376</v>
      </c>
    </row>
    <row r="11473" spans="1:5" x14ac:dyDescent="0.2">
      <c r="A11473" t="s">
        <v>34377</v>
      </c>
      <c r="B11473" t="s">
        <v>34378</v>
      </c>
      <c r="C11473" t="s">
        <v>34378</v>
      </c>
      <c r="D11473" t="str">
        <f>HYPERLINK("https://zfin.org/ZDB-GENE-040426-2609")</f>
        <v>https://zfin.org/ZDB-GENE-040426-2609</v>
      </c>
      <c r="E11473" t="s">
        <v>34379</v>
      </c>
    </row>
    <row r="11474" spans="1:5" x14ac:dyDescent="0.2">
      <c r="A11474" t="s">
        <v>34380</v>
      </c>
      <c r="B11474" t="s">
        <v>34381</v>
      </c>
      <c r="C11474" t="s">
        <v>34381</v>
      </c>
      <c r="D11474" t="str">
        <f>HYPERLINK("https://zfin.org/ZDB-GENE-051113-208")</f>
        <v>https://zfin.org/ZDB-GENE-051113-208</v>
      </c>
      <c r="E11474" t="s">
        <v>34382</v>
      </c>
    </row>
    <row r="11475" spans="1:5" x14ac:dyDescent="0.2">
      <c r="A11475" t="s">
        <v>34383</v>
      </c>
      <c r="B11475" t="s">
        <v>34384</v>
      </c>
      <c r="C11475" t="s">
        <v>34384</v>
      </c>
      <c r="D11475" t="str">
        <f>HYPERLINK("https://zfin.org/ZDB-GENE-030131-379")</f>
        <v>https://zfin.org/ZDB-GENE-030131-379</v>
      </c>
      <c r="E11475" t="s">
        <v>34385</v>
      </c>
    </row>
    <row r="11476" spans="1:5" x14ac:dyDescent="0.2">
      <c r="A11476" t="s">
        <v>34386</v>
      </c>
      <c r="B11476" t="s">
        <v>34387</v>
      </c>
      <c r="C11476" t="s">
        <v>34387</v>
      </c>
      <c r="D11476" t="str">
        <f>HYPERLINK("https://zfin.org/ZDB-GENE-100422-17")</f>
        <v>https://zfin.org/ZDB-GENE-100422-17</v>
      </c>
      <c r="E11476" t="s">
        <v>34388</v>
      </c>
    </row>
    <row r="11477" spans="1:5" x14ac:dyDescent="0.2">
      <c r="A11477" t="s">
        <v>34389</v>
      </c>
      <c r="B11477" t="s">
        <v>34390</v>
      </c>
      <c r="C11477" t="s">
        <v>34390</v>
      </c>
      <c r="D11477" t="str">
        <f>HYPERLINK("https://zfin.org/ZDB-GENE-040426-2242")</f>
        <v>https://zfin.org/ZDB-GENE-040426-2242</v>
      </c>
      <c r="E11477" t="s">
        <v>34391</v>
      </c>
    </row>
    <row r="11478" spans="1:5" x14ac:dyDescent="0.2">
      <c r="A11478" t="s">
        <v>34392</v>
      </c>
      <c r="B11478" t="s">
        <v>34393</v>
      </c>
      <c r="C11478" t="s">
        <v>34393</v>
      </c>
      <c r="D11478" t="str">
        <f>HYPERLINK("https://zfin.org/ZDB-GENE-030616-82")</f>
        <v>https://zfin.org/ZDB-GENE-030616-82</v>
      </c>
      <c r="E11478" t="s">
        <v>34394</v>
      </c>
    </row>
    <row r="11479" spans="1:5" x14ac:dyDescent="0.2">
      <c r="A11479" t="s">
        <v>34395</v>
      </c>
      <c r="B11479" t="s">
        <v>34396</v>
      </c>
      <c r="C11479" t="s">
        <v>34396</v>
      </c>
      <c r="D11479" t="str">
        <f>HYPERLINK("https://zfin.org/ZDB-GENE-121214-120")</f>
        <v>https://zfin.org/ZDB-GENE-121214-120</v>
      </c>
      <c r="E11479" t="s">
        <v>34397</v>
      </c>
    </row>
    <row r="11480" spans="1:5" x14ac:dyDescent="0.2">
      <c r="A11480" t="s">
        <v>34398</v>
      </c>
      <c r="B11480" t="s">
        <v>34399</v>
      </c>
      <c r="C11480" t="s">
        <v>34399</v>
      </c>
      <c r="D11480" t="str">
        <f>HYPERLINK("https://zfin.org/ZDB-GENE-040426-747")</f>
        <v>https://zfin.org/ZDB-GENE-040426-747</v>
      </c>
      <c r="E11480" t="s">
        <v>34400</v>
      </c>
    </row>
    <row r="11481" spans="1:5" x14ac:dyDescent="0.2">
      <c r="A11481" t="s">
        <v>34401</v>
      </c>
      <c r="B11481" t="s">
        <v>34402</v>
      </c>
      <c r="C11481" t="s">
        <v>34402</v>
      </c>
      <c r="D11481" t="str">
        <f>HYPERLINK("https://zfin.org/ZDB-GENE-030131-3127")</f>
        <v>https://zfin.org/ZDB-GENE-030131-3127</v>
      </c>
      <c r="E11481" t="s">
        <v>34403</v>
      </c>
    </row>
    <row r="11482" spans="1:5" x14ac:dyDescent="0.2">
      <c r="A11482" t="s">
        <v>34404</v>
      </c>
      <c r="B11482" t="s">
        <v>34405</v>
      </c>
      <c r="C11482" t="s">
        <v>34405</v>
      </c>
      <c r="D11482" t="str">
        <f>HYPERLINK("https://zfin.org/ZDB-GENE-030616-403")</f>
        <v>https://zfin.org/ZDB-GENE-030616-403</v>
      </c>
      <c r="E11482" t="s">
        <v>34406</v>
      </c>
    </row>
    <row r="11483" spans="1:5" x14ac:dyDescent="0.2">
      <c r="A11483" t="s">
        <v>34407</v>
      </c>
      <c r="B11483" t="s">
        <v>34408</v>
      </c>
      <c r="C11483" t="s">
        <v>34408</v>
      </c>
      <c r="D11483" t="str">
        <f>HYPERLINK("https://zfin.org/ZDB-GENE-030131-6960")</f>
        <v>https://zfin.org/ZDB-GENE-030131-6960</v>
      </c>
      <c r="E11483" t="s">
        <v>34409</v>
      </c>
    </row>
    <row r="11484" spans="1:5" x14ac:dyDescent="0.2">
      <c r="A11484" t="s">
        <v>34410</v>
      </c>
      <c r="B11484" t="s">
        <v>34411</v>
      </c>
      <c r="C11484" t="s">
        <v>34411</v>
      </c>
      <c r="D11484" t="str">
        <f>HYPERLINK("https://zfin.org/ZDB-GENE-131127-224")</f>
        <v>https://zfin.org/ZDB-GENE-131127-224</v>
      </c>
      <c r="E11484" t="s">
        <v>34412</v>
      </c>
    </row>
    <row r="11485" spans="1:5" x14ac:dyDescent="0.2">
      <c r="A11485" t="s">
        <v>34413</v>
      </c>
      <c r="B11485" t="s">
        <v>34414</v>
      </c>
      <c r="C11485" t="s">
        <v>34414</v>
      </c>
      <c r="D11485" t="str">
        <f>HYPERLINK("https://zfin.org/ZDB-GENE-121214-41")</f>
        <v>https://zfin.org/ZDB-GENE-121214-41</v>
      </c>
      <c r="E11485" t="s">
        <v>34415</v>
      </c>
    </row>
    <row r="11486" spans="1:5" x14ac:dyDescent="0.2">
      <c r="A11486" t="s">
        <v>34416</v>
      </c>
      <c r="B11486" t="s">
        <v>34417</v>
      </c>
      <c r="C11486" t="s">
        <v>34417</v>
      </c>
      <c r="D11486" t="str">
        <f>HYPERLINK("https://zfin.org/ZDB-GENE-090313-218")</f>
        <v>https://zfin.org/ZDB-GENE-090313-218</v>
      </c>
      <c r="E11486" t="s">
        <v>34418</v>
      </c>
    </row>
    <row r="11487" spans="1:5" x14ac:dyDescent="0.2">
      <c r="A11487" t="s">
        <v>34419</v>
      </c>
      <c r="B11487" t="s">
        <v>34420</v>
      </c>
      <c r="C11487" t="s">
        <v>34420</v>
      </c>
      <c r="D11487" t="str">
        <f>HYPERLINK("https://zfin.org/ZDB-GENE-040426-1384")</f>
        <v>https://zfin.org/ZDB-GENE-040426-1384</v>
      </c>
      <c r="E11487" t="s">
        <v>34421</v>
      </c>
    </row>
    <row r="11488" spans="1:5" x14ac:dyDescent="0.2">
      <c r="A11488" t="s">
        <v>34422</v>
      </c>
      <c r="B11488" t="s">
        <v>34423</v>
      </c>
      <c r="C11488" t="s">
        <v>34423</v>
      </c>
      <c r="D11488" t="str">
        <f>HYPERLINK("https://zfin.org/ZDB-GENE-030826-29")</f>
        <v>https://zfin.org/ZDB-GENE-030826-29</v>
      </c>
      <c r="E11488" t="s">
        <v>34424</v>
      </c>
    </row>
    <row r="11489" spans="1:5" x14ac:dyDescent="0.2">
      <c r="A11489" t="s">
        <v>34425</v>
      </c>
      <c r="B11489" t="s">
        <v>34426</v>
      </c>
      <c r="C11489" t="s">
        <v>34426</v>
      </c>
      <c r="D11489" t="str">
        <f>HYPERLINK("https://zfin.org/ZDB-GENE-041010-61")</f>
        <v>https://zfin.org/ZDB-GENE-041010-61</v>
      </c>
      <c r="E11489" t="s">
        <v>34427</v>
      </c>
    </row>
    <row r="11490" spans="1:5" x14ac:dyDescent="0.2">
      <c r="A11490" t="s">
        <v>34428</v>
      </c>
      <c r="B11490" t="s">
        <v>34429</v>
      </c>
      <c r="C11490" t="s">
        <v>34429</v>
      </c>
      <c r="D11490" t="str">
        <f>HYPERLINK("https://zfin.org/ZDB-GENE-091113-57")</f>
        <v>https://zfin.org/ZDB-GENE-091113-57</v>
      </c>
      <c r="E11490" t="s">
        <v>34430</v>
      </c>
    </row>
    <row r="11491" spans="1:5" x14ac:dyDescent="0.2">
      <c r="A11491" t="s">
        <v>34431</v>
      </c>
      <c r="B11491" t="s">
        <v>34432</v>
      </c>
      <c r="C11491" t="s">
        <v>34432</v>
      </c>
      <c r="D11491" t="str">
        <f>HYPERLINK("https://zfin.org/ZDB-GENE-030616-362")</f>
        <v>https://zfin.org/ZDB-GENE-030616-362</v>
      </c>
      <c r="E11491" t="s">
        <v>34433</v>
      </c>
    </row>
    <row r="11492" spans="1:5" x14ac:dyDescent="0.2">
      <c r="A11492" t="s">
        <v>34434</v>
      </c>
      <c r="B11492" t="s">
        <v>34435</v>
      </c>
      <c r="C11492" t="s">
        <v>34435</v>
      </c>
      <c r="D11492" t="str">
        <f>HYPERLINK("https://zfin.org/ZDB-GENE-070705-179")</f>
        <v>https://zfin.org/ZDB-GENE-070705-179</v>
      </c>
      <c r="E11492" t="s">
        <v>34436</v>
      </c>
    </row>
    <row r="11493" spans="1:5" x14ac:dyDescent="0.2">
      <c r="A11493" t="s">
        <v>34437</v>
      </c>
      <c r="B11493" t="s">
        <v>34438</v>
      </c>
      <c r="C11493" t="s">
        <v>34438</v>
      </c>
      <c r="D11493" t="str">
        <f>HYPERLINK("https://zfin.org/ZDB-GENE-131120-84")</f>
        <v>https://zfin.org/ZDB-GENE-131120-84</v>
      </c>
      <c r="E11493" t="s">
        <v>34439</v>
      </c>
    </row>
    <row r="11494" spans="1:5" x14ac:dyDescent="0.2">
      <c r="A11494" t="s">
        <v>34440</v>
      </c>
      <c r="B11494" t="s">
        <v>34441</v>
      </c>
      <c r="C11494" t="s">
        <v>34441</v>
      </c>
      <c r="D11494" t="str">
        <f>HYPERLINK("https://zfin.org/ZDB-GENE-080220-21")</f>
        <v>https://zfin.org/ZDB-GENE-080220-21</v>
      </c>
      <c r="E11494" t="s">
        <v>34442</v>
      </c>
    </row>
    <row r="11495" spans="1:5" x14ac:dyDescent="0.2">
      <c r="A11495" t="s">
        <v>34443</v>
      </c>
      <c r="B11495" t="s">
        <v>34444</v>
      </c>
      <c r="C11495" t="s">
        <v>34444</v>
      </c>
      <c r="D11495" t="str">
        <f>HYPERLINK("https://zfin.org/ZDB-GENE-090312-50")</f>
        <v>https://zfin.org/ZDB-GENE-090312-50</v>
      </c>
      <c r="E11495" t="s">
        <v>34445</v>
      </c>
    </row>
    <row r="11496" spans="1:5" x14ac:dyDescent="0.2">
      <c r="A11496" t="s">
        <v>34446</v>
      </c>
      <c r="B11496" t="s">
        <v>34447</v>
      </c>
      <c r="C11496" t="s">
        <v>34447</v>
      </c>
      <c r="D11496" t="str">
        <f>HYPERLINK("https://zfin.org/ZDB-GENE-060810-180")</f>
        <v>https://zfin.org/ZDB-GENE-060810-180</v>
      </c>
      <c r="E11496" t="s">
        <v>34448</v>
      </c>
    </row>
    <row r="11497" spans="1:5" x14ac:dyDescent="0.2">
      <c r="A11497" t="s">
        <v>34449</v>
      </c>
      <c r="B11497" t="s">
        <v>34450</v>
      </c>
      <c r="C11497" t="s">
        <v>34450</v>
      </c>
      <c r="D11497" t="str">
        <f>HYPERLINK("https://zfin.org/ZDB-GENE-061201-6")</f>
        <v>https://zfin.org/ZDB-GENE-061201-6</v>
      </c>
      <c r="E11497" t="s">
        <v>34451</v>
      </c>
    </row>
    <row r="11498" spans="1:5" x14ac:dyDescent="0.2">
      <c r="A11498" t="s">
        <v>34452</v>
      </c>
      <c r="B11498" t="s">
        <v>34453</v>
      </c>
      <c r="C11498" t="s">
        <v>34453</v>
      </c>
      <c r="D11498" t="str">
        <f>HYPERLINK("https://zfin.org/ZDB-GENE-120215-136")</f>
        <v>https://zfin.org/ZDB-GENE-120215-136</v>
      </c>
      <c r="E11498" t="s">
        <v>34454</v>
      </c>
    </row>
    <row r="11499" spans="1:5" x14ac:dyDescent="0.2">
      <c r="A11499" t="s">
        <v>34455</v>
      </c>
      <c r="B11499" t="s">
        <v>34456</v>
      </c>
      <c r="C11499" t="s">
        <v>34456</v>
      </c>
      <c r="D11499" t="str">
        <f>HYPERLINK("https://zfin.org/ZDB-GENE-051113-300")</f>
        <v>https://zfin.org/ZDB-GENE-051113-300</v>
      </c>
      <c r="E11499" t="s">
        <v>34457</v>
      </c>
    </row>
    <row r="11500" spans="1:5" x14ac:dyDescent="0.2">
      <c r="A11500" t="s">
        <v>34458</v>
      </c>
      <c r="B11500" t="s">
        <v>33617</v>
      </c>
      <c r="C11500" t="s">
        <v>34459</v>
      </c>
      <c r="D11500" t="str">
        <f>HYPERLINK("https://zfin.org/ZDB-GENE-050419-188")</f>
        <v>https://zfin.org/ZDB-GENE-050419-188</v>
      </c>
      <c r="E11500" t="s">
        <v>34460</v>
      </c>
    </row>
    <row r="11501" spans="1:5" x14ac:dyDescent="0.2">
      <c r="A11501" t="s">
        <v>34461</v>
      </c>
      <c r="B11501" t="s">
        <v>34462</v>
      </c>
      <c r="C11501" t="s">
        <v>34462</v>
      </c>
      <c r="D11501" t="str">
        <f>HYPERLINK("https://zfin.org/ZDB-GENE-060421-2858")</f>
        <v>https://zfin.org/ZDB-GENE-060421-2858</v>
      </c>
      <c r="E11501" t="s">
        <v>34463</v>
      </c>
    </row>
    <row r="11502" spans="1:5" x14ac:dyDescent="0.2">
      <c r="A11502" t="s">
        <v>34464</v>
      </c>
      <c r="B11502" t="s">
        <v>34465</v>
      </c>
      <c r="C11502" t="s">
        <v>34465</v>
      </c>
      <c r="D11502" t="str">
        <f>HYPERLINK("https://zfin.org/ZDB-GENE-060825-174")</f>
        <v>https://zfin.org/ZDB-GENE-060825-174</v>
      </c>
      <c r="E11502" t="s">
        <v>34466</v>
      </c>
    </row>
    <row r="11503" spans="1:5" x14ac:dyDescent="0.2">
      <c r="A11503" t="s">
        <v>34467</v>
      </c>
      <c r="B11503" t="s">
        <v>34468</v>
      </c>
      <c r="C11503" t="s">
        <v>34468</v>
      </c>
      <c r="D11503" t="str">
        <f>HYPERLINK("https://zfin.org/ZDB-GENE-040912-118")</f>
        <v>https://zfin.org/ZDB-GENE-040912-118</v>
      </c>
      <c r="E11503" t="s">
        <v>34469</v>
      </c>
    </row>
    <row r="11504" spans="1:5" x14ac:dyDescent="0.2">
      <c r="A11504" t="s">
        <v>34470</v>
      </c>
      <c r="B11504" t="s">
        <v>34471</v>
      </c>
      <c r="C11504" t="s">
        <v>34471</v>
      </c>
      <c r="D11504" t="str">
        <f>HYPERLINK("https://zfin.org/ZDB-GENE-040718-452")</f>
        <v>https://zfin.org/ZDB-GENE-040718-452</v>
      </c>
      <c r="E11504" t="s">
        <v>34472</v>
      </c>
    </row>
    <row r="11505" spans="1:5" x14ac:dyDescent="0.2">
      <c r="A11505" t="s">
        <v>34473</v>
      </c>
      <c r="B11505" t="s">
        <v>34474</v>
      </c>
      <c r="C11505" t="s">
        <v>34474</v>
      </c>
      <c r="D11505" t="str">
        <f>HYPERLINK("https://zfin.org/ZDB-GENE-021217-2")</f>
        <v>https://zfin.org/ZDB-GENE-021217-2</v>
      </c>
      <c r="E11505" t="s">
        <v>34475</v>
      </c>
    </row>
    <row r="11506" spans="1:5" x14ac:dyDescent="0.2">
      <c r="A11506" t="s">
        <v>34476</v>
      </c>
      <c r="B11506" t="s">
        <v>34477</v>
      </c>
      <c r="C11506" t="s">
        <v>34477</v>
      </c>
      <c r="D11506" t="str">
        <f>HYPERLINK("https://zfin.org/ZDB-GENE-101202-1")</f>
        <v>https://zfin.org/ZDB-GENE-101202-1</v>
      </c>
      <c r="E11506" t="s">
        <v>34478</v>
      </c>
    </row>
    <row r="11507" spans="1:5" x14ac:dyDescent="0.2">
      <c r="A11507" t="s">
        <v>34479</v>
      </c>
      <c r="B11507" t="s">
        <v>21229</v>
      </c>
      <c r="C11507" t="s">
        <v>34480</v>
      </c>
      <c r="D11507" t="str">
        <f>HYPERLINK("https://zfin.org/ZDB-GENE-121214-262")</f>
        <v>https://zfin.org/ZDB-GENE-121214-262</v>
      </c>
      <c r="E11507" t="s">
        <v>34481</v>
      </c>
    </row>
    <row r="11508" spans="1:5" x14ac:dyDescent="0.2">
      <c r="A11508" t="s">
        <v>34482</v>
      </c>
      <c r="B11508" t="s">
        <v>34483</v>
      </c>
      <c r="C11508" t="s">
        <v>34483</v>
      </c>
      <c r="D11508" t="str">
        <f>HYPERLINK("https://zfin.org/ZDB-GENE-070928-17")</f>
        <v>https://zfin.org/ZDB-GENE-070928-17</v>
      </c>
      <c r="E11508" t="s">
        <v>34484</v>
      </c>
    </row>
    <row r="11509" spans="1:5" x14ac:dyDescent="0.2">
      <c r="A11509" t="s">
        <v>34485</v>
      </c>
      <c r="B11509" t="s">
        <v>34486</v>
      </c>
      <c r="C11509" t="s">
        <v>34486</v>
      </c>
      <c r="D11509" t="str">
        <f>HYPERLINK("https://zfin.org/ZDB-GENE-030131-8554")</f>
        <v>https://zfin.org/ZDB-GENE-030131-8554</v>
      </c>
      <c r="E11509" t="s">
        <v>34487</v>
      </c>
    </row>
    <row r="11510" spans="1:5" x14ac:dyDescent="0.2">
      <c r="A11510" t="s">
        <v>34488</v>
      </c>
      <c r="B11510" t="s">
        <v>34489</v>
      </c>
      <c r="C11510" t="s">
        <v>34489</v>
      </c>
      <c r="D11510" t="str">
        <f>HYPERLINK("https://zfin.org/ZDB-GENE-061013-49")</f>
        <v>https://zfin.org/ZDB-GENE-061013-49</v>
      </c>
      <c r="E11510" t="s">
        <v>34490</v>
      </c>
    </row>
    <row r="11511" spans="1:5" x14ac:dyDescent="0.2">
      <c r="A11511" t="s">
        <v>34491</v>
      </c>
      <c r="B11511" t="s">
        <v>34492</v>
      </c>
      <c r="C11511" t="s">
        <v>34492</v>
      </c>
      <c r="D11511" t="str">
        <f>HYPERLINK("https://zfin.org/ZDB-GENE-050327-10")</f>
        <v>https://zfin.org/ZDB-GENE-050327-10</v>
      </c>
      <c r="E11511" t="s">
        <v>34493</v>
      </c>
    </row>
    <row r="11512" spans="1:5" x14ac:dyDescent="0.2">
      <c r="A11512" t="s">
        <v>34494</v>
      </c>
      <c r="B11512" t="s">
        <v>34495</v>
      </c>
      <c r="C11512" t="s">
        <v>34495</v>
      </c>
      <c r="D11512" t="str">
        <f>HYPERLINK("https://zfin.org/ZDB-GENE-131121-384")</f>
        <v>https://zfin.org/ZDB-GENE-131121-384</v>
      </c>
      <c r="E11512" t="s">
        <v>34496</v>
      </c>
    </row>
    <row r="11513" spans="1:5" x14ac:dyDescent="0.2">
      <c r="A11513" t="s">
        <v>34497</v>
      </c>
      <c r="B11513" t="s">
        <v>34498</v>
      </c>
      <c r="C11513" t="s">
        <v>34498</v>
      </c>
      <c r="D11513" t="str">
        <f>HYPERLINK("https://zfin.org/ZDB-GENE-081104-289")</f>
        <v>https://zfin.org/ZDB-GENE-081104-289</v>
      </c>
      <c r="E11513" t="s">
        <v>34499</v>
      </c>
    </row>
    <row r="11514" spans="1:5" x14ac:dyDescent="0.2">
      <c r="A11514" t="s">
        <v>34500</v>
      </c>
      <c r="B11514" t="s">
        <v>34501</v>
      </c>
      <c r="C11514" t="s">
        <v>34501</v>
      </c>
      <c r="D11514" t="str">
        <f>HYPERLINK("https://zfin.org/ZDB-GENE-060526-311")</f>
        <v>https://zfin.org/ZDB-GENE-060526-311</v>
      </c>
      <c r="E11514" t="s">
        <v>34502</v>
      </c>
    </row>
    <row r="11515" spans="1:5" x14ac:dyDescent="0.2">
      <c r="A11515" t="s">
        <v>34503</v>
      </c>
      <c r="B11515" t="s">
        <v>34504</v>
      </c>
      <c r="C11515" t="s">
        <v>34504</v>
      </c>
      <c r="D11515" t="str">
        <f>HYPERLINK("https://zfin.org/ZDB-GENE-091204-306")</f>
        <v>https://zfin.org/ZDB-GENE-091204-306</v>
      </c>
      <c r="E11515" t="s">
        <v>34505</v>
      </c>
    </row>
    <row r="11516" spans="1:5" x14ac:dyDescent="0.2">
      <c r="A11516" t="s">
        <v>34506</v>
      </c>
      <c r="B11516" t="s">
        <v>34507</v>
      </c>
      <c r="C11516" t="s">
        <v>34507</v>
      </c>
      <c r="D11516" t="str">
        <f>HYPERLINK("https://zfin.org/ZDB-GENE-050913-86")</f>
        <v>https://zfin.org/ZDB-GENE-050913-86</v>
      </c>
      <c r="E11516" t="s">
        <v>34508</v>
      </c>
    </row>
    <row r="11517" spans="1:5" x14ac:dyDescent="0.2">
      <c r="A11517" t="s">
        <v>34509</v>
      </c>
      <c r="B11517" t="s">
        <v>34510</v>
      </c>
      <c r="C11517" t="s">
        <v>34510</v>
      </c>
      <c r="D11517" t="str">
        <f>HYPERLINK("https://zfin.org/ZDB-GENE-041001-146")</f>
        <v>https://zfin.org/ZDB-GENE-041001-146</v>
      </c>
      <c r="E11517" t="s">
        <v>34511</v>
      </c>
    </row>
    <row r="11518" spans="1:5" x14ac:dyDescent="0.2">
      <c r="A11518" t="s">
        <v>34512</v>
      </c>
      <c r="B11518" t="s">
        <v>33426</v>
      </c>
      <c r="C11518" t="s">
        <v>34513</v>
      </c>
      <c r="D11518" t="str">
        <f>HYPERLINK("https://zfin.org/ZDB-GENE-110914-36")</f>
        <v>https://zfin.org/ZDB-GENE-110914-36</v>
      </c>
      <c r="E11518" t="s">
        <v>33427</v>
      </c>
    </row>
    <row r="11519" spans="1:5" x14ac:dyDescent="0.2">
      <c r="A11519" t="s">
        <v>34514</v>
      </c>
      <c r="B11519" t="s">
        <v>34515</v>
      </c>
      <c r="C11519" t="s">
        <v>34515</v>
      </c>
      <c r="D11519" t="str">
        <f>HYPERLINK("https://zfin.org/ZDB-GENE-070719-8")</f>
        <v>https://zfin.org/ZDB-GENE-070719-8</v>
      </c>
      <c r="E11519" t="s">
        <v>34516</v>
      </c>
    </row>
    <row r="11520" spans="1:5" x14ac:dyDescent="0.2">
      <c r="A11520" t="s">
        <v>34517</v>
      </c>
      <c r="B11520" t="s">
        <v>34518</v>
      </c>
      <c r="C11520" t="s">
        <v>34518</v>
      </c>
      <c r="D11520" t="str">
        <f>HYPERLINK("https://zfin.org/ZDB-GENE-000607-80")</f>
        <v>https://zfin.org/ZDB-GENE-000607-80</v>
      </c>
      <c r="E11520" t="s">
        <v>34519</v>
      </c>
    </row>
    <row r="11521" spans="1:5" x14ac:dyDescent="0.2">
      <c r="A11521" t="s">
        <v>34520</v>
      </c>
      <c r="B11521" t="s">
        <v>34521</v>
      </c>
      <c r="C11521" t="s">
        <v>34521</v>
      </c>
      <c r="D11521" t="str">
        <f>HYPERLINK("https://zfin.org/ZDB-GENE-060503-14")</f>
        <v>https://zfin.org/ZDB-GENE-060503-14</v>
      </c>
      <c r="E11521" t="s">
        <v>34522</v>
      </c>
    </row>
    <row r="11522" spans="1:5" x14ac:dyDescent="0.2">
      <c r="A11522" t="s">
        <v>34523</v>
      </c>
      <c r="B11522" t="s">
        <v>34524</v>
      </c>
      <c r="C11522" t="s">
        <v>34524</v>
      </c>
      <c r="D11522" t="str">
        <f>HYPERLINK("https://zfin.org/ZDB-GENE-040712-6")</f>
        <v>https://zfin.org/ZDB-GENE-040712-6</v>
      </c>
      <c r="E11522" t="s">
        <v>34525</v>
      </c>
    </row>
    <row r="11523" spans="1:5" x14ac:dyDescent="0.2">
      <c r="A11523" t="s">
        <v>34526</v>
      </c>
      <c r="B11523" t="s">
        <v>34527</v>
      </c>
      <c r="C11523" t="s">
        <v>34527</v>
      </c>
      <c r="D11523" t="str">
        <f>HYPERLINK("https://zfin.org/ZDB-GENE-060306-1")</f>
        <v>https://zfin.org/ZDB-GENE-060306-1</v>
      </c>
      <c r="E11523" t="s">
        <v>34528</v>
      </c>
    </row>
    <row r="11524" spans="1:5" x14ac:dyDescent="0.2">
      <c r="A11524" t="s">
        <v>34529</v>
      </c>
      <c r="B11524" t="s">
        <v>34530</v>
      </c>
      <c r="C11524" t="s">
        <v>34530</v>
      </c>
      <c r="D11524" t="str">
        <f>HYPERLINK("https://zfin.org/ZDB-GENE-131121-276")</f>
        <v>https://zfin.org/ZDB-GENE-131121-276</v>
      </c>
      <c r="E11524" t="s">
        <v>34531</v>
      </c>
    </row>
    <row r="11525" spans="1:5" x14ac:dyDescent="0.2">
      <c r="A11525" t="s">
        <v>34532</v>
      </c>
      <c r="B11525" t="s">
        <v>34533</v>
      </c>
      <c r="C11525" t="s">
        <v>34533</v>
      </c>
      <c r="D11525" t="str">
        <f>HYPERLINK("https://zfin.org/ZDB-GENE-040822-8")</f>
        <v>https://zfin.org/ZDB-GENE-040822-8</v>
      </c>
      <c r="E11525" t="s">
        <v>34534</v>
      </c>
    </row>
    <row r="11526" spans="1:5" x14ac:dyDescent="0.2">
      <c r="A11526" t="s">
        <v>34535</v>
      </c>
      <c r="B11526" t="s">
        <v>34536</v>
      </c>
      <c r="C11526" t="s">
        <v>34536</v>
      </c>
      <c r="D11526" t="str">
        <f>HYPERLINK("https://zfin.org/ZDB-GENE-030131-3219")</f>
        <v>https://zfin.org/ZDB-GENE-030131-3219</v>
      </c>
      <c r="E11526" t="s">
        <v>34537</v>
      </c>
    </row>
    <row r="11527" spans="1:5" x14ac:dyDescent="0.2">
      <c r="A11527" t="s">
        <v>34538</v>
      </c>
      <c r="B11527" t="s">
        <v>34539</v>
      </c>
      <c r="C11527" t="s">
        <v>34539</v>
      </c>
      <c r="D11527" t="str">
        <f>HYPERLINK("https://zfin.org/ZDB-GENE-141212-371")</f>
        <v>https://zfin.org/ZDB-GENE-141212-371</v>
      </c>
      <c r="E11527" t="s">
        <v>34540</v>
      </c>
    </row>
    <row r="11528" spans="1:5" x14ac:dyDescent="0.2">
      <c r="A11528" t="s">
        <v>34541</v>
      </c>
      <c r="B11528" t="s">
        <v>34542</v>
      </c>
      <c r="C11528" t="s">
        <v>34542</v>
      </c>
      <c r="D11528" t="str">
        <f>HYPERLINK("https://zfin.org/ZDB-GENE-141222-2")</f>
        <v>https://zfin.org/ZDB-GENE-141222-2</v>
      </c>
      <c r="E11528" t="s">
        <v>34543</v>
      </c>
    </row>
    <row r="11529" spans="1:5" x14ac:dyDescent="0.2">
      <c r="A11529" t="s">
        <v>34544</v>
      </c>
      <c r="B11529" t="s">
        <v>34545</v>
      </c>
      <c r="C11529" t="s">
        <v>34545</v>
      </c>
      <c r="D11529" t="str">
        <f>HYPERLINK("https://zfin.org/ZDB-GENE-040426-1116")</f>
        <v>https://zfin.org/ZDB-GENE-040426-1116</v>
      </c>
      <c r="E11529" t="s">
        <v>34546</v>
      </c>
    </row>
    <row r="11530" spans="1:5" x14ac:dyDescent="0.2">
      <c r="A11530" t="s">
        <v>34547</v>
      </c>
      <c r="B11530" t="s">
        <v>34548</v>
      </c>
      <c r="C11530" t="s">
        <v>34548</v>
      </c>
      <c r="D11530" t="str">
        <f>HYPERLINK("https://zfin.org/ZDB-GENE-070410-29")</f>
        <v>https://zfin.org/ZDB-GENE-070410-29</v>
      </c>
      <c r="E11530" t="s">
        <v>34549</v>
      </c>
    </row>
    <row r="11531" spans="1:5" x14ac:dyDescent="0.2">
      <c r="A11531" t="s">
        <v>34550</v>
      </c>
      <c r="B11531" t="s">
        <v>34551</v>
      </c>
      <c r="C11531" t="s">
        <v>34551</v>
      </c>
      <c r="D11531" t="str">
        <f>HYPERLINK("https://zfin.org/ZDB-GENE-030131-4945")</f>
        <v>https://zfin.org/ZDB-GENE-030131-4945</v>
      </c>
      <c r="E11531" t="s">
        <v>34552</v>
      </c>
    </row>
    <row r="11532" spans="1:5" x14ac:dyDescent="0.2">
      <c r="A11532" t="s">
        <v>34553</v>
      </c>
      <c r="B11532" t="s">
        <v>34554</v>
      </c>
      <c r="C11532" t="s">
        <v>34554</v>
      </c>
      <c r="D11532" t="str">
        <f>HYPERLINK("https://zfin.org/ZDB-GENE-110914-16")</f>
        <v>https://zfin.org/ZDB-GENE-110914-16</v>
      </c>
      <c r="E11532" t="s">
        <v>34555</v>
      </c>
    </row>
    <row r="11533" spans="1:5" x14ac:dyDescent="0.2">
      <c r="A11533" t="s">
        <v>34556</v>
      </c>
      <c r="B11533" t="s">
        <v>34557</v>
      </c>
      <c r="C11533" t="s">
        <v>34557</v>
      </c>
      <c r="D11533" t="str">
        <f>HYPERLINK("https://zfin.org/ZDB-GENE-041111-261")</f>
        <v>https://zfin.org/ZDB-GENE-041111-261</v>
      </c>
      <c r="E11533" t="s">
        <v>34558</v>
      </c>
    </row>
    <row r="11534" spans="1:5" x14ac:dyDescent="0.2">
      <c r="A11534" t="s">
        <v>34559</v>
      </c>
      <c r="B11534" t="s">
        <v>34560</v>
      </c>
      <c r="C11534" t="s">
        <v>34560</v>
      </c>
      <c r="D11534" t="str">
        <f>HYPERLINK("https://zfin.org/ZDB-GENE-131121-353")</f>
        <v>https://zfin.org/ZDB-GENE-131121-353</v>
      </c>
      <c r="E11534" t="s">
        <v>34561</v>
      </c>
    </row>
    <row r="11535" spans="1:5" x14ac:dyDescent="0.2">
      <c r="A11535" t="s">
        <v>34562</v>
      </c>
      <c r="B11535" t="s">
        <v>34563</v>
      </c>
      <c r="C11535" t="s">
        <v>34563</v>
      </c>
      <c r="D11535" t="str">
        <f>HYPERLINK("https://zfin.org/ZDB-GENE-120709-32")</f>
        <v>https://zfin.org/ZDB-GENE-120709-32</v>
      </c>
      <c r="E11535" t="s">
        <v>34564</v>
      </c>
    </row>
    <row r="11536" spans="1:5" x14ac:dyDescent="0.2">
      <c r="A11536" t="s">
        <v>34565</v>
      </c>
      <c r="B11536" t="s">
        <v>34566</v>
      </c>
      <c r="C11536" t="s">
        <v>34566</v>
      </c>
      <c r="D11536" t="str">
        <f>HYPERLINK("https://zfin.org/ZDB-GENE-040426-1698")</f>
        <v>https://zfin.org/ZDB-GENE-040426-1698</v>
      </c>
      <c r="E11536" t="s">
        <v>34567</v>
      </c>
    </row>
    <row r="11537" spans="1:5" x14ac:dyDescent="0.2">
      <c r="A11537" t="s">
        <v>34568</v>
      </c>
      <c r="B11537" t="s">
        <v>34569</v>
      </c>
      <c r="C11537" t="s">
        <v>34569</v>
      </c>
      <c r="D11537" t="str">
        <f>HYPERLINK("https://zfin.org/ZDB-GENE-091013-3")</f>
        <v>https://zfin.org/ZDB-GENE-091013-3</v>
      </c>
      <c r="E11537" t="s">
        <v>34570</v>
      </c>
    </row>
    <row r="11538" spans="1:5" x14ac:dyDescent="0.2">
      <c r="A11538" t="s">
        <v>34571</v>
      </c>
      <c r="B11538" t="s">
        <v>34572</v>
      </c>
      <c r="C11538" t="s">
        <v>34572</v>
      </c>
      <c r="D11538" t="str">
        <f>HYPERLINK("https://zfin.org/ZDB-GENE-040426-1472")</f>
        <v>https://zfin.org/ZDB-GENE-040426-1472</v>
      </c>
      <c r="E11538" t="s">
        <v>34573</v>
      </c>
    </row>
    <row r="11539" spans="1:5" x14ac:dyDescent="0.2">
      <c r="A11539" t="s">
        <v>34574</v>
      </c>
      <c r="B11539" t="s">
        <v>34575</v>
      </c>
      <c r="C11539" t="s">
        <v>34575</v>
      </c>
      <c r="D11539" t="str">
        <f>HYPERLINK("https://zfin.org/ZDB-GENE-070209-182")</f>
        <v>https://zfin.org/ZDB-GENE-070209-182</v>
      </c>
      <c r="E11539" t="s">
        <v>34576</v>
      </c>
    </row>
    <row r="11540" spans="1:5" x14ac:dyDescent="0.2">
      <c r="A11540" t="s">
        <v>34577</v>
      </c>
      <c r="B11540" t="s">
        <v>34578</v>
      </c>
      <c r="C11540" t="s">
        <v>34578</v>
      </c>
      <c r="D11540" t="str">
        <f>HYPERLINK("https://zfin.org/ZDB-GENE-071004-101")</f>
        <v>https://zfin.org/ZDB-GENE-071004-101</v>
      </c>
      <c r="E11540" t="s">
        <v>34579</v>
      </c>
    </row>
    <row r="11541" spans="1:5" x14ac:dyDescent="0.2">
      <c r="A11541" t="s">
        <v>34580</v>
      </c>
      <c r="B11541" t="s">
        <v>34581</v>
      </c>
      <c r="C11541" t="s">
        <v>34581</v>
      </c>
      <c r="D11541" t="str">
        <f>HYPERLINK("https://zfin.org/ZDB-GENE-080215-2")</f>
        <v>https://zfin.org/ZDB-GENE-080215-2</v>
      </c>
      <c r="E11541" t="s">
        <v>34582</v>
      </c>
    </row>
    <row r="11542" spans="1:5" x14ac:dyDescent="0.2">
      <c r="A11542" t="s">
        <v>34583</v>
      </c>
      <c r="B11542" t="s">
        <v>34584</v>
      </c>
      <c r="C11542" t="s">
        <v>34584</v>
      </c>
      <c r="D11542" t="str">
        <f>HYPERLINK("https://zfin.org/ZDB-GENE-070928-16")</f>
        <v>https://zfin.org/ZDB-GENE-070928-16</v>
      </c>
      <c r="E11542" t="s">
        <v>34585</v>
      </c>
    </row>
    <row r="11543" spans="1:5" x14ac:dyDescent="0.2">
      <c r="A11543" t="s">
        <v>34586</v>
      </c>
      <c r="B11543" t="s">
        <v>34587</v>
      </c>
      <c r="C11543" t="s">
        <v>34587</v>
      </c>
      <c r="D11543" t="str">
        <f>HYPERLINK("https://zfin.org/ZDB-GENE-050522-329")</f>
        <v>https://zfin.org/ZDB-GENE-050522-329</v>
      </c>
      <c r="E11543" t="s">
        <v>34588</v>
      </c>
    </row>
    <row r="11544" spans="1:5" x14ac:dyDescent="0.2">
      <c r="A11544" t="s">
        <v>34589</v>
      </c>
      <c r="B11544" t="s">
        <v>34590</v>
      </c>
      <c r="C11544" t="s">
        <v>34590</v>
      </c>
      <c r="D11544" t="str">
        <f>HYPERLINK("https://zfin.org/ZDB-GENE-110411-7")</f>
        <v>https://zfin.org/ZDB-GENE-110411-7</v>
      </c>
      <c r="E11544" t="s">
        <v>34591</v>
      </c>
    </row>
    <row r="11545" spans="1:5" x14ac:dyDescent="0.2">
      <c r="A11545" t="s">
        <v>34592</v>
      </c>
      <c r="B11545" t="s">
        <v>34593</v>
      </c>
      <c r="C11545" t="s">
        <v>34593</v>
      </c>
      <c r="D11545" t="str">
        <f>HYPERLINK("https://zfin.org/ZDB-GENE-040426-2153")</f>
        <v>https://zfin.org/ZDB-GENE-040426-2153</v>
      </c>
      <c r="E11545" t="s">
        <v>34594</v>
      </c>
    </row>
    <row r="11546" spans="1:5" x14ac:dyDescent="0.2">
      <c r="A11546" t="s">
        <v>34595</v>
      </c>
      <c r="B11546" t="s">
        <v>34596</v>
      </c>
      <c r="C11546" t="s">
        <v>34596</v>
      </c>
      <c r="D11546" t="str">
        <f>HYPERLINK("https://zfin.org/ZDB-GENE-040426-1015")</f>
        <v>https://zfin.org/ZDB-GENE-040426-1015</v>
      </c>
      <c r="E11546" t="s">
        <v>34597</v>
      </c>
    </row>
    <row r="11547" spans="1:5" x14ac:dyDescent="0.2">
      <c r="A11547" t="s">
        <v>34598</v>
      </c>
      <c r="B11547" t="s">
        <v>34599</v>
      </c>
      <c r="C11547" t="s">
        <v>34599</v>
      </c>
      <c r="D11547" t="str">
        <f>HYPERLINK("https://zfin.org/ZDB-GENE-040912-125")</f>
        <v>https://zfin.org/ZDB-GENE-040912-125</v>
      </c>
      <c r="E11547" t="s">
        <v>34600</v>
      </c>
    </row>
    <row r="11548" spans="1:5" x14ac:dyDescent="0.2">
      <c r="A11548" t="s">
        <v>34601</v>
      </c>
      <c r="B11548" t="s">
        <v>34602</v>
      </c>
      <c r="C11548" t="s">
        <v>34602</v>
      </c>
      <c r="D11548" t="str">
        <f>HYPERLINK("https://zfin.org/ZDB-GENE-070424-129")</f>
        <v>https://zfin.org/ZDB-GENE-070424-129</v>
      </c>
      <c r="E11548" t="s">
        <v>34603</v>
      </c>
    </row>
    <row r="11549" spans="1:5" x14ac:dyDescent="0.2">
      <c r="A11549" t="s">
        <v>34604</v>
      </c>
      <c r="B11549" t="s">
        <v>34605</v>
      </c>
      <c r="C11549" t="s">
        <v>34605</v>
      </c>
      <c r="D11549" t="str">
        <f>HYPERLINK("https://zfin.org/ZDB-GENE-041007-5")</f>
        <v>https://zfin.org/ZDB-GENE-041007-5</v>
      </c>
      <c r="E11549" t="s">
        <v>34606</v>
      </c>
    </row>
    <row r="11550" spans="1:5" x14ac:dyDescent="0.2">
      <c r="A11550" t="s">
        <v>34607</v>
      </c>
      <c r="B11550" t="s">
        <v>34608</v>
      </c>
      <c r="C11550" t="s">
        <v>34608</v>
      </c>
      <c r="D11550" t="str">
        <f>HYPERLINK("https://zfin.org/ZDB-GENE-050417-61")</f>
        <v>https://zfin.org/ZDB-GENE-050417-61</v>
      </c>
      <c r="E11550" t="s">
        <v>34609</v>
      </c>
    </row>
    <row r="11551" spans="1:5" x14ac:dyDescent="0.2">
      <c r="A11551" t="s">
        <v>34610</v>
      </c>
      <c r="B11551" t="s">
        <v>34611</v>
      </c>
      <c r="C11551" t="s">
        <v>34611</v>
      </c>
      <c r="D11551" t="str">
        <f>HYPERLINK("https://zfin.org/ZDB-GENE-061103-96")</f>
        <v>https://zfin.org/ZDB-GENE-061103-96</v>
      </c>
      <c r="E11551" t="s">
        <v>34612</v>
      </c>
    </row>
    <row r="11552" spans="1:5" x14ac:dyDescent="0.2">
      <c r="A11552" t="s">
        <v>34613</v>
      </c>
      <c r="B11552" t="s">
        <v>34614</v>
      </c>
      <c r="C11552" t="s">
        <v>34614</v>
      </c>
      <c r="D11552" t="str">
        <f>HYPERLINK("https://zfin.org/ZDB-GENE-030131-3553")</f>
        <v>https://zfin.org/ZDB-GENE-030131-3553</v>
      </c>
      <c r="E11552" t="s">
        <v>34615</v>
      </c>
    </row>
    <row r="11553" spans="1:5" x14ac:dyDescent="0.2">
      <c r="A11553" t="s">
        <v>34616</v>
      </c>
      <c r="B11553" t="s">
        <v>34617</v>
      </c>
      <c r="C11553" t="s">
        <v>34617</v>
      </c>
      <c r="D11553" t="str">
        <f>HYPERLINK("https://zfin.org/ZDB-GENE-001103-2")</f>
        <v>https://zfin.org/ZDB-GENE-001103-2</v>
      </c>
      <c r="E11553" t="s">
        <v>34618</v>
      </c>
    </row>
    <row r="11554" spans="1:5" x14ac:dyDescent="0.2">
      <c r="A11554" t="s">
        <v>34619</v>
      </c>
      <c r="B11554" t="s">
        <v>34620</v>
      </c>
      <c r="C11554" t="s">
        <v>34620</v>
      </c>
      <c r="D11554" t="str">
        <f>HYPERLINK("https://zfin.org/ZDB-GENE-060503-351")</f>
        <v>https://zfin.org/ZDB-GENE-060503-351</v>
      </c>
      <c r="E11554" t="s">
        <v>34621</v>
      </c>
    </row>
    <row r="11555" spans="1:5" x14ac:dyDescent="0.2">
      <c r="A11555" t="s">
        <v>34622</v>
      </c>
      <c r="B11555" t="s">
        <v>34623</v>
      </c>
      <c r="C11555" t="s">
        <v>34623</v>
      </c>
      <c r="D11555" t="str">
        <f>HYPERLINK("https://zfin.org/ZDB-GENE-030131-624")</f>
        <v>https://zfin.org/ZDB-GENE-030131-624</v>
      </c>
      <c r="E11555" t="s">
        <v>34624</v>
      </c>
    </row>
    <row r="11556" spans="1:5" x14ac:dyDescent="0.2">
      <c r="A11556" t="s">
        <v>34625</v>
      </c>
      <c r="B11556" t="s">
        <v>34626</v>
      </c>
      <c r="C11556" t="s">
        <v>34626</v>
      </c>
      <c r="D11556" t="str">
        <f>HYPERLINK("https://zfin.org/ZDB-GENE-040426-1176")</f>
        <v>https://zfin.org/ZDB-GENE-040426-1176</v>
      </c>
      <c r="E11556" t="s">
        <v>34627</v>
      </c>
    </row>
    <row r="11557" spans="1:5" x14ac:dyDescent="0.2">
      <c r="A11557" t="s">
        <v>34628</v>
      </c>
      <c r="B11557" t="s">
        <v>34629</v>
      </c>
      <c r="C11557" t="s">
        <v>34629</v>
      </c>
      <c r="D11557" t="str">
        <f>HYPERLINK("https://zfin.org/ZDB-GENE-040426-1776")</f>
        <v>https://zfin.org/ZDB-GENE-040426-1776</v>
      </c>
      <c r="E11557" t="s">
        <v>34630</v>
      </c>
    </row>
    <row r="11558" spans="1:5" x14ac:dyDescent="0.2">
      <c r="A11558" t="s">
        <v>34631</v>
      </c>
      <c r="B11558" t="s">
        <v>34632</v>
      </c>
      <c r="C11558" t="s">
        <v>34632</v>
      </c>
      <c r="D11558" t="str">
        <f>HYPERLINK("https://zfin.org/ZDB-GENE-050522-511")</f>
        <v>https://zfin.org/ZDB-GENE-050522-511</v>
      </c>
      <c r="E11558" t="s">
        <v>34633</v>
      </c>
    </row>
    <row r="11559" spans="1:5" x14ac:dyDescent="0.2">
      <c r="A11559" t="s">
        <v>34634</v>
      </c>
      <c r="B11559" t="s">
        <v>34635</v>
      </c>
      <c r="C11559" t="s">
        <v>34635</v>
      </c>
      <c r="D11559" t="str">
        <f>HYPERLINK("https://zfin.org/ZDB-GENE-050522-133")</f>
        <v>https://zfin.org/ZDB-GENE-050522-133</v>
      </c>
      <c r="E11559" t="s">
        <v>34636</v>
      </c>
    </row>
    <row r="11560" spans="1:5" x14ac:dyDescent="0.2">
      <c r="A11560" t="s">
        <v>34637</v>
      </c>
      <c r="B11560" t="s">
        <v>34638</v>
      </c>
      <c r="C11560" t="s">
        <v>34638</v>
      </c>
      <c r="D11560" t="str">
        <f>HYPERLINK("https://zfin.org/ZDB-GENE-030131-9180")</f>
        <v>https://zfin.org/ZDB-GENE-030131-9180</v>
      </c>
      <c r="E11560" t="s">
        <v>34639</v>
      </c>
    </row>
    <row r="11561" spans="1:5" x14ac:dyDescent="0.2">
      <c r="A11561" t="s">
        <v>34640</v>
      </c>
      <c r="B11561" t="s">
        <v>34641</v>
      </c>
      <c r="C11561" t="s">
        <v>34641</v>
      </c>
      <c r="D11561" t="str">
        <f>HYPERLINK("https://zfin.org/ZDB-GENE-071004-19")</f>
        <v>https://zfin.org/ZDB-GENE-071004-19</v>
      </c>
      <c r="E11561" t="s">
        <v>34642</v>
      </c>
    </row>
    <row r="11562" spans="1:5" x14ac:dyDescent="0.2">
      <c r="A11562" t="s">
        <v>34643</v>
      </c>
      <c r="B11562" t="s">
        <v>34644</v>
      </c>
      <c r="C11562" t="s">
        <v>34644</v>
      </c>
      <c r="D11562" t="str">
        <f>HYPERLINK("https://zfin.org/ZDB-GENE-000511-8")</f>
        <v>https://zfin.org/ZDB-GENE-000511-8</v>
      </c>
      <c r="E11562" t="s">
        <v>34645</v>
      </c>
    </row>
    <row r="11563" spans="1:5" x14ac:dyDescent="0.2">
      <c r="A11563" t="s">
        <v>34646</v>
      </c>
      <c r="B11563" t="s">
        <v>34647</v>
      </c>
      <c r="C11563" t="s">
        <v>34647</v>
      </c>
      <c r="D11563" t="str">
        <f>HYPERLINK("https://zfin.org/ZDB-GENE-030131-7059")</f>
        <v>https://zfin.org/ZDB-GENE-030131-7059</v>
      </c>
      <c r="E11563" t="s">
        <v>34648</v>
      </c>
    </row>
    <row r="11564" spans="1:5" x14ac:dyDescent="0.2">
      <c r="A11564" t="s">
        <v>34649</v>
      </c>
      <c r="B11564" t="s">
        <v>34650</v>
      </c>
      <c r="C11564" t="s">
        <v>34650</v>
      </c>
      <c r="D11564" t="str">
        <f>HYPERLINK("https://zfin.org/ZDB-GENE-091118-52")</f>
        <v>https://zfin.org/ZDB-GENE-091118-52</v>
      </c>
      <c r="E11564" t="s">
        <v>34651</v>
      </c>
    </row>
    <row r="11565" spans="1:5" x14ac:dyDescent="0.2">
      <c r="A11565" t="s">
        <v>34652</v>
      </c>
      <c r="B11565" t="s">
        <v>34653</v>
      </c>
      <c r="C11565" t="s">
        <v>34653</v>
      </c>
      <c r="D11565" t="str">
        <f>HYPERLINK("https://zfin.org/ZDB-GENE-050208-19")</f>
        <v>https://zfin.org/ZDB-GENE-050208-19</v>
      </c>
      <c r="E11565" t="s">
        <v>34654</v>
      </c>
    </row>
    <row r="11566" spans="1:5" x14ac:dyDescent="0.2">
      <c r="A11566" t="s">
        <v>34655</v>
      </c>
      <c r="B11566" t="s">
        <v>34656</v>
      </c>
      <c r="C11566" t="s">
        <v>34656</v>
      </c>
      <c r="D11566" t="str">
        <f>HYPERLINK("https://zfin.org/ZDB-GENE-090529-5")</f>
        <v>https://zfin.org/ZDB-GENE-090529-5</v>
      </c>
      <c r="E11566" t="s">
        <v>34657</v>
      </c>
    </row>
    <row r="11567" spans="1:5" x14ac:dyDescent="0.2">
      <c r="A11567" t="s">
        <v>34658</v>
      </c>
      <c r="B11567" t="s">
        <v>34659</v>
      </c>
      <c r="C11567" t="s">
        <v>34659</v>
      </c>
      <c r="D11567" t="str">
        <f>HYPERLINK("https://zfin.org/ZDB-GENE-040912-31")</f>
        <v>https://zfin.org/ZDB-GENE-040912-31</v>
      </c>
      <c r="E11567" t="s">
        <v>34660</v>
      </c>
    </row>
    <row r="11568" spans="1:5" x14ac:dyDescent="0.2">
      <c r="A11568" t="s">
        <v>34661</v>
      </c>
      <c r="B11568" t="s">
        <v>34662</v>
      </c>
      <c r="C11568" t="s">
        <v>34662</v>
      </c>
      <c r="D11568" t="str">
        <f>HYPERLINK("https://zfin.org/ZDB-GENE-060531-24")</f>
        <v>https://zfin.org/ZDB-GENE-060531-24</v>
      </c>
      <c r="E11568" t="s">
        <v>34663</v>
      </c>
    </row>
    <row r="11569" spans="1:5" x14ac:dyDescent="0.2">
      <c r="A11569" t="s">
        <v>34664</v>
      </c>
      <c r="B11569" t="s">
        <v>34665</v>
      </c>
      <c r="C11569" t="s">
        <v>34665</v>
      </c>
      <c r="D11569" t="str">
        <f>HYPERLINK("https://zfin.org/ZDB-GENE-030926-1")</f>
        <v>https://zfin.org/ZDB-GENE-030926-1</v>
      </c>
      <c r="E11569" t="s">
        <v>34666</v>
      </c>
    </row>
    <row r="11570" spans="1:5" x14ac:dyDescent="0.2">
      <c r="A11570" t="s">
        <v>34667</v>
      </c>
      <c r="B11570" t="s">
        <v>34668</v>
      </c>
      <c r="C11570" t="s">
        <v>34668</v>
      </c>
      <c r="D11570" t="str">
        <f>HYPERLINK("https://zfin.org/ZDB-GENE-050706-137")</f>
        <v>https://zfin.org/ZDB-GENE-050706-137</v>
      </c>
      <c r="E11570" t="s">
        <v>34669</v>
      </c>
    </row>
    <row r="11571" spans="1:5" x14ac:dyDescent="0.2">
      <c r="A11571" t="s">
        <v>34670</v>
      </c>
      <c r="B11571" t="s">
        <v>34671</v>
      </c>
      <c r="C11571" t="s">
        <v>34671</v>
      </c>
      <c r="D11571" t="str">
        <f>HYPERLINK("https://zfin.org/ZDB-GENE-061103-214")</f>
        <v>https://zfin.org/ZDB-GENE-061103-214</v>
      </c>
      <c r="E11571" t="s">
        <v>34672</v>
      </c>
    </row>
    <row r="11572" spans="1:5" x14ac:dyDescent="0.2">
      <c r="A11572" t="s">
        <v>34673</v>
      </c>
      <c r="B11572" t="s">
        <v>34674</v>
      </c>
      <c r="C11572" t="s">
        <v>34674</v>
      </c>
      <c r="D11572" t="str">
        <f>HYPERLINK("https://zfin.org/ZDB-GENE-051127-5")</f>
        <v>https://zfin.org/ZDB-GENE-051127-5</v>
      </c>
      <c r="E11572" t="s">
        <v>34675</v>
      </c>
    </row>
    <row r="11573" spans="1:5" x14ac:dyDescent="0.2">
      <c r="A11573" t="s">
        <v>34676</v>
      </c>
      <c r="B11573" t="s">
        <v>34677</v>
      </c>
      <c r="C11573" t="s">
        <v>34677</v>
      </c>
      <c r="D11573" t="str">
        <f>HYPERLINK("https://zfin.org/ZDB-GENE-131119-61")</f>
        <v>https://zfin.org/ZDB-GENE-131119-61</v>
      </c>
      <c r="E11573" t="s">
        <v>34678</v>
      </c>
    </row>
    <row r="11574" spans="1:5" x14ac:dyDescent="0.2">
      <c r="A11574" t="s">
        <v>34679</v>
      </c>
      <c r="B11574" t="s">
        <v>34680</v>
      </c>
      <c r="C11574" t="s">
        <v>34680</v>
      </c>
      <c r="D11574" t="str">
        <f>HYPERLINK("https://zfin.org/ZDB-GENE-131121-624")</f>
        <v>https://zfin.org/ZDB-GENE-131121-624</v>
      </c>
      <c r="E11574" t="s">
        <v>34681</v>
      </c>
    </row>
    <row r="11575" spans="1:5" x14ac:dyDescent="0.2">
      <c r="A11575" t="s">
        <v>34682</v>
      </c>
      <c r="B11575" t="s">
        <v>34683</v>
      </c>
      <c r="C11575" t="s">
        <v>34683</v>
      </c>
      <c r="D11575" t="str">
        <f>HYPERLINK("https://zfin.org/ZDB-GENE-060825-45")</f>
        <v>https://zfin.org/ZDB-GENE-060825-45</v>
      </c>
      <c r="E11575" t="s">
        <v>34684</v>
      </c>
    </row>
    <row r="11576" spans="1:5" x14ac:dyDescent="0.2">
      <c r="A11576" t="s">
        <v>34685</v>
      </c>
      <c r="B11576" t="s">
        <v>34686</v>
      </c>
      <c r="C11576" t="s">
        <v>34686</v>
      </c>
      <c r="D11576" t="str">
        <f>HYPERLINK("https://zfin.org/ZDB-GENE-030131-3745")</f>
        <v>https://zfin.org/ZDB-GENE-030131-3745</v>
      </c>
      <c r="E11576" t="s">
        <v>34687</v>
      </c>
    </row>
    <row r="11577" spans="1:5" x14ac:dyDescent="0.2">
      <c r="A11577" t="s">
        <v>34688</v>
      </c>
      <c r="B11577" t="s">
        <v>34689</v>
      </c>
      <c r="C11577" t="s">
        <v>34689</v>
      </c>
      <c r="D11577" t="str">
        <f>HYPERLINK("https://zfin.org/ZDB-GENE-120919-4")</f>
        <v>https://zfin.org/ZDB-GENE-120919-4</v>
      </c>
      <c r="E11577" t="s">
        <v>34690</v>
      </c>
    </row>
    <row r="11578" spans="1:5" x14ac:dyDescent="0.2">
      <c r="A11578" t="s">
        <v>34691</v>
      </c>
      <c r="B11578" t="s">
        <v>34692</v>
      </c>
      <c r="C11578" t="s">
        <v>34692</v>
      </c>
      <c r="D11578" t="str">
        <f>HYPERLINK("https://zfin.org/ZDB-GENE-070209-265")</f>
        <v>https://zfin.org/ZDB-GENE-070209-265</v>
      </c>
      <c r="E11578" t="s">
        <v>34693</v>
      </c>
    </row>
    <row r="11579" spans="1:5" x14ac:dyDescent="0.2">
      <c r="A11579" t="s">
        <v>34694</v>
      </c>
      <c r="B11579" t="s">
        <v>34695</v>
      </c>
      <c r="C11579" t="s">
        <v>34695</v>
      </c>
      <c r="D11579" t="str">
        <f>HYPERLINK("https://zfin.org/ZDB-GENE-040426-1150")</f>
        <v>https://zfin.org/ZDB-GENE-040426-1150</v>
      </c>
      <c r="E11579" t="s">
        <v>34696</v>
      </c>
    </row>
    <row r="11580" spans="1:5" x14ac:dyDescent="0.2">
      <c r="A11580" t="s">
        <v>34697</v>
      </c>
      <c r="B11580" t="s">
        <v>34698</v>
      </c>
      <c r="C11580" t="s">
        <v>34698</v>
      </c>
      <c r="D11580" t="str">
        <f>HYPERLINK("https://zfin.org/ZDB-GENE-100922-200")</f>
        <v>https://zfin.org/ZDB-GENE-100922-200</v>
      </c>
      <c r="E11580" t="s">
        <v>34699</v>
      </c>
    </row>
    <row r="11581" spans="1:5" x14ac:dyDescent="0.2">
      <c r="A11581" t="s">
        <v>34700</v>
      </c>
      <c r="B11581" t="s">
        <v>34701</v>
      </c>
      <c r="C11581" t="s">
        <v>34701</v>
      </c>
      <c r="D11581" t="str">
        <f>HYPERLINK("https://zfin.org/ZDB-GENE-070112-1512")</f>
        <v>https://zfin.org/ZDB-GENE-070112-1512</v>
      </c>
      <c r="E11581" t="s">
        <v>34702</v>
      </c>
    </row>
    <row r="11582" spans="1:5" x14ac:dyDescent="0.2">
      <c r="A11582" t="s">
        <v>34703</v>
      </c>
      <c r="B11582" t="s">
        <v>34704</v>
      </c>
      <c r="C11582" t="s">
        <v>34704</v>
      </c>
      <c r="D11582" t="str">
        <f>HYPERLINK("https://zfin.org/ZDB-GENE-121214-220")</f>
        <v>https://zfin.org/ZDB-GENE-121214-220</v>
      </c>
      <c r="E11582" t="s">
        <v>34705</v>
      </c>
    </row>
    <row r="11583" spans="1:5" x14ac:dyDescent="0.2">
      <c r="A11583" t="s">
        <v>34706</v>
      </c>
      <c r="B11583" t="s">
        <v>34707</v>
      </c>
      <c r="C11583" t="s">
        <v>34707</v>
      </c>
      <c r="D11583" t="str">
        <f>HYPERLINK("https://zfin.org/ZDB-GENE-100812-2")</f>
        <v>https://zfin.org/ZDB-GENE-100812-2</v>
      </c>
      <c r="E11583" t="s">
        <v>34708</v>
      </c>
    </row>
    <row r="11584" spans="1:5" x14ac:dyDescent="0.2">
      <c r="A11584" t="s">
        <v>34709</v>
      </c>
      <c r="B11584" t="s">
        <v>34710</v>
      </c>
      <c r="C11584" t="s">
        <v>34710</v>
      </c>
      <c r="D11584" t="str">
        <f>HYPERLINK("https://zfin.org/ZDB-GENE-040426-2946")</f>
        <v>https://zfin.org/ZDB-GENE-040426-2946</v>
      </c>
      <c r="E11584" t="s">
        <v>34711</v>
      </c>
    </row>
    <row r="11585" spans="1:5" x14ac:dyDescent="0.2">
      <c r="A11585" t="s">
        <v>34712</v>
      </c>
      <c r="B11585" t="s">
        <v>34713</v>
      </c>
      <c r="C11585" t="s">
        <v>34713</v>
      </c>
      <c r="D11585" t="str">
        <f>HYPERLINK("https://zfin.org/ZDB-GENE-091204-271")</f>
        <v>https://zfin.org/ZDB-GENE-091204-271</v>
      </c>
      <c r="E11585" t="s">
        <v>34714</v>
      </c>
    </row>
    <row r="11586" spans="1:5" x14ac:dyDescent="0.2">
      <c r="A11586" t="s">
        <v>34715</v>
      </c>
      <c r="B11586" t="s">
        <v>8593</v>
      </c>
      <c r="C11586" t="s">
        <v>34716</v>
      </c>
      <c r="D11586" t="str">
        <f>HYPERLINK("https://zfin.org/ZDB-GENE-990415-25")</f>
        <v>https://zfin.org/ZDB-GENE-990415-25</v>
      </c>
      <c r="E11586" t="s">
        <v>8594</v>
      </c>
    </row>
    <row r="11587" spans="1:5" x14ac:dyDescent="0.2">
      <c r="A11587" t="s">
        <v>34717</v>
      </c>
      <c r="B11587" t="s">
        <v>34718</v>
      </c>
      <c r="C11587" t="s">
        <v>34718</v>
      </c>
      <c r="D11587" t="str">
        <f>HYPERLINK("https://zfin.org/ZDB-GENE-040801-268")</f>
        <v>https://zfin.org/ZDB-GENE-040801-268</v>
      </c>
      <c r="E11587" t="s">
        <v>34719</v>
      </c>
    </row>
    <row r="11588" spans="1:5" x14ac:dyDescent="0.2">
      <c r="A11588" t="s">
        <v>34720</v>
      </c>
      <c r="B11588" t="s">
        <v>34721</v>
      </c>
      <c r="C11588" t="s">
        <v>34721</v>
      </c>
      <c r="D11588" t="str">
        <f>HYPERLINK("https://zfin.org/ZDB-GENE-001208-1")</f>
        <v>https://zfin.org/ZDB-GENE-001208-1</v>
      </c>
      <c r="E11588" t="s">
        <v>34722</v>
      </c>
    </row>
    <row r="11589" spans="1:5" x14ac:dyDescent="0.2">
      <c r="A11589" t="s">
        <v>34723</v>
      </c>
      <c r="B11589" t="s">
        <v>34724</v>
      </c>
      <c r="C11589" t="s">
        <v>34724</v>
      </c>
      <c r="D11589" t="str">
        <f>HYPERLINK("https://zfin.org/ZDB-GENE-030131-9382")</f>
        <v>https://zfin.org/ZDB-GENE-030131-9382</v>
      </c>
      <c r="E11589" t="s">
        <v>34725</v>
      </c>
    </row>
    <row r="11590" spans="1:5" x14ac:dyDescent="0.2">
      <c r="A11590" t="s">
        <v>34726</v>
      </c>
      <c r="B11590" t="s">
        <v>34727</v>
      </c>
      <c r="C11590" t="s">
        <v>34727</v>
      </c>
      <c r="D11590" t="str">
        <f>HYPERLINK("https://zfin.org/ZDB-GENE-091202-6")</f>
        <v>https://zfin.org/ZDB-GENE-091202-6</v>
      </c>
      <c r="E11590" t="s">
        <v>34728</v>
      </c>
    </row>
    <row r="11591" spans="1:5" x14ac:dyDescent="0.2">
      <c r="A11591" t="s">
        <v>34729</v>
      </c>
      <c r="B11591" t="s">
        <v>34730</v>
      </c>
      <c r="C11591" t="s">
        <v>34730</v>
      </c>
      <c r="D11591" t="str">
        <f>HYPERLINK("https://zfin.org/ZDB-GENE-080204-61")</f>
        <v>https://zfin.org/ZDB-GENE-080204-61</v>
      </c>
      <c r="E11591" t="s">
        <v>34731</v>
      </c>
    </row>
    <row r="11592" spans="1:5" x14ac:dyDescent="0.2">
      <c r="A11592" t="s">
        <v>34732</v>
      </c>
      <c r="B11592" t="s">
        <v>34733</v>
      </c>
      <c r="C11592" t="s">
        <v>34733</v>
      </c>
      <c r="D11592" t="str">
        <f>HYPERLINK("https://zfin.org/ZDB-GENE-050327-66")</f>
        <v>https://zfin.org/ZDB-GENE-050327-66</v>
      </c>
      <c r="E11592" t="s">
        <v>34734</v>
      </c>
    </row>
    <row r="11593" spans="1:5" x14ac:dyDescent="0.2">
      <c r="A11593" t="s">
        <v>34735</v>
      </c>
      <c r="B11593" t="s">
        <v>34736</v>
      </c>
      <c r="C11593" t="s">
        <v>34736</v>
      </c>
      <c r="D11593" t="str">
        <f>HYPERLINK("https://zfin.org/ZDB-GENE-030616-44")</f>
        <v>https://zfin.org/ZDB-GENE-030616-44</v>
      </c>
      <c r="E11593" t="s">
        <v>34737</v>
      </c>
    </row>
    <row r="11594" spans="1:5" x14ac:dyDescent="0.2">
      <c r="A11594" t="s">
        <v>34738</v>
      </c>
      <c r="B11594" t="s">
        <v>34739</v>
      </c>
      <c r="C11594" t="s">
        <v>34739</v>
      </c>
      <c r="D11594" t="str">
        <f>HYPERLINK("https://zfin.org/ZDB-GENE-061013-204")</f>
        <v>https://zfin.org/ZDB-GENE-061013-204</v>
      </c>
      <c r="E11594" t="s">
        <v>34740</v>
      </c>
    </row>
    <row r="11595" spans="1:5" x14ac:dyDescent="0.2">
      <c r="A11595" t="s">
        <v>34741</v>
      </c>
      <c r="B11595" t="s">
        <v>34742</v>
      </c>
      <c r="C11595" t="s">
        <v>34742</v>
      </c>
      <c r="D11595" t="str">
        <f>HYPERLINK("https://zfin.org/ZDB-GENE-080219-1")</f>
        <v>https://zfin.org/ZDB-GENE-080219-1</v>
      </c>
      <c r="E11595" t="s">
        <v>34743</v>
      </c>
    </row>
    <row r="11596" spans="1:5" x14ac:dyDescent="0.2">
      <c r="A11596" t="s">
        <v>34744</v>
      </c>
      <c r="B11596" t="s">
        <v>34745</v>
      </c>
      <c r="C11596" t="s">
        <v>34745</v>
      </c>
      <c r="D11596" t="str">
        <f>HYPERLINK("https://zfin.org/ZDB-GENE-141216-251")</f>
        <v>https://zfin.org/ZDB-GENE-141216-251</v>
      </c>
      <c r="E11596" t="s">
        <v>34746</v>
      </c>
    </row>
    <row r="11597" spans="1:5" x14ac:dyDescent="0.2">
      <c r="A11597" t="s">
        <v>34747</v>
      </c>
      <c r="B11597" t="s">
        <v>34748</v>
      </c>
      <c r="C11597" t="s">
        <v>34748</v>
      </c>
      <c r="D11597" t="str">
        <f>HYPERLINK("https://zfin.org/ZDB-GENE-061013-692")</f>
        <v>https://zfin.org/ZDB-GENE-061013-692</v>
      </c>
      <c r="E11597" t="s">
        <v>34749</v>
      </c>
    </row>
    <row r="11598" spans="1:5" x14ac:dyDescent="0.2">
      <c r="A11598" t="s">
        <v>34750</v>
      </c>
      <c r="B11598" t="s">
        <v>34751</v>
      </c>
      <c r="C11598" t="s">
        <v>34751</v>
      </c>
      <c r="D11598" t="str">
        <f>HYPERLINK("https://zfin.org/ZDB-GENE-030131-4928")</f>
        <v>https://zfin.org/ZDB-GENE-030131-4928</v>
      </c>
      <c r="E11598" t="s">
        <v>34752</v>
      </c>
    </row>
    <row r="11599" spans="1:5" x14ac:dyDescent="0.2">
      <c r="A11599" t="s">
        <v>34753</v>
      </c>
      <c r="B11599" t="s">
        <v>34754</v>
      </c>
      <c r="C11599" t="s">
        <v>34754</v>
      </c>
      <c r="D11599" t="str">
        <f>HYPERLINK("https://zfin.org/ZDB-GENE-030131-7837")</f>
        <v>https://zfin.org/ZDB-GENE-030131-7837</v>
      </c>
      <c r="E11599" t="s">
        <v>34755</v>
      </c>
    </row>
    <row r="11600" spans="1:5" x14ac:dyDescent="0.2">
      <c r="A11600" t="s">
        <v>34756</v>
      </c>
      <c r="B11600" t="s">
        <v>34757</v>
      </c>
      <c r="C11600" t="s">
        <v>34757</v>
      </c>
      <c r="D11600" t="str">
        <f>HYPERLINK("https://zfin.org/ZDB-GENE-060118-1")</f>
        <v>https://zfin.org/ZDB-GENE-060118-1</v>
      </c>
      <c r="E11600" t="s">
        <v>34758</v>
      </c>
    </row>
    <row r="11601" spans="1:5" x14ac:dyDescent="0.2">
      <c r="A11601" t="s">
        <v>34759</v>
      </c>
      <c r="B11601" t="s">
        <v>34760</v>
      </c>
      <c r="C11601" t="s">
        <v>34760</v>
      </c>
      <c r="D11601" t="str">
        <f>HYPERLINK("https://zfin.org/ZDB-GENE-090312-197")</f>
        <v>https://zfin.org/ZDB-GENE-090312-197</v>
      </c>
      <c r="E11601" t="s">
        <v>34761</v>
      </c>
    </row>
    <row r="11602" spans="1:5" x14ac:dyDescent="0.2">
      <c r="A11602" t="s">
        <v>34762</v>
      </c>
      <c r="B11602" t="s">
        <v>34763</v>
      </c>
      <c r="C11602" t="s">
        <v>34763</v>
      </c>
      <c r="D11602" t="str">
        <f>HYPERLINK("https://zfin.org/ZDB-GENE-030131-4490")</f>
        <v>https://zfin.org/ZDB-GENE-030131-4490</v>
      </c>
      <c r="E11602" t="s">
        <v>34764</v>
      </c>
    </row>
    <row r="11603" spans="1:5" x14ac:dyDescent="0.2">
      <c r="A11603" t="s">
        <v>34765</v>
      </c>
      <c r="B11603" t="s">
        <v>34766</v>
      </c>
      <c r="C11603" t="s">
        <v>34766</v>
      </c>
      <c r="D11603" t="str">
        <f>HYPERLINK("https://zfin.org/ZDB-GENE-131127-502")</f>
        <v>https://zfin.org/ZDB-GENE-131127-502</v>
      </c>
      <c r="E11603" t="s">
        <v>34767</v>
      </c>
    </row>
    <row r="11604" spans="1:5" x14ac:dyDescent="0.2">
      <c r="A11604" t="s">
        <v>34768</v>
      </c>
      <c r="B11604" t="s">
        <v>34769</v>
      </c>
      <c r="C11604" t="s">
        <v>34769</v>
      </c>
      <c r="D11604" t="str">
        <f>HYPERLINK("https://zfin.org/ZDB-GENE-030425-2")</f>
        <v>https://zfin.org/ZDB-GENE-030425-2</v>
      </c>
      <c r="E11604" t="s">
        <v>34770</v>
      </c>
    </row>
    <row r="11605" spans="1:5" x14ac:dyDescent="0.2">
      <c r="A11605" t="s">
        <v>34771</v>
      </c>
      <c r="B11605" t="s">
        <v>34772</v>
      </c>
      <c r="C11605" t="s">
        <v>34772</v>
      </c>
      <c r="D11605" t="str">
        <f>HYPERLINK("https://zfin.org/ZDB-GENE-040426-890")</f>
        <v>https://zfin.org/ZDB-GENE-040426-890</v>
      </c>
      <c r="E11605" t="s">
        <v>34773</v>
      </c>
    </row>
    <row r="11606" spans="1:5" x14ac:dyDescent="0.2">
      <c r="A11606" t="s">
        <v>34774</v>
      </c>
      <c r="B11606" t="s">
        <v>34775</v>
      </c>
      <c r="C11606" t="s">
        <v>34776</v>
      </c>
      <c r="D11606" t="str">
        <f>HYPERLINK("https://zfin.org/ZDB-GENE-080204-121")</f>
        <v>https://zfin.org/ZDB-GENE-080204-121</v>
      </c>
      <c r="E11606" t="s">
        <v>34777</v>
      </c>
    </row>
    <row r="11607" spans="1:5" x14ac:dyDescent="0.2">
      <c r="A11607" t="s">
        <v>34778</v>
      </c>
      <c r="B11607" t="s">
        <v>34779</v>
      </c>
      <c r="C11607" t="s">
        <v>34779</v>
      </c>
      <c r="D11607" t="str">
        <f>HYPERLINK("https://zfin.org/ZDB-GENE-050220-4")</f>
        <v>https://zfin.org/ZDB-GENE-050220-4</v>
      </c>
      <c r="E11607" t="s">
        <v>34780</v>
      </c>
    </row>
    <row r="11608" spans="1:5" x14ac:dyDescent="0.2">
      <c r="A11608" t="s">
        <v>34781</v>
      </c>
      <c r="B11608" t="s">
        <v>34782</v>
      </c>
      <c r="C11608" t="s">
        <v>34782</v>
      </c>
      <c r="D11608" t="str">
        <f>HYPERLINK("https://zfin.org/ZDB-GENE-030131-7949")</f>
        <v>https://zfin.org/ZDB-GENE-030131-7949</v>
      </c>
      <c r="E11608" t="s">
        <v>34783</v>
      </c>
    </row>
    <row r="11609" spans="1:5" x14ac:dyDescent="0.2">
      <c r="A11609" t="s">
        <v>34784</v>
      </c>
      <c r="B11609" t="s">
        <v>34785</v>
      </c>
      <c r="C11609" t="s">
        <v>34785</v>
      </c>
      <c r="D11609" t="str">
        <f>HYPERLINK("https://zfin.org/ZDB-GENE-050208-457")</f>
        <v>https://zfin.org/ZDB-GENE-050208-457</v>
      </c>
      <c r="E11609" t="s">
        <v>34786</v>
      </c>
    </row>
    <row r="11610" spans="1:5" x14ac:dyDescent="0.2">
      <c r="A11610" t="s">
        <v>34787</v>
      </c>
      <c r="B11610" t="s">
        <v>34788</v>
      </c>
      <c r="C11610" t="s">
        <v>34788</v>
      </c>
      <c r="D11610" t="str">
        <f>HYPERLINK("https://zfin.org/ZDB-GENE-091204-50")</f>
        <v>https://zfin.org/ZDB-GENE-091204-50</v>
      </c>
      <c r="E11610" t="s">
        <v>34789</v>
      </c>
    </row>
    <row r="11611" spans="1:5" x14ac:dyDescent="0.2">
      <c r="A11611" t="s">
        <v>34790</v>
      </c>
      <c r="B11611" t="s">
        <v>34791</v>
      </c>
      <c r="C11611" t="s">
        <v>34791</v>
      </c>
      <c r="D11611" t="str">
        <f>HYPERLINK("https://zfin.org/ZDB-GENE-070912-67")</f>
        <v>https://zfin.org/ZDB-GENE-070912-67</v>
      </c>
      <c r="E11611" t="s">
        <v>34792</v>
      </c>
    </row>
    <row r="11612" spans="1:5" x14ac:dyDescent="0.2">
      <c r="A11612" t="s">
        <v>34793</v>
      </c>
      <c r="B11612" t="s">
        <v>34794</v>
      </c>
      <c r="C11612" t="s">
        <v>34794</v>
      </c>
      <c r="D11612" t="str">
        <f>HYPERLINK("https://zfin.org/ZDB-GENE-040426-934")</f>
        <v>https://zfin.org/ZDB-GENE-040426-934</v>
      </c>
      <c r="E11612" t="s">
        <v>34795</v>
      </c>
    </row>
    <row r="11613" spans="1:5" x14ac:dyDescent="0.2">
      <c r="A11613" t="s">
        <v>34796</v>
      </c>
      <c r="B11613" t="s">
        <v>34797</v>
      </c>
      <c r="C11613" t="s">
        <v>34797</v>
      </c>
      <c r="D11613" t="str">
        <f>HYPERLINK("https://zfin.org/ZDB-GENE-051202-1")</f>
        <v>https://zfin.org/ZDB-GENE-051202-1</v>
      </c>
      <c r="E11613" t="s">
        <v>34798</v>
      </c>
    </row>
    <row r="11614" spans="1:5" x14ac:dyDescent="0.2">
      <c r="A11614" t="s">
        <v>34799</v>
      </c>
      <c r="B11614" t="s">
        <v>34800</v>
      </c>
      <c r="C11614" t="s">
        <v>34800</v>
      </c>
      <c r="D11614" t="str">
        <f>HYPERLINK("https://zfin.org/ZDB-GENE-131120-139")</f>
        <v>https://zfin.org/ZDB-GENE-131120-139</v>
      </c>
      <c r="E11614" t="s">
        <v>34801</v>
      </c>
    </row>
    <row r="11615" spans="1:5" x14ac:dyDescent="0.2">
      <c r="A11615" t="s">
        <v>34802</v>
      </c>
      <c r="B11615" t="s">
        <v>34803</v>
      </c>
      <c r="C11615" t="s">
        <v>34803</v>
      </c>
      <c r="D11615" t="str">
        <f>HYPERLINK("https://zfin.org/ZDB-GENE-000330-8")</f>
        <v>https://zfin.org/ZDB-GENE-000330-8</v>
      </c>
      <c r="E11615" t="s">
        <v>34804</v>
      </c>
    </row>
    <row r="11616" spans="1:5" x14ac:dyDescent="0.2">
      <c r="A11616" t="s">
        <v>34805</v>
      </c>
      <c r="B11616" t="s">
        <v>34806</v>
      </c>
      <c r="C11616" t="s">
        <v>34806</v>
      </c>
      <c r="D11616" t="str">
        <f>HYPERLINK("https://zfin.org/ZDB-GENE-040426-2386")</f>
        <v>https://zfin.org/ZDB-GENE-040426-2386</v>
      </c>
      <c r="E11616" t="s">
        <v>34807</v>
      </c>
    </row>
    <row r="11617" spans="1:5" x14ac:dyDescent="0.2">
      <c r="A11617" t="s">
        <v>34808</v>
      </c>
      <c r="B11617" t="s">
        <v>34809</v>
      </c>
      <c r="C11617" t="s">
        <v>34809</v>
      </c>
      <c r="D11617" t="str">
        <f>HYPERLINK("https://zfin.org/ZDB-GENE-141219-32")</f>
        <v>https://zfin.org/ZDB-GENE-141219-32</v>
      </c>
      <c r="E11617" t="s">
        <v>34810</v>
      </c>
    </row>
    <row r="11618" spans="1:5" x14ac:dyDescent="0.2">
      <c r="A11618" t="s">
        <v>34811</v>
      </c>
      <c r="B11618" t="s">
        <v>34812</v>
      </c>
      <c r="C11618" t="s">
        <v>34812</v>
      </c>
      <c r="D11618" t="str">
        <f>HYPERLINK("https://zfin.org/ZDB-GENE-041014-349")</f>
        <v>https://zfin.org/ZDB-GENE-041014-349</v>
      </c>
      <c r="E11618" t="s">
        <v>34813</v>
      </c>
    </row>
    <row r="11619" spans="1:5" x14ac:dyDescent="0.2">
      <c r="A11619" t="s">
        <v>34814</v>
      </c>
      <c r="B11619" t="s">
        <v>34815</v>
      </c>
      <c r="C11619" t="s">
        <v>34815</v>
      </c>
      <c r="D11619" t="str">
        <f>HYPERLINK("https://zfin.org/ZDB-GENE-041010-128")</f>
        <v>https://zfin.org/ZDB-GENE-041010-128</v>
      </c>
      <c r="E11619" t="s">
        <v>34816</v>
      </c>
    </row>
    <row r="11620" spans="1:5" x14ac:dyDescent="0.2">
      <c r="A11620" t="s">
        <v>34817</v>
      </c>
      <c r="B11620" t="s">
        <v>34818</v>
      </c>
      <c r="C11620" t="s">
        <v>34818</v>
      </c>
      <c r="D11620" t="str">
        <f>HYPERLINK("https://zfin.org/ZDB-GENE-030131-4041")</f>
        <v>https://zfin.org/ZDB-GENE-030131-4041</v>
      </c>
      <c r="E11620" t="s">
        <v>34819</v>
      </c>
    </row>
    <row r="11621" spans="1:5" x14ac:dyDescent="0.2">
      <c r="A11621" t="s">
        <v>34820</v>
      </c>
      <c r="B11621" t="s">
        <v>34821</v>
      </c>
      <c r="C11621" t="s">
        <v>34821</v>
      </c>
      <c r="D11621" t="str">
        <f>HYPERLINK("https://zfin.org/ZDB-GENE-000208-18")</f>
        <v>https://zfin.org/ZDB-GENE-000208-18</v>
      </c>
      <c r="E11621" t="s">
        <v>34822</v>
      </c>
    </row>
    <row r="11622" spans="1:5" x14ac:dyDescent="0.2">
      <c r="A11622" t="s">
        <v>34823</v>
      </c>
      <c r="B11622" t="s">
        <v>34785</v>
      </c>
      <c r="C11622" t="s">
        <v>34824</v>
      </c>
      <c r="D11622" t="str">
        <f>HYPERLINK("https://zfin.org/ZDB-GENE-050208-457")</f>
        <v>https://zfin.org/ZDB-GENE-050208-457</v>
      </c>
      <c r="E11622" t="s">
        <v>34786</v>
      </c>
    </row>
    <row r="11623" spans="1:5" x14ac:dyDescent="0.2">
      <c r="A11623" t="s">
        <v>34825</v>
      </c>
      <c r="B11623" t="s">
        <v>34826</v>
      </c>
      <c r="C11623" t="s">
        <v>34826</v>
      </c>
      <c r="D11623" t="str">
        <f>HYPERLINK("https://zfin.org/ZDB-GENE-050517-9")</f>
        <v>https://zfin.org/ZDB-GENE-050517-9</v>
      </c>
      <c r="E11623" t="s">
        <v>34827</v>
      </c>
    </row>
    <row r="11624" spans="1:5" x14ac:dyDescent="0.2">
      <c r="A11624" t="s">
        <v>34828</v>
      </c>
      <c r="B11624" t="s">
        <v>34829</v>
      </c>
      <c r="C11624" t="s">
        <v>34829</v>
      </c>
      <c r="D11624" t="str">
        <f>HYPERLINK("https://zfin.org/ZDB-GENE-030131-6304")</f>
        <v>https://zfin.org/ZDB-GENE-030131-6304</v>
      </c>
      <c r="E11624" t="s">
        <v>34830</v>
      </c>
    </row>
    <row r="11625" spans="1:5" x14ac:dyDescent="0.2">
      <c r="A11625" t="s">
        <v>34831</v>
      </c>
      <c r="B11625" t="s">
        <v>34832</v>
      </c>
      <c r="C11625" t="s">
        <v>34832</v>
      </c>
      <c r="D11625" t="str">
        <f>HYPERLINK("https://zfin.org/")</f>
        <v>https://zfin.org/</v>
      </c>
    </row>
    <row r="11626" spans="1:5" x14ac:dyDescent="0.2">
      <c r="A11626" t="s">
        <v>34833</v>
      </c>
      <c r="B11626" t="s">
        <v>34834</v>
      </c>
      <c r="C11626" t="s">
        <v>34834</v>
      </c>
      <c r="D11626" t="str">
        <f>HYPERLINK("https://zfin.org/ZDB-GENE-080917-25")</f>
        <v>https://zfin.org/ZDB-GENE-080917-25</v>
      </c>
      <c r="E11626" t="s">
        <v>34835</v>
      </c>
    </row>
    <row r="11627" spans="1:5" x14ac:dyDescent="0.2">
      <c r="A11627" t="s">
        <v>34836</v>
      </c>
      <c r="B11627" t="s">
        <v>34837</v>
      </c>
      <c r="C11627" t="s">
        <v>34837</v>
      </c>
      <c r="D11627" t="str">
        <f>HYPERLINK("https://zfin.org/ZDB-GENE-130530-544")</f>
        <v>https://zfin.org/ZDB-GENE-130530-544</v>
      </c>
      <c r="E11627" t="s">
        <v>34838</v>
      </c>
    </row>
    <row r="11628" spans="1:5" x14ac:dyDescent="0.2">
      <c r="A11628" t="s">
        <v>34839</v>
      </c>
      <c r="B11628" t="s">
        <v>34840</v>
      </c>
      <c r="C11628" t="s">
        <v>34840</v>
      </c>
      <c r="D11628" t="str">
        <f>HYPERLINK("https://zfin.org/ZDB-GENE-110914-84")</f>
        <v>https://zfin.org/ZDB-GENE-110914-84</v>
      </c>
      <c r="E11628" t="s">
        <v>34841</v>
      </c>
    </row>
    <row r="11629" spans="1:5" x14ac:dyDescent="0.2">
      <c r="A11629" t="s">
        <v>34842</v>
      </c>
      <c r="B11629" t="s">
        <v>34843</v>
      </c>
      <c r="C11629" t="s">
        <v>34843</v>
      </c>
      <c r="D11629" t="str">
        <f>HYPERLINK("https://zfin.org/ZDB-GENE-080204-43")</f>
        <v>https://zfin.org/ZDB-GENE-080204-43</v>
      </c>
      <c r="E11629" t="s">
        <v>34844</v>
      </c>
    </row>
    <row r="11630" spans="1:5" x14ac:dyDescent="0.2">
      <c r="A11630" t="s">
        <v>34845</v>
      </c>
      <c r="B11630" t="s">
        <v>34846</v>
      </c>
      <c r="C11630" t="s">
        <v>34846</v>
      </c>
      <c r="D11630" t="str">
        <f>HYPERLINK("https://zfin.org/ZDB-GENE-040724-195")</f>
        <v>https://zfin.org/ZDB-GENE-040724-195</v>
      </c>
      <c r="E11630" t="s">
        <v>34847</v>
      </c>
    </row>
    <row r="11631" spans="1:5" x14ac:dyDescent="0.2">
      <c r="A11631" t="s">
        <v>34848</v>
      </c>
      <c r="B11631" t="s">
        <v>34849</v>
      </c>
      <c r="C11631" t="s">
        <v>34849</v>
      </c>
      <c r="D11631" t="str">
        <f>HYPERLINK("https://zfin.org/ZDB-GENE-030131-4763")</f>
        <v>https://zfin.org/ZDB-GENE-030131-4763</v>
      </c>
      <c r="E11631" t="s">
        <v>34850</v>
      </c>
    </row>
    <row r="11632" spans="1:5" x14ac:dyDescent="0.2">
      <c r="A11632" t="s">
        <v>34851</v>
      </c>
      <c r="B11632" t="s">
        <v>34852</v>
      </c>
      <c r="C11632" t="s">
        <v>34852</v>
      </c>
      <c r="D11632" t="str">
        <f>HYPERLINK("https://zfin.org/ZDB-GENE-050208-778")</f>
        <v>https://zfin.org/ZDB-GENE-050208-778</v>
      </c>
      <c r="E11632" t="s">
        <v>34853</v>
      </c>
    </row>
    <row r="11633" spans="1:5" x14ac:dyDescent="0.2">
      <c r="A11633" t="s">
        <v>34854</v>
      </c>
      <c r="B11633" t="s">
        <v>34855</v>
      </c>
      <c r="C11633" t="s">
        <v>34855</v>
      </c>
      <c r="D11633" t="str">
        <f>HYPERLINK("https://zfin.org/ZDB-GENE-071004-71")</f>
        <v>https://zfin.org/ZDB-GENE-071004-71</v>
      </c>
      <c r="E11633" t="s">
        <v>34856</v>
      </c>
    </row>
    <row r="11634" spans="1:5" x14ac:dyDescent="0.2">
      <c r="A11634" t="s">
        <v>34857</v>
      </c>
      <c r="B11634" t="s">
        <v>34858</v>
      </c>
      <c r="C11634" t="s">
        <v>34858</v>
      </c>
      <c r="D11634" t="str">
        <f>HYPERLINK("https://zfin.org/ZDB-GENE-030131-7002")</f>
        <v>https://zfin.org/ZDB-GENE-030131-7002</v>
      </c>
      <c r="E11634" t="s">
        <v>34859</v>
      </c>
    </row>
    <row r="11635" spans="1:5" x14ac:dyDescent="0.2">
      <c r="A11635" t="s">
        <v>34860</v>
      </c>
      <c r="B11635" t="s">
        <v>34861</v>
      </c>
      <c r="C11635" t="s">
        <v>34861</v>
      </c>
      <c r="D11635" t="str">
        <f>HYPERLINK("https://zfin.org/ZDB-GENE-050706-71")</f>
        <v>https://zfin.org/ZDB-GENE-050706-71</v>
      </c>
      <c r="E11635" t="s">
        <v>34862</v>
      </c>
    </row>
    <row r="11636" spans="1:5" x14ac:dyDescent="0.2">
      <c r="A11636" t="s">
        <v>34863</v>
      </c>
      <c r="B11636" t="s">
        <v>34864</v>
      </c>
      <c r="C11636" t="s">
        <v>34864</v>
      </c>
      <c r="D11636" t="str">
        <f>HYPERLINK("https://zfin.org/ZDB-GENE-131125-46")</f>
        <v>https://zfin.org/ZDB-GENE-131125-46</v>
      </c>
      <c r="E11636" t="s">
        <v>34865</v>
      </c>
    </row>
    <row r="11637" spans="1:5" x14ac:dyDescent="0.2">
      <c r="A11637" t="s">
        <v>34866</v>
      </c>
      <c r="B11637" t="s">
        <v>34867</v>
      </c>
      <c r="C11637" t="s">
        <v>34867</v>
      </c>
      <c r="D11637" t="str">
        <f>HYPERLINK("https://zfin.org/ZDB-GENE-040426-2860")</f>
        <v>https://zfin.org/ZDB-GENE-040426-2860</v>
      </c>
      <c r="E11637" t="s">
        <v>34868</v>
      </c>
    </row>
    <row r="11638" spans="1:5" x14ac:dyDescent="0.2">
      <c r="A11638" t="s">
        <v>34869</v>
      </c>
      <c r="B11638" t="s">
        <v>34870</v>
      </c>
      <c r="C11638" t="s">
        <v>34870</v>
      </c>
      <c r="D11638" t="str">
        <f>HYPERLINK("https://zfin.org/ZDB-GENE-051113-236")</f>
        <v>https://zfin.org/ZDB-GENE-051113-236</v>
      </c>
      <c r="E11638" t="s">
        <v>34871</v>
      </c>
    </row>
    <row r="11639" spans="1:5" x14ac:dyDescent="0.2">
      <c r="A11639" t="s">
        <v>34872</v>
      </c>
      <c r="B11639" t="s">
        <v>34873</v>
      </c>
      <c r="C11639" t="s">
        <v>34873</v>
      </c>
      <c r="D11639" t="str">
        <f>HYPERLINK("https://zfin.org/ZDB-GENE-070822-16")</f>
        <v>https://zfin.org/ZDB-GENE-070822-16</v>
      </c>
      <c r="E11639" t="s">
        <v>34874</v>
      </c>
    </row>
    <row r="11640" spans="1:5" x14ac:dyDescent="0.2">
      <c r="A11640" t="s">
        <v>34875</v>
      </c>
      <c r="B11640" t="s">
        <v>34876</v>
      </c>
      <c r="C11640" t="s">
        <v>34876</v>
      </c>
      <c r="D11640" t="str">
        <f>HYPERLINK("https://zfin.org/ZDB-GENE-060316-1")</f>
        <v>https://zfin.org/ZDB-GENE-060316-1</v>
      </c>
      <c r="E11640" t="s">
        <v>34877</v>
      </c>
    </row>
    <row r="11641" spans="1:5" x14ac:dyDescent="0.2">
      <c r="A11641" t="s">
        <v>34878</v>
      </c>
      <c r="B11641" t="s">
        <v>34879</v>
      </c>
      <c r="C11641" t="s">
        <v>34879</v>
      </c>
      <c r="D11641" t="str">
        <f>HYPERLINK("https://zfin.org/ZDB-GENE-040426-2643")</f>
        <v>https://zfin.org/ZDB-GENE-040426-2643</v>
      </c>
      <c r="E11641" t="s">
        <v>34880</v>
      </c>
    </row>
    <row r="11642" spans="1:5" x14ac:dyDescent="0.2">
      <c r="A11642" t="s">
        <v>34881</v>
      </c>
      <c r="B11642" t="s">
        <v>34882</v>
      </c>
      <c r="C11642" t="s">
        <v>34882</v>
      </c>
      <c r="D11642" t="str">
        <f>HYPERLINK("https://zfin.org/ZDB-GENE-110913-47")</f>
        <v>https://zfin.org/ZDB-GENE-110913-47</v>
      </c>
      <c r="E11642" t="s">
        <v>34883</v>
      </c>
    </row>
    <row r="11643" spans="1:5" x14ac:dyDescent="0.2">
      <c r="A11643" t="s">
        <v>34884</v>
      </c>
      <c r="B11643" t="s">
        <v>34885</v>
      </c>
      <c r="C11643" t="s">
        <v>34885</v>
      </c>
      <c r="D11643" t="str">
        <f>HYPERLINK("https://zfin.org/ZDB-GENE-040426-925")</f>
        <v>https://zfin.org/ZDB-GENE-040426-925</v>
      </c>
      <c r="E11643" t="s">
        <v>34886</v>
      </c>
    </row>
    <row r="11644" spans="1:5" x14ac:dyDescent="0.2">
      <c r="A11644" t="s">
        <v>34887</v>
      </c>
      <c r="B11644" t="s">
        <v>34888</v>
      </c>
      <c r="C11644" t="s">
        <v>34888</v>
      </c>
      <c r="D11644" t="str">
        <f>HYPERLINK("https://zfin.org/ZDB-GENE-080829-3")</f>
        <v>https://zfin.org/ZDB-GENE-080829-3</v>
      </c>
      <c r="E11644" t="s">
        <v>34889</v>
      </c>
    </row>
    <row r="11645" spans="1:5" x14ac:dyDescent="0.2">
      <c r="A11645" t="s">
        <v>34890</v>
      </c>
      <c r="B11645" t="s">
        <v>34891</v>
      </c>
      <c r="C11645" t="s">
        <v>34892</v>
      </c>
      <c r="D11645" t="str">
        <f>HYPERLINK("https://zfin.org/ZDB-GENE-110914-48")</f>
        <v>https://zfin.org/ZDB-GENE-110914-48</v>
      </c>
      <c r="E11645" t="s">
        <v>34893</v>
      </c>
    </row>
    <row r="11646" spans="1:5" x14ac:dyDescent="0.2">
      <c r="A11646" t="s">
        <v>34894</v>
      </c>
      <c r="B11646" t="s">
        <v>34895</v>
      </c>
      <c r="C11646" t="s">
        <v>34895</v>
      </c>
      <c r="D11646" t="str">
        <f>HYPERLINK("https://zfin.org/ZDB-GENE-040801-73")</f>
        <v>https://zfin.org/ZDB-GENE-040801-73</v>
      </c>
      <c r="E11646" t="s">
        <v>34896</v>
      </c>
    </row>
    <row r="11647" spans="1:5" x14ac:dyDescent="0.2">
      <c r="A11647" t="s">
        <v>34897</v>
      </c>
      <c r="B11647" t="s">
        <v>34898</v>
      </c>
      <c r="C11647" t="s">
        <v>34898</v>
      </c>
      <c r="D11647" t="str">
        <f>HYPERLINK("https://zfin.org/ZDB-GENE-110914-30")</f>
        <v>https://zfin.org/ZDB-GENE-110914-30</v>
      </c>
      <c r="E11647" t="s">
        <v>34899</v>
      </c>
    </row>
    <row r="11648" spans="1:5" x14ac:dyDescent="0.2">
      <c r="A11648" t="s">
        <v>34900</v>
      </c>
      <c r="B11648" t="s">
        <v>34901</v>
      </c>
      <c r="C11648" t="s">
        <v>34901</v>
      </c>
      <c r="D11648" t="str">
        <f>HYPERLINK("https://zfin.org/ZDB-GENE-050417-62")</f>
        <v>https://zfin.org/ZDB-GENE-050417-62</v>
      </c>
      <c r="E11648" t="s">
        <v>34902</v>
      </c>
    </row>
    <row r="11649" spans="1:5" x14ac:dyDescent="0.2">
      <c r="A11649" t="s">
        <v>34903</v>
      </c>
      <c r="B11649" t="s">
        <v>34904</v>
      </c>
      <c r="C11649" t="s">
        <v>34904</v>
      </c>
      <c r="D11649" t="str">
        <f>HYPERLINK("https://zfin.org/ZDB-GENE-030131-9796")</f>
        <v>https://zfin.org/ZDB-GENE-030131-9796</v>
      </c>
      <c r="E11649" t="s">
        <v>34905</v>
      </c>
    </row>
    <row r="11650" spans="1:5" x14ac:dyDescent="0.2">
      <c r="A11650" t="s">
        <v>34906</v>
      </c>
      <c r="B11650" t="s">
        <v>34156</v>
      </c>
      <c r="C11650" t="s">
        <v>34907</v>
      </c>
      <c r="D11650" t="str">
        <f>HYPERLINK("https://zfin.org/ZDB-GENE-040801-109")</f>
        <v>https://zfin.org/ZDB-GENE-040801-109</v>
      </c>
      <c r="E11650" t="s">
        <v>34157</v>
      </c>
    </row>
    <row r="11651" spans="1:5" x14ac:dyDescent="0.2">
      <c r="A11651" t="s">
        <v>34908</v>
      </c>
      <c r="B11651" t="s">
        <v>34909</v>
      </c>
      <c r="C11651" t="s">
        <v>34909</v>
      </c>
      <c r="D11651" t="str">
        <f>HYPERLINK("https://zfin.org/ZDB-GENE-081104-199")</f>
        <v>https://zfin.org/ZDB-GENE-081104-199</v>
      </c>
      <c r="E11651" t="s">
        <v>34910</v>
      </c>
    </row>
    <row r="11652" spans="1:5" x14ac:dyDescent="0.2">
      <c r="A11652" t="s">
        <v>34911</v>
      </c>
      <c r="B11652" t="s">
        <v>34912</v>
      </c>
      <c r="C11652" t="s">
        <v>34912</v>
      </c>
      <c r="D11652" t="str">
        <f>HYPERLINK("https://zfin.org/ZDB-GENE-060526-241")</f>
        <v>https://zfin.org/ZDB-GENE-060526-241</v>
      </c>
      <c r="E11652" t="s">
        <v>34913</v>
      </c>
    </row>
    <row r="11653" spans="1:5" x14ac:dyDescent="0.2">
      <c r="A11653" t="s">
        <v>34914</v>
      </c>
      <c r="B11653" t="s">
        <v>34915</v>
      </c>
      <c r="C11653" t="s">
        <v>34915</v>
      </c>
      <c r="D11653" t="str">
        <f>HYPERLINK("https://zfin.org/ZDB-GENE-081103-34")</f>
        <v>https://zfin.org/ZDB-GENE-081103-34</v>
      </c>
      <c r="E11653" t="s">
        <v>34916</v>
      </c>
    </row>
    <row r="11654" spans="1:5" x14ac:dyDescent="0.2">
      <c r="A11654" t="s">
        <v>34917</v>
      </c>
      <c r="B11654" t="s">
        <v>34918</v>
      </c>
      <c r="C11654" t="s">
        <v>34918</v>
      </c>
      <c r="D11654" t="str">
        <f>HYPERLINK("https://zfin.org/ZDB-GENE-030410-1")</f>
        <v>https://zfin.org/ZDB-GENE-030410-1</v>
      </c>
      <c r="E11654" t="s">
        <v>34919</v>
      </c>
    </row>
    <row r="11655" spans="1:5" x14ac:dyDescent="0.2">
      <c r="A11655" t="s">
        <v>34920</v>
      </c>
      <c r="B11655" t="s">
        <v>34921</v>
      </c>
      <c r="C11655" t="s">
        <v>34921</v>
      </c>
      <c r="D11655" t="str">
        <f>HYPERLINK("https://zfin.org/ZDB-GENE-060825-273")</f>
        <v>https://zfin.org/ZDB-GENE-060825-273</v>
      </c>
      <c r="E11655" t="s">
        <v>34922</v>
      </c>
    </row>
    <row r="11656" spans="1:5" x14ac:dyDescent="0.2">
      <c r="A11656" t="s">
        <v>34923</v>
      </c>
      <c r="B11656" t="s">
        <v>34924</v>
      </c>
      <c r="C11656" t="s">
        <v>34924</v>
      </c>
      <c r="D11656" t="str">
        <f>HYPERLINK("https://zfin.org/ZDB-GENE-030114-9")</f>
        <v>https://zfin.org/ZDB-GENE-030114-9</v>
      </c>
      <c r="E11656" t="s">
        <v>34925</v>
      </c>
    </row>
    <row r="11657" spans="1:5" x14ac:dyDescent="0.2">
      <c r="A11657" t="s">
        <v>34926</v>
      </c>
      <c r="B11657" t="s">
        <v>34927</v>
      </c>
      <c r="C11657" t="s">
        <v>34927</v>
      </c>
      <c r="D11657" t="str">
        <f>HYPERLINK("https://zfin.org/ZDB-GENE-131211-1")</f>
        <v>https://zfin.org/ZDB-GENE-131211-1</v>
      </c>
      <c r="E11657" t="s">
        <v>34928</v>
      </c>
    </row>
    <row r="11658" spans="1:5" x14ac:dyDescent="0.2">
      <c r="A11658" t="s">
        <v>34929</v>
      </c>
      <c r="B11658" t="s">
        <v>34930</v>
      </c>
      <c r="C11658" t="s">
        <v>34930</v>
      </c>
      <c r="D11658" t="str">
        <f>HYPERLINK("https://zfin.org/ZDB-GENE-010323-5")</f>
        <v>https://zfin.org/ZDB-GENE-010323-5</v>
      </c>
      <c r="E11658" t="s">
        <v>34931</v>
      </c>
    </row>
    <row r="11659" spans="1:5" x14ac:dyDescent="0.2">
      <c r="A11659" t="s">
        <v>34932</v>
      </c>
      <c r="B11659" t="s">
        <v>34933</v>
      </c>
      <c r="C11659" t="s">
        <v>34933</v>
      </c>
      <c r="D11659" t="str">
        <f>HYPERLINK("https://zfin.org/ZDB-GENE-091118-27")</f>
        <v>https://zfin.org/ZDB-GENE-091118-27</v>
      </c>
      <c r="E11659" t="s">
        <v>34934</v>
      </c>
    </row>
    <row r="11660" spans="1:5" x14ac:dyDescent="0.2">
      <c r="A11660" t="s">
        <v>34935</v>
      </c>
      <c r="B11660" t="s">
        <v>34936</v>
      </c>
      <c r="C11660" t="s">
        <v>34936</v>
      </c>
      <c r="D11660" t="str">
        <f>HYPERLINK("https://zfin.org/ZDB-GENE-060519-25")</f>
        <v>https://zfin.org/ZDB-GENE-060519-25</v>
      </c>
      <c r="E11660" t="s">
        <v>34937</v>
      </c>
    </row>
    <row r="11661" spans="1:5" x14ac:dyDescent="0.2">
      <c r="A11661" t="s">
        <v>34938</v>
      </c>
      <c r="B11661" t="s">
        <v>34939</v>
      </c>
      <c r="C11661" t="s">
        <v>34939</v>
      </c>
      <c r="D11661" t="str">
        <f>HYPERLINK("https://zfin.org/ZDB-GENE-040822-36")</f>
        <v>https://zfin.org/ZDB-GENE-040822-36</v>
      </c>
      <c r="E11661" t="s">
        <v>34940</v>
      </c>
    </row>
    <row r="11662" spans="1:5" x14ac:dyDescent="0.2">
      <c r="A11662" t="s">
        <v>34941</v>
      </c>
      <c r="B11662" t="s">
        <v>34942</v>
      </c>
      <c r="C11662" t="s">
        <v>34942</v>
      </c>
      <c r="D11662" t="str">
        <f>HYPERLINK("https://zfin.org/ZDB-GENE-101019-2")</f>
        <v>https://zfin.org/ZDB-GENE-101019-2</v>
      </c>
      <c r="E11662" t="s">
        <v>34943</v>
      </c>
    </row>
    <row r="11663" spans="1:5" x14ac:dyDescent="0.2">
      <c r="A11663" t="s">
        <v>34944</v>
      </c>
      <c r="B11663" t="s">
        <v>34945</v>
      </c>
      <c r="C11663" t="s">
        <v>34945</v>
      </c>
      <c r="D11663" t="str">
        <f>HYPERLINK("https://zfin.org/ZDB-GENE-040625-77")</f>
        <v>https://zfin.org/ZDB-GENE-040625-77</v>
      </c>
      <c r="E11663" t="s">
        <v>34946</v>
      </c>
    </row>
    <row r="11664" spans="1:5" x14ac:dyDescent="0.2">
      <c r="A11664" t="s">
        <v>34947</v>
      </c>
      <c r="B11664" t="s">
        <v>34948</v>
      </c>
      <c r="C11664" t="s">
        <v>34948</v>
      </c>
      <c r="D11664" t="str">
        <f>HYPERLINK("https://zfin.org/ZDB-GENE-030131-457")</f>
        <v>https://zfin.org/ZDB-GENE-030131-457</v>
      </c>
      <c r="E11664" t="s">
        <v>34949</v>
      </c>
    </row>
    <row r="11665" spans="1:5" x14ac:dyDescent="0.2">
      <c r="A11665" t="s">
        <v>34950</v>
      </c>
      <c r="B11665" t="s">
        <v>34951</v>
      </c>
      <c r="C11665" t="s">
        <v>34951</v>
      </c>
      <c r="D11665" t="str">
        <f>HYPERLINK("https://zfin.org/ZDB-GENE-050522-275")</f>
        <v>https://zfin.org/ZDB-GENE-050522-275</v>
      </c>
      <c r="E11665" t="s">
        <v>34952</v>
      </c>
    </row>
    <row r="11666" spans="1:5" x14ac:dyDescent="0.2">
      <c r="A11666" t="s">
        <v>34953</v>
      </c>
      <c r="B11666" t="s">
        <v>34954</v>
      </c>
      <c r="C11666" t="s">
        <v>34954</v>
      </c>
      <c r="D11666" t="str">
        <f>HYPERLINK("https://zfin.org/ZDB-GENE-090312-158")</f>
        <v>https://zfin.org/ZDB-GENE-090312-158</v>
      </c>
      <c r="E11666" t="s">
        <v>34955</v>
      </c>
    </row>
    <row r="11667" spans="1:5" x14ac:dyDescent="0.2">
      <c r="A11667" t="s">
        <v>34956</v>
      </c>
      <c r="B11667" t="s">
        <v>34957</v>
      </c>
      <c r="C11667" t="s">
        <v>34957</v>
      </c>
      <c r="D11667" t="str">
        <f>HYPERLINK("https://zfin.org/ZDB-GENE-030131-6514")</f>
        <v>https://zfin.org/ZDB-GENE-030131-6514</v>
      </c>
      <c r="E11667" t="s">
        <v>34958</v>
      </c>
    </row>
    <row r="11668" spans="1:5" x14ac:dyDescent="0.2">
      <c r="A11668" t="s">
        <v>34959</v>
      </c>
      <c r="B11668" t="s">
        <v>34960</v>
      </c>
      <c r="C11668" t="s">
        <v>34960</v>
      </c>
      <c r="D11668" t="str">
        <f>HYPERLINK("https://zfin.org/ZDB-GENE-030131-146")</f>
        <v>https://zfin.org/ZDB-GENE-030131-146</v>
      </c>
      <c r="E11668" t="s">
        <v>34961</v>
      </c>
    </row>
    <row r="11669" spans="1:5" x14ac:dyDescent="0.2">
      <c r="A11669" t="s">
        <v>34962</v>
      </c>
      <c r="B11669" t="s">
        <v>34963</v>
      </c>
      <c r="C11669" t="s">
        <v>34963</v>
      </c>
      <c r="D11669" t="str">
        <f>HYPERLINK("https://zfin.org/ZDB-GENE-070912-346")</f>
        <v>https://zfin.org/ZDB-GENE-070912-346</v>
      </c>
      <c r="E11669" t="s">
        <v>34964</v>
      </c>
    </row>
    <row r="11670" spans="1:5" x14ac:dyDescent="0.2">
      <c r="A11670" t="s">
        <v>34965</v>
      </c>
      <c r="B11670" t="s">
        <v>34966</v>
      </c>
      <c r="C11670" t="s">
        <v>34966</v>
      </c>
      <c r="D11670" t="str">
        <f>HYPERLINK("https://zfin.org/ZDB-GENE-050720-2")</f>
        <v>https://zfin.org/ZDB-GENE-050720-2</v>
      </c>
      <c r="E11670" t="s">
        <v>34967</v>
      </c>
    </row>
    <row r="11671" spans="1:5" x14ac:dyDescent="0.2">
      <c r="A11671" t="s">
        <v>34968</v>
      </c>
      <c r="B11671" t="s">
        <v>34969</v>
      </c>
      <c r="C11671" t="s">
        <v>34969</v>
      </c>
      <c r="D11671" t="str">
        <f>HYPERLINK("https://zfin.org/ZDB-GENE-060117-3")</f>
        <v>https://zfin.org/ZDB-GENE-060117-3</v>
      </c>
      <c r="E11671" t="s">
        <v>34970</v>
      </c>
    </row>
    <row r="11672" spans="1:5" x14ac:dyDescent="0.2">
      <c r="A11672" t="s">
        <v>34971</v>
      </c>
      <c r="B11672" t="s">
        <v>34972</v>
      </c>
      <c r="C11672" t="s">
        <v>34972</v>
      </c>
      <c r="D11672" t="str">
        <f>HYPERLINK("https://zfin.org/ZDB-GENE-030131-7135")</f>
        <v>https://zfin.org/ZDB-GENE-030131-7135</v>
      </c>
      <c r="E11672" t="s">
        <v>34973</v>
      </c>
    </row>
    <row r="11673" spans="1:5" x14ac:dyDescent="0.2">
      <c r="A11673" t="s">
        <v>34974</v>
      </c>
      <c r="B11673" t="s">
        <v>34975</v>
      </c>
      <c r="C11673" t="s">
        <v>34975</v>
      </c>
      <c r="D11673" t="str">
        <f>HYPERLINK("https://zfin.org/ZDB-GENE-050309-223")</f>
        <v>https://zfin.org/ZDB-GENE-050309-223</v>
      </c>
      <c r="E11673" t="s">
        <v>34976</v>
      </c>
    </row>
    <row r="11674" spans="1:5" x14ac:dyDescent="0.2">
      <c r="A11674" t="s">
        <v>34977</v>
      </c>
      <c r="B11674" t="s">
        <v>34978</v>
      </c>
      <c r="C11674" t="s">
        <v>34978</v>
      </c>
      <c r="D11674" t="str">
        <f>HYPERLINK("https://zfin.org/ZDB-GENE-081104-310")</f>
        <v>https://zfin.org/ZDB-GENE-081104-310</v>
      </c>
      <c r="E11674" t="s">
        <v>34979</v>
      </c>
    </row>
    <row r="11675" spans="1:5" x14ac:dyDescent="0.2">
      <c r="A11675" t="s">
        <v>34980</v>
      </c>
      <c r="B11675" t="s">
        <v>34981</v>
      </c>
      <c r="C11675" t="s">
        <v>34981</v>
      </c>
      <c r="D11675" t="str">
        <f>HYPERLINK("https://zfin.org/ZDB-GENE-070912-345")</f>
        <v>https://zfin.org/ZDB-GENE-070912-345</v>
      </c>
      <c r="E11675" t="s">
        <v>34982</v>
      </c>
    </row>
    <row r="11676" spans="1:5" x14ac:dyDescent="0.2">
      <c r="A11676" t="s">
        <v>34983</v>
      </c>
      <c r="B11676" t="s">
        <v>34984</v>
      </c>
      <c r="C11676" t="s">
        <v>34984</v>
      </c>
      <c r="D11676" t="str">
        <f>HYPERLINK("https://zfin.org/ZDB-GENE-040426-2815")</f>
        <v>https://zfin.org/ZDB-GENE-040426-2815</v>
      </c>
      <c r="E11676" t="s">
        <v>34985</v>
      </c>
    </row>
    <row r="11677" spans="1:5" x14ac:dyDescent="0.2">
      <c r="A11677" t="s">
        <v>34986</v>
      </c>
      <c r="B11677" t="s">
        <v>34987</v>
      </c>
      <c r="C11677" t="s">
        <v>34987</v>
      </c>
      <c r="D11677" t="str">
        <f>HYPERLINK("https://zfin.org/ZDB-GENE-030131-4282")</f>
        <v>https://zfin.org/ZDB-GENE-030131-4282</v>
      </c>
      <c r="E11677" t="s">
        <v>34988</v>
      </c>
    </row>
    <row r="11678" spans="1:5" x14ac:dyDescent="0.2">
      <c r="A11678" t="s">
        <v>34989</v>
      </c>
      <c r="B11678" t="s">
        <v>34990</v>
      </c>
      <c r="C11678" t="s">
        <v>34990</v>
      </c>
      <c r="D11678" t="str">
        <f>HYPERLINK("https://zfin.org/ZDB-GENE-060228-3")</f>
        <v>https://zfin.org/ZDB-GENE-060228-3</v>
      </c>
      <c r="E11678" t="s">
        <v>34991</v>
      </c>
    </row>
    <row r="11679" spans="1:5" x14ac:dyDescent="0.2">
      <c r="A11679" t="s">
        <v>34992</v>
      </c>
      <c r="B11679" t="s">
        <v>34993</v>
      </c>
      <c r="C11679" t="s">
        <v>34993</v>
      </c>
      <c r="D11679" t="str">
        <f>HYPERLINK("https://zfin.org/ZDB-GENE-050521-1")</f>
        <v>https://zfin.org/ZDB-GENE-050521-1</v>
      </c>
      <c r="E11679" t="s">
        <v>34994</v>
      </c>
    </row>
    <row r="11680" spans="1:5" x14ac:dyDescent="0.2">
      <c r="A11680" t="s">
        <v>34995</v>
      </c>
      <c r="B11680" t="s">
        <v>34996</v>
      </c>
      <c r="C11680" t="s">
        <v>34996</v>
      </c>
      <c r="D11680" t="str">
        <f>HYPERLINK("https://zfin.org/ZDB-GENE-050327-11")</f>
        <v>https://zfin.org/ZDB-GENE-050327-11</v>
      </c>
      <c r="E11680" t="s">
        <v>34997</v>
      </c>
    </row>
    <row r="11681" spans="1:5" x14ac:dyDescent="0.2">
      <c r="A11681" t="s">
        <v>34998</v>
      </c>
      <c r="B11681" t="s">
        <v>34999</v>
      </c>
      <c r="C11681" t="s">
        <v>34999</v>
      </c>
      <c r="D11681" t="str">
        <f>HYPERLINK("https://zfin.org/ZDB-GENE-040426-1518")</f>
        <v>https://zfin.org/ZDB-GENE-040426-1518</v>
      </c>
      <c r="E11681" t="s">
        <v>35000</v>
      </c>
    </row>
    <row r="11682" spans="1:5" x14ac:dyDescent="0.2">
      <c r="A11682" t="s">
        <v>35001</v>
      </c>
      <c r="B11682" t="s">
        <v>35002</v>
      </c>
      <c r="C11682" t="s">
        <v>35002</v>
      </c>
      <c r="D11682" t="str">
        <f>HYPERLINK("https://zfin.org/ZDB-GENE-041114-30")</f>
        <v>https://zfin.org/ZDB-GENE-041114-30</v>
      </c>
      <c r="E11682" t="s">
        <v>35003</v>
      </c>
    </row>
    <row r="11683" spans="1:5" x14ac:dyDescent="0.2">
      <c r="A11683" t="s">
        <v>35004</v>
      </c>
      <c r="B11683" t="s">
        <v>35005</v>
      </c>
      <c r="C11683" t="s">
        <v>35005</v>
      </c>
      <c r="D11683" t="str">
        <f>HYPERLINK("https://zfin.org/ZDB-GENE-060825-208")</f>
        <v>https://zfin.org/ZDB-GENE-060825-208</v>
      </c>
      <c r="E11683" t="s">
        <v>35006</v>
      </c>
    </row>
    <row r="11684" spans="1:5" x14ac:dyDescent="0.2">
      <c r="A11684" t="s">
        <v>35007</v>
      </c>
      <c r="B11684" t="s">
        <v>35008</v>
      </c>
      <c r="C11684" t="s">
        <v>35008</v>
      </c>
      <c r="D11684" t="str">
        <f>HYPERLINK("https://zfin.org/ZDB-GENE-131127-635")</f>
        <v>https://zfin.org/ZDB-GENE-131127-635</v>
      </c>
      <c r="E11684" t="s">
        <v>35009</v>
      </c>
    </row>
    <row r="11685" spans="1:5" x14ac:dyDescent="0.2">
      <c r="A11685" t="s">
        <v>35010</v>
      </c>
      <c r="B11685" t="s">
        <v>35011</v>
      </c>
      <c r="C11685" t="s">
        <v>35011</v>
      </c>
      <c r="D11685" t="str">
        <f>HYPERLINK("https://zfin.org/ZDB-GENE-040801-230")</f>
        <v>https://zfin.org/ZDB-GENE-040801-230</v>
      </c>
      <c r="E11685" t="s">
        <v>35012</v>
      </c>
    </row>
    <row r="11686" spans="1:5" x14ac:dyDescent="0.2">
      <c r="A11686" t="s">
        <v>35013</v>
      </c>
      <c r="B11686" t="s">
        <v>35014</v>
      </c>
      <c r="C11686" t="s">
        <v>35014</v>
      </c>
      <c r="D11686" t="str">
        <f>HYPERLINK("https://zfin.org/ZDB-GENE-040426-688")</f>
        <v>https://zfin.org/ZDB-GENE-040426-688</v>
      </c>
      <c r="E11686" t="s">
        <v>35015</v>
      </c>
    </row>
    <row r="11687" spans="1:5" x14ac:dyDescent="0.2">
      <c r="A11687" t="s">
        <v>35016</v>
      </c>
      <c r="B11687" t="s">
        <v>35017</v>
      </c>
      <c r="C11687" t="s">
        <v>35017</v>
      </c>
      <c r="D11687" t="str">
        <f>HYPERLINK("https://zfin.org/ZDB-GENE-040718-223")</f>
        <v>https://zfin.org/ZDB-GENE-040718-223</v>
      </c>
      <c r="E11687" t="s">
        <v>35018</v>
      </c>
    </row>
    <row r="11688" spans="1:5" x14ac:dyDescent="0.2">
      <c r="A11688" t="s">
        <v>35019</v>
      </c>
      <c r="B11688" t="s">
        <v>35020</v>
      </c>
      <c r="C11688" t="s">
        <v>35020</v>
      </c>
      <c r="D11688" t="str">
        <f>HYPERLINK("https://zfin.org/ZDB-GENE-040426-1820")</f>
        <v>https://zfin.org/ZDB-GENE-040426-1820</v>
      </c>
      <c r="E11688" t="s">
        <v>35021</v>
      </c>
    </row>
    <row r="11689" spans="1:5" x14ac:dyDescent="0.2">
      <c r="A11689" t="s">
        <v>35022</v>
      </c>
      <c r="B11689" t="s">
        <v>35023</v>
      </c>
      <c r="C11689" t="s">
        <v>35023</v>
      </c>
      <c r="D11689" t="str">
        <f>HYPERLINK("https://zfin.org/ZDB-GENE-030825-2")</f>
        <v>https://zfin.org/ZDB-GENE-030825-2</v>
      </c>
      <c r="E11689" t="s">
        <v>35024</v>
      </c>
    </row>
    <row r="11690" spans="1:5" x14ac:dyDescent="0.2">
      <c r="A11690" t="s">
        <v>35025</v>
      </c>
      <c r="B11690" t="s">
        <v>35026</v>
      </c>
      <c r="C11690" t="s">
        <v>35026</v>
      </c>
      <c r="D11690" t="str">
        <f>HYPERLINK("https://zfin.org/ZDB-GENE-041114-91")</f>
        <v>https://zfin.org/ZDB-GENE-041114-91</v>
      </c>
      <c r="E11690" t="s">
        <v>35027</v>
      </c>
    </row>
    <row r="11691" spans="1:5" x14ac:dyDescent="0.2">
      <c r="A11691" t="s">
        <v>35028</v>
      </c>
      <c r="B11691" t="s">
        <v>35029</v>
      </c>
      <c r="C11691" t="s">
        <v>35029</v>
      </c>
      <c r="D11691" t="str">
        <f>HYPERLINK("https://zfin.org/ZDB-GENE-030131-778")</f>
        <v>https://zfin.org/ZDB-GENE-030131-778</v>
      </c>
      <c r="E11691" t="s">
        <v>35030</v>
      </c>
    </row>
    <row r="11692" spans="1:5" x14ac:dyDescent="0.2">
      <c r="A11692" t="s">
        <v>35031</v>
      </c>
      <c r="B11692" t="s">
        <v>35032</v>
      </c>
      <c r="C11692" t="s">
        <v>35032</v>
      </c>
      <c r="D11692" t="str">
        <f>HYPERLINK("https://zfin.org/ZDB-GENE-991110-10")</f>
        <v>https://zfin.org/ZDB-GENE-991110-10</v>
      </c>
      <c r="E11692" t="s">
        <v>35033</v>
      </c>
    </row>
    <row r="11693" spans="1:5" x14ac:dyDescent="0.2">
      <c r="A11693" t="s">
        <v>35034</v>
      </c>
      <c r="B11693" t="s">
        <v>35035</v>
      </c>
      <c r="C11693" t="s">
        <v>35035</v>
      </c>
      <c r="D11693" t="str">
        <f>HYPERLINK("https://zfin.org/ZDB-GENE-131127-554")</f>
        <v>https://zfin.org/ZDB-GENE-131127-554</v>
      </c>
      <c r="E11693" t="s">
        <v>35036</v>
      </c>
    </row>
    <row r="11694" spans="1:5" x14ac:dyDescent="0.2">
      <c r="A11694" t="s">
        <v>35037</v>
      </c>
      <c r="B11694" t="s">
        <v>35038</v>
      </c>
      <c r="C11694" t="s">
        <v>35038</v>
      </c>
      <c r="D11694" t="str">
        <f>HYPERLINK("https://zfin.org/ZDB-GENE-991207-1")</f>
        <v>https://zfin.org/ZDB-GENE-991207-1</v>
      </c>
      <c r="E11694" t="s">
        <v>35039</v>
      </c>
    </row>
    <row r="11695" spans="1:5" x14ac:dyDescent="0.2">
      <c r="A11695" t="s">
        <v>35040</v>
      </c>
      <c r="B11695" t="s">
        <v>35041</v>
      </c>
      <c r="C11695" t="s">
        <v>35041</v>
      </c>
      <c r="D11695" t="str">
        <f>HYPERLINK("https://zfin.org/ZDB-GENE-060503-414")</f>
        <v>https://zfin.org/ZDB-GENE-060503-414</v>
      </c>
      <c r="E11695" t="s">
        <v>35042</v>
      </c>
    </row>
    <row r="11696" spans="1:5" x14ac:dyDescent="0.2">
      <c r="A11696" t="s">
        <v>35043</v>
      </c>
      <c r="B11696" t="s">
        <v>35044</v>
      </c>
      <c r="C11696" t="s">
        <v>35044</v>
      </c>
      <c r="D11696" t="str">
        <f>HYPERLINK("https://zfin.org/ZDB-GENE-050112-1")</f>
        <v>https://zfin.org/ZDB-GENE-050112-1</v>
      </c>
      <c r="E11696" t="s">
        <v>35045</v>
      </c>
    </row>
    <row r="11697" spans="1:5" x14ac:dyDescent="0.2">
      <c r="A11697" t="s">
        <v>35046</v>
      </c>
      <c r="B11697" t="s">
        <v>35047</v>
      </c>
      <c r="C11697" t="s">
        <v>35047</v>
      </c>
      <c r="D11697" t="str">
        <f>HYPERLINK("https://zfin.org/ZDB-GENE-030131-4311")</f>
        <v>https://zfin.org/ZDB-GENE-030131-4311</v>
      </c>
      <c r="E11697" t="s">
        <v>35048</v>
      </c>
    </row>
    <row r="11698" spans="1:5" x14ac:dyDescent="0.2">
      <c r="A11698" t="s">
        <v>35049</v>
      </c>
      <c r="B11698" t="s">
        <v>35050</v>
      </c>
      <c r="C11698" t="s">
        <v>35050</v>
      </c>
      <c r="D11698" t="str">
        <f>HYPERLINK("https://zfin.org/ZDB-GENE-090313-345")</f>
        <v>https://zfin.org/ZDB-GENE-090313-345</v>
      </c>
      <c r="E11698" t="s">
        <v>35051</v>
      </c>
    </row>
    <row r="11699" spans="1:5" x14ac:dyDescent="0.2">
      <c r="A11699" t="s">
        <v>35052</v>
      </c>
      <c r="B11699" t="s">
        <v>35053</v>
      </c>
      <c r="C11699" t="s">
        <v>35053</v>
      </c>
      <c r="D11699" t="str">
        <f>HYPERLINK("https://zfin.org/ZDB-GENE-030723-4")</f>
        <v>https://zfin.org/ZDB-GENE-030723-4</v>
      </c>
      <c r="E11699" t="s">
        <v>35054</v>
      </c>
    </row>
    <row r="11700" spans="1:5" x14ac:dyDescent="0.2">
      <c r="A11700" t="s">
        <v>35055</v>
      </c>
      <c r="B11700" t="s">
        <v>35056</v>
      </c>
      <c r="C11700" t="s">
        <v>35056</v>
      </c>
      <c r="D11700" t="str">
        <f>HYPERLINK("https://zfin.org/ZDB-GENE-030219-109")</f>
        <v>https://zfin.org/ZDB-GENE-030219-109</v>
      </c>
      <c r="E11700" t="s">
        <v>35057</v>
      </c>
    </row>
    <row r="11701" spans="1:5" x14ac:dyDescent="0.2">
      <c r="A11701" t="s">
        <v>35058</v>
      </c>
      <c r="B11701" t="s">
        <v>35059</v>
      </c>
      <c r="C11701" t="s">
        <v>35059</v>
      </c>
      <c r="D11701" t="str">
        <f>HYPERLINK("https://zfin.org/ZDB-GENE-040718-454")</f>
        <v>https://zfin.org/ZDB-GENE-040718-454</v>
      </c>
      <c r="E11701" t="s">
        <v>35060</v>
      </c>
    </row>
    <row r="11702" spans="1:5" x14ac:dyDescent="0.2">
      <c r="A11702" t="s">
        <v>35061</v>
      </c>
      <c r="B11702" t="s">
        <v>35062</v>
      </c>
      <c r="C11702" t="s">
        <v>35062</v>
      </c>
      <c r="D11702" t="str">
        <f>HYPERLINK("https://zfin.org/ZDB-GENE-050306-57")</f>
        <v>https://zfin.org/ZDB-GENE-050306-57</v>
      </c>
      <c r="E11702" t="s">
        <v>35063</v>
      </c>
    </row>
    <row r="11703" spans="1:5" x14ac:dyDescent="0.2">
      <c r="A11703" t="s">
        <v>35064</v>
      </c>
      <c r="B11703" t="s">
        <v>35065</v>
      </c>
      <c r="C11703" t="s">
        <v>35065</v>
      </c>
      <c r="D11703" t="str">
        <f>HYPERLINK("https://zfin.org/ZDB-GENE-040912-79")</f>
        <v>https://zfin.org/ZDB-GENE-040912-79</v>
      </c>
      <c r="E11703" t="s">
        <v>35066</v>
      </c>
    </row>
    <row r="11704" spans="1:5" x14ac:dyDescent="0.2">
      <c r="A11704" t="s">
        <v>35067</v>
      </c>
      <c r="B11704" t="s">
        <v>35068</v>
      </c>
      <c r="C11704" t="s">
        <v>35068</v>
      </c>
      <c r="D11704" t="str">
        <f>HYPERLINK("https://zfin.org/ZDB-GENE-030131-834")</f>
        <v>https://zfin.org/ZDB-GENE-030131-834</v>
      </c>
      <c r="E11704" t="s">
        <v>35069</v>
      </c>
    </row>
    <row r="11705" spans="1:5" x14ac:dyDescent="0.2">
      <c r="A11705" t="s">
        <v>35070</v>
      </c>
      <c r="B11705" t="s">
        <v>35071</v>
      </c>
      <c r="C11705" t="s">
        <v>35071</v>
      </c>
      <c r="D11705" t="str">
        <f>HYPERLINK("https://zfin.org/ZDB-GENE-030131-2074")</f>
        <v>https://zfin.org/ZDB-GENE-030131-2074</v>
      </c>
      <c r="E11705" t="s">
        <v>35072</v>
      </c>
    </row>
    <row r="11706" spans="1:5" x14ac:dyDescent="0.2">
      <c r="A11706" t="s">
        <v>35073</v>
      </c>
      <c r="B11706" t="s">
        <v>35074</v>
      </c>
      <c r="C11706" t="s">
        <v>35074</v>
      </c>
      <c r="D11706" t="str">
        <f>HYPERLINK("https://zfin.org/ZDB-GENE-040426-1565")</f>
        <v>https://zfin.org/ZDB-GENE-040426-1565</v>
      </c>
      <c r="E11706" t="s">
        <v>35075</v>
      </c>
    </row>
    <row r="11707" spans="1:5" x14ac:dyDescent="0.2">
      <c r="A11707" t="s">
        <v>35076</v>
      </c>
      <c r="B11707" t="s">
        <v>35077</v>
      </c>
      <c r="C11707" t="s">
        <v>35077</v>
      </c>
      <c r="D11707" t="str">
        <f>HYPERLINK("https://zfin.org/ZDB-GENE-050208-34")</f>
        <v>https://zfin.org/ZDB-GENE-050208-34</v>
      </c>
      <c r="E11707" t="s">
        <v>35078</v>
      </c>
    </row>
    <row r="11708" spans="1:5" x14ac:dyDescent="0.2">
      <c r="A11708" t="s">
        <v>35079</v>
      </c>
      <c r="B11708" t="s">
        <v>35080</v>
      </c>
      <c r="C11708" t="s">
        <v>35080</v>
      </c>
      <c r="D11708" t="str">
        <f>HYPERLINK("https://zfin.org/ZDB-GENE-070424-86")</f>
        <v>https://zfin.org/ZDB-GENE-070424-86</v>
      </c>
      <c r="E11708" t="s">
        <v>35081</v>
      </c>
    </row>
    <row r="11709" spans="1:5" x14ac:dyDescent="0.2">
      <c r="A11709" t="s">
        <v>35082</v>
      </c>
      <c r="B11709" t="s">
        <v>35083</v>
      </c>
      <c r="C11709" t="s">
        <v>35083</v>
      </c>
      <c r="D11709" t="str">
        <f>HYPERLINK("https://zfin.org/ZDB-GENE-030131-2032")</f>
        <v>https://zfin.org/ZDB-GENE-030131-2032</v>
      </c>
      <c r="E11709" t="s">
        <v>35084</v>
      </c>
    </row>
    <row r="11710" spans="1:5" x14ac:dyDescent="0.2">
      <c r="A11710" t="s">
        <v>35085</v>
      </c>
      <c r="B11710" t="s">
        <v>35086</v>
      </c>
      <c r="C11710" t="s">
        <v>35086</v>
      </c>
      <c r="D11710" t="str">
        <f>HYPERLINK("https://zfin.org/ZDB-GENE-070705-6")</f>
        <v>https://zfin.org/ZDB-GENE-070705-6</v>
      </c>
      <c r="E11710" t="s">
        <v>35087</v>
      </c>
    </row>
    <row r="11711" spans="1:5" x14ac:dyDescent="0.2">
      <c r="A11711" t="s">
        <v>35088</v>
      </c>
      <c r="B11711" t="s">
        <v>35089</v>
      </c>
      <c r="C11711" t="s">
        <v>35089</v>
      </c>
      <c r="D11711" t="str">
        <f>HYPERLINK("https://zfin.org/ZDB-GENE-030131-6602")</f>
        <v>https://zfin.org/ZDB-GENE-030131-6602</v>
      </c>
      <c r="E11711" t="s">
        <v>35090</v>
      </c>
    </row>
    <row r="11712" spans="1:5" x14ac:dyDescent="0.2">
      <c r="A11712" t="s">
        <v>35091</v>
      </c>
      <c r="B11712" t="s">
        <v>35092</v>
      </c>
      <c r="C11712" t="s">
        <v>35092</v>
      </c>
      <c r="D11712" t="str">
        <f>HYPERLINK("https://zfin.org/ZDB-GENE-061128-2")</f>
        <v>https://zfin.org/ZDB-GENE-061128-2</v>
      </c>
      <c r="E11712" t="s">
        <v>35093</v>
      </c>
    </row>
    <row r="11713" spans="1:5" x14ac:dyDescent="0.2">
      <c r="A11713" t="s">
        <v>35094</v>
      </c>
      <c r="B11713" t="s">
        <v>35095</v>
      </c>
      <c r="C11713" t="s">
        <v>35095</v>
      </c>
      <c r="D11713" t="str">
        <f>HYPERLINK("https://zfin.org/ZDB-GENE-030825-7")</f>
        <v>https://zfin.org/ZDB-GENE-030825-7</v>
      </c>
      <c r="E11713" t="s">
        <v>35096</v>
      </c>
    </row>
    <row r="11714" spans="1:5" x14ac:dyDescent="0.2">
      <c r="A11714" t="s">
        <v>35097</v>
      </c>
      <c r="B11714" t="s">
        <v>35098</v>
      </c>
      <c r="C11714" t="s">
        <v>35098</v>
      </c>
      <c r="D11714" t="str">
        <f>HYPERLINK("https://zfin.org/ZDB-GENE-060503-619")</f>
        <v>https://zfin.org/ZDB-GENE-060503-619</v>
      </c>
      <c r="E11714" t="s">
        <v>35099</v>
      </c>
    </row>
    <row r="11715" spans="1:5" x14ac:dyDescent="0.2">
      <c r="A11715" t="s">
        <v>35100</v>
      </c>
      <c r="B11715" t="s">
        <v>35101</v>
      </c>
      <c r="C11715" t="s">
        <v>35101</v>
      </c>
      <c r="D11715" t="str">
        <f>HYPERLINK("https://zfin.org/ZDB-GENE-040718-32")</f>
        <v>https://zfin.org/ZDB-GENE-040718-32</v>
      </c>
      <c r="E11715" t="s">
        <v>35102</v>
      </c>
    </row>
    <row r="11716" spans="1:5" x14ac:dyDescent="0.2">
      <c r="A11716" t="s">
        <v>35103</v>
      </c>
      <c r="B11716" t="s">
        <v>35104</v>
      </c>
      <c r="C11716" t="s">
        <v>35104</v>
      </c>
      <c r="D11716" t="str">
        <f>HYPERLINK("https://zfin.org/ZDB-GENE-030131-1190")</f>
        <v>https://zfin.org/ZDB-GENE-030131-1190</v>
      </c>
      <c r="E11716" t="s">
        <v>35105</v>
      </c>
    </row>
    <row r="11717" spans="1:5" x14ac:dyDescent="0.2">
      <c r="A11717" t="s">
        <v>35106</v>
      </c>
      <c r="B11717" t="s">
        <v>35107</v>
      </c>
      <c r="C11717" t="s">
        <v>35107</v>
      </c>
      <c r="D11717" t="str">
        <f>HYPERLINK("https://zfin.org/ZDB-GENE-050522-31")</f>
        <v>https://zfin.org/ZDB-GENE-050522-31</v>
      </c>
      <c r="E11717" t="s">
        <v>35108</v>
      </c>
    </row>
    <row r="11718" spans="1:5" x14ac:dyDescent="0.2">
      <c r="A11718" t="s">
        <v>35109</v>
      </c>
      <c r="B11718" t="s">
        <v>35110</v>
      </c>
      <c r="C11718" t="s">
        <v>35110</v>
      </c>
      <c r="D11718" t="str">
        <f>HYPERLINK("https://zfin.org/ZDB-GENE-030131-8274")</f>
        <v>https://zfin.org/ZDB-GENE-030131-8274</v>
      </c>
      <c r="E11718" t="s">
        <v>35111</v>
      </c>
    </row>
    <row r="11719" spans="1:5" x14ac:dyDescent="0.2">
      <c r="A11719" t="s">
        <v>35112</v>
      </c>
      <c r="B11719" t="s">
        <v>35113</v>
      </c>
      <c r="C11719" t="s">
        <v>35113</v>
      </c>
      <c r="D11719" t="str">
        <f>HYPERLINK("https://zfin.org/ZDB-GENE-030131-6053")</f>
        <v>https://zfin.org/ZDB-GENE-030131-6053</v>
      </c>
      <c r="E11719" t="s">
        <v>35114</v>
      </c>
    </row>
    <row r="11720" spans="1:5" x14ac:dyDescent="0.2">
      <c r="A11720" t="s">
        <v>35115</v>
      </c>
      <c r="B11720" t="s">
        <v>35116</v>
      </c>
      <c r="C11720" t="s">
        <v>35116</v>
      </c>
      <c r="D11720" t="str">
        <f>HYPERLINK("https://zfin.org/ZDB-GENE-090406-4")</f>
        <v>https://zfin.org/ZDB-GENE-090406-4</v>
      </c>
      <c r="E11720" t="s">
        <v>35117</v>
      </c>
    </row>
    <row r="11721" spans="1:5" x14ac:dyDescent="0.2">
      <c r="A11721" t="s">
        <v>35118</v>
      </c>
      <c r="B11721" t="s">
        <v>35119</v>
      </c>
      <c r="C11721" t="s">
        <v>35119</v>
      </c>
      <c r="D11721" t="str">
        <f>HYPERLINK("https://zfin.org/ZDB-GENE-040718-399")</f>
        <v>https://zfin.org/ZDB-GENE-040718-399</v>
      </c>
      <c r="E11721" t="s">
        <v>35120</v>
      </c>
    </row>
    <row r="11722" spans="1:5" x14ac:dyDescent="0.2">
      <c r="A11722" t="s">
        <v>35121</v>
      </c>
      <c r="B11722" t="s">
        <v>35122</v>
      </c>
      <c r="C11722" t="s">
        <v>35122</v>
      </c>
      <c r="D11722" t="str">
        <f>HYPERLINK("https://zfin.org/ZDB-GENE-040718-204")</f>
        <v>https://zfin.org/ZDB-GENE-040718-204</v>
      </c>
      <c r="E11722" t="s">
        <v>35123</v>
      </c>
    </row>
    <row r="11723" spans="1:5" x14ac:dyDescent="0.2">
      <c r="A11723" t="s">
        <v>35124</v>
      </c>
      <c r="B11723" t="s">
        <v>35125</v>
      </c>
      <c r="C11723" t="s">
        <v>35125</v>
      </c>
      <c r="D11723" t="str">
        <f>HYPERLINK("https://zfin.org/ZDB-GENE-091204-431")</f>
        <v>https://zfin.org/ZDB-GENE-091204-431</v>
      </c>
      <c r="E11723" t="s">
        <v>35126</v>
      </c>
    </row>
    <row r="11724" spans="1:5" x14ac:dyDescent="0.2">
      <c r="A11724" t="s">
        <v>35127</v>
      </c>
      <c r="B11724" t="s">
        <v>35128</v>
      </c>
      <c r="C11724" t="s">
        <v>35128</v>
      </c>
      <c r="D11724" t="str">
        <f>HYPERLINK("https://zfin.org/ZDB-GENE-060531-151")</f>
        <v>https://zfin.org/ZDB-GENE-060531-151</v>
      </c>
      <c r="E11724" t="s">
        <v>35129</v>
      </c>
    </row>
    <row r="11725" spans="1:5" x14ac:dyDescent="0.2">
      <c r="A11725" t="s">
        <v>35130</v>
      </c>
      <c r="B11725" t="s">
        <v>35131</v>
      </c>
      <c r="C11725" t="s">
        <v>35131</v>
      </c>
      <c r="D11725" t="str">
        <f>HYPERLINK("https://zfin.org/ZDB-GENE-030616-264")</f>
        <v>https://zfin.org/ZDB-GENE-030616-264</v>
      </c>
      <c r="E11725" t="s">
        <v>35132</v>
      </c>
    </row>
    <row r="11726" spans="1:5" x14ac:dyDescent="0.2">
      <c r="A11726" t="s">
        <v>35133</v>
      </c>
      <c r="B11726" t="s">
        <v>35134</v>
      </c>
      <c r="C11726" t="s">
        <v>35135</v>
      </c>
      <c r="D11726" t="str">
        <f>HYPERLINK("https://zfin.org/ZDB-GENE-100917-4")</f>
        <v>https://zfin.org/ZDB-GENE-100917-4</v>
      </c>
      <c r="E11726" t="s">
        <v>35136</v>
      </c>
    </row>
    <row r="11727" spans="1:5" x14ac:dyDescent="0.2">
      <c r="A11727" t="s">
        <v>35137</v>
      </c>
      <c r="B11727" t="s">
        <v>35138</v>
      </c>
      <c r="C11727" t="s">
        <v>35138</v>
      </c>
      <c r="D11727" t="str">
        <f>HYPERLINK("https://zfin.org/ZDB-GENE-030131-8585")</f>
        <v>https://zfin.org/ZDB-GENE-030131-8585</v>
      </c>
      <c r="E11727" t="s">
        <v>35139</v>
      </c>
    </row>
    <row r="11728" spans="1:5" x14ac:dyDescent="0.2">
      <c r="A11728" t="s">
        <v>35140</v>
      </c>
      <c r="B11728" t="s">
        <v>35141</v>
      </c>
      <c r="C11728" t="s">
        <v>35141</v>
      </c>
      <c r="D11728" t="str">
        <f>HYPERLINK("https://zfin.org/ZDB-GENE-040426-1860")</f>
        <v>https://zfin.org/ZDB-GENE-040426-1860</v>
      </c>
      <c r="E11728" t="s">
        <v>35142</v>
      </c>
    </row>
    <row r="11729" spans="1:5" x14ac:dyDescent="0.2">
      <c r="A11729" t="s">
        <v>35143</v>
      </c>
      <c r="B11729" t="s">
        <v>35144</v>
      </c>
      <c r="C11729" t="s">
        <v>35144</v>
      </c>
      <c r="D11729" t="str">
        <f>HYPERLINK("https://zfin.org/ZDB-GENE-110913-117")</f>
        <v>https://zfin.org/ZDB-GENE-110913-117</v>
      </c>
      <c r="E11729" t="s">
        <v>35145</v>
      </c>
    </row>
    <row r="11730" spans="1:5" x14ac:dyDescent="0.2">
      <c r="A11730" t="s">
        <v>35146</v>
      </c>
      <c r="B11730" t="s">
        <v>35147</v>
      </c>
      <c r="C11730" t="s">
        <v>35147</v>
      </c>
      <c r="D11730" t="str">
        <f>HYPERLINK("https://zfin.org/ZDB-GENE-050417-209")</f>
        <v>https://zfin.org/ZDB-GENE-050417-209</v>
      </c>
      <c r="E11730" t="s">
        <v>35148</v>
      </c>
    </row>
    <row r="11731" spans="1:5" x14ac:dyDescent="0.2">
      <c r="A11731" t="s">
        <v>35149</v>
      </c>
      <c r="B11731" t="s">
        <v>35150</v>
      </c>
      <c r="C11731" t="s">
        <v>35150</v>
      </c>
      <c r="D11731" t="str">
        <f>HYPERLINK("https://zfin.org/ZDB-GENE-041001-145")</f>
        <v>https://zfin.org/ZDB-GENE-041001-145</v>
      </c>
      <c r="E11731" t="s">
        <v>35151</v>
      </c>
    </row>
    <row r="11732" spans="1:5" x14ac:dyDescent="0.2">
      <c r="A11732" t="s">
        <v>35152</v>
      </c>
      <c r="B11732" t="s">
        <v>35153</v>
      </c>
      <c r="C11732" t="s">
        <v>35153</v>
      </c>
      <c r="D11732" t="str">
        <f>HYPERLINK("https://zfin.org/ZDB-GENE-060503-441")</f>
        <v>https://zfin.org/ZDB-GENE-060503-441</v>
      </c>
      <c r="E11732" t="s">
        <v>35154</v>
      </c>
    </row>
    <row r="11733" spans="1:5" x14ac:dyDescent="0.2">
      <c r="A11733" t="s">
        <v>35155</v>
      </c>
      <c r="B11733" t="s">
        <v>35156</v>
      </c>
      <c r="C11733" t="s">
        <v>35156</v>
      </c>
      <c r="D11733" t="str">
        <f>HYPERLINK("https://zfin.org/ZDB-GENE-030429-36")</f>
        <v>https://zfin.org/ZDB-GENE-030429-36</v>
      </c>
      <c r="E11733" t="s">
        <v>35157</v>
      </c>
    </row>
    <row r="11734" spans="1:5" x14ac:dyDescent="0.2">
      <c r="A11734" t="s">
        <v>35158</v>
      </c>
      <c r="B11734" t="s">
        <v>35159</v>
      </c>
      <c r="C11734" t="s">
        <v>35159</v>
      </c>
      <c r="D11734" t="str">
        <f>HYPERLINK("https://zfin.org/ZDB-GENE-070925-2")</f>
        <v>https://zfin.org/ZDB-GENE-070925-2</v>
      </c>
      <c r="E11734" t="s">
        <v>35160</v>
      </c>
    </row>
    <row r="11735" spans="1:5" x14ac:dyDescent="0.2">
      <c r="A11735" t="s">
        <v>35161</v>
      </c>
      <c r="B11735" t="s">
        <v>35162</v>
      </c>
      <c r="C11735" t="s">
        <v>35162</v>
      </c>
      <c r="D11735" t="str">
        <f>HYPERLINK("https://zfin.org/ZDB-GENE-030131-3161")</f>
        <v>https://zfin.org/ZDB-GENE-030131-3161</v>
      </c>
      <c r="E11735" t="s">
        <v>35163</v>
      </c>
    </row>
    <row r="11736" spans="1:5" x14ac:dyDescent="0.2">
      <c r="A11736" t="s">
        <v>35164</v>
      </c>
      <c r="B11736" t="s">
        <v>35165</v>
      </c>
      <c r="C11736" t="s">
        <v>35165</v>
      </c>
      <c r="D11736" t="str">
        <f>HYPERLINK("https://zfin.org/ZDB-GENE-050208-698")</f>
        <v>https://zfin.org/ZDB-GENE-050208-698</v>
      </c>
      <c r="E11736" t="s">
        <v>35166</v>
      </c>
    </row>
    <row r="11737" spans="1:5" x14ac:dyDescent="0.2">
      <c r="A11737" t="s">
        <v>35167</v>
      </c>
      <c r="B11737" t="s">
        <v>35168</v>
      </c>
      <c r="C11737" t="s">
        <v>35168</v>
      </c>
      <c r="D11737" t="str">
        <f>HYPERLINK("https://zfin.org/ZDB-GENE-020419-11")</f>
        <v>https://zfin.org/ZDB-GENE-020419-11</v>
      </c>
      <c r="E11737" t="s">
        <v>35169</v>
      </c>
    </row>
    <row r="11738" spans="1:5" x14ac:dyDescent="0.2">
      <c r="A11738" t="s">
        <v>35170</v>
      </c>
      <c r="B11738" t="s">
        <v>35171</v>
      </c>
      <c r="C11738" t="s">
        <v>35171</v>
      </c>
      <c r="D11738" t="str">
        <f>HYPERLINK("https://zfin.org/ZDB-GENE-051127-31")</f>
        <v>https://zfin.org/ZDB-GENE-051127-31</v>
      </c>
      <c r="E11738" t="s">
        <v>35172</v>
      </c>
    </row>
    <row r="11739" spans="1:5" x14ac:dyDescent="0.2">
      <c r="A11739" t="s">
        <v>35173</v>
      </c>
      <c r="B11739" t="s">
        <v>35174</v>
      </c>
      <c r="C11739" t="s">
        <v>35174</v>
      </c>
      <c r="D11739" t="str">
        <f>HYPERLINK("https://zfin.org/ZDB-GENE-110913-99")</f>
        <v>https://zfin.org/ZDB-GENE-110913-99</v>
      </c>
      <c r="E11739" t="s">
        <v>35175</v>
      </c>
    </row>
    <row r="11740" spans="1:5" x14ac:dyDescent="0.2">
      <c r="A11740" t="s">
        <v>35176</v>
      </c>
      <c r="B11740" t="s">
        <v>35177</v>
      </c>
      <c r="C11740" t="s">
        <v>35177</v>
      </c>
      <c r="D11740" t="str">
        <f>HYPERLINK("https://zfin.org/ZDB-GENE-040426-874")</f>
        <v>https://zfin.org/ZDB-GENE-040426-874</v>
      </c>
      <c r="E11740" t="s">
        <v>35178</v>
      </c>
    </row>
    <row r="11741" spans="1:5" x14ac:dyDescent="0.2">
      <c r="A11741" t="s">
        <v>35179</v>
      </c>
      <c r="B11741" t="s">
        <v>35180</v>
      </c>
      <c r="C11741" t="s">
        <v>35180</v>
      </c>
      <c r="D11741" t="str">
        <f>HYPERLINK("https://zfin.org/ZDB-GENE-120215-75")</f>
        <v>https://zfin.org/ZDB-GENE-120215-75</v>
      </c>
      <c r="E11741" t="s">
        <v>35181</v>
      </c>
    </row>
    <row r="11742" spans="1:5" x14ac:dyDescent="0.2">
      <c r="A11742" t="s">
        <v>35182</v>
      </c>
      <c r="B11742" t="s">
        <v>35183</v>
      </c>
      <c r="C11742" t="s">
        <v>35183</v>
      </c>
      <c r="D11742" t="str">
        <f>HYPERLINK("https://zfin.org/ZDB-GENE-040426-936")</f>
        <v>https://zfin.org/ZDB-GENE-040426-936</v>
      </c>
      <c r="E11742" t="s">
        <v>35184</v>
      </c>
    </row>
    <row r="11743" spans="1:5" x14ac:dyDescent="0.2">
      <c r="A11743" t="s">
        <v>35185</v>
      </c>
      <c r="B11743" t="s">
        <v>35186</v>
      </c>
      <c r="C11743" t="s">
        <v>35186</v>
      </c>
      <c r="D11743" t="str">
        <f>HYPERLINK("https://zfin.org/ZDB-GENE-060503-902")</f>
        <v>https://zfin.org/ZDB-GENE-060503-902</v>
      </c>
      <c r="E11743" t="s">
        <v>35187</v>
      </c>
    </row>
    <row r="11744" spans="1:5" x14ac:dyDescent="0.2">
      <c r="A11744" t="s">
        <v>35188</v>
      </c>
      <c r="B11744" t="s">
        <v>35189</v>
      </c>
      <c r="C11744" t="s">
        <v>35189</v>
      </c>
      <c r="D11744" t="str">
        <f>HYPERLINK("https://zfin.org/ZDB-GENE-081104-266")</f>
        <v>https://zfin.org/ZDB-GENE-081104-266</v>
      </c>
      <c r="E11744" t="s">
        <v>35190</v>
      </c>
    </row>
    <row r="11745" spans="1:5" x14ac:dyDescent="0.2">
      <c r="A11745" t="s">
        <v>35191</v>
      </c>
      <c r="B11745" t="s">
        <v>35192</v>
      </c>
      <c r="C11745" t="s">
        <v>35192</v>
      </c>
      <c r="D11745" t="str">
        <f>HYPERLINK("https://zfin.org/ZDB-GENE-050220-11")</f>
        <v>https://zfin.org/ZDB-GENE-050220-11</v>
      </c>
      <c r="E11745" t="s">
        <v>35193</v>
      </c>
    </row>
    <row r="11746" spans="1:5" x14ac:dyDescent="0.2">
      <c r="A11746" t="s">
        <v>35194</v>
      </c>
      <c r="B11746" t="s">
        <v>35195</v>
      </c>
      <c r="C11746" t="s">
        <v>35195</v>
      </c>
      <c r="D11746" t="str">
        <f>HYPERLINK("https://zfin.org/ZDB-GENE-050506-95")</f>
        <v>https://zfin.org/ZDB-GENE-050506-95</v>
      </c>
      <c r="E11746" t="s">
        <v>35196</v>
      </c>
    </row>
    <row r="11747" spans="1:5" x14ac:dyDescent="0.2">
      <c r="A11747" t="s">
        <v>35197</v>
      </c>
      <c r="B11747" t="s">
        <v>35198</v>
      </c>
      <c r="C11747" t="s">
        <v>35198</v>
      </c>
      <c r="D11747" t="str">
        <f>HYPERLINK("https://zfin.org/ZDB-GENE-061207-32")</f>
        <v>https://zfin.org/ZDB-GENE-061207-32</v>
      </c>
      <c r="E11747" t="s">
        <v>35199</v>
      </c>
    </row>
    <row r="11748" spans="1:5" x14ac:dyDescent="0.2">
      <c r="A11748" t="s">
        <v>35200</v>
      </c>
      <c r="B11748" t="s">
        <v>35201</v>
      </c>
      <c r="C11748" t="s">
        <v>35201</v>
      </c>
      <c r="D11748" t="str">
        <f>HYPERLINK("https://zfin.org/ZDB-GENE-000406-6")</f>
        <v>https://zfin.org/ZDB-GENE-000406-6</v>
      </c>
      <c r="E11748" t="s">
        <v>35202</v>
      </c>
    </row>
    <row r="11749" spans="1:5" x14ac:dyDescent="0.2">
      <c r="A11749" t="s">
        <v>35203</v>
      </c>
      <c r="B11749" t="s">
        <v>35204</v>
      </c>
      <c r="C11749" t="s">
        <v>35204</v>
      </c>
      <c r="D11749" t="str">
        <f>HYPERLINK("https://zfin.org/ZDB-GENE-041010-172")</f>
        <v>https://zfin.org/ZDB-GENE-041010-172</v>
      </c>
      <c r="E11749" t="s">
        <v>35205</v>
      </c>
    </row>
    <row r="11750" spans="1:5" x14ac:dyDescent="0.2">
      <c r="A11750" t="s">
        <v>35206</v>
      </c>
      <c r="B11750" t="s">
        <v>35207</v>
      </c>
      <c r="C11750" t="s">
        <v>35207</v>
      </c>
      <c r="D11750" t="str">
        <f>HYPERLINK("https://zfin.org/ZDB-GENE-050208-780")</f>
        <v>https://zfin.org/ZDB-GENE-050208-780</v>
      </c>
      <c r="E11750" t="s">
        <v>35208</v>
      </c>
    </row>
    <row r="11751" spans="1:5" x14ac:dyDescent="0.2">
      <c r="A11751" t="s">
        <v>35209</v>
      </c>
      <c r="B11751" t="s">
        <v>35210</v>
      </c>
      <c r="C11751" t="s">
        <v>35210</v>
      </c>
      <c r="D11751" t="str">
        <f>HYPERLINK("https://zfin.org/ZDB-GENE-040426-993")</f>
        <v>https://zfin.org/ZDB-GENE-040426-993</v>
      </c>
      <c r="E11751" t="s">
        <v>35211</v>
      </c>
    </row>
    <row r="11752" spans="1:5" x14ac:dyDescent="0.2">
      <c r="A11752" t="s">
        <v>35212</v>
      </c>
      <c r="B11752" t="s">
        <v>35213</v>
      </c>
      <c r="C11752" t="s">
        <v>35213</v>
      </c>
      <c r="D11752" t="str">
        <f>HYPERLINK("https://zfin.org/ZDB-GENE-081104-474")</f>
        <v>https://zfin.org/ZDB-GENE-081104-474</v>
      </c>
      <c r="E11752" t="s">
        <v>35214</v>
      </c>
    </row>
    <row r="11753" spans="1:5" x14ac:dyDescent="0.2">
      <c r="A11753" t="s">
        <v>35215</v>
      </c>
      <c r="B11753" t="s">
        <v>35216</v>
      </c>
      <c r="C11753" t="s">
        <v>35216</v>
      </c>
      <c r="D11753" t="str">
        <f>HYPERLINK("https://zfin.org/ZDB-GENE-041114-64")</f>
        <v>https://zfin.org/ZDB-GENE-041114-64</v>
      </c>
      <c r="E11753" t="s">
        <v>35217</v>
      </c>
    </row>
    <row r="11754" spans="1:5" x14ac:dyDescent="0.2">
      <c r="A11754" t="s">
        <v>35218</v>
      </c>
      <c r="B11754" t="s">
        <v>35219</v>
      </c>
      <c r="C11754" t="s">
        <v>35219</v>
      </c>
      <c r="D11754" t="str">
        <f>HYPERLINK("https://zfin.org/ZDB-GENE-070424-103")</f>
        <v>https://zfin.org/ZDB-GENE-070424-103</v>
      </c>
      <c r="E11754" t="s">
        <v>35220</v>
      </c>
    </row>
    <row r="11755" spans="1:5" x14ac:dyDescent="0.2">
      <c r="A11755" t="s">
        <v>35221</v>
      </c>
      <c r="B11755" t="s">
        <v>35222</v>
      </c>
      <c r="C11755" t="s">
        <v>35222</v>
      </c>
      <c r="D11755" t="str">
        <f>HYPERLINK("https://zfin.org/ZDB-GENE-050420-254")</f>
        <v>https://zfin.org/ZDB-GENE-050420-254</v>
      </c>
      <c r="E11755" t="s">
        <v>35223</v>
      </c>
    </row>
    <row r="11756" spans="1:5" x14ac:dyDescent="0.2">
      <c r="A11756" t="s">
        <v>35224</v>
      </c>
      <c r="B11756" t="s">
        <v>35225</v>
      </c>
      <c r="C11756" t="s">
        <v>35225</v>
      </c>
      <c r="D11756" t="str">
        <f>HYPERLINK("https://zfin.org/ZDB-GENE-030616-5")</f>
        <v>https://zfin.org/ZDB-GENE-030616-5</v>
      </c>
      <c r="E11756" t="s">
        <v>35226</v>
      </c>
    </row>
    <row r="11757" spans="1:5" x14ac:dyDescent="0.2">
      <c r="A11757" t="s">
        <v>35227</v>
      </c>
      <c r="B11757" t="s">
        <v>35228</v>
      </c>
      <c r="C11757" t="s">
        <v>35228</v>
      </c>
      <c r="D11757" t="str">
        <f>HYPERLINK("https://zfin.org/ZDB-GENE-091118-113")</f>
        <v>https://zfin.org/ZDB-GENE-091118-113</v>
      </c>
      <c r="E11757" t="s">
        <v>35229</v>
      </c>
    </row>
    <row r="11758" spans="1:5" x14ac:dyDescent="0.2">
      <c r="A11758" t="s">
        <v>35230</v>
      </c>
      <c r="B11758" t="s">
        <v>35231</v>
      </c>
      <c r="C11758" t="s">
        <v>35231</v>
      </c>
      <c r="D11758" t="str">
        <f>HYPERLINK("https://zfin.org/ZDB-GENE-030131-5958")</f>
        <v>https://zfin.org/ZDB-GENE-030131-5958</v>
      </c>
      <c r="E11758" t="s">
        <v>35232</v>
      </c>
    </row>
    <row r="11759" spans="1:5" x14ac:dyDescent="0.2">
      <c r="A11759" t="s">
        <v>35233</v>
      </c>
      <c r="B11759" t="s">
        <v>35234</v>
      </c>
      <c r="C11759" t="s">
        <v>35234</v>
      </c>
      <c r="D11759" t="str">
        <f>HYPERLINK("https://zfin.org/ZDB-GENE-131122-94")</f>
        <v>https://zfin.org/ZDB-GENE-131122-94</v>
      </c>
      <c r="E11759" t="s">
        <v>35235</v>
      </c>
    </row>
    <row r="11760" spans="1:5" x14ac:dyDescent="0.2">
      <c r="A11760" t="s">
        <v>35236</v>
      </c>
      <c r="B11760" t="s">
        <v>35237</v>
      </c>
      <c r="C11760" t="s">
        <v>35237</v>
      </c>
      <c r="D11760" t="str">
        <f>HYPERLINK("https://zfin.org/ZDB-GENE-050208-379")</f>
        <v>https://zfin.org/ZDB-GENE-050208-379</v>
      </c>
      <c r="E11760" t="s">
        <v>35238</v>
      </c>
    </row>
    <row r="11761" spans="1:5" x14ac:dyDescent="0.2">
      <c r="A11761" t="s">
        <v>35239</v>
      </c>
      <c r="B11761" t="s">
        <v>35240</v>
      </c>
      <c r="C11761" t="s">
        <v>35240</v>
      </c>
      <c r="D11761" t="str">
        <f>HYPERLINK("https://zfin.org/ZDB-GENE-040914-65")</f>
        <v>https://zfin.org/ZDB-GENE-040914-65</v>
      </c>
      <c r="E11761" t="s">
        <v>35241</v>
      </c>
    </row>
    <row r="11762" spans="1:5" x14ac:dyDescent="0.2">
      <c r="A11762" t="s">
        <v>35242</v>
      </c>
      <c r="B11762" t="s">
        <v>35243</v>
      </c>
      <c r="C11762" t="s">
        <v>35244</v>
      </c>
      <c r="D11762" t="str">
        <f>HYPERLINK("https://zfin.org/ZDB-GENE-081105-181")</f>
        <v>https://zfin.org/ZDB-GENE-081105-181</v>
      </c>
      <c r="E11762" t="s">
        <v>35245</v>
      </c>
    </row>
    <row r="11763" spans="1:5" x14ac:dyDescent="0.2">
      <c r="A11763" t="s">
        <v>35246</v>
      </c>
      <c r="B11763" t="s">
        <v>35247</v>
      </c>
      <c r="C11763" t="s">
        <v>35247</v>
      </c>
      <c r="D11763" t="str">
        <f>HYPERLINK("https://zfin.org/ZDB-GENE-041114-36")</f>
        <v>https://zfin.org/ZDB-GENE-041114-36</v>
      </c>
      <c r="E11763" t="s">
        <v>35248</v>
      </c>
    </row>
    <row r="11764" spans="1:5" x14ac:dyDescent="0.2">
      <c r="A11764" t="s">
        <v>35249</v>
      </c>
      <c r="B11764" t="s">
        <v>35250</v>
      </c>
      <c r="C11764" t="s">
        <v>35250</v>
      </c>
      <c r="D11764" t="str">
        <f>HYPERLINK("https://zfin.org/ZDB-GENE-040426-1481")</f>
        <v>https://zfin.org/ZDB-GENE-040426-1481</v>
      </c>
      <c r="E11764" t="s">
        <v>35251</v>
      </c>
    </row>
    <row r="11765" spans="1:5" x14ac:dyDescent="0.2">
      <c r="A11765" t="s">
        <v>35252</v>
      </c>
      <c r="B11765" t="s">
        <v>35253</v>
      </c>
      <c r="C11765" t="s">
        <v>35253</v>
      </c>
      <c r="D11765" t="str">
        <f>HYPERLINK("https://zfin.org/ZDB-GENE-030616-541")</f>
        <v>https://zfin.org/ZDB-GENE-030616-541</v>
      </c>
      <c r="E11765" t="s">
        <v>35254</v>
      </c>
    </row>
    <row r="11766" spans="1:5" x14ac:dyDescent="0.2">
      <c r="A11766" t="s">
        <v>35255</v>
      </c>
      <c r="B11766" t="s">
        <v>35256</v>
      </c>
      <c r="C11766" t="s">
        <v>35256</v>
      </c>
      <c r="D11766" t="str">
        <f>HYPERLINK("https://zfin.org/ZDB-GENE-030131-2485")</f>
        <v>https://zfin.org/ZDB-GENE-030131-2485</v>
      </c>
      <c r="E11766" t="s">
        <v>35257</v>
      </c>
    </row>
    <row r="11767" spans="1:5" x14ac:dyDescent="0.2">
      <c r="A11767" t="s">
        <v>35258</v>
      </c>
      <c r="B11767" t="s">
        <v>35259</v>
      </c>
      <c r="C11767" t="s">
        <v>35259</v>
      </c>
      <c r="D11767" t="str">
        <f>HYPERLINK("https://zfin.org/ZDB-GENE-030131-6606")</f>
        <v>https://zfin.org/ZDB-GENE-030131-6606</v>
      </c>
      <c r="E11767" t="s">
        <v>35260</v>
      </c>
    </row>
    <row r="11768" spans="1:5" x14ac:dyDescent="0.2">
      <c r="A11768" t="s">
        <v>35261</v>
      </c>
      <c r="B11768" t="s">
        <v>35262</v>
      </c>
      <c r="C11768" t="s">
        <v>35262</v>
      </c>
      <c r="D11768" t="str">
        <f>HYPERLINK("https://zfin.org/ZDB-GENE-090319-6")</f>
        <v>https://zfin.org/ZDB-GENE-090319-6</v>
      </c>
      <c r="E11768" t="s">
        <v>35263</v>
      </c>
    </row>
    <row r="11769" spans="1:5" x14ac:dyDescent="0.2">
      <c r="A11769" t="s">
        <v>35264</v>
      </c>
      <c r="B11769" t="s">
        <v>35265</v>
      </c>
      <c r="C11769" t="s">
        <v>35265</v>
      </c>
      <c r="D11769" t="str">
        <f>HYPERLINK("https://zfin.org/ZDB-GENE-061027-74")</f>
        <v>https://zfin.org/ZDB-GENE-061027-74</v>
      </c>
      <c r="E11769" t="s">
        <v>35266</v>
      </c>
    </row>
    <row r="11770" spans="1:5" x14ac:dyDescent="0.2">
      <c r="A11770" t="s">
        <v>35267</v>
      </c>
      <c r="B11770" t="s">
        <v>35268</v>
      </c>
      <c r="C11770" t="s">
        <v>35268</v>
      </c>
      <c r="D11770" t="str">
        <f>HYPERLINK("https://zfin.org/ZDB-GENE-070912-42")</f>
        <v>https://zfin.org/ZDB-GENE-070912-42</v>
      </c>
      <c r="E11770" t="s">
        <v>35269</v>
      </c>
    </row>
    <row r="11771" spans="1:5" x14ac:dyDescent="0.2">
      <c r="A11771" t="s">
        <v>35270</v>
      </c>
      <c r="B11771" t="s">
        <v>35271</v>
      </c>
      <c r="C11771" t="s">
        <v>35271</v>
      </c>
      <c r="D11771" t="str">
        <f>HYPERLINK("https://zfin.org/ZDB-GENE-071203-1")</f>
        <v>https://zfin.org/ZDB-GENE-071203-1</v>
      </c>
      <c r="E11771" t="s">
        <v>35272</v>
      </c>
    </row>
    <row r="11772" spans="1:5" x14ac:dyDescent="0.2">
      <c r="A11772" t="s">
        <v>35273</v>
      </c>
      <c r="B11772" t="s">
        <v>35274</v>
      </c>
      <c r="C11772" t="s">
        <v>35274</v>
      </c>
      <c r="D11772" t="str">
        <f>HYPERLINK("https://zfin.org/ZDB-GENE-030131-8227")</f>
        <v>https://zfin.org/ZDB-GENE-030131-8227</v>
      </c>
      <c r="E11772" t="s">
        <v>35275</v>
      </c>
    </row>
    <row r="11773" spans="1:5" x14ac:dyDescent="0.2">
      <c r="A11773" t="s">
        <v>35276</v>
      </c>
      <c r="B11773" t="s">
        <v>35277</v>
      </c>
      <c r="C11773" t="s">
        <v>35277</v>
      </c>
      <c r="D11773" t="str">
        <f>HYPERLINK("https://zfin.org/ZDB-GENE-040426-888")</f>
        <v>https://zfin.org/ZDB-GENE-040426-888</v>
      </c>
      <c r="E11773" t="s">
        <v>35278</v>
      </c>
    </row>
    <row r="11774" spans="1:5" x14ac:dyDescent="0.2">
      <c r="A11774" t="s">
        <v>35279</v>
      </c>
      <c r="B11774" t="s">
        <v>35280</v>
      </c>
      <c r="C11774" t="s">
        <v>35280</v>
      </c>
      <c r="D11774" t="str">
        <f>HYPERLINK("https://zfin.org/ZDB-GENE-991110-8")</f>
        <v>https://zfin.org/ZDB-GENE-991110-8</v>
      </c>
      <c r="E11774" t="s">
        <v>35281</v>
      </c>
    </row>
    <row r="11775" spans="1:5" x14ac:dyDescent="0.2">
      <c r="A11775" t="s">
        <v>35282</v>
      </c>
      <c r="B11775" t="s">
        <v>35283</v>
      </c>
      <c r="C11775" t="s">
        <v>35283</v>
      </c>
      <c r="D11775" t="str">
        <f>HYPERLINK("https://zfin.org/ZDB-GENE-040625-18")</f>
        <v>https://zfin.org/ZDB-GENE-040625-18</v>
      </c>
      <c r="E11775" t="s">
        <v>35284</v>
      </c>
    </row>
    <row r="11776" spans="1:5" x14ac:dyDescent="0.2">
      <c r="A11776" t="s">
        <v>35285</v>
      </c>
      <c r="B11776" t="s">
        <v>35286</v>
      </c>
      <c r="C11776" t="s">
        <v>35286</v>
      </c>
      <c r="D11776" t="str">
        <f>HYPERLINK("https://zfin.org/ZDB-GENE-060404-5")</f>
        <v>https://zfin.org/ZDB-GENE-060404-5</v>
      </c>
      <c r="E11776" t="s">
        <v>35287</v>
      </c>
    </row>
    <row r="11777" spans="1:5" x14ac:dyDescent="0.2">
      <c r="A11777" t="s">
        <v>35288</v>
      </c>
      <c r="B11777" t="s">
        <v>35289</v>
      </c>
      <c r="C11777" t="s">
        <v>35289</v>
      </c>
      <c r="D11777" t="str">
        <f>HYPERLINK("https://zfin.org/ZDB-GENE-091204-412")</f>
        <v>https://zfin.org/ZDB-GENE-091204-412</v>
      </c>
      <c r="E11777" t="s">
        <v>35290</v>
      </c>
    </row>
    <row r="11778" spans="1:5" x14ac:dyDescent="0.2">
      <c r="A11778" t="s">
        <v>35291</v>
      </c>
      <c r="B11778" t="s">
        <v>35292</v>
      </c>
      <c r="C11778" t="s">
        <v>35292</v>
      </c>
      <c r="D11778" t="str">
        <f>HYPERLINK("https://zfin.org/ZDB-GENE-050522-552")</f>
        <v>https://zfin.org/ZDB-GENE-050522-552</v>
      </c>
      <c r="E11778" t="s">
        <v>35293</v>
      </c>
    </row>
    <row r="11779" spans="1:5" x14ac:dyDescent="0.2">
      <c r="A11779" t="s">
        <v>35294</v>
      </c>
      <c r="B11779" t="s">
        <v>35295</v>
      </c>
      <c r="C11779" t="s">
        <v>35295</v>
      </c>
      <c r="D11779" t="str">
        <f>HYPERLINK("https://zfin.org/ZDB-GENE-060929-660")</f>
        <v>https://zfin.org/ZDB-GENE-060929-660</v>
      </c>
      <c r="E11779" t="s">
        <v>35296</v>
      </c>
    </row>
    <row r="11780" spans="1:5" x14ac:dyDescent="0.2">
      <c r="A11780" t="s">
        <v>35297</v>
      </c>
      <c r="B11780" t="s">
        <v>35298</v>
      </c>
      <c r="C11780" t="s">
        <v>35298</v>
      </c>
      <c r="D11780" t="str">
        <f>HYPERLINK("https://zfin.org/ZDB-GENE-051030-97")</f>
        <v>https://zfin.org/ZDB-GENE-051030-97</v>
      </c>
      <c r="E11780" t="s">
        <v>35299</v>
      </c>
    </row>
    <row r="11781" spans="1:5" x14ac:dyDescent="0.2">
      <c r="A11781" t="s">
        <v>35300</v>
      </c>
      <c r="B11781" t="s">
        <v>35301</v>
      </c>
      <c r="C11781" t="s">
        <v>35301</v>
      </c>
      <c r="D11781" t="str">
        <f>HYPERLINK("https://zfin.org/ZDB-GENE-070410-17")</f>
        <v>https://zfin.org/ZDB-GENE-070410-17</v>
      </c>
      <c r="E11781" t="s">
        <v>35302</v>
      </c>
    </row>
    <row r="11782" spans="1:5" x14ac:dyDescent="0.2">
      <c r="A11782" t="s">
        <v>35303</v>
      </c>
      <c r="B11782" t="s">
        <v>35304</v>
      </c>
      <c r="C11782" t="s">
        <v>35304</v>
      </c>
      <c r="D11782" t="str">
        <f>HYPERLINK("https://zfin.org/ZDB-GENE-040718-63")</f>
        <v>https://zfin.org/ZDB-GENE-040718-63</v>
      </c>
      <c r="E11782" t="s">
        <v>35305</v>
      </c>
    </row>
    <row r="11783" spans="1:5" x14ac:dyDescent="0.2">
      <c r="A11783" t="s">
        <v>35306</v>
      </c>
      <c r="B11783" t="s">
        <v>35307</v>
      </c>
      <c r="C11783" t="s">
        <v>35307</v>
      </c>
      <c r="D11783" t="str">
        <f>HYPERLINK("https://zfin.org/ZDB-GENE-041010-124")</f>
        <v>https://zfin.org/ZDB-GENE-041010-124</v>
      </c>
      <c r="E11783" t="s">
        <v>35308</v>
      </c>
    </row>
    <row r="11784" spans="1:5" x14ac:dyDescent="0.2">
      <c r="A11784" t="s">
        <v>35309</v>
      </c>
      <c r="B11784" t="s">
        <v>35310</v>
      </c>
      <c r="C11784" t="s">
        <v>35311</v>
      </c>
      <c r="D11784" t="str">
        <f>HYPERLINK("https://zfin.org/ZDB-GENE-121214-14")</f>
        <v>https://zfin.org/ZDB-GENE-121214-14</v>
      </c>
      <c r="E11784" t="s">
        <v>35312</v>
      </c>
    </row>
    <row r="11785" spans="1:5" x14ac:dyDescent="0.2">
      <c r="A11785" t="s">
        <v>35313</v>
      </c>
      <c r="B11785" t="s">
        <v>35314</v>
      </c>
      <c r="C11785" t="s">
        <v>35314</v>
      </c>
      <c r="D11785" t="str">
        <f>HYPERLINK("https://zfin.org/ZDB-GENE-050522-102")</f>
        <v>https://zfin.org/ZDB-GENE-050522-102</v>
      </c>
      <c r="E11785" t="s">
        <v>35315</v>
      </c>
    </row>
    <row r="11786" spans="1:5" x14ac:dyDescent="0.2">
      <c r="A11786" t="s">
        <v>35316</v>
      </c>
      <c r="B11786" t="s">
        <v>35317</v>
      </c>
      <c r="C11786" t="s">
        <v>35317</v>
      </c>
      <c r="D11786" t="str">
        <f>HYPERLINK("https://zfin.org/ZDB-GENE-160113-39")</f>
        <v>https://zfin.org/ZDB-GENE-160113-39</v>
      </c>
      <c r="E11786" t="s">
        <v>35318</v>
      </c>
    </row>
    <row r="11787" spans="1:5" x14ac:dyDescent="0.2">
      <c r="A11787" t="s">
        <v>35319</v>
      </c>
      <c r="B11787" t="s">
        <v>35320</v>
      </c>
      <c r="C11787" t="s">
        <v>35320</v>
      </c>
      <c r="D11787" t="str">
        <f>HYPERLINK("https://zfin.org/ZDB-GENE-030616-402")</f>
        <v>https://zfin.org/ZDB-GENE-030616-402</v>
      </c>
      <c r="E11787" t="s">
        <v>35321</v>
      </c>
    </row>
    <row r="11788" spans="1:5" x14ac:dyDescent="0.2">
      <c r="A11788" t="s">
        <v>35322</v>
      </c>
      <c r="B11788" t="s">
        <v>35323</v>
      </c>
      <c r="C11788" t="s">
        <v>35323</v>
      </c>
      <c r="D11788" t="str">
        <f>HYPERLINK("https://zfin.org/ZDB-GENE-091116-18")</f>
        <v>https://zfin.org/ZDB-GENE-091116-18</v>
      </c>
      <c r="E11788" t="s">
        <v>35324</v>
      </c>
    </row>
    <row r="11789" spans="1:5" x14ac:dyDescent="0.2">
      <c r="A11789" t="s">
        <v>35325</v>
      </c>
      <c r="B11789" t="s">
        <v>35326</v>
      </c>
      <c r="C11789" t="s">
        <v>35326</v>
      </c>
      <c r="D11789" t="str">
        <f>HYPERLINK("https://zfin.org/ZDB-GENE-040718-227")</f>
        <v>https://zfin.org/ZDB-GENE-040718-227</v>
      </c>
      <c r="E11789" t="s">
        <v>35327</v>
      </c>
    </row>
    <row r="11790" spans="1:5" x14ac:dyDescent="0.2">
      <c r="A11790" t="s">
        <v>35328</v>
      </c>
      <c r="B11790" t="s">
        <v>35329</v>
      </c>
      <c r="C11790" t="s">
        <v>35329</v>
      </c>
      <c r="D11790" t="str">
        <f>HYPERLINK("https://zfin.org/ZDB-GENE-040426-2429")</f>
        <v>https://zfin.org/ZDB-GENE-040426-2429</v>
      </c>
      <c r="E11790" t="s">
        <v>35330</v>
      </c>
    </row>
    <row r="11791" spans="1:5" x14ac:dyDescent="0.2">
      <c r="A11791" t="s">
        <v>35331</v>
      </c>
      <c r="B11791" t="s">
        <v>35332</v>
      </c>
      <c r="C11791" t="s">
        <v>35332</v>
      </c>
      <c r="D11791" t="str">
        <f>HYPERLINK("https://zfin.org/ZDB-GENE-131127-579")</f>
        <v>https://zfin.org/ZDB-GENE-131127-579</v>
      </c>
      <c r="E11791" t="s">
        <v>35333</v>
      </c>
    </row>
    <row r="11792" spans="1:5" x14ac:dyDescent="0.2">
      <c r="A11792" t="s">
        <v>35334</v>
      </c>
      <c r="B11792" t="s">
        <v>35335</v>
      </c>
      <c r="C11792" t="s">
        <v>35335</v>
      </c>
      <c r="D11792" t="str">
        <f>HYPERLINK("https://zfin.org/ZDB-GENE-090115-1")</f>
        <v>https://zfin.org/ZDB-GENE-090115-1</v>
      </c>
      <c r="E11792" t="s">
        <v>35336</v>
      </c>
    </row>
    <row r="11793" spans="1:5" x14ac:dyDescent="0.2">
      <c r="A11793" t="s">
        <v>35337</v>
      </c>
      <c r="B11793" t="s">
        <v>35338</v>
      </c>
      <c r="C11793" t="s">
        <v>35338</v>
      </c>
      <c r="D11793" t="str">
        <f>HYPERLINK("https://zfin.org/ZDB-GENE-110628-2")</f>
        <v>https://zfin.org/ZDB-GENE-110628-2</v>
      </c>
      <c r="E11793" t="s">
        <v>35339</v>
      </c>
    </row>
    <row r="11794" spans="1:5" x14ac:dyDescent="0.2">
      <c r="A11794" t="s">
        <v>35340</v>
      </c>
      <c r="B11794" t="s">
        <v>35341</v>
      </c>
      <c r="C11794" t="s">
        <v>35341</v>
      </c>
      <c r="D11794" t="str">
        <f>HYPERLINK("https://zfin.org/ZDB-GENE-030131-8625")</f>
        <v>https://zfin.org/ZDB-GENE-030131-8625</v>
      </c>
      <c r="E11794" t="s">
        <v>35342</v>
      </c>
    </row>
    <row r="11795" spans="1:5" x14ac:dyDescent="0.2">
      <c r="A11795" t="s">
        <v>35343</v>
      </c>
      <c r="B11795" t="s">
        <v>35344</v>
      </c>
      <c r="C11795" t="s">
        <v>35344</v>
      </c>
      <c r="D11795" t="str">
        <f>HYPERLINK("https://zfin.org/ZDB-GENE-030616-417")</f>
        <v>https://zfin.org/ZDB-GENE-030616-417</v>
      </c>
      <c r="E11795" t="s">
        <v>35345</v>
      </c>
    </row>
    <row r="11796" spans="1:5" x14ac:dyDescent="0.2">
      <c r="A11796" t="s">
        <v>35346</v>
      </c>
      <c r="B11796" t="s">
        <v>35347</v>
      </c>
      <c r="C11796" t="s">
        <v>35347</v>
      </c>
      <c r="D11796" t="str">
        <f>HYPERLINK("https://zfin.org/ZDB-GENE-060920-2")</f>
        <v>https://zfin.org/ZDB-GENE-060920-2</v>
      </c>
      <c r="E11796" t="s">
        <v>35348</v>
      </c>
    </row>
    <row r="11797" spans="1:5" x14ac:dyDescent="0.2">
      <c r="A11797" t="s">
        <v>35349</v>
      </c>
      <c r="B11797" t="s">
        <v>35350</v>
      </c>
      <c r="C11797" t="s">
        <v>35350</v>
      </c>
      <c r="D11797" t="str">
        <f>HYPERLINK("https://zfin.org/ZDB-GENE-041001-127")</f>
        <v>https://zfin.org/ZDB-GENE-041001-127</v>
      </c>
      <c r="E11797" t="s">
        <v>35351</v>
      </c>
    </row>
    <row r="11798" spans="1:5" x14ac:dyDescent="0.2">
      <c r="A11798" t="s">
        <v>35352</v>
      </c>
      <c r="B11798" t="s">
        <v>35353</v>
      </c>
      <c r="C11798" t="s">
        <v>35353</v>
      </c>
      <c r="D11798" t="str">
        <f>HYPERLINK("https://zfin.org/ZDB-GENE-041014-345")</f>
        <v>https://zfin.org/ZDB-GENE-041014-345</v>
      </c>
      <c r="E11798" t="s">
        <v>35354</v>
      </c>
    </row>
    <row r="11799" spans="1:5" x14ac:dyDescent="0.2">
      <c r="A11799" t="s">
        <v>35355</v>
      </c>
      <c r="B11799" t="s">
        <v>35356</v>
      </c>
      <c r="C11799" t="s">
        <v>35356</v>
      </c>
      <c r="D11799" t="str">
        <f>HYPERLINK("https://zfin.org/ZDB-GENE-030124-1")</f>
        <v>https://zfin.org/ZDB-GENE-030124-1</v>
      </c>
      <c r="E11799" t="s">
        <v>35357</v>
      </c>
    </row>
    <row r="11800" spans="1:5" x14ac:dyDescent="0.2">
      <c r="A11800" t="s">
        <v>35358</v>
      </c>
      <c r="B11800" t="s">
        <v>35359</v>
      </c>
      <c r="C11800" t="s">
        <v>35359</v>
      </c>
      <c r="D11800" t="str">
        <f>HYPERLINK("https://zfin.org/ZDB-GENE-131120-161")</f>
        <v>https://zfin.org/ZDB-GENE-131120-161</v>
      </c>
      <c r="E11800" t="s">
        <v>35360</v>
      </c>
    </row>
    <row r="11801" spans="1:5" x14ac:dyDescent="0.2">
      <c r="A11801" t="s">
        <v>35361</v>
      </c>
      <c r="B11801" t="s">
        <v>35362</v>
      </c>
      <c r="C11801" t="s">
        <v>35362</v>
      </c>
      <c r="D11801" t="str">
        <f>HYPERLINK("https://zfin.org/ZDB-GENE-060531-69")</f>
        <v>https://zfin.org/ZDB-GENE-060531-69</v>
      </c>
      <c r="E11801" t="s">
        <v>35363</v>
      </c>
    </row>
    <row r="11802" spans="1:5" x14ac:dyDescent="0.2">
      <c r="A11802" t="s">
        <v>35364</v>
      </c>
      <c r="B11802" t="s">
        <v>35365</v>
      </c>
      <c r="C11802" t="s">
        <v>35365</v>
      </c>
      <c r="D11802" t="str">
        <f>HYPERLINK("https://zfin.org/ZDB-GENE-000629-2")</f>
        <v>https://zfin.org/ZDB-GENE-000629-2</v>
      </c>
      <c r="E11802" t="s">
        <v>35366</v>
      </c>
    </row>
    <row r="11803" spans="1:5" x14ac:dyDescent="0.2">
      <c r="A11803" t="s">
        <v>35367</v>
      </c>
      <c r="B11803" t="s">
        <v>35368</v>
      </c>
      <c r="C11803" t="s">
        <v>35368</v>
      </c>
      <c r="D11803" t="str">
        <f>HYPERLINK("https://zfin.org/ZDB-GENE-091204-446")</f>
        <v>https://zfin.org/ZDB-GENE-091204-446</v>
      </c>
      <c r="E11803" t="s">
        <v>35369</v>
      </c>
    </row>
    <row r="11804" spans="1:5" x14ac:dyDescent="0.2">
      <c r="A11804" t="s">
        <v>35370</v>
      </c>
      <c r="B11804" t="s">
        <v>21229</v>
      </c>
      <c r="C11804" t="s">
        <v>35371</v>
      </c>
      <c r="D11804" t="str">
        <f>HYPERLINK("https://zfin.org/ZDB-GENE-091204-417")</f>
        <v>https://zfin.org/ZDB-GENE-091204-417</v>
      </c>
      <c r="E11804" t="s">
        <v>35372</v>
      </c>
    </row>
    <row r="11805" spans="1:5" x14ac:dyDescent="0.2">
      <c r="A11805" t="s">
        <v>35373</v>
      </c>
      <c r="B11805" t="s">
        <v>35374</v>
      </c>
      <c r="C11805" t="s">
        <v>35374</v>
      </c>
      <c r="D11805" t="str">
        <f>HYPERLINK("https://zfin.org/ZDB-GENE-070112-172")</f>
        <v>https://zfin.org/ZDB-GENE-070112-172</v>
      </c>
      <c r="E11805" t="s">
        <v>35375</v>
      </c>
    </row>
    <row r="11806" spans="1:5" x14ac:dyDescent="0.2">
      <c r="A11806" t="s">
        <v>35376</v>
      </c>
      <c r="B11806" t="s">
        <v>35377</v>
      </c>
      <c r="C11806" t="s">
        <v>35377</v>
      </c>
      <c r="D11806" t="str">
        <f>HYPERLINK("https://zfin.org/ZDB-GENE-030131-5553")</f>
        <v>https://zfin.org/ZDB-GENE-030131-5553</v>
      </c>
      <c r="E11806" t="s">
        <v>35378</v>
      </c>
    </row>
    <row r="11807" spans="1:5" x14ac:dyDescent="0.2">
      <c r="A11807" t="s">
        <v>35379</v>
      </c>
      <c r="B11807" t="s">
        <v>35380</v>
      </c>
      <c r="C11807" t="s">
        <v>35380</v>
      </c>
      <c r="D11807" t="str">
        <f>HYPERLINK("https://zfin.org/ZDB-GENE-041212-82")</f>
        <v>https://zfin.org/ZDB-GENE-041212-82</v>
      </c>
      <c r="E11807" t="s">
        <v>35381</v>
      </c>
    </row>
    <row r="11808" spans="1:5" x14ac:dyDescent="0.2">
      <c r="A11808" t="s">
        <v>35382</v>
      </c>
      <c r="B11808" t="s">
        <v>35383</v>
      </c>
      <c r="C11808" t="s">
        <v>35383</v>
      </c>
      <c r="D11808" t="str">
        <f>HYPERLINK("https://zfin.org/ZDB-GENE-040915-3")</f>
        <v>https://zfin.org/ZDB-GENE-040915-3</v>
      </c>
      <c r="E11808" t="s">
        <v>35384</v>
      </c>
    </row>
    <row r="11809" spans="1:5" x14ac:dyDescent="0.2">
      <c r="A11809" t="s">
        <v>35385</v>
      </c>
      <c r="B11809" t="s">
        <v>35386</v>
      </c>
      <c r="C11809" t="s">
        <v>35386</v>
      </c>
      <c r="D11809" t="str">
        <f>HYPERLINK("https://zfin.org/ZDB-GENE-080226-2")</f>
        <v>https://zfin.org/ZDB-GENE-080226-2</v>
      </c>
      <c r="E11809" t="s">
        <v>35387</v>
      </c>
    </row>
    <row r="11810" spans="1:5" x14ac:dyDescent="0.2">
      <c r="A11810" t="s">
        <v>35388</v>
      </c>
      <c r="B11810" t="s">
        <v>35389</v>
      </c>
      <c r="C11810" t="s">
        <v>35389</v>
      </c>
      <c r="D11810" t="str">
        <f>HYPERLINK("https://zfin.org/ZDB-GENE-060331-113")</f>
        <v>https://zfin.org/ZDB-GENE-060331-113</v>
      </c>
      <c r="E11810" t="s">
        <v>35390</v>
      </c>
    </row>
    <row r="11811" spans="1:5" x14ac:dyDescent="0.2">
      <c r="A11811" t="s">
        <v>35391</v>
      </c>
      <c r="B11811" t="s">
        <v>35392</v>
      </c>
      <c r="C11811" t="s">
        <v>35392</v>
      </c>
      <c r="D11811" t="str">
        <f>HYPERLINK("https://zfin.org/ZDB-GENE-131122-24")</f>
        <v>https://zfin.org/ZDB-GENE-131122-24</v>
      </c>
      <c r="E11811" t="s">
        <v>35393</v>
      </c>
    </row>
    <row r="11812" spans="1:5" x14ac:dyDescent="0.2">
      <c r="A11812" t="s">
        <v>35394</v>
      </c>
      <c r="B11812" t="s">
        <v>35395</v>
      </c>
      <c r="C11812" t="s">
        <v>35395</v>
      </c>
      <c r="D11812" t="str">
        <f>HYPERLINK("https://zfin.org/ZDB-GENE-070410-92")</f>
        <v>https://zfin.org/ZDB-GENE-070410-92</v>
      </c>
      <c r="E11812" t="s">
        <v>35396</v>
      </c>
    </row>
    <row r="11813" spans="1:5" x14ac:dyDescent="0.2">
      <c r="A11813" t="s">
        <v>35397</v>
      </c>
      <c r="B11813" t="s">
        <v>35398</v>
      </c>
      <c r="C11813" t="s">
        <v>35398</v>
      </c>
      <c r="D11813" t="str">
        <f>HYPERLINK("https://zfin.org/ZDB-GENE-070112-2002")</f>
        <v>https://zfin.org/ZDB-GENE-070112-2002</v>
      </c>
      <c r="E11813" t="s">
        <v>35399</v>
      </c>
    </row>
    <row r="11814" spans="1:5" x14ac:dyDescent="0.2">
      <c r="A11814" t="s">
        <v>35400</v>
      </c>
      <c r="B11814" t="s">
        <v>35401</v>
      </c>
      <c r="C11814" t="s">
        <v>35401</v>
      </c>
      <c r="D11814" t="str">
        <f>HYPERLINK("https://zfin.org/ZDB-GENE-040621-1")</f>
        <v>https://zfin.org/ZDB-GENE-040621-1</v>
      </c>
      <c r="E11814" t="s">
        <v>35402</v>
      </c>
    </row>
    <row r="11815" spans="1:5" x14ac:dyDescent="0.2">
      <c r="A11815" t="s">
        <v>35403</v>
      </c>
      <c r="B11815" t="s">
        <v>35404</v>
      </c>
      <c r="C11815" t="s">
        <v>35404</v>
      </c>
      <c r="D11815" t="str">
        <f>HYPERLINK("https://zfin.org/ZDB-GENE-100406-1")</f>
        <v>https://zfin.org/ZDB-GENE-100406-1</v>
      </c>
      <c r="E11815" t="s">
        <v>35405</v>
      </c>
    </row>
    <row r="11816" spans="1:5" x14ac:dyDescent="0.2">
      <c r="A11816" t="s">
        <v>35406</v>
      </c>
      <c r="B11816" t="s">
        <v>35407</v>
      </c>
      <c r="C11816" t="s">
        <v>35407</v>
      </c>
      <c r="D11816" t="str">
        <f>HYPERLINK("https://zfin.org/ZDB-GENE-061013-283")</f>
        <v>https://zfin.org/ZDB-GENE-061013-283</v>
      </c>
      <c r="E11816" t="s">
        <v>35408</v>
      </c>
    </row>
    <row r="11817" spans="1:5" x14ac:dyDescent="0.2">
      <c r="A11817" t="s">
        <v>35409</v>
      </c>
      <c r="B11817" t="s">
        <v>35410</v>
      </c>
      <c r="C11817" t="s">
        <v>35410</v>
      </c>
      <c r="D11817" t="str">
        <f>HYPERLINK("https://zfin.org/ZDB-GENE-040917-2")</f>
        <v>https://zfin.org/ZDB-GENE-040917-2</v>
      </c>
      <c r="E11817" t="s">
        <v>35411</v>
      </c>
    </row>
    <row r="11818" spans="1:5" x14ac:dyDescent="0.2">
      <c r="A11818" t="s">
        <v>35412</v>
      </c>
      <c r="B11818" t="s">
        <v>35413</v>
      </c>
      <c r="C11818" t="s">
        <v>35413</v>
      </c>
      <c r="D11818" t="str">
        <f>HYPERLINK("https://zfin.org/ZDB-GENE-070410-98")</f>
        <v>https://zfin.org/ZDB-GENE-070410-98</v>
      </c>
      <c r="E11818" t="s">
        <v>35414</v>
      </c>
    </row>
    <row r="11819" spans="1:5" x14ac:dyDescent="0.2">
      <c r="A11819" t="s">
        <v>35415</v>
      </c>
      <c r="B11819" t="s">
        <v>35416</v>
      </c>
      <c r="C11819" t="s">
        <v>35416</v>
      </c>
      <c r="D11819" t="str">
        <f>HYPERLINK("https://zfin.org/ZDB-GENE-040724-223")</f>
        <v>https://zfin.org/ZDB-GENE-040724-223</v>
      </c>
      <c r="E11819" t="s">
        <v>35417</v>
      </c>
    </row>
    <row r="11820" spans="1:5" x14ac:dyDescent="0.2">
      <c r="A11820" t="s">
        <v>35418</v>
      </c>
      <c r="B11820" t="s">
        <v>35419</v>
      </c>
      <c r="C11820" t="s">
        <v>35419</v>
      </c>
      <c r="D11820" t="str">
        <f>HYPERLINK("https://zfin.org/ZDB-GENE-050913-50")</f>
        <v>https://zfin.org/ZDB-GENE-050913-50</v>
      </c>
      <c r="E11820" t="s">
        <v>35420</v>
      </c>
    </row>
    <row r="11821" spans="1:5" x14ac:dyDescent="0.2">
      <c r="A11821" t="s">
        <v>35421</v>
      </c>
      <c r="B11821" t="s">
        <v>35422</v>
      </c>
      <c r="C11821" t="s">
        <v>35422</v>
      </c>
      <c r="D11821" t="str">
        <f>HYPERLINK("https://zfin.org/ZDB-GENE-020424-3")</f>
        <v>https://zfin.org/ZDB-GENE-020424-3</v>
      </c>
      <c r="E11821" t="s">
        <v>35423</v>
      </c>
    </row>
    <row r="11822" spans="1:5" x14ac:dyDescent="0.2">
      <c r="A11822" t="s">
        <v>35424</v>
      </c>
      <c r="B11822" t="s">
        <v>35425</v>
      </c>
      <c r="C11822" t="s">
        <v>35425</v>
      </c>
      <c r="D11822" t="str">
        <f>HYPERLINK("https://zfin.org/ZDB-GENE-060124-1")</f>
        <v>https://zfin.org/ZDB-GENE-060124-1</v>
      </c>
      <c r="E11822" t="s">
        <v>35426</v>
      </c>
    </row>
    <row r="11823" spans="1:5" x14ac:dyDescent="0.2">
      <c r="A11823" t="s">
        <v>35427</v>
      </c>
      <c r="B11823" t="s">
        <v>35428</v>
      </c>
      <c r="C11823" t="s">
        <v>35428</v>
      </c>
      <c r="D11823" t="str">
        <f>HYPERLINK("https://zfin.org/ZDB-GENE-051120-60")</f>
        <v>https://zfin.org/ZDB-GENE-051120-60</v>
      </c>
      <c r="E11823" t="s">
        <v>35429</v>
      </c>
    </row>
    <row r="11824" spans="1:5" x14ac:dyDescent="0.2">
      <c r="A11824" t="s">
        <v>35430</v>
      </c>
      <c r="B11824" t="s">
        <v>35431</v>
      </c>
      <c r="C11824" t="s">
        <v>35431</v>
      </c>
      <c r="D11824" t="str">
        <f>HYPERLINK("https://zfin.org/ZDB-GENE-040426-2752")</f>
        <v>https://zfin.org/ZDB-GENE-040426-2752</v>
      </c>
      <c r="E11824" t="s">
        <v>35432</v>
      </c>
    </row>
    <row r="11825" spans="1:5" x14ac:dyDescent="0.2">
      <c r="A11825" t="s">
        <v>35433</v>
      </c>
      <c r="B11825" t="s">
        <v>35434</v>
      </c>
      <c r="C11825" t="s">
        <v>35434</v>
      </c>
      <c r="D11825" t="str">
        <f>HYPERLINK("https://zfin.org/ZDB-GENE-080220-50")</f>
        <v>https://zfin.org/ZDB-GENE-080220-50</v>
      </c>
      <c r="E11825" t="s">
        <v>35435</v>
      </c>
    </row>
    <row r="11826" spans="1:5" x14ac:dyDescent="0.2">
      <c r="A11826" t="s">
        <v>35436</v>
      </c>
      <c r="B11826" t="s">
        <v>35437</v>
      </c>
      <c r="C11826" t="s">
        <v>35437</v>
      </c>
      <c r="D11826" t="str">
        <f>HYPERLINK("https://zfin.org/ZDB-GENE-000906-4")</f>
        <v>https://zfin.org/ZDB-GENE-000906-4</v>
      </c>
      <c r="E11826" t="s">
        <v>35438</v>
      </c>
    </row>
    <row r="11827" spans="1:5" x14ac:dyDescent="0.2">
      <c r="A11827" t="s">
        <v>35439</v>
      </c>
      <c r="B11827" t="s">
        <v>35440</v>
      </c>
      <c r="C11827" t="s">
        <v>35440</v>
      </c>
      <c r="D11827" t="str">
        <f>HYPERLINK("https://zfin.org/ZDB-GENE-071004-49")</f>
        <v>https://zfin.org/ZDB-GENE-071004-49</v>
      </c>
      <c r="E11827" t="s">
        <v>35441</v>
      </c>
    </row>
    <row r="11828" spans="1:5" x14ac:dyDescent="0.2">
      <c r="A11828" t="s">
        <v>35442</v>
      </c>
      <c r="B11828" t="s">
        <v>35443</v>
      </c>
      <c r="C11828" t="s">
        <v>35443</v>
      </c>
      <c r="D11828" t="str">
        <f>HYPERLINK("https://zfin.org/ZDB-GENE-030825-5")</f>
        <v>https://zfin.org/ZDB-GENE-030825-5</v>
      </c>
      <c r="E11828" t="s">
        <v>35444</v>
      </c>
    </row>
    <row r="11829" spans="1:5" x14ac:dyDescent="0.2">
      <c r="A11829" t="s">
        <v>35445</v>
      </c>
      <c r="B11829" t="s">
        <v>35446</v>
      </c>
      <c r="C11829" t="s">
        <v>35446</v>
      </c>
      <c r="D11829" t="str">
        <f>HYPERLINK("https://zfin.org/ZDB-GENE-050320-112")</f>
        <v>https://zfin.org/ZDB-GENE-050320-112</v>
      </c>
      <c r="E11829" t="s">
        <v>35447</v>
      </c>
    </row>
    <row r="11830" spans="1:5" x14ac:dyDescent="0.2">
      <c r="A11830" t="s">
        <v>35448</v>
      </c>
      <c r="B11830" t="s">
        <v>35449</v>
      </c>
      <c r="C11830" t="s">
        <v>35449</v>
      </c>
      <c r="D11830" t="str">
        <f>HYPERLINK("https://zfin.org/ZDB-GENE-141216-495")</f>
        <v>https://zfin.org/ZDB-GENE-141216-495</v>
      </c>
      <c r="E11830" t="s">
        <v>35450</v>
      </c>
    </row>
    <row r="11831" spans="1:5" x14ac:dyDescent="0.2">
      <c r="A11831" t="s">
        <v>35451</v>
      </c>
      <c r="B11831" t="s">
        <v>35452</v>
      </c>
      <c r="C11831" t="s">
        <v>35452</v>
      </c>
      <c r="D11831" t="str">
        <f>HYPERLINK("https://zfin.org/ZDB-GENE-061027-109")</f>
        <v>https://zfin.org/ZDB-GENE-061027-109</v>
      </c>
      <c r="E11831" t="s">
        <v>35453</v>
      </c>
    </row>
    <row r="11832" spans="1:5" x14ac:dyDescent="0.2">
      <c r="A11832" t="s">
        <v>35454</v>
      </c>
      <c r="B11832" t="s">
        <v>35455</v>
      </c>
      <c r="C11832" t="s">
        <v>35455</v>
      </c>
      <c r="D11832" t="str">
        <f>HYPERLINK("https://zfin.org/ZDB-GENE-030131-8461")</f>
        <v>https://zfin.org/ZDB-GENE-030131-8461</v>
      </c>
      <c r="E11832" t="s">
        <v>35456</v>
      </c>
    </row>
    <row r="11833" spans="1:5" x14ac:dyDescent="0.2">
      <c r="A11833" t="s">
        <v>35457</v>
      </c>
      <c r="B11833" t="s">
        <v>35458</v>
      </c>
      <c r="C11833" t="s">
        <v>35458</v>
      </c>
      <c r="D11833" t="str">
        <f>HYPERLINK("https://zfin.org/ZDB-GENE-100910-4")</f>
        <v>https://zfin.org/ZDB-GENE-100910-4</v>
      </c>
      <c r="E11833" t="s">
        <v>35459</v>
      </c>
    </row>
    <row r="11834" spans="1:5" x14ac:dyDescent="0.2">
      <c r="A11834" t="s">
        <v>35460</v>
      </c>
      <c r="B11834" t="s">
        <v>35461</v>
      </c>
      <c r="C11834" t="s">
        <v>35461</v>
      </c>
      <c r="D11834" t="str">
        <f>HYPERLINK("https://zfin.org/ZDB-GENE-080204-19")</f>
        <v>https://zfin.org/ZDB-GENE-080204-19</v>
      </c>
      <c r="E11834" t="s">
        <v>35462</v>
      </c>
    </row>
    <row r="11835" spans="1:5" x14ac:dyDescent="0.2">
      <c r="A11835" t="s">
        <v>35463</v>
      </c>
      <c r="B11835" t="s">
        <v>35464</v>
      </c>
      <c r="C11835" t="s">
        <v>35464</v>
      </c>
      <c r="D11835" t="str">
        <f>HYPERLINK("https://zfin.org/ZDB-GENE-060720-2")</f>
        <v>https://zfin.org/ZDB-GENE-060720-2</v>
      </c>
      <c r="E11835" t="s">
        <v>35465</v>
      </c>
    </row>
    <row r="11836" spans="1:5" x14ac:dyDescent="0.2">
      <c r="A11836" t="s">
        <v>35466</v>
      </c>
      <c r="B11836" t="s">
        <v>21229</v>
      </c>
      <c r="C11836" t="s">
        <v>35467</v>
      </c>
      <c r="D11836" t="str">
        <f>HYPERLINK("https://zfin.org/ZDB-GENE-141215-40")</f>
        <v>https://zfin.org/ZDB-GENE-141215-40</v>
      </c>
      <c r="E11836" t="s">
        <v>35468</v>
      </c>
    </row>
    <row r="11837" spans="1:5" x14ac:dyDescent="0.2">
      <c r="A11837" t="s">
        <v>35469</v>
      </c>
      <c r="B11837" t="s">
        <v>35470</v>
      </c>
      <c r="C11837" t="s">
        <v>35470</v>
      </c>
      <c r="D11837" t="str">
        <f>HYPERLINK("https://zfin.org/ZDB-GENE-050420-7")</f>
        <v>https://zfin.org/ZDB-GENE-050420-7</v>
      </c>
      <c r="E11837" t="s">
        <v>35471</v>
      </c>
    </row>
    <row r="11838" spans="1:5" x14ac:dyDescent="0.2">
      <c r="A11838" t="s">
        <v>35472</v>
      </c>
      <c r="B11838" t="s">
        <v>35473</v>
      </c>
      <c r="C11838" t="s">
        <v>35473</v>
      </c>
      <c r="D11838" t="str">
        <f>HYPERLINK("https://zfin.org/ZDB-GENE-030131-4195")</f>
        <v>https://zfin.org/ZDB-GENE-030131-4195</v>
      </c>
      <c r="E11838" t="s">
        <v>35474</v>
      </c>
    </row>
    <row r="11839" spans="1:5" x14ac:dyDescent="0.2">
      <c r="A11839" t="s">
        <v>35475</v>
      </c>
      <c r="B11839" t="s">
        <v>35476</v>
      </c>
      <c r="C11839" t="s">
        <v>35476</v>
      </c>
      <c r="D11839" t="str">
        <f>HYPERLINK("https://zfin.org/ZDB-GENE-040808-19")</f>
        <v>https://zfin.org/ZDB-GENE-040808-19</v>
      </c>
      <c r="E11839" t="s">
        <v>35477</v>
      </c>
    </row>
    <row r="11840" spans="1:5" x14ac:dyDescent="0.2">
      <c r="A11840" t="s">
        <v>35478</v>
      </c>
      <c r="B11840" t="s">
        <v>35479</v>
      </c>
      <c r="C11840" t="s">
        <v>35479</v>
      </c>
      <c r="D11840" t="str">
        <f>HYPERLINK("https://zfin.org/ZDB-GENE-040426-2528")</f>
        <v>https://zfin.org/ZDB-GENE-040426-2528</v>
      </c>
      <c r="E11840" t="s">
        <v>35480</v>
      </c>
    </row>
    <row r="11841" spans="1:5" x14ac:dyDescent="0.2">
      <c r="A11841" t="s">
        <v>35481</v>
      </c>
      <c r="B11841" t="s">
        <v>35482</v>
      </c>
      <c r="C11841" t="s">
        <v>35482</v>
      </c>
      <c r="D11841" t="str">
        <f>HYPERLINK("https://zfin.org/ZDB-GENE-101019-1")</f>
        <v>https://zfin.org/ZDB-GENE-101019-1</v>
      </c>
      <c r="E11841" t="s">
        <v>35483</v>
      </c>
    </row>
    <row r="11842" spans="1:5" x14ac:dyDescent="0.2">
      <c r="A11842" t="s">
        <v>35484</v>
      </c>
      <c r="B11842" t="s">
        <v>35485</v>
      </c>
      <c r="C11842" t="s">
        <v>35485</v>
      </c>
      <c r="D11842" t="str">
        <f>HYPERLINK("https://zfin.org/ZDB-GENE-090313-162")</f>
        <v>https://zfin.org/ZDB-GENE-090313-162</v>
      </c>
      <c r="E11842" t="s">
        <v>35486</v>
      </c>
    </row>
    <row r="11843" spans="1:5" x14ac:dyDescent="0.2">
      <c r="A11843" t="s">
        <v>35487</v>
      </c>
      <c r="B11843" t="s">
        <v>35488</v>
      </c>
      <c r="C11843" t="s">
        <v>35488</v>
      </c>
      <c r="D11843" t="str">
        <f>HYPERLINK("https://zfin.org/ZDB-GENE-131121-100")</f>
        <v>https://zfin.org/ZDB-GENE-131121-100</v>
      </c>
      <c r="E11843" t="s">
        <v>35489</v>
      </c>
    </row>
    <row r="11844" spans="1:5" x14ac:dyDescent="0.2">
      <c r="A11844" t="s">
        <v>35490</v>
      </c>
      <c r="B11844" t="s">
        <v>35491</v>
      </c>
      <c r="C11844" t="s">
        <v>35491</v>
      </c>
      <c r="D11844" t="str">
        <f>HYPERLINK("https://zfin.org/ZDB-GENE-040317-1")</f>
        <v>https://zfin.org/ZDB-GENE-040317-1</v>
      </c>
      <c r="E11844" t="s">
        <v>35492</v>
      </c>
    </row>
    <row r="11845" spans="1:5" x14ac:dyDescent="0.2">
      <c r="A11845" t="s">
        <v>35493</v>
      </c>
      <c r="B11845" t="s">
        <v>35494</v>
      </c>
      <c r="C11845" t="s">
        <v>35494</v>
      </c>
      <c r="D11845" t="str">
        <f>HYPERLINK("https://zfin.org/ZDB-GENE-030131-1518")</f>
        <v>https://zfin.org/ZDB-GENE-030131-1518</v>
      </c>
      <c r="E11845" t="s">
        <v>35495</v>
      </c>
    </row>
    <row r="11846" spans="1:5" x14ac:dyDescent="0.2">
      <c r="A11846" t="s">
        <v>35496</v>
      </c>
      <c r="B11846" t="s">
        <v>35497</v>
      </c>
      <c r="C11846" t="s">
        <v>35497</v>
      </c>
      <c r="D11846" t="str">
        <f>HYPERLINK("https://zfin.org/ZDB-GENE-030131-6125")</f>
        <v>https://zfin.org/ZDB-GENE-030131-6125</v>
      </c>
      <c r="E11846" t="s">
        <v>35498</v>
      </c>
    </row>
    <row r="11847" spans="1:5" x14ac:dyDescent="0.2">
      <c r="A11847" t="s">
        <v>35499</v>
      </c>
      <c r="B11847" t="s">
        <v>35500</v>
      </c>
      <c r="C11847" t="s">
        <v>35500</v>
      </c>
      <c r="D11847" t="str">
        <f>HYPERLINK("https://zfin.org/ZDB-GENE-070112-1412")</f>
        <v>https://zfin.org/ZDB-GENE-070112-1412</v>
      </c>
      <c r="E11847" t="s">
        <v>35501</v>
      </c>
    </row>
    <row r="11848" spans="1:5" x14ac:dyDescent="0.2">
      <c r="A11848" t="s">
        <v>35502</v>
      </c>
      <c r="B11848" t="s">
        <v>35503</v>
      </c>
      <c r="C11848" t="s">
        <v>35503</v>
      </c>
      <c r="D11848" t="str">
        <f>HYPERLINK("https://zfin.org/ZDB-GENE-030619-14")</f>
        <v>https://zfin.org/ZDB-GENE-030619-14</v>
      </c>
      <c r="E11848" t="s">
        <v>35504</v>
      </c>
    </row>
    <row r="11849" spans="1:5" x14ac:dyDescent="0.2">
      <c r="A11849" t="s">
        <v>35505</v>
      </c>
      <c r="B11849" t="s">
        <v>35506</v>
      </c>
      <c r="C11849" t="s">
        <v>35506</v>
      </c>
      <c r="D11849" t="str">
        <f>HYPERLINK("https://zfin.org/ZDB-GENE-040718-390")</f>
        <v>https://zfin.org/ZDB-GENE-040718-390</v>
      </c>
      <c r="E11849" t="s">
        <v>35507</v>
      </c>
    </row>
    <row r="11850" spans="1:5" x14ac:dyDescent="0.2">
      <c r="A11850" t="s">
        <v>35508</v>
      </c>
      <c r="B11850" t="s">
        <v>35509</v>
      </c>
      <c r="C11850" t="s">
        <v>35509</v>
      </c>
      <c r="D11850" t="str">
        <f>HYPERLINK("https://zfin.org/ZDB-GENE-040711-1")</f>
        <v>https://zfin.org/ZDB-GENE-040711-1</v>
      </c>
      <c r="E11850" t="s">
        <v>35510</v>
      </c>
    </row>
    <row r="11851" spans="1:5" x14ac:dyDescent="0.2">
      <c r="A11851" t="s">
        <v>35511</v>
      </c>
      <c r="B11851" t="s">
        <v>35512</v>
      </c>
      <c r="C11851" t="s">
        <v>35512</v>
      </c>
      <c r="D11851" t="str">
        <f>HYPERLINK("https://zfin.org/ZDB-GENE-040426-2824")</f>
        <v>https://zfin.org/ZDB-GENE-040426-2824</v>
      </c>
      <c r="E11851" t="s">
        <v>35513</v>
      </c>
    </row>
    <row r="11852" spans="1:5" x14ac:dyDescent="0.2">
      <c r="A11852" t="s">
        <v>35514</v>
      </c>
      <c r="B11852" t="s">
        <v>35515</v>
      </c>
      <c r="C11852" t="s">
        <v>35515</v>
      </c>
      <c r="D11852" t="str">
        <f>HYPERLINK("https://zfin.org/ZDB-GENE-040826-3")</f>
        <v>https://zfin.org/ZDB-GENE-040826-3</v>
      </c>
      <c r="E11852" t="s">
        <v>35516</v>
      </c>
    </row>
    <row r="11853" spans="1:5" x14ac:dyDescent="0.2">
      <c r="A11853" t="s">
        <v>35517</v>
      </c>
      <c r="B11853" t="s">
        <v>35518</v>
      </c>
      <c r="C11853" t="s">
        <v>35518</v>
      </c>
      <c r="D11853" t="str">
        <f>HYPERLINK("https://zfin.org/ZDB-GENE-030912-14")</f>
        <v>https://zfin.org/ZDB-GENE-030912-14</v>
      </c>
      <c r="E11853" t="s">
        <v>35519</v>
      </c>
    </row>
    <row r="11854" spans="1:5" x14ac:dyDescent="0.2">
      <c r="A11854" t="s">
        <v>35520</v>
      </c>
      <c r="B11854" t="s">
        <v>35521</v>
      </c>
      <c r="C11854" t="s">
        <v>35521</v>
      </c>
      <c r="D11854" t="str">
        <f>HYPERLINK("https://zfin.org/ZDB-GENE-041001-144")</f>
        <v>https://zfin.org/ZDB-GENE-041001-144</v>
      </c>
      <c r="E11854" t="s">
        <v>35522</v>
      </c>
    </row>
    <row r="11855" spans="1:5" x14ac:dyDescent="0.2">
      <c r="A11855" t="s">
        <v>35523</v>
      </c>
      <c r="B11855" t="s">
        <v>35524</v>
      </c>
      <c r="C11855" t="s">
        <v>35524</v>
      </c>
      <c r="D11855" t="str">
        <f>HYPERLINK("https://zfin.org/ZDB-GENE-040718-47")</f>
        <v>https://zfin.org/ZDB-GENE-040718-47</v>
      </c>
      <c r="E11855" t="s">
        <v>35525</v>
      </c>
    </row>
    <row r="11856" spans="1:5" x14ac:dyDescent="0.2">
      <c r="A11856" t="s">
        <v>35526</v>
      </c>
      <c r="B11856" t="s">
        <v>35527</v>
      </c>
      <c r="C11856" t="s">
        <v>35527</v>
      </c>
      <c r="D11856" t="str">
        <f>HYPERLINK("https://zfin.org/ZDB-GENE-131122-37")</f>
        <v>https://zfin.org/ZDB-GENE-131122-37</v>
      </c>
      <c r="E11856" t="s">
        <v>35528</v>
      </c>
    </row>
    <row r="11857" spans="1:5" x14ac:dyDescent="0.2">
      <c r="A11857" t="s">
        <v>35529</v>
      </c>
      <c r="B11857" t="s">
        <v>35530</v>
      </c>
      <c r="C11857" t="s">
        <v>35530</v>
      </c>
      <c r="D11857" t="str">
        <f>HYPERLINK("https://zfin.org/ZDB-GENE-100922-157")</f>
        <v>https://zfin.org/ZDB-GENE-100922-157</v>
      </c>
      <c r="E11857" t="s">
        <v>35531</v>
      </c>
    </row>
    <row r="11858" spans="1:5" x14ac:dyDescent="0.2">
      <c r="A11858" t="s">
        <v>35532</v>
      </c>
      <c r="B11858" t="s">
        <v>35533</v>
      </c>
      <c r="C11858" t="s">
        <v>35533</v>
      </c>
      <c r="D11858" t="str">
        <f>HYPERLINK("https://zfin.org/ZDB-GENE-041114-80")</f>
        <v>https://zfin.org/ZDB-GENE-041114-80</v>
      </c>
      <c r="E11858" t="s">
        <v>35534</v>
      </c>
    </row>
    <row r="11859" spans="1:5" x14ac:dyDescent="0.2">
      <c r="A11859" t="s">
        <v>35535</v>
      </c>
      <c r="B11859" t="s">
        <v>35536</v>
      </c>
      <c r="C11859" t="s">
        <v>35536</v>
      </c>
      <c r="D11859" t="str">
        <f>HYPERLINK("https://zfin.org/ZDB-GENE-030131-9830")</f>
        <v>https://zfin.org/ZDB-GENE-030131-9830</v>
      </c>
      <c r="E11859" t="s">
        <v>35537</v>
      </c>
    </row>
    <row r="11860" spans="1:5" x14ac:dyDescent="0.2">
      <c r="A11860" t="s">
        <v>35538</v>
      </c>
      <c r="B11860" t="s">
        <v>35539</v>
      </c>
      <c r="C11860" t="s">
        <v>35539</v>
      </c>
      <c r="D11860" t="str">
        <f>HYPERLINK("https://zfin.org/ZDB-GENE-060503-322")</f>
        <v>https://zfin.org/ZDB-GENE-060503-322</v>
      </c>
      <c r="E11860" t="s">
        <v>35540</v>
      </c>
    </row>
    <row r="11861" spans="1:5" x14ac:dyDescent="0.2">
      <c r="A11861" t="s">
        <v>35541</v>
      </c>
      <c r="B11861" t="s">
        <v>35542</v>
      </c>
      <c r="C11861" t="s">
        <v>35542</v>
      </c>
      <c r="D11861" t="str">
        <f>HYPERLINK("https://zfin.org/ZDB-GENE-030130-1")</f>
        <v>https://zfin.org/ZDB-GENE-030130-1</v>
      </c>
      <c r="E11861" t="s">
        <v>35543</v>
      </c>
    </row>
    <row r="11862" spans="1:5" x14ac:dyDescent="0.2">
      <c r="A11862" t="s">
        <v>35544</v>
      </c>
      <c r="B11862" t="s">
        <v>35545</v>
      </c>
      <c r="C11862" t="s">
        <v>35545</v>
      </c>
      <c r="D11862" t="str">
        <f>HYPERLINK("https://zfin.org/ZDB-GENE-030131-4473")</f>
        <v>https://zfin.org/ZDB-GENE-030131-4473</v>
      </c>
      <c r="E11862" t="s">
        <v>35546</v>
      </c>
    </row>
    <row r="11863" spans="1:5" x14ac:dyDescent="0.2">
      <c r="A11863" t="s">
        <v>35547</v>
      </c>
      <c r="B11863" t="s">
        <v>35548</v>
      </c>
      <c r="C11863" t="s">
        <v>35548</v>
      </c>
      <c r="D11863" t="str">
        <f>HYPERLINK("https://zfin.org/ZDB-GENE-041111-91")</f>
        <v>https://zfin.org/ZDB-GENE-041111-91</v>
      </c>
      <c r="E11863" t="s">
        <v>35549</v>
      </c>
    </row>
    <row r="11864" spans="1:5" x14ac:dyDescent="0.2">
      <c r="A11864" t="s">
        <v>35550</v>
      </c>
      <c r="B11864" t="s">
        <v>35551</v>
      </c>
      <c r="C11864" t="s">
        <v>35551</v>
      </c>
      <c r="D11864" t="str">
        <f>HYPERLINK("https://zfin.org/ZDB-GENE-131120-4")</f>
        <v>https://zfin.org/ZDB-GENE-131120-4</v>
      </c>
      <c r="E11864" t="s">
        <v>35552</v>
      </c>
    </row>
    <row r="11865" spans="1:5" x14ac:dyDescent="0.2">
      <c r="A11865" t="s">
        <v>35553</v>
      </c>
      <c r="B11865" t="s">
        <v>35554</v>
      </c>
      <c r="C11865" t="s">
        <v>35554</v>
      </c>
      <c r="D11865" t="str">
        <f>HYPERLINK("https://zfin.org/ZDB-GENE-040426-1291")</f>
        <v>https://zfin.org/ZDB-GENE-040426-1291</v>
      </c>
      <c r="E11865" t="s">
        <v>35555</v>
      </c>
    </row>
    <row r="11866" spans="1:5" x14ac:dyDescent="0.2">
      <c r="A11866" t="s">
        <v>35556</v>
      </c>
      <c r="B11866" t="s">
        <v>35557</v>
      </c>
      <c r="C11866" t="s">
        <v>35557</v>
      </c>
      <c r="D11866" t="str">
        <f>HYPERLINK("https://zfin.org/ZDB-GENE-141212-314")</f>
        <v>https://zfin.org/ZDB-GENE-141212-314</v>
      </c>
      <c r="E11866" t="s">
        <v>35558</v>
      </c>
    </row>
    <row r="11867" spans="1:5" x14ac:dyDescent="0.2">
      <c r="A11867" t="s">
        <v>35559</v>
      </c>
      <c r="B11867" t="s">
        <v>35560</v>
      </c>
      <c r="C11867" t="s">
        <v>35560</v>
      </c>
      <c r="D11867" t="str">
        <f>HYPERLINK("https://zfin.org/ZDB-GENE-050420-109")</f>
        <v>https://zfin.org/ZDB-GENE-050420-109</v>
      </c>
      <c r="E11867" t="s">
        <v>35561</v>
      </c>
    </row>
    <row r="11868" spans="1:5" x14ac:dyDescent="0.2">
      <c r="A11868" t="s">
        <v>35562</v>
      </c>
      <c r="B11868" t="s">
        <v>35563</v>
      </c>
      <c r="C11868" t="s">
        <v>35563</v>
      </c>
      <c r="D11868" t="str">
        <f>HYPERLINK("https://zfin.org/ZDB-GENE-070912-43")</f>
        <v>https://zfin.org/ZDB-GENE-070912-43</v>
      </c>
      <c r="E11868" t="s">
        <v>35564</v>
      </c>
    </row>
    <row r="11869" spans="1:5" x14ac:dyDescent="0.2">
      <c r="A11869" t="s">
        <v>35565</v>
      </c>
      <c r="B11869" t="s">
        <v>35566</v>
      </c>
      <c r="C11869" t="s">
        <v>35566</v>
      </c>
      <c r="D11869" t="str">
        <f>HYPERLINK("https://zfin.org/ZDB-GENE-030131-8403")</f>
        <v>https://zfin.org/ZDB-GENE-030131-8403</v>
      </c>
      <c r="E11869" t="s">
        <v>35567</v>
      </c>
    </row>
    <row r="11870" spans="1:5" x14ac:dyDescent="0.2">
      <c r="A11870" t="s">
        <v>35568</v>
      </c>
      <c r="B11870" t="s">
        <v>35569</v>
      </c>
      <c r="C11870" t="s">
        <v>35569</v>
      </c>
      <c r="D11870" t="str">
        <f>HYPERLINK("https://zfin.org/ZDB-GENE-030131-8512")</f>
        <v>https://zfin.org/ZDB-GENE-030131-8512</v>
      </c>
      <c r="E11870" t="s">
        <v>35570</v>
      </c>
    </row>
    <row r="11871" spans="1:5" x14ac:dyDescent="0.2">
      <c r="A11871" t="s">
        <v>35571</v>
      </c>
      <c r="B11871" t="s">
        <v>35572</v>
      </c>
      <c r="C11871" t="s">
        <v>35572</v>
      </c>
      <c r="D11871" t="str">
        <f>HYPERLINK("https://zfin.org/ZDB-GENE-040426-1309")</f>
        <v>https://zfin.org/ZDB-GENE-040426-1309</v>
      </c>
      <c r="E11871" t="s">
        <v>35573</v>
      </c>
    </row>
    <row r="11872" spans="1:5" x14ac:dyDescent="0.2">
      <c r="A11872" t="s">
        <v>35574</v>
      </c>
      <c r="B11872" t="s">
        <v>35575</v>
      </c>
      <c r="C11872" t="s">
        <v>35575</v>
      </c>
      <c r="D11872" t="str">
        <f>HYPERLINK("https://zfin.org/ZDB-GENE-160114-19")</f>
        <v>https://zfin.org/ZDB-GENE-160114-19</v>
      </c>
      <c r="E11872" t="s">
        <v>35576</v>
      </c>
    </row>
    <row r="11873" spans="1:5" x14ac:dyDescent="0.2">
      <c r="A11873" t="s">
        <v>35577</v>
      </c>
      <c r="B11873" t="s">
        <v>35578</v>
      </c>
      <c r="C11873" t="s">
        <v>35578</v>
      </c>
      <c r="D11873" t="str">
        <f>HYPERLINK("https://zfin.org/ZDB-GENE-060929-364")</f>
        <v>https://zfin.org/ZDB-GENE-060929-364</v>
      </c>
      <c r="E11873" t="s">
        <v>35579</v>
      </c>
    </row>
    <row r="11874" spans="1:5" x14ac:dyDescent="0.2">
      <c r="A11874" t="s">
        <v>35580</v>
      </c>
      <c r="B11874" t="s">
        <v>35581</v>
      </c>
      <c r="C11874" t="s">
        <v>35581</v>
      </c>
      <c r="D11874" t="str">
        <f>HYPERLINK("https://zfin.org/ZDB-GENE-120215-216")</f>
        <v>https://zfin.org/ZDB-GENE-120215-216</v>
      </c>
      <c r="E11874" t="s">
        <v>35582</v>
      </c>
    </row>
    <row r="11875" spans="1:5" x14ac:dyDescent="0.2">
      <c r="A11875" t="s">
        <v>35583</v>
      </c>
      <c r="B11875" t="s">
        <v>35584</v>
      </c>
      <c r="C11875" t="s">
        <v>35584</v>
      </c>
      <c r="D11875" t="str">
        <f>HYPERLINK("https://zfin.org/ZDB-GENE-050417-112")</f>
        <v>https://zfin.org/ZDB-GENE-050417-112</v>
      </c>
      <c r="E11875" t="s">
        <v>35585</v>
      </c>
    </row>
    <row r="11876" spans="1:5" x14ac:dyDescent="0.2">
      <c r="A11876" t="s">
        <v>35586</v>
      </c>
      <c r="B11876" t="s">
        <v>35587</v>
      </c>
      <c r="C11876" t="s">
        <v>35587</v>
      </c>
      <c r="D11876" t="str">
        <f>HYPERLINK("https://zfin.org/ZDB-GENE-040426-2452")</f>
        <v>https://zfin.org/ZDB-GENE-040426-2452</v>
      </c>
      <c r="E11876" t="s">
        <v>35588</v>
      </c>
    </row>
    <row r="11877" spans="1:5" x14ac:dyDescent="0.2">
      <c r="A11877" t="s">
        <v>35589</v>
      </c>
      <c r="B11877" t="s">
        <v>35590</v>
      </c>
      <c r="C11877" t="s">
        <v>35590</v>
      </c>
      <c r="D11877" t="str">
        <f>HYPERLINK("https://zfin.org/ZDB-GENE-070912-485")</f>
        <v>https://zfin.org/ZDB-GENE-070912-485</v>
      </c>
      <c r="E11877" t="s">
        <v>35591</v>
      </c>
    </row>
    <row r="11878" spans="1:5" x14ac:dyDescent="0.2">
      <c r="A11878" t="s">
        <v>35592</v>
      </c>
      <c r="B11878" t="s">
        <v>35593</v>
      </c>
      <c r="C11878" t="s">
        <v>35593</v>
      </c>
      <c r="D11878" t="str">
        <f>HYPERLINK("https://zfin.org/ZDB-GENE-061013-682")</f>
        <v>https://zfin.org/ZDB-GENE-061013-682</v>
      </c>
      <c r="E11878" t="s">
        <v>35594</v>
      </c>
    </row>
    <row r="11879" spans="1:5" x14ac:dyDescent="0.2">
      <c r="A11879" t="s">
        <v>35595</v>
      </c>
      <c r="B11879" t="s">
        <v>35596</v>
      </c>
      <c r="C11879" t="s">
        <v>35596</v>
      </c>
      <c r="D11879" t="str">
        <f>HYPERLINK("https://zfin.org/ZDB-GENE-980526-150")</f>
        <v>https://zfin.org/ZDB-GENE-980526-150</v>
      </c>
      <c r="E11879" t="s">
        <v>35597</v>
      </c>
    </row>
    <row r="11880" spans="1:5" x14ac:dyDescent="0.2">
      <c r="A11880" t="s">
        <v>35598</v>
      </c>
      <c r="B11880" t="s">
        <v>35599</v>
      </c>
      <c r="C11880" t="s">
        <v>35599</v>
      </c>
      <c r="D11880" t="str">
        <f>HYPERLINK("https://zfin.org/ZDB-GENE-120215-145")</f>
        <v>https://zfin.org/ZDB-GENE-120215-145</v>
      </c>
      <c r="E11880" t="s">
        <v>35600</v>
      </c>
    </row>
    <row r="11881" spans="1:5" x14ac:dyDescent="0.2">
      <c r="A11881" t="s">
        <v>35601</v>
      </c>
      <c r="B11881" t="s">
        <v>35602</v>
      </c>
      <c r="C11881" t="s">
        <v>35602</v>
      </c>
      <c r="D11881" t="str">
        <f>HYPERLINK("https://zfin.org/ZDB-GENE-060503-719")</f>
        <v>https://zfin.org/ZDB-GENE-060503-719</v>
      </c>
      <c r="E11881" t="s">
        <v>35603</v>
      </c>
    </row>
    <row r="11882" spans="1:5" x14ac:dyDescent="0.2">
      <c r="A11882" t="s">
        <v>35604</v>
      </c>
      <c r="B11882" t="s">
        <v>35605</v>
      </c>
      <c r="C11882" t="s">
        <v>35605</v>
      </c>
      <c r="D11882" t="str">
        <f>HYPERLINK("https://zfin.org/ZDB-GENE-030131-1505")</f>
        <v>https://zfin.org/ZDB-GENE-030131-1505</v>
      </c>
      <c r="E11882" t="s">
        <v>35606</v>
      </c>
    </row>
    <row r="11883" spans="1:5" x14ac:dyDescent="0.2">
      <c r="A11883" t="s">
        <v>35607</v>
      </c>
      <c r="B11883" t="s">
        <v>35608</v>
      </c>
      <c r="C11883" t="s">
        <v>35608</v>
      </c>
      <c r="D11883" t="str">
        <f>HYPERLINK("https://zfin.org/ZDB-GENE-021226-3")</f>
        <v>https://zfin.org/ZDB-GENE-021226-3</v>
      </c>
      <c r="E11883" t="s">
        <v>35609</v>
      </c>
    </row>
    <row r="11884" spans="1:5" x14ac:dyDescent="0.2">
      <c r="A11884" t="s">
        <v>35610</v>
      </c>
      <c r="B11884" t="s">
        <v>35611</v>
      </c>
      <c r="C11884" t="s">
        <v>35611</v>
      </c>
      <c r="D11884" t="str">
        <f>HYPERLINK("https://zfin.org/ZDB-GENE-110411-225")</f>
        <v>https://zfin.org/ZDB-GENE-110411-225</v>
      </c>
      <c r="E11884" t="s">
        <v>35612</v>
      </c>
    </row>
    <row r="11885" spans="1:5" x14ac:dyDescent="0.2">
      <c r="A11885" t="s">
        <v>35613</v>
      </c>
      <c r="B11885" t="s">
        <v>35614</v>
      </c>
      <c r="C11885" t="s">
        <v>35614</v>
      </c>
      <c r="D11885" t="str">
        <f>HYPERLINK("https://zfin.org/ZDB-GENE-041014-307")</f>
        <v>https://zfin.org/ZDB-GENE-041014-307</v>
      </c>
      <c r="E11885" t="s">
        <v>35615</v>
      </c>
    </row>
    <row r="11886" spans="1:5" x14ac:dyDescent="0.2">
      <c r="A11886" t="s">
        <v>35616</v>
      </c>
      <c r="B11886" t="s">
        <v>35617</v>
      </c>
      <c r="C11886" t="s">
        <v>35617</v>
      </c>
      <c r="D11886" t="str">
        <f>HYPERLINK("https://zfin.org/ZDB-GENE-030131-6641")</f>
        <v>https://zfin.org/ZDB-GENE-030131-6641</v>
      </c>
      <c r="E11886" t="s">
        <v>35618</v>
      </c>
    </row>
    <row r="11887" spans="1:5" x14ac:dyDescent="0.2">
      <c r="A11887" t="s">
        <v>35619</v>
      </c>
      <c r="B11887" t="s">
        <v>35620</v>
      </c>
      <c r="C11887" t="s">
        <v>35620</v>
      </c>
      <c r="D11887" t="str">
        <f>HYPERLINK("https://zfin.org/ZDB-GENE-030131-9170")</f>
        <v>https://zfin.org/ZDB-GENE-030131-9170</v>
      </c>
      <c r="E11887" t="s">
        <v>35621</v>
      </c>
    </row>
    <row r="11888" spans="1:5" x14ac:dyDescent="0.2">
      <c r="A11888" t="s">
        <v>35622</v>
      </c>
      <c r="B11888" t="s">
        <v>35623</v>
      </c>
      <c r="C11888" t="s">
        <v>35623</v>
      </c>
      <c r="D11888" t="str">
        <f>HYPERLINK("https://zfin.org/ZDB-GENE-030131-6420")</f>
        <v>https://zfin.org/ZDB-GENE-030131-6420</v>
      </c>
      <c r="E11888" t="s">
        <v>35624</v>
      </c>
    </row>
    <row r="11889" spans="1:5" x14ac:dyDescent="0.2">
      <c r="A11889" t="s">
        <v>35625</v>
      </c>
      <c r="B11889" t="s">
        <v>35626</v>
      </c>
      <c r="C11889" t="s">
        <v>35626</v>
      </c>
      <c r="D11889" t="str">
        <f>HYPERLINK("https://zfin.org/ZDB-GENE-091116-34")</f>
        <v>https://zfin.org/ZDB-GENE-091116-34</v>
      </c>
      <c r="E11889" t="s">
        <v>35627</v>
      </c>
    </row>
    <row r="11890" spans="1:5" x14ac:dyDescent="0.2">
      <c r="A11890" t="s">
        <v>35628</v>
      </c>
      <c r="B11890" t="s">
        <v>35629</v>
      </c>
      <c r="C11890" t="s">
        <v>35629</v>
      </c>
      <c r="D11890" t="str">
        <f>HYPERLINK("https://zfin.org/ZDB-GENE-030131-5418")</f>
        <v>https://zfin.org/ZDB-GENE-030131-5418</v>
      </c>
      <c r="E11890" t="s">
        <v>35630</v>
      </c>
    </row>
    <row r="11891" spans="1:5" x14ac:dyDescent="0.2">
      <c r="A11891" t="s">
        <v>35631</v>
      </c>
      <c r="B11891" t="s">
        <v>35632</v>
      </c>
      <c r="C11891" t="s">
        <v>35632</v>
      </c>
      <c r="D11891" t="str">
        <f>HYPERLINK("https://zfin.org/ZDB-GENE-060421-7601")</f>
        <v>https://zfin.org/ZDB-GENE-060421-7601</v>
      </c>
      <c r="E11891" t="s">
        <v>35633</v>
      </c>
    </row>
    <row r="11892" spans="1:5" x14ac:dyDescent="0.2">
      <c r="A11892" t="s">
        <v>35634</v>
      </c>
      <c r="B11892" t="s">
        <v>35635</v>
      </c>
      <c r="C11892" t="s">
        <v>35635</v>
      </c>
      <c r="D11892" t="str">
        <f>HYPERLINK("https://zfin.org/ZDB-GENE-121214-30")</f>
        <v>https://zfin.org/ZDB-GENE-121214-30</v>
      </c>
      <c r="E11892" t="s">
        <v>35636</v>
      </c>
    </row>
    <row r="11893" spans="1:5" x14ac:dyDescent="0.2">
      <c r="A11893" t="s">
        <v>35637</v>
      </c>
      <c r="B11893" t="s">
        <v>35638</v>
      </c>
      <c r="C11893" t="s">
        <v>35638</v>
      </c>
      <c r="D11893" t="str">
        <f>HYPERLINK("https://zfin.org/ZDB-GENE-030131-9537")</f>
        <v>https://zfin.org/ZDB-GENE-030131-9537</v>
      </c>
      <c r="E11893" t="s">
        <v>35639</v>
      </c>
    </row>
    <row r="11894" spans="1:5" x14ac:dyDescent="0.2">
      <c r="A11894" t="s">
        <v>35640</v>
      </c>
      <c r="B11894" t="s">
        <v>35641</v>
      </c>
      <c r="C11894" t="s">
        <v>35641</v>
      </c>
      <c r="D11894" t="str">
        <f>HYPERLINK("https://zfin.org/ZDB-GENE-040801-65")</f>
        <v>https://zfin.org/ZDB-GENE-040801-65</v>
      </c>
      <c r="E11894" t="s">
        <v>35642</v>
      </c>
    </row>
    <row r="11895" spans="1:5" x14ac:dyDescent="0.2">
      <c r="A11895" t="s">
        <v>35643</v>
      </c>
      <c r="B11895" t="s">
        <v>35231</v>
      </c>
      <c r="C11895" t="s">
        <v>35644</v>
      </c>
      <c r="D11895" t="str">
        <f>HYPERLINK("https://zfin.org/ZDB-GENE-131126-78")</f>
        <v>https://zfin.org/ZDB-GENE-131126-78</v>
      </c>
      <c r="E11895" t="s">
        <v>35645</v>
      </c>
    </row>
    <row r="11896" spans="1:5" x14ac:dyDescent="0.2">
      <c r="A11896" t="s">
        <v>35646</v>
      </c>
      <c r="B11896" t="s">
        <v>35647</v>
      </c>
      <c r="C11896" t="s">
        <v>35647</v>
      </c>
      <c r="D11896" t="str">
        <f>HYPERLINK("https://zfin.org/ZDB-GENE-040718-469")</f>
        <v>https://zfin.org/ZDB-GENE-040718-469</v>
      </c>
      <c r="E11896" t="s">
        <v>35648</v>
      </c>
    </row>
    <row r="11897" spans="1:5" x14ac:dyDescent="0.2">
      <c r="A11897" t="s">
        <v>35649</v>
      </c>
      <c r="B11897" t="s">
        <v>35650</v>
      </c>
      <c r="C11897" t="s">
        <v>35650</v>
      </c>
      <c r="D11897" t="str">
        <f>HYPERLINK("https://zfin.org/ZDB-GENE-040718-274")</f>
        <v>https://zfin.org/ZDB-GENE-040718-274</v>
      </c>
      <c r="E11897" t="s">
        <v>35651</v>
      </c>
    </row>
    <row r="11898" spans="1:5" x14ac:dyDescent="0.2">
      <c r="A11898" t="s">
        <v>35652</v>
      </c>
      <c r="B11898" t="s">
        <v>35653</v>
      </c>
      <c r="C11898" t="s">
        <v>35653</v>
      </c>
      <c r="D11898" t="str">
        <f>HYPERLINK("https://zfin.org/ZDB-GENE-030131-9613")</f>
        <v>https://zfin.org/ZDB-GENE-030131-9613</v>
      </c>
      <c r="E11898" t="s">
        <v>35654</v>
      </c>
    </row>
    <row r="11899" spans="1:5" x14ac:dyDescent="0.2">
      <c r="A11899" t="s">
        <v>35655</v>
      </c>
      <c r="B11899" t="s">
        <v>35656</v>
      </c>
      <c r="C11899" t="s">
        <v>35656</v>
      </c>
      <c r="D11899" t="str">
        <f>HYPERLINK("https://zfin.org/ZDB-GENE-060503-543")</f>
        <v>https://zfin.org/ZDB-GENE-060503-543</v>
      </c>
      <c r="E11899" t="s">
        <v>35657</v>
      </c>
    </row>
    <row r="11900" spans="1:5" x14ac:dyDescent="0.2">
      <c r="A11900" t="s">
        <v>35658</v>
      </c>
      <c r="B11900" t="s">
        <v>35659</v>
      </c>
      <c r="C11900" t="s">
        <v>35659</v>
      </c>
      <c r="D11900" t="str">
        <f>HYPERLINK("https://zfin.org/ZDB-GENE-090206-1")</f>
        <v>https://zfin.org/ZDB-GENE-090206-1</v>
      </c>
      <c r="E11900" t="s">
        <v>35660</v>
      </c>
    </row>
    <row r="11901" spans="1:5" x14ac:dyDescent="0.2">
      <c r="A11901" t="s">
        <v>35661</v>
      </c>
      <c r="B11901" t="s">
        <v>35662</v>
      </c>
      <c r="C11901" t="s">
        <v>35662</v>
      </c>
      <c r="D11901" t="str">
        <f>HYPERLINK("https://zfin.org/ZDB-GENE-040426-966")</f>
        <v>https://zfin.org/ZDB-GENE-040426-966</v>
      </c>
      <c r="E11901" t="s">
        <v>35663</v>
      </c>
    </row>
    <row r="11902" spans="1:5" x14ac:dyDescent="0.2">
      <c r="A11902" t="s">
        <v>35664</v>
      </c>
      <c r="B11902" t="s">
        <v>35665</v>
      </c>
      <c r="C11902" t="s">
        <v>35665</v>
      </c>
      <c r="D11902" t="str">
        <f>HYPERLINK("https://zfin.org/ZDB-GENE-120913-2")</f>
        <v>https://zfin.org/ZDB-GENE-120913-2</v>
      </c>
      <c r="E11902" t="s">
        <v>35666</v>
      </c>
    </row>
    <row r="11903" spans="1:5" x14ac:dyDescent="0.2">
      <c r="A11903" t="s">
        <v>35667</v>
      </c>
      <c r="B11903" t="s">
        <v>35668</v>
      </c>
      <c r="C11903" t="s">
        <v>35668</v>
      </c>
      <c r="D11903" t="str">
        <f>HYPERLINK("https://zfin.org/ZDB-GENE-061207-54")</f>
        <v>https://zfin.org/ZDB-GENE-061207-54</v>
      </c>
      <c r="E11903" t="s">
        <v>35669</v>
      </c>
    </row>
    <row r="11904" spans="1:5" x14ac:dyDescent="0.2">
      <c r="A11904" t="s">
        <v>35670</v>
      </c>
      <c r="B11904" t="s">
        <v>35671</v>
      </c>
      <c r="C11904" t="s">
        <v>35671</v>
      </c>
      <c r="D11904" t="str">
        <f>HYPERLINK("https://zfin.org/ZDB-GENE-040426-2711")</f>
        <v>https://zfin.org/ZDB-GENE-040426-2711</v>
      </c>
      <c r="E11904" t="s">
        <v>35672</v>
      </c>
    </row>
    <row r="11905" spans="1:5" x14ac:dyDescent="0.2">
      <c r="A11905" t="s">
        <v>35673</v>
      </c>
      <c r="B11905" t="s">
        <v>35674</v>
      </c>
      <c r="C11905" t="s">
        <v>35674</v>
      </c>
      <c r="D11905" t="str">
        <f>HYPERLINK("https://zfin.org/ZDB-GENE-050522-381")</f>
        <v>https://zfin.org/ZDB-GENE-050522-381</v>
      </c>
      <c r="E11905" t="s">
        <v>35675</v>
      </c>
    </row>
    <row r="11906" spans="1:5" x14ac:dyDescent="0.2">
      <c r="A11906" t="s">
        <v>35676</v>
      </c>
      <c r="B11906" t="s">
        <v>35677</v>
      </c>
      <c r="C11906" t="s">
        <v>35677</v>
      </c>
      <c r="D11906" t="str">
        <f>HYPERLINK("https://zfin.org/ZDB-GENE-040426-1919")</f>
        <v>https://zfin.org/ZDB-GENE-040426-1919</v>
      </c>
      <c r="E11906" t="s">
        <v>35678</v>
      </c>
    </row>
    <row r="11907" spans="1:5" x14ac:dyDescent="0.2">
      <c r="A11907" t="s">
        <v>35679</v>
      </c>
      <c r="B11907" t="s">
        <v>35680</v>
      </c>
      <c r="C11907" t="s">
        <v>35680</v>
      </c>
      <c r="D11907" t="str">
        <f>HYPERLINK("https://zfin.org/ZDB-GENE-121214-361")</f>
        <v>https://zfin.org/ZDB-GENE-121214-361</v>
      </c>
      <c r="E11907" t="s">
        <v>35681</v>
      </c>
    </row>
    <row r="11908" spans="1:5" x14ac:dyDescent="0.2">
      <c r="A11908" t="s">
        <v>35682</v>
      </c>
      <c r="B11908" t="s">
        <v>35683</v>
      </c>
      <c r="C11908" t="s">
        <v>35683</v>
      </c>
      <c r="D11908" t="str">
        <f>HYPERLINK("https://zfin.org/ZDB-GENE-131121-70")</f>
        <v>https://zfin.org/ZDB-GENE-131121-70</v>
      </c>
      <c r="E11908" t="s">
        <v>35684</v>
      </c>
    </row>
    <row r="11909" spans="1:5" x14ac:dyDescent="0.2">
      <c r="A11909" t="s">
        <v>35685</v>
      </c>
      <c r="B11909" t="s">
        <v>35686</v>
      </c>
      <c r="C11909" t="s">
        <v>35686</v>
      </c>
      <c r="D11909" t="str">
        <f>HYPERLINK("https://zfin.org/ZDB-GENE-070424-104")</f>
        <v>https://zfin.org/ZDB-GENE-070424-104</v>
      </c>
      <c r="E11909" t="s">
        <v>35687</v>
      </c>
    </row>
    <row r="11910" spans="1:5" x14ac:dyDescent="0.2">
      <c r="A11910" t="s">
        <v>35688</v>
      </c>
      <c r="B11910" t="s">
        <v>35689</v>
      </c>
      <c r="C11910" t="s">
        <v>35689</v>
      </c>
      <c r="D11910" t="str">
        <f>HYPERLINK("https://zfin.org/ZDB-GENE-030131-954")</f>
        <v>https://zfin.org/ZDB-GENE-030131-954</v>
      </c>
      <c r="E11910" t="s">
        <v>35690</v>
      </c>
    </row>
    <row r="11911" spans="1:5" x14ac:dyDescent="0.2">
      <c r="A11911" t="s">
        <v>35691</v>
      </c>
      <c r="B11911" t="s">
        <v>35692</v>
      </c>
      <c r="C11911" t="s">
        <v>35692</v>
      </c>
      <c r="D11911" t="str">
        <f>HYPERLINK("https://zfin.org/ZDB-GENE-050306-8")</f>
        <v>https://zfin.org/ZDB-GENE-050306-8</v>
      </c>
      <c r="E11911" t="s">
        <v>35693</v>
      </c>
    </row>
    <row r="11912" spans="1:5" x14ac:dyDescent="0.2">
      <c r="A11912" t="s">
        <v>35694</v>
      </c>
      <c r="B11912" t="s">
        <v>35695</v>
      </c>
      <c r="C11912" t="s">
        <v>35695</v>
      </c>
      <c r="D11912" t="str">
        <f>HYPERLINK("https://zfin.org/ZDB-GENE-060503-681")</f>
        <v>https://zfin.org/ZDB-GENE-060503-681</v>
      </c>
      <c r="E11912" t="s">
        <v>35696</v>
      </c>
    </row>
    <row r="11913" spans="1:5" x14ac:dyDescent="0.2">
      <c r="A11913" t="s">
        <v>35697</v>
      </c>
      <c r="B11913" t="s">
        <v>35698</v>
      </c>
      <c r="C11913" t="s">
        <v>35698</v>
      </c>
      <c r="D11913" t="str">
        <f>HYPERLINK("https://zfin.org/ZDB-GENE-070912-329")</f>
        <v>https://zfin.org/ZDB-GENE-070912-329</v>
      </c>
      <c r="E11913" t="s">
        <v>35699</v>
      </c>
    </row>
    <row r="11914" spans="1:5" x14ac:dyDescent="0.2">
      <c r="A11914" t="s">
        <v>35700</v>
      </c>
      <c r="B11914" t="s">
        <v>35701</v>
      </c>
      <c r="C11914" t="s">
        <v>35701</v>
      </c>
      <c r="D11914" t="str">
        <f>HYPERLINK("https://zfin.org/ZDB-GENE-050517-5")</f>
        <v>https://zfin.org/ZDB-GENE-050517-5</v>
      </c>
      <c r="E11914" t="s">
        <v>35702</v>
      </c>
    </row>
    <row r="11915" spans="1:5" x14ac:dyDescent="0.2">
      <c r="A11915" t="s">
        <v>35703</v>
      </c>
      <c r="B11915" t="s">
        <v>35704</v>
      </c>
      <c r="C11915" t="s">
        <v>35704</v>
      </c>
      <c r="D11915" t="str">
        <f>HYPERLINK("https://zfin.org/ZDB-GENE-040426-982")</f>
        <v>https://zfin.org/ZDB-GENE-040426-982</v>
      </c>
      <c r="E11915" t="s">
        <v>35705</v>
      </c>
    </row>
    <row r="11916" spans="1:5" x14ac:dyDescent="0.2">
      <c r="A11916" t="s">
        <v>35706</v>
      </c>
      <c r="B11916" t="s">
        <v>35707</v>
      </c>
      <c r="C11916" t="s">
        <v>35707</v>
      </c>
      <c r="D11916" t="str">
        <f>HYPERLINK("https://zfin.org/ZDB-GENE-060503-844")</f>
        <v>https://zfin.org/ZDB-GENE-060503-844</v>
      </c>
      <c r="E11916" t="s">
        <v>35708</v>
      </c>
    </row>
    <row r="11917" spans="1:5" x14ac:dyDescent="0.2">
      <c r="A11917" t="s">
        <v>35709</v>
      </c>
      <c r="B11917" t="s">
        <v>35710</v>
      </c>
      <c r="C11917" t="s">
        <v>35710</v>
      </c>
      <c r="D11917" t="str">
        <f>HYPERLINK("https://zfin.org/ZDB-GENE-040426-1168")</f>
        <v>https://zfin.org/ZDB-GENE-040426-1168</v>
      </c>
      <c r="E11917" t="s">
        <v>35711</v>
      </c>
    </row>
    <row r="11918" spans="1:5" x14ac:dyDescent="0.2">
      <c r="A11918" t="s">
        <v>35712</v>
      </c>
      <c r="B11918" t="s">
        <v>35713</v>
      </c>
      <c r="C11918" t="s">
        <v>35713</v>
      </c>
      <c r="D11918" t="str">
        <f>HYPERLINK("https://zfin.org/ZDB-GENE-050913-47")</f>
        <v>https://zfin.org/ZDB-GENE-050913-47</v>
      </c>
      <c r="E11918" t="s">
        <v>35714</v>
      </c>
    </row>
    <row r="11919" spans="1:5" x14ac:dyDescent="0.2">
      <c r="A11919" t="s">
        <v>35715</v>
      </c>
      <c r="B11919" t="s">
        <v>35716</v>
      </c>
      <c r="C11919" t="s">
        <v>35716</v>
      </c>
      <c r="D11919" t="str">
        <f>HYPERLINK("https://zfin.org/ZDB-GENE-041010-120")</f>
        <v>https://zfin.org/ZDB-GENE-041010-120</v>
      </c>
      <c r="E11919" t="s">
        <v>35717</v>
      </c>
    </row>
    <row r="11920" spans="1:5" x14ac:dyDescent="0.2">
      <c r="A11920" t="s">
        <v>35718</v>
      </c>
      <c r="B11920" t="s">
        <v>35719</v>
      </c>
      <c r="C11920" t="s">
        <v>35719</v>
      </c>
      <c r="D11920" t="str">
        <f>HYPERLINK("https://zfin.org/ZDB-GENE-081105-139")</f>
        <v>https://zfin.org/ZDB-GENE-081105-139</v>
      </c>
      <c r="E11920" t="s">
        <v>35720</v>
      </c>
    </row>
    <row r="11921" spans="1:5" x14ac:dyDescent="0.2">
      <c r="A11921" t="s">
        <v>35721</v>
      </c>
      <c r="B11921" t="s">
        <v>35722</v>
      </c>
      <c r="C11921" t="s">
        <v>35722</v>
      </c>
      <c r="D11921" t="str">
        <f>HYPERLINK("https://zfin.org/ZDB-GENE-030131-5420")</f>
        <v>https://zfin.org/ZDB-GENE-030131-5420</v>
      </c>
      <c r="E11921" t="s">
        <v>35723</v>
      </c>
    </row>
    <row r="11922" spans="1:5" x14ac:dyDescent="0.2">
      <c r="A11922" t="s">
        <v>35724</v>
      </c>
      <c r="B11922" t="s">
        <v>35725</v>
      </c>
      <c r="C11922" t="s">
        <v>35725</v>
      </c>
      <c r="D11922" t="str">
        <f>HYPERLINK("https://zfin.org/ZDB-GENE-030925-2")</f>
        <v>https://zfin.org/ZDB-GENE-030925-2</v>
      </c>
      <c r="E11922" t="s">
        <v>35726</v>
      </c>
    </row>
    <row r="11923" spans="1:5" x14ac:dyDescent="0.2">
      <c r="A11923" t="s">
        <v>35727</v>
      </c>
      <c r="B11923" t="s">
        <v>35728</v>
      </c>
      <c r="C11923" t="s">
        <v>35728</v>
      </c>
      <c r="D11923" t="str">
        <f>HYPERLINK("https://zfin.org/ZDB-GENE-060503-749")</f>
        <v>https://zfin.org/ZDB-GENE-060503-749</v>
      </c>
      <c r="E11923" t="s">
        <v>35729</v>
      </c>
    </row>
    <row r="11924" spans="1:5" x14ac:dyDescent="0.2">
      <c r="A11924" t="s">
        <v>35730</v>
      </c>
      <c r="B11924" t="s">
        <v>35731</v>
      </c>
      <c r="C11924" t="s">
        <v>35731</v>
      </c>
      <c r="D11924" t="str">
        <f>HYPERLINK("https://zfin.org/ZDB-GENE-040704-14")</f>
        <v>https://zfin.org/ZDB-GENE-040704-14</v>
      </c>
      <c r="E11924" t="s">
        <v>35732</v>
      </c>
    </row>
    <row r="11925" spans="1:5" x14ac:dyDescent="0.2">
      <c r="A11925" t="s">
        <v>35733</v>
      </c>
      <c r="B11925" t="s">
        <v>35734</v>
      </c>
      <c r="C11925" t="s">
        <v>35734</v>
      </c>
      <c r="D11925" t="str">
        <f>HYPERLINK("https://zfin.org/ZDB-GENE-081105-99")</f>
        <v>https://zfin.org/ZDB-GENE-081105-99</v>
      </c>
      <c r="E11925" t="s">
        <v>35735</v>
      </c>
    </row>
    <row r="11926" spans="1:5" x14ac:dyDescent="0.2">
      <c r="A11926" t="s">
        <v>35736</v>
      </c>
      <c r="B11926" t="s">
        <v>35737</v>
      </c>
      <c r="C11926" t="s">
        <v>35737</v>
      </c>
      <c r="D11926" t="str">
        <f>HYPERLINK("https://zfin.org/ZDB-GENE-020228-3")</f>
        <v>https://zfin.org/ZDB-GENE-020228-3</v>
      </c>
      <c r="E11926" t="s">
        <v>35738</v>
      </c>
    </row>
    <row r="11927" spans="1:5" x14ac:dyDescent="0.2">
      <c r="A11927" t="s">
        <v>35739</v>
      </c>
      <c r="B11927" t="s">
        <v>35740</v>
      </c>
      <c r="C11927" t="s">
        <v>35740</v>
      </c>
      <c r="D11927" t="str">
        <f>HYPERLINK("https://zfin.org/ZDB-GENE-040426-2370")</f>
        <v>https://zfin.org/ZDB-GENE-040426-2370</v>
      </c>
      <c r="E11927" t="s">
        <v>35741</v>
      </c>
    </row>
    <row r="11928" spans="1:5" x14ac:dyDescent="0.2">
      <c r="A11928" t="s">
        <v>35742</v>
      </c>
      <c r="B11928" t="s">
        <v>35743</v>
      </c>
      <c r="C11928" t="s">
        <v>35743</v>
      </c>
      <c r="D11928" t="str">
        <f>HYPERLINK("https://zfin.org/ZDB-GENE-040625-155")</f>
        <v>https://zfin.org/ZDB-GENE-040625-155</v>
      </c>
      <c r="E11928" t="s">
        <v>35744</v>
      </c>
    </row>
    <row r="11929" spans="1:5" x14ac:dyDescent="0.2">
      <c r="A11929" t="s">
        <v>35745</v>
      </c>
      <c r="B11929" t="s">
        <v>35746</v>
      </c>
      <c r="C11929" t="s">
        <v>35746</v>
      </c>
      <c r="D11929" t="str">
        <f>HYPERLINK("https://zfin.org/ZDB-GENE-040426-2823")</f>
        <v>https://zfin.org/ZDB-GENE-040426-2823</v>
      </c>
      <c r="E11929" t="s">
        <v>35747</v>
      </c>
    </row>
    <row r="11930" spans="1:5" x14ac:dyDescent="0.2">
      <c r="A11930" t="s">
        <v>35748</v>
      </c>
      <c r="B11930" t="s">
        <v>35749</v>
      </c>
      <c r="C11930" t="s">
        <v>35749</v>
      </c>
      <c r="D11930" t="str">
        <f>HYPERLINK("https://zfin.org/ZDB-GENE-081105-36")</f>
        <v>https://zfin.org/ZDB-GENE-081105-36</v>
      </c>
      <c r="E11930" t="s">
        <v>35750</v>
      </c>
    </row>
    <row r="11931" spans="1:5" x14ac:dyDescent="0.2">
      <c r="A11931" t="s">
        <v>35751</v>
      </c>
      <c r="B11931" t="s">
        <v>35752</v>
      </c>
      <c r="C11931" t="s">
        <v>35752</v>
      </c>
      <c r="D11931" t="str">
        <f>HYPERLINK("https://zfin.org/ZDB-GENE-030131-1683")</f>
        <v>https://zfin.org/ZDB-GENE-030131-1683</v>
      </c>
      <c r="E11931" t="s">
        <v>35753</v>
      </c>
    </row>
    <row r="11932" spans="1:5" x14ac:dyDescent="0.2">
      <c r="A11932" t="s">
        <v>35754</v>
      </c>
      <c r="B11932" t="s">
        <v>35755</v>
      </c>
      <c r="C11932" t="s">
        <v>35755</v>
      </c>
      <c r="D11932" t="str">
        <f>HYPERLINK("https://zfin.org/ZDB-GENE-060503-636")</f>
        <v>https://zfin.org/ZDB-GENE-060503-636</v>
      </c>
      <c r="E11932" t="s">
        <v>35756</v>
      </c>
    </row>
    <row r="11933" spans="1:5" x14ac:dyDescent="0.2">
      <c r="A11933" t="s">
        <v>35757</v>
      </c>
      <c r="B11933" t="s">
        <v>35758</v>
      </c>
      <c r="C11933" t="s">
        <v>35758</v>
      </c>
      <c r="D11933" t="str">
        <f>HYPERLINK("https://zfin.org/ZDB-GENE-070912-619")</f>
        <v>https://zfin.org/ZDB-GENE-070912-619</v>
      </c>
      <c r="E11933" t="s">
        <v>35759</v>
      </c>
    </row>
    <row r="11934" spans="1:5" x14ac:dyDescent="0.2">
      <c r="A11934" t="s">
        <v>35760</v>
      </c>
      <c r="B11934" t="s">
        <v>35761</v>
      </c>
      <c r="C11934" t="s">
        <v>35761</v>
      </c>
      <c r="D11934" t="str">
        <f>HYPERLINK("https://zfin.org/ZDB-GENE-040718-449")</f>
        <v>https://zfin.org/ZDB-GENE-040718-449</v>
      </c>
      <c r="E11934" t="s">
        <v>35762</v>
      </c>
    </row>
    <row r="11935" spans="1:5" x14ac:dyDescent="0.2">
      <c r="A11935" t="s">
        <v>35763</v>
      </c>
      <c r="B11935" t="s">
        <v>35764</v>
      </c>
      <c r="C11935" t="s">
        <v>35764</v>
      </c>
      <c r="D11935" t="str">
        <f>HYPERLINK("https://zfin.org/ZDB-GENE-040625-66")</f>
        <v>https://zfin.org/ZDB-GENE-040625-66</v>
      </c>
      <c r="E11935" t="s">
        <v>35765</v>
      </c>
    </row>
    <row r="11936" spans="1:5" x14ac:dyDescent="0.2">
      <c r="A11936" t="s">
        <v>35766</v>
      </c>
      <c r="B11936" t="s">
        <v>35767</v>
      </c>
      <c r="C11936" t="s">
        <v>35767</v>
      </c>
      <c r="D11936" t="str">
        <f>HYPERLINK("https://zfin.org/ZDB-GENE-041010-171")</f>
        <v>https://zfin.org/ZDB-GENE-041010-171</v>
      </c>
      <c r="E11936" t="s">
        <v>35768</v>
      </c>
    </row>
    <row r="11937" spans="1:5" x14ac:dyDescent="0.2">
      <c r="A11937" t="s">
        <v>35769</v>
      </c>
      <c r="B11937" t="s">
        <v>35770</v>
      </c>
      <c r="C11937" t="s">
        <v>35770</v>
      </c>
      <c r="D11937" t="str">
        <f>HYPERLINK("https://zfin.org/ZDB-GENE-070705-296")</f>
        <v>https://zfin.org/ZDB-GENE-070705-296</v>
      </c>
      <c r="E11937" t="s">
        <v>35771</v>
      </c>
    </row>
    <row r="11938" spans="1:5" x14ac:dyDescent="0.2">
      <c r="A11938" t="s">
        <v>35772</v>
      </c>
      <c r="B11938" t="s">
        <v>35773</v>
      </c>
      <c r="C11938" t="s">
        <v>35773</v>
      </c>
      <c r="D11938" t="str">
        <f>HYPERLINK("https://zfin.org/ZDB-GENE-040801-75")</f>
        <v>https://zfin.org/ZDB-GENE-040801-75</v>
      </c>
      <c r="E11938" t="s">
        <v>35774</v>
      </c>
    </row>
    <row r="11939" spans="1:5" x14ac:dyDescent="0.2">
      <c r="A11939" t="s">
        <v>35775</v>
      </c>
      <c r="B11939" t="s">
        <v>35776</v>
      </c>
      <c r="C11939" t="s">
        <v>35776</v>
      </c>
      <c r="D11939" t="str">
        <f>HYPERLINK("https://zfin.org/ZDB-GENE-060825-148")</f>
        <v>https://zfin.org/ZDB-GENE-060825-148</v>
      </c>
      <c r="E11939" t="s">
        <v>35777</v>
      </c>
    </row>
    <row r="11940" spans="1:5" x14ac:dyDescent="0.2">
      <c r="A11940" t="s">
        <v>35778</v>
      </c>
      <c r="B11940" t="s">
        <v>35779</v>
      </c>
      <c r="C11940" t="s">
        <v>35779</v>
      </c>
      <c r="D11940" t="str">
        <f>HYPERLINK("https://zfin.org/ZDB-GENE-050522-151")</f>
        <v>https://zfin.org/ZDB-GENE-050522-151</v>
      </c>
      <c r="E11940" t="s">
        <v>35780</v>
      </c>
    </row>
    <row r="11941" spans="1:5" x14ac:dyDescent="0.2">
      <c r="A11941" t="s">
        <v>35781</v>
      </c>
      <c r="B11941" t="s">
        <v>35782</v>
      </c>
      <c r="C11941" t="s">
        <v>35782</v>
      </c>
      <c r="D11941" t="str">
        <f>HYPERLINK("https://zfin.org/ZDB-GENE-131121-285")</f>
        <v>https://zfin.org/ZDB-GENE-131121-285</v>
      </c>
      <c r="E11941" t="s">
        <v>35783</v>
      </c>
    </row>
    <row r="11942" spans="1:5" x14ac:dyDescent="0.2">
      <c r="A11942" t="s">
        <v>35784</v>
      </c>
      <c r="B11942" t="s">
        <v>35785</v>
      </c>
      <c r="C11942" t="s">
        <v>35785</v>
      </c>
      <c r="D11942" t="str">
        <f>HYPERLINK("https://zfin.org/ZDB-GENE-030131-3785")</f>
        <v>https://zfin.org/ZDB-GENE-030131-3785</v>
      </c>
      <c r="E11942" t="s">
        <v>35786</v>
      </c>
    </row>
    <row r="11943" spans="1:5" x14ac:dyDescent="0.2">
      <c r="A11943" t="s">
        <v>35787</v>
      </c>
      <c r="B11943" t="s">
        <v>35788</v>
      </c>
      <c r="C11943" t="s">
        <v>35788</v>
      </c>
      <c r="D11943" t="str">
        <f>HYPERLINK("https://zfin.org/ZDB-GENE-130603-67")</f>
        <v>https://zfin.org/ZDB-GENE-130603-67</v>
      </c>
      <c r="E11943" t="s">
        <v>35789</v>
      </c>
    </row>
    <row r="11944" spans="1:5" x14ac:dyDescent="0.2">
      <c r="A11944" t="s">
        <v>35790</v>
      </c>
      <c r="B11944" t="s">
        <v>35791</v>
      </c>
      <c r="C11944" t="s">
        <v>35791</v>
      </c>
      <c r="D11944" t="str">
        <f>HYPERLINK("https://zfin.org/ZDB-GENE-030131-786")</f>
        <v>https://zfin.org/ZDB-GENE-030131-786</v>
      </c>
      <c r="E11944" t="s">
        <v>35792</v>
      </c>
    </row>
    <row r="11945" spans="1:5" x14ac:dyDescent="0.2">
      <c r="A11945" t="s">
        <v>35793</v>
      </c>
      <c r="B11945" t="s">
        <v>35794</v>
      </c>
      <c r="C11945" t="s">
        <v>35794</v>
      </c>
      <c r="D11945" t="str">
        <f>HYPERLINK("https://zfin.org/ZDB-GENE-030828-1")</f>
        <v>https://zfin.org/ZDB-GENE-030828-1</v>
      </c>
      <c r="E11945" t="s">
        <v>35795</v>
      </c>
    </row>
    <row r="11946" spans="1:5" x14ac:dyDescent="0.2">
      <c r="A11946" t="s">
        <v>35796</v>
      </c>
      <c r="B11946" t="s">
        <v>35797</v>
      </c>
      <c r="C11946" t="s">
        <v>35797</v>
      </c>
      <c r="D11946" t="str">
        <f>HYPERLINK("https://zfin.org/ZDB-GENE-030131-5102")</f>
        <v>https://zfin.org/ZDB-GENE-030131-5102</v>
      </c>
      <c r="E11946" t="s">
        <v>35798</v>
      </c>
    </row>
    <row r="11947" spans="1:5" x14ac:dyDescent="0.2">
      <c r="A11947" t="s">
        <v>35799</v>
      </c>
      <c r="B11947" t="s">
        <v>35800</v>
      </c>
      <c r="C11947" t="s">
        <v>35800</v>
      </c>
      <c r="D11947" t="str">
        <f>HYPERLINK("https://zfin.org/ZDB-GENE-041114-190")</f>
        <v>https://zfin.org/ZDB-GENE-041114-190</v>
      </c>
      <c r="E11947" t="s">
        <v>35801</v>
      </c>
    </row>
    <row r="11948" spans="1:5" x14ac:dyDescent="0.2">
      <c r="A11948" t="s">
        <v>35802</v>
      </c>
      <c r="B11948" t="s">
        <v>35803</v>
      </c>
      <c r="C11948" t="s">
        <v>35803</v>
      </c>
      <c r="D11948" t="str">
        <f>HYPERLINK("https://zfin.org/ZDB-GENE-141212-380")</f>
        <v>https://zfin.org/ZDB-GENE-141212-380</v>
      </c>
      <c r="E11948" t="s">
        <v>35804</v>
      </c>
    </row>
    <row r="11949" spans="1:5" x14ac:dyDescent="0.2">
      <c r="A11949" t="s">
        <v>35805</v>
      </c>
      <c r="B11949" t="s">
        <v>35806</v>
      </c>
      <c r="C11949" t="s">
        <v>35806</v>
      </c>
      <c r="D11949" t="str">
        <f>HYPERLINK("https://zfin.org/ZDB-GENE-040426-2158")</f>
        <v>https://zfin.org/ZDB-GENE-040426-2158</v>
      </c>
      <c r="E11949" t="s">
        <v>35807</v>
      </c>
    </row>
    <row r="11950" spans="1:5" x14ac:dyDescent="0.2">
      <c r="A11950" t="s">
        <v>35808</v>
      </c>
      <c r="B11950" t="s">
        <v>35809</v>
      </c>
      <c r="C11950" t="s">
        <v>35809</v>
      </c>
      <c r="D11950" t="str">
        <f>HYPERLINK("https://zfin.org/ZDB-GENE-050522-57")</f>
        <v>https://zfin.org/ZDB-GENE-050522-57</v>
      </c>
      <c r="E11950" t="s">
        <v>35810</v>
      </c>
    </row>
    <row r="11951" spans="1:5" x14ac:dyDescent="0.2">
      <c r="A11951" t="s">
        <v>35811</v>
      </c>
      <c r="B11951" t="s">
        <v>35812</v>
      </c>
      <c r="C11951" t="s">
        <v>35812</v>
      </c>
      <c r="D11951" t="str">
        <f>HYPERLINK("https://zfin.org/ZDB-GENE-030909-11")</f>
        <v>https://zfin.org/ZDB-GENE-030909-11</v>
      </c>
      <c r="E11951" t="s">
        <v>35813</v>
      </c>
    </row>
    <row r="11952" spans="1:5" x14ac:dyDescent="0.2">
      <c r="A11952" t="s">
        <v>35814</v>
      </c>
      <c r="B11952" t="s">
        <v>35815</v>
      </c>
      <c r="C11952" t="s">
        <v>35815</v>
      </c>
      <c r="D11952" t="str">
        <f>HYPERLINK("https://zfin.org/ZDB-GENE-050417-212")</f>
        <v>https://zfin.org/ZDB-GENE-050417-212</v>
      </c>
      <c r="E11952" t="s">
        <v>35816</v>
      </c>
    </row>
    <row r="11953" spans="1:5" x14ac:dyDescent="0.2">
      <c r="A11953" t="s">
        <v>35817</v>
      </c>
      <c r="B11953" t="s">
        <v>35818</v>
      </c>
      <c r="C11953" t="s">
        <v>35818</v>
      </c>
      <c r="D11953" t="str">
        <f>HYPERLINK("https://zfin.org/ZDB-GENE-040718-446")</f>
        <v>https://zfin.org/ZDB-GENE-040718-446</v>
      </c>
      <c r="E11953" t="s">
        <v>35819</v>
      </c>
    </row>
    <row r="11954" spans="1:5" x14ac:dyDescent="0.2">
      <c r="A11954" t="s">
        <v>35820</v>
      </c>
      <c r="B11954" t="s">
        <v>35821</v>
      </c>
      <c r="C11954" t="s">
        <v>35821</v>
      </c>
      <c r="D11954" t="str">
        <f>HYPERLINK("https://zfin.org/ZDB-GENE-030616-61")</f>
        <v>https://zfin.org/ZDB-GENE-030616-61</v>
      </c>
      <c r="E11954" t="s">
        <v>35822</v>
      </c>
    </row>
    <row r="11955" spans="1:5" x14ac:dyDescent="0.2">
      <c r="A11955" t="s">
        <v>35823</v>
      </c>
      <c r="B11955" t="s">
        <v>35824</v>
      </c>
      <c r="C11955" t="s">
        <v>35824</v>
      </c>
      <c r="D11955" t="str">
        <f>HYPERLINK("https://zfin.org/ZDB-GENE-040801-90")</f>
        <v>https://zfin.org/ZDB-GENE-040801-90</v>
      </c>
      <c r="E11955" t="s">
        <v>35825</v>
      </c>
    </row>
    <row r="11956" spans="1:5" x14ac:dyDescent="0.2">
      <c r="A11956" t="s">
        <v>35826</v>
      </c>
      <c r="B11956" t="s">
        <v>35827</v>
      </c>
      <c r="C11956" t="s">
        <v>35827</v>
      </c>
      <c r="D11956" t="str">
        <f>HYPERLINK("https://zfin.org/ZDB-GENE-040426-959")</f>
        <v>https://zfin.org/ZDB-GENE-040426-959</v>
      </c>
      <c r="E11956" t="s">
        <v>35828</v>
      </c>
    </row>
    <row r="11957" spans="1:5" x14ac:dyDescent="0.2">
      <c r="A11957" t="s">
        <v>35829</v>
      </c>
      <c r="B11957" t="s">
        <v>35830</v>
      </c>
      <c r="C11957" t="s">
        <v>35830</v>
      </c>
      <c r="D11957" t="str">
        <f>HYPERLINK("https://zfin.org/ZDB-GENE-030131-3568")</f>
        <v>https://zfin.org/ZDB-GENE-030131-3568</v>
      </c>
      <c r="E11957" t="s">
        <v>35831</v>
      </c>
    </row>
    <row r="11958" spans="1:5" x14ac:dyDescent="0.2">
      <c r="A11958" t="s">
        <v>35832</v>
      </c>
      <c r="B11958" t="s">
        <v>35833</v>
      </c>
      <c r="C11958" t="s">
        <v>35833</v>
      </c>
      <c r="D11958" t="str">
        <f>HYPERLINK("https://zfin.org/ZDB-GENE-031010-35")</f>
        <v>https://zfin.org/ZDB-GENE-031010-35</v>
      </c>
      <c r="E11958" t="s">
        <v>35834</v>
      </c>
    </row>
    <row r="11959" spans="1:5" x14ac:dyDescent="0.2">
      <c r="A11959" t="s">
        <v>35835</v>
      </c>
      <c r="B11959" t="s">
        <v>35836</v>
      </c>
      <c r="C11959" t="s">
        <v>35836</v>
      </c>
      <c r="D11959" t="str">
        <f>HYPERLINK("https://zfin.org/ZDB-GENE-100922-211")</f>
        <v>https://zfin.org/ZDB-GENE-100922-211</v>
      </c>
      <c r="E11959" t="s">
        <v>35837</v>
      </c>
    </row>
    <row r="11960" spans="1:5" x14ac:dyDescent="0.2">
      <c r="A11960" t="s">
        <v>35838</v>
      </c>
      <c r="B11960" t="s">
        <v>35839</v>
      </c>
      <c r="C11960" t="s">
        <v>35839</v>
      </c>
      <c r="D11960" t="str">
        <f>HYPERLINK("https://zfin.org/ZDB-GENE-030131-3973")</f>
        <v>https://zfin.org/ZDB-GENE-030131-3973</v>
      </c>
      <c r="E11960" t="s">
        <v>35840</v>
      </c>
    </row>
    <row r="11961" spans="1:5" x14ac:dyDescent="0.2">
      <c r="A11961" t="s">
        <v>35841</v>
      </c>
      <c r="B11961" t="s">
        <v>35842</v>
      </c>
      <c r="C11961" t="s">
        <v>35842</v>
      </c>
      <c r="D11961" t="str">
        <f>HYPERLINK("https://zfin.org/ZDB-GENE-051023-5")</f>
        <v>https://zfin.org/ZDB-GENE-051023-5</v>
      </c>
      <c r="E11961" t="s">
        <v>35843</v>
      </c>
    </row>
    <row r="11962" spans="1:5" x14ac:dyDescent="0.2">
      <c r="A11962" t="s">
        <v>35844</v>
      </c>
      <c r="B11962" t="s">
        <v>35845</v>
      </c>
      <c r="C11962" t="s">
        <v>35845</v>
      </c>
      <c r="D11962" t="str">
        <f>HYPERLINK("https://zfin.org/ZDB-GENE-041001-126")</f>
        <v>https://zfin.org/ZDB-GENE-041001-126</v>
      </c>
      <c r="E11962" t="s">
        <v>35846</v>
      </c>
    </row>
    <row r="11963" spans="1:5" x14ac:dyDescent="0.2">
      <c r="A11963" t="s">
        <v>35847</v>
      </c>
      <c r="B11963" t="s">
        <v>35848</v>
      </c>
      <c r="C11963" t="s">
        <v>35848</v>
      </c>
      <c r="D11963" t="str">
        <f>HYPERLINK("https://zfin.org/ZDB-GENE-990415-270")</f>
        <v>https://zfin.org/ZDB-GENE-990415-270</v>
      </c>
      <c r="E11963" t="s">
        <v>35849</v>
      </c>
    </row>
    <row r="11964" spans="1:5" x14ac:dyDescent="0.2">
      <c r="A11964" t="s">
        <v>35850</v>
      </c>
      <c r="B11964" t="s">
        <v>35851</v>
      </c>
      <c r="C11964" t="s">
        <v>35851</v>
      </c>
      <c r="D11964" t="str">
        <f>HYPERLINK("https://zfin.org/ZDB-GENE-030131-8110")</f>
        <v>https://zfin.org/ZDB-GENE-030131-8110</v>
      </c>
      <c r="E11964" t="s">
        <v>35852</v>
      </c>
    </row>
    <row r="11965" spans="1:5" x14ac:dyDescent="0.2">
      <c r="A11965" t="s">
        <v>35853</v>
      </c>
      <c r="B11965" t="s">
        <v>35854</v>
      </c>
      <c r="C11965" t="s">
        <v>35854</v>
      </c>
      <c r="D11965" t="str">
        <f>HYPERLINK("https://zfin.org/ZDB-GENE-030327-1")</f>
        <v>https://zfin.org/ZDB-GENE-030327-1</v>
      </c>
      <c r="E11965" t="s">
        <v>35855</v>
      </c>
    </row>
    <row r="11966" spans="1:5" x14ac:dyDescent="0.2">
      <c r="A11966" t="s">
        <v>35856</v>
      </c>
      <c r="B11966" t="s">
        <v>35857</v>
      </c>
      <c r="C11966" t="s">
        <v>35857</v>
      </c>
      <c r="D11966" t="str">
        <f>HYPERLINK("https://zfin.org/ZDB-GENE-060825-146")</f>
        <v>https://zfin.org/ZDB-GENE-060825-146</v>
      </c>
      <c r="E11966" t="s">
        <v>35858</v>
      </c>
    </row>
    <row r="11967" spans="1:5" x14ac:dyDescent="0.2">
      <c r="A11967" t="s">
        <v>35859</v>
      </c>
      <c r="B11967" t="s">
        <v>35860</v>
      </c>
      <c r="C11967" t="s">
        <v>35860</v>
      </c>
      <c r="D11967" t="str">
        <f>HYPERLINK("https://zfin.org/ZDB-GENE-030131-6808")</f>
        <v>https://zfin.org/ZDB-GENE-030131-6808</v>
      </c>
      <c r="E11967" t="s">
        <v>35861</v>
      </c>
    </row>
    <row r="11968" spans="1:5" x14ac:dyDescent="0.2">
      <c r="A11968" t="s">
        <v>35862</v>
      </c>
      <c r="B11968" t="s">
        <v>35863</v>
      </c>
      <c r="C11968" t="s">
        <v>35863</v>
      </c>
      <c r="D11968" t="str">
        <f>HYPERLINK("https://zfin.org/ZDB-GENE-050516-4")</f>
        <v>https://zfin.org/ZDB-GENE-050516-4</v>
      </c>
      <c r="E11968" t="s">
        <v>35864</v>
      </c>
    </row>
    <row r="11969" spans="1:5" x14ac:dyDescent="0.2">
      <c r="A11969" t="s">
        <v>35865</v>
      </c>
      <c r="B11969" t="s">
        <v>35866</v>
      </c>
      <c r="C11969" t="s">
        <v>35866</v>
      </c>
      <c r="D11969" t="str">
        <f>HYPERLINK("https://zfin.org/ZDB-GENE-120411-1")</f>
        <v>https://zfin.org/ZDB-GENE-120411-1</v>
      </c>
      <c r="E11969" t="s">
        <v>35867</v>
      </c>
    </row>
    <row r="11970" spans="1:5" x14ac:dyDescent="0.2">
      <c r="A11970" t="s">
        <v>35868</v>
      </c>
      <c r="B11970" t="s">
        <v>35869</v>
      </c>
      <c r="C11970" t="s">
        <v>35869</v>
      </c>
      <c r="D11970" t="str">
        <f>HYPERLINK("https://zfin.org/ZDB-GENE-031118-45")</f>
        <v>https://zfin.org/ZDB-GENE-031118-45</v>
      </c>
      <c r="E11970" t="s">
        <v>35870</v>
      </c>
    </row>
    <row r="11971" spans="1:5" x14ac:dyDescent="0.2">
      <c r="A11971" t="s">
        <v>35871</v>
      </c>
      <c r="B11971" t="s">
        <v>35872</v>
      </c>
      <c r="C11971" t="s">
        <v>35872</v>
      </c>
      <c r="D11971" t="str">
        <f>HYPERLINK("https://zfin.org/ZDB-GENE-040912-7")</f>
        <v>https://zfin.org/ZDB-GENE-040912-7</v>
      </c>
      <c r="E11971" t="s">
        <v>35873</v>
      </c>
    </row>
    <row r="11972" spans="1:5" x14ac:dyDescent="0.2">
      <c r="A11972" t="s">
        <v>35874</v>
      </c>
      <c r="B11972" t="s">
        <v>35875</v>
      </c>
      <c r="C11972" t="s">
        <v>35875</v>
      </c>
      <c r="D11972" t="str">
        <f>HYPERLINK("https://zfin.org/ZDB-GENE-030131-3955")</f>
        <v>https://zfin.org/ZDB-GENE-030131-3955</v>
      </c>
      <c r="E11972" t="s">
        <v>35876</v>
      </c>
    </row>
    <row r="11973" spans="1:5" x14ac:dyDescent="0.2">
      <c r="A11973" t="s">
        <v>35877</v>
      </c>
      <c r="B11973" t="s">
        <v>35878</v>
      </c>
      <c r="C11973" t="s">
        <v>35878</v>
      </c>
      <c r="D11973" t="str">
        <f>HYPERLINK("https://zfin.org/ZDB-GENE-990415-30")</f>
        <v>https://zfin.org/ZDB-GENE-990415-30</v>
      </c>
      <c r="E11973" t="s">
        <v>35879</v>
      </c>
    </row>
    <row r="11974" spans="1:5" x14ac:dyDescent="0.2">
      <c r="A11974" t="s">
        <v>35880</v>
      </c>
      <c r="B11974" t="s">
        <v>35881</v>
      </c>
      <c r="C11974" t="s">
        <v>35881</v>
      </c>
      <c r="D11974" t="str">
        <f>HYPERLINK("https://zfin.org/ZDB-GENE-060531-122")</f>
        <v>https://zfin.org/ZDB-GENE-060531-122</v>
      </c>
      <c r="E11974" t="s">
        <v>35882</v>
      </c>
    </row>
    <row r="11975" spans="1:5" x14ac:dyDescent="0.2">
      <c r="A11975" t="s">
        <v>35883</v>
      </c>
      <c r="B11975" t="s">
        <v>35884</v>
      </c>
      <c r="C11975" t="s">
        <v>35884</v>
      </c>
      <c r="D11975" t="str">
        <f>HYPERLINK("https://zfin.org/ZDB-GENE-030131-2752")</f>
        <v>https://zfin.org/ZDB-GENE-030131-2752</v>
      </c>
      <c r="E11975" t="s">
        <v>35885</v>
      </c>
    </row>
    <row r="11976" spans="1:5" x14ac:dyDescent="0.2">
      <c r="A11976" t="s">
        <v>35886</v>
      </c>
      <c r="B11976" t="s">
        <v>35887</v>
      </c>
      <c r="C11976" t="s">
        <v>35887</v>
      </c>
      <c r="D11976" t="str">
        <f>HYPERLINK("https://zfin.org/ZDB-GENE-040426-2773")</f>
        <v>https://zfin.org/ZDB-GENE-040426-2773</v>
      </c>
      <c r="E11976" t="s">
        <v>35888</v>
      </c>
    </row>
    <row r="11977" spans="1:5" x14ac:dyDescent="0.2">
      <c r="A11977" t="s">
        <v>35889</v>
      </c>
      <c r="B11977" t="s">
        <v>35890</v>
      </c>
      <c r="C11977" t="s">
        <v>35890</v>
      </c>
      <c r="D11977" t="str">
        <f>HYPERLINK("https://zfin.org/ZDB-GENE-130320-1")</f>
        <v>https://zfin.org/ZDB-GENE-130320-1</v>
      </c>
      <c r="E11977" t="s">
        <v>35891</v>
      </c>
    </row>
    <row r="11978" spans="1:5" x14ac:dyDescent="0.2">
      <c r="A11978" t="s">
        <v>35892</v>
      </c>
      <c r="B11978" t="s">
        <v>35893</v>
      </c>
      <c r="C11978" t="s">
        <v>35893</v>
      </c>
      <c r="D11978" t="str">
        <f>HYPERLINK("https://zfin.org/ZDB-GENE-030131-3632")</f>
        <v>https://zfin.org/ZDB-GENE-030131-3632</v>
      </c>
      <c r="E11978" t="s">
        <v>35894</v>
      </c>
    </row>
    <row r="11979" spans="1:5" x14ac:dyDescent="0.2">
      <c r="A11979" t="s">
        <v>35895</v>
      </c>
      <c r="B11979" t="s">
        <v>35896</v>
      </c>
      <c r="C11979" t="s">
        <v>35896</v>
      </c>
      <c r="D11979" t="str">
        <f>HYPERLINK("https://zfin.org/ZDB-GENE-130422-1")</f>
        <v>https://zfin.org/ZDB-GENE-130422-1</v>
      </c>
      <c r="E11979" t="s">
        <v>35897</v>
      </c>
    </row>
    <row r="11980" spans="1:5" x14ac:dyDescent="0.2">
      <c r="A11980" t="s">
        <v>35898</v>
      </c>
      <c r="B11980" t="s">
        <v>35899</v>
      </c>
      <c r="C11980" t="s">
        <v>35899</v>
      </c>
      <c r="D11980" t="str">
        <f>HYPERLINK("https://zfin.org/ZDB-GENE-040724-116")</f>
        <v>https://zfin.org/ZDB-GENE-040724-116</v>
      </c>
      <c r="E11980" t="s">
        <v>35900</v>
      </c>
    </row>
    <row r="11981" spans="1:5" x14ac:dyDescent="0.2">
      <c r="A11981" t="s">
        <v>35901</v>
      </c>
      <c r="B11981" t="s">
        <v>35902</v>
      </c>
      <c r="C11981" t="s">
        <v>35902</v>
      </c>
      <c r="D11981" t="str">
        <f>HYPERLINK("https://zfin.org/ZDB-GENE-041111-259")</f>
        <v>https://zfin.org/ZDB-GENE-041111-259</v>
      </c>
      <c r="E11981" t="s">
        <v>35903</v>
      </c>
    </row>
    <row r="11982" spans="1:5" x14ac:dyDescent="0.2">
      <c r="A11982" t="s">
        <v>35904</v>
      </c>
      <c r="B11982" t="s">
        <v>35905</v>
      </c>
      <c r="C11982" t="s">
        <v>35905</v>
      </c>
      <c r="D11982" t="str">
        <f>HYPERLINK("https://zfin.org/ZDB-GENE-030131-3762")</f>
        <v>https://zfin.org/ZDB-GENE-030131-3762</v>
      </c>
      <c r="E11982" t="s">
        <v>35906</v>
      </c>
    </row>
    <row r="11983" spans="1:5" x14ac:dyDescent="0.2">
      <c r="A11983" t="s">
        <v>35907</v>
      </c>
      <c r="B11983" t="s">
        <v>35908</v>
      </c>
      <c r="C11983" t="s">
        <v>35908</v>
      </c>
      <c r="D11983" t="str">
        <f>HYPERLINK("https://zfin.org/ZDB-GENE-080919-1")</f>
        <v>https://zfin.org/ZDB-GENE-080919-1</v>
      </c>
      <c r="E11983" t="s">
        <v>35909</v>
      </c>
    </row>
    <row r="11984" spans="1:5" x14ac:dyDescent="0.2">
      <c r="A11984" t="s">
        <v>35910</v>
      </c>
      <c r="B11984" t="s">
        <v>35911</v>
      </c>
      <c r="C11984" t="s">
        <v>35911</v>
      </c>
      <c r="D11984" t="str">
        <f>HYPERLINK("https://zfin.org/ZDB-GENE-040219-8")</f>
        <v>https://zfin.org/ZDB-GENE-040219-8</v>
      </c>
      <c r="E11984" t="s">
        <v>35912</v>
      </c>
    </row>
    <row r="11985" spans="1:5" x14ac:dyDescent="0.2">
      <c r="A11985" t="s">
        <v>35913</v>
      </c>
      <c r="B11985" t="s">
        <v>35914</v>
      </c>
      <c r="C11985" t="s">
        <v>35914</v>
      </c>
      <c r="D11985" t="str">
        <f>HYPERLINK("https://zfin.org/ZDB-GENE-000406-5")</f>
        <v>https://zfin.org/ZDB-GENE-000406-5</v>
      </c>
      <c r="E11985" t="s">
        <v>35915</v>
      </c>
    </row>
    <row r="11986" spans="1:5" x14ac:dyDescent="0.2">
      <c r="A11986" t="s">
        <v>35916</v>
      </c>
      <c r="B11986" t="s">
        <v>35917</v>
      </c>
      <c r="C11986" t="s">
        <v>35917</v>
      </c>
      <c r="D11986" t="str">
        <f>HYPERLINK("https://zfin.org/ZDB-GENE-030131-938")</f>
        <v>https://zfin.org/ZDB-GENE-030131-938</v>
      </c>
      <c r="E11986" t="s">
        <v>35918</v>
      </c>
    </row>
    <row r="11987" spans="1:5" x14ac:dyDescent="0.2">
      <c r="A11987" t="s">
        <v>35919</v>
      </c>
      <c r="B11987" t="s">
        <v>35920</v>
      </c>
      <c r="C11987" t="s">
        <v>35920</v>
      </c>
      <c r="D11987" t="str">
        <f>HYPERLINK("https://zfin.org/ZDB-GENE-120215-208")</f>
        <v>https://zfin.org/ZDB-GENE-120215-208</v>
      </c>
      <c r="E11987" t="s">
        <v>35921</v>
      </c>
    </row>
    <row r="11988" spans="1:5" x14ac:dyDescent="0.2">
      <c r="A11988" t="s">
        <v>35922</v>
      </c>
      <c r="B11988" t="s">
        <v>35923</v>
      </c>
      <c r="C11988" t="s">
        <v>35923</v>
      </c>
      <c r="D11988" t="str">
        <f>HYPERLINK("https://zfin.org/ZDB-GENE-040426-2089")</f>
        <v>https://zfin.org/ZDB-GENE-040426-2089</v>
      </c>
      <c r="E11988" t="s">
        <v>35924</v>
      </c>
    </row>
    <row r="11989" spans="1:5" x14ac:dyDescent="0.2">
      <c r="A11989" t="s">
        <v>35925</v>
      </c>
      <c r="B11989" t="s">
        <v>35926</v>
      </c>
      <c r="C11989" t="s">
        <v>35926</v>
      </c>
      <c r="D11989" t="str">
        <f>HYPERLINK("https://zfin.org/ZDB-GENE-040616-1")</f>
        <v>https://zfin.org/ZDB-GENE-040616-1</v>
      </c>
      <c r="E11989" t="s">
        <v>35927</v>
      </c>
    </row>
    <row r="11990" spans="1:5" x14ac:dyDescent="0.2">
      <c r="A11990" t="s">
        <v>35928</v>
      </c>
      <c r="B11990" t="s">
        <v>35929</v>
      </c>
      <c r="C11990" t="s">
        <v>35929</v>
      </c>
      <c r="D11990" t="str">
        <f>HYPERLINK("https://zfin.org/ZDB-GENE-030131-3507")</f>
        <v>https://zfin.org/ZDB-GENE-030131-3507</v>
      </c>
      <c r="E11990" t="s">
        <v>35930</v>
      </c>
    </row>
    <row r="11991" spans="1:5" x14ac:dyDescent="0.2">
      <c r="A11991" t="s">
        <v>35931</v>
      </c>
      <c r="B11991" t="s">
        <v>35932</v>
      </c>
      <c r="C11991" t="s">
        <v>35932</v>
      </c>
      <c r="D11991" t="str">
        <f>HYPERLINK("https://zfin.org/ZDB-GENE-070615-37")</f>
        <v>https://zfin.org/ZDB-GENE-070615-37</v>
      </c>
      <c r="E11991" t="s">
        <v>35933</v>
      </c>
    </row>
    <row r="11992" spans="1:5" x14ac:dyDescent="0.2">
      <c r="A11992" t="s">
        <v>35934</v>
      </c>
      <c r="B11992" t="s">
        <v>35935</v>
      </c>
      <c r="C11992" t="s">
        <v>35935</v>
      </c>
      <c r="D11992" t="str">
        <f>HYPERLINK("https://zfin.org/ZDB-GENE-030131-994")</f>
        <v>https://zfin.org/ZDB-GENE-030131-994</v>
      </c>
      <c r="E11992" t="s">
        <v>35936</v>
      </c>
    </row>
    <row r="11993" spans="1:5" x14ac:dyDescent="0.2">
      <c r="A11993" t="s">
        <v>35937</v>
      </c>
      <c r="B11993" t="s">
        <v>35938</v>
      </c>
      <c r="C11993" t="s">
        <v>35938</v>
      </c>
      <c r="D11993" t="str">
        <f>HYPERLINK("https://zfin.org/ZDB-GENE-160114-44")</f>
        <v>https://zfin.org/ZDB-GENE-160114-44</v>
      </c>
      <c r="E11993" t="s">
        <v>35939</v>
      </c>
    </row>
    <row r="11994" spans="1:5" x14ac:dyDescent="0.2">
      <c r="A11994" t="s">
        <v>35940</v>
      </c>
      <c r="B11994" t="s">
        <v>35941</v>
      </c>
      <c r="C11994" t="s">
        <v>35941</v>
      </c>
      <c r="D11994" t="str">
        <f>HYPERLINK("https://zfin.org/ZDB-GENE-040801-265")</f>
        <v>https://zfin.org/ZDB-GENE-040801-265</v>
      </c>
      <c r="E11994" t="s">
        <v>35942</v>
      </c>
    </row>
    <row r="11995" spans="1:5" x14ac:dyDescent="0.2">
      <c r="A11995" t="s">
        <v>35943</v>
      </c>
      <c r="B11995" t="s">
        <v>35944</v>
      </c>
      <c r="C11995" t="s">
        <v>35944</v>
      </c>
      <c r="D11995" t="str">
        <f>HYPERLINK("https://zfin.org/ZDB-GENE-040426-1249")</f>
        <v>https://zfin.org/ZDB-GENE-040426-1249</v>
      </c>
      <c r="E11995" t="s">
        <v>35945</v>
      </c>
    </row>
    <row r="11996" spans="1:5" x14ac:dyDescent="0.2">
      <c r="A11996" t="s">
        <v>35946</v>
      </c>
      <c r="B11996" t="s">
        <v>35947</v>
      </c>
      <c r="C11996" t="s">
        <v>35947</v>
      </c>
      <c r="D11996" t="str">
        <f>HYPERLINK("https://zfin.org/ZDB-GENE-050419-163")</f>
        <v>https://zfin.org/ZDB-GENE-050419-163</v>
      </c>
      <c r="E11996" t="s">
        <v>35948</v>
      </c>
    </row>
    <row r="11997" spans="1:5" x14ac:dyDescent="0.2">
      <c r="A11997" t="s">
        <v>35949</v>
      </c>
      <c r="B11997" t="s">
        <v>35950</v>
      </c>
      <c r="C11997" t="s">
        <v>35950</v>
      </c>
      <c r="D11997" t="str">
        <f>HYPERLINK("https://zfin.org/ZDB-GENE-991026-6")</f>
        <v>https://zfin.org/ZDB-GENE-991026-6</v>
      </c>
      <c r="E11997" t="s">
        <v>35951</v>
      </c>
    </row>
    <row r="11998" spans="1:5" x14ac:dyDescent="0.2">
      <c r="A11998" t="s">
        <v>35952</v>
      </c>
      <c r="B11998" t="s">
        <v>35953</v>
      </c>
      <c r="C11998" t="s">
        <v>35953</v>
      </c>
      <c r="D11998" t="str">
        <f>HYPERLINK("https://zfin.org/ZDB-GENE-050411-13")</f>
        <v>https://zfin.org/ZDB-GENE-050411-13</v>
      </c>
      <c r="E11998" t="s">
        <v>35954</v>
      </c>
    </row>
    <row r="11999" spans="1:5" x14ac:dyDescent="0.2">
      <c r="A11999" t="s">
        <v>35955</v>
      </c>
      <c r="B11999" t="s">
        <v>35956</v>
      </c>
      <c r="C11999" t="s">
        <v>35956</v>
      </c>
      <c r="D11999" t="str">
        <f>HYPERLINK("https://zfin.org/ZDB-GENE-040109-6")</f>
        <v>https://zfin.org/ZDB-GENE-040109-6</v>
      </c>
      <c r="E11999" t="s">
        <v>35957</v>
      </c>
    </row>
    <row r="12000" spans="1:5" x14ac:dyDescent="0.2">
      <c r="A12000" t="s">
        <v>35958</v>
      </c>
      <c r="B12000" t="s">
        <v>35959</v>
      </c>
      <c r="C12000" t="s">
        <v>35959</v>
      </c>
      <c r="D12000" t="str">
        <f>HYPERLINK("https://zfin.org/ZDB-GENE-030131-7781")</f>
        <v>https://zfin.org/ZDB-GENE-030131-7781</v>
      </c>
      <c r="E12000" t="s">
        <v>35960</v>
      </c>
    </row>
    <row r="12001" spans="1:5" x14ac:dyDescent="0.2">
      <c r="A12001" t="s">
        <v>35961</v>
      </c>
      <c r="B12001" t="s">
        <v>35962</v>
      </c>
      <c r="C12001" t="s">
        <v>35962</v>
      </c>
      <c r="D12001" t="str">
        <f>HYPERLINK("https://zfin.org/ZDB-GENE-091027-1")</f>
        <v>https://zfin.org/ZDB-GENE-091027-1</v>
      </c>
      <c r="E12001" t="s">
        <v>35963</v>
      </c>
    </row>
    <row r="12002" spans="1:5" x14ac:dyDescent="0.2">
      <c r="A12002" t="s">
        <v>35964</v>
      </c>
      <c r="B12002" t="s">
        <v>35965</v>
      </c>
      <c r="C12002" t="s">
        <v>35965</v>
      </c>
      <c r="D12002" t="str">
        <f>HYPERLINK("https://zfin.org/ZDB-GENE-030131-2978")</f>
        <v>https://zfin.org/ZDB-GENE-030131-2978</v>
      </c>
      <c r="E12002" t="s">
        <v>35966</v>
      </c>
    </row>
    <row r="12003" spans="1:5" x14ac:dyDescent="0.2">
      <c r="A12003" t="s">
        <v>35967</v>
      </c>
      <c r="B12003" t="s">
        <v>35968</v>
      </c>
      <c r="C12003" t="s">
        <v>35968</v>
      </c>
      <c r="D12003" t="str">
        <f>HYPERLINK("https://zfin.org/ZDB-GENE-050320-127")</f>
        <v>https://zfin.org/ZDB-GENE-050320-127</v>
      </c>
      <c r="E12003" t="s">
        <v>35969</v>
      </c>
    </row>
    <row r="12004" spans="1:5" x14ac:dyDescent="0.2">
      <c r="A12004" t="s">
        <v>35970</v>
      </c>
      <c r="B12004" t="s">
        <v>35971</v>
      </c>
      <c r="C12004" t="s">
        <v>35971</v>
      </c>
      <c r="D12004" t="str">
        <f>HYPERLINK("https://zfin.org/ZDB-GENE-030620-1")</f>
        <v>https://zfin.org/ZDB-GENE-030620-1</v>
      </c>
      <c r="E12004" t="s">
        <v>35972</v>
      </c>
    </row>
    <row r="12005" spans="1:5" x14ac:dyDescent="0.2">
      <c r="A12005" t="s">
        <v>35973</v>
      </c>
      <c r="B12005" t="s">
        <v>35974</v>
      </c>
      <c r="C12005" t="s">
        <v>35974</v>
      </c>
      <c r="D12005" t="str">
        <f>HYPERLINK("https://zfin.org/ZDB-GENE-061110-61")</f>
        <v>https://zfin.org/ZDB-GENE-061110-61</v>
      </c>
      <c r="E12005" t="s">
        <v>35975</v>
      </c>
    </row>
    <row r="12006" spans="1:5" x14ac:dyDescent="0.2">
      <c r="A12006" t="s">
        <v>35976</v>
      </c>
      <c r="B12006" t="s">
        <v>35977</v>
      </c>
      <c r="C12006" t="s">
        <v>35977</v>
      </c>
      <c r="D12006" t="str">
        <f>HYPERLINK("https://zfin.org/ZDB-GENE-040426-2435")</f>
        <v>https://zfin.org/ZDB-GENE-040426-2435</v>
      </c>
      <c r="E12006" t="s">
        <v>35978</v>
      </c>
    </row>
    <row r="12007" spans="1:5" x14ac:dyDescent="0.2">
      <c r="A12007" t="s">
        <v>35979</v>
      </c>
      <c r="B12007" t="s">
        <v>35980</v>
      </c>
      <c r="C12007" t="s">
        <v>35980</v>
      </c>
      <c r="D12007" t="str">
        <f>HYPERLINK("https://zfin.org/ZDB-GENE-081107-29")</f>
        <v>https://zfin.org/ZDB-GENE-081107-29</v>
      </c>
      <c r="E12007" t="s">
        <v>35981</v>
      </c>
    </row>
    <row r="12008" spans="1:5" x14ac:dyDescent="0.2">
      <c r="A12008" t="s">
        <v>35982</v>
      </c>
      <c r="B12008" t="s">
        <v>35983</v>
      </c>
      <c r="C12008" t="s">
        <v>35983</v>
      </c>
      <c r="D12008" t="str">
        <f>HYPERLINK("https://zfin.org/ZDB-GENE-041014-79")</f>
        <v>https://zfin.org/ZDB-GENE-041014-79</v>
      </c>
      <c r="E12008" t="s">
        <v>35984</v>
      </c>
    </row>
    <row r="12009" spans="1:5" x14ac:dyDescent="0.2">
      <c r="A12009" t="s">
        <v>35985</v>
      </c>
      <c r="B12009" t="s">
        <v>35986</v>
      </c>
      <c r="C12009" t="s">
        <v>35986</v>
      </c>
      <c r="D12009" t="str">
        <f>HYPERLINK("https://zfin.org/ZDB-GENE-041111-110")</f>
        <v>https://zfin.org/ZDB-GENE-041111-110</v>
      </c>
      <c r="E12009" t="s">
        <v>35987</v>
      </c>
    </row>
    <row r="12010" spans="1:5" x14ac:dyDescent="0.2">
      <c r="A12010" t="s">
        <v>35988</v>
      </c>
      <c r="B12010" t="s">
        <v>35989</v>
      </c>
      <c r="C12010" t="s">
        <v>35989</v>
      </c>
      <c r="D12010" t="str">
        <f>HYPERLINK("https://zfin.org/ZDB-GENE-110914-226")</f>
        <v>https://zfin.org/ZDB-GENE-110914-226</v>
      </c>
      <c r="E12010" t="s">
        <v>35990</v>
      </c>
    </row>
    <row r="12011" spans="1:5" x14ac:dyDescent="0.2">
      <c r="A12011" t="s">
        <v>35991</v>
      </c>
      <c r="B12011" t="s">
        <v>35992</v>
      </c>
      <c r="C12011" t="s">
        <v>35992</v>
      </c>
      <c r="D12011" t="str">
        <f>HYPERLINK("https://zfin.org/ZDB-GENE-040426-2018")</f>
        <v>https://zfin.org/ZDB-GENE-040426-2018</v>
      </c>
      <c r="E12011" t="s">
        <v>35993</v>
      </c>
    </row>
    <row r="12012" spans="1:5" x14ac:dyDescent="0.2">
      <c r="A12012" t="s">
        <v>35994</v>
      </c>
      <c r="B12012" t="s">
        <v>35995</v>
      </c>
      <c r="C12012" t="s">
        <v>35995</v>
      </c>
      <c r="D12012" t="str">
        <f>HYPERLINK("https://zfin.org/ZDB-GENE-030131-2412")</f>
        <v>https://zfin.org/ZDB-GENE-030131-2412</v>
      </c>
      <c r="E12012" t="s">
        <v>35996</v>
      </c>
    </row>
    <row r="12013" spans="1:5" x14ac:dyDescent="0.2">
      <c r="A12013" t="s">
        <v>35997</v>
      </c>
      <c r="B12013" t="s">
        <v>35998</v>
      </c>
      <c r="C12013" t="s">
        <v>35998</v>
      </c>
      <c r="D12013" t="str">
        <f>HYPERLINK("https://zfin.org/ZDB-GENE-141216-34")</f>
        <v>https://zfin.org/ZDB-GENE-141216-34</v>
      </c>
      <c r="E12013" t="s">
        <v>35999</v>
      </c>
    </row>
    <row r="12014" spans="1:5" x14ac:dyDescent="0.2">
      <c r="A12014" t="s">
        <v>36000</v>
      </c>
      <c r="B12014" t="s">
        <v>36001</v>
      </c>
      <c r="C12014" t="s">
        <v>36001</v>
      </c>
      <c r="D12014" t="str">
        <f>HYPERLINK("https://zfin.org/ZDB-GENE-110621-2")</f>
        <v>https://zfin.org/ZDB-GENE-110621-2</v>
      </c>
      <c r="E12014" t="s">
        <v>36002</v>
      </c>
    </row>
    <row r="12015" spans="1:5" x14ac:dyDescent="0.2">
      <c r="A12015" t="s">
        <v>36003</v>
      </c>
      <c r="B12015" t="s">
        <v>36004</v>
      </c>
      <c r="C12015" t="s">
        <v>36004</v>
      </c>
      <c r="D12015" t="str">
        <f>HYPERLINK("https://zfin.org/ZDB-GENE-100316-5")</f>
        <v>https://zfin.org/ZDB-GENE-100316-5</v>
      </c>
      <c r="E12015" t="s">
        <v>36005</v>
      </c>
    </row>
    <row r="12016" spans="1:5" x14ac:dyDescent="0.2">
      <c r="A12016" t="s">
        <v>36006</v>
      </c>
      <c r="B12016" t="s">
        <v>36007</v>
      </c>
      <c r="C12016" t="s">
        <v>36007</v>
      </c>
      <c r="D12016" t="str">
        <f>HYPERLINK("https://zfin.org/ZDB-GENE-060503-440")</f>
        <v>https://zfin.org/ZDB-GENE-060503-440</v>
      </c>
      <c r="E12016" t="s">
        <v>36008</v>
      </c>
    </row>
    <row r="12017" spans="1:5" x14ac:dyDescent="0.2">
      <c r="A12017" t="s">
        <v>36009</v>
      </c>
      <c r="B12017" t="s">
        <v>36010</v>
      </c>
      <c r="C12017" t="s">
        <v>36010</v>
      </c>
      <c r="D12017" t="str">
        <f>HYPERLINK("https://zfin.org/ZDB-GENE-060503-179")</f>
        <v>https://zfin.org/ZDB-GENE-060503-179</v>
      </c>
      <c r="E12017" t="s">
        <v>36011</v>
      </c>
    </row>
    <row r="12018" spans="1:5" x14ac:dyDescent="0.2">
      <c r="A12018" t="s">
        <v>36012</v>
      </c>
      <c r="B12018" t="s">
        <v>36013</v>
      </c>
      <c r="C12018" t="s">
        <v>36013</v>
      </c>
      <c r="D12018" t="str">
        <f>HYPERLINK("https://zfin.org/ZDB-GENE-091118-114")</f>
        <v>https://zfin.org/ZDB-GENE-091118-114</v>
      </c>
      <c r="E12018" t="s">
        <v>36014</v>
      </c>
    </row>
    <row r="12019" spans="1:5" x14ac:dyDescent="0.2">
      <c r="A12019" t="s">
        <v>36015</v>
      </c>
      <c r="B12019" t="s">
        <v>36016</v>
      </c>
      <c r="C12019" t="s">
        <v>36016</v>
      </c>
      <c r="D12019" t="str">
        <f>HYPERLINK("https://zfin.org/ZDB-GENE-141219-15")</f>
        <v>https://zfin.org/ZDB-GENE-141219-15</v>
      </c>
      <c r="E12019" t="s">
        <v>36017</v>
      </c>
    </row>
    <row r="12020" spans="1:5" x14ac:dyDescent="0.2">
      <c r="A12020" t="s">
        <v>36018</v>
      </c>
      <c r="B12020" t="s">
        <v>36019</v>
      </c>
      <c r="C12020" t="s">
        <v>36019</v>
      </c>
      <c r="D12020" t="str">
        <f>HYPERLINK("https://zfin.org/ZDB-GENE-051030-72")</f>
        <v>https://zfin.org/ZDB-GENE-051030-72</v>
      </c>
      <c r="E12020" t="s">
        <v>36020</v>
      </c>
    </row>
    <row r="12021" spans="1:5" x14ac:dyDescent="0.2">
      <c r="A12021" t="s">
        <v>36021</v>
      </c>
      <c r="B12021" t="s">
        <v>36022</v>
      </c>
      <c r="C12021" t="s">
        <v>36022</v>
      </c>
      <c r="D12021" t="str">
        <f>HYPERLINK("https://zfin.org/ZDB-GENE-070719-5")</f>
        <v>https://zfin.org/ZDB-GENE-070719-5</v>
      </c>
      <c r="E12021" t="s">
        <v>36023</v>
      </c>
    </row>
    <row r="12022" spans="1:5" x14ac:dyDescent="0.2">
      <c r="A12022" t="s">
        <v>36024</v>
      </c>
      <c r="B12022" t="s">
        <v>36025</v>
      </c>
      <c r="C12022" t="s">
        <v>36025</v>
      </c>
      <c r="D12022" t="str">
        <f>HYPERLINK("https://zfin.org/ZDB-GENE-030131-5694")</f>
        <v>https://zfin.org/ZDB-GENE-030131-5694</v>
      </c>
      <c r="E12022" t="s">
        <v>36026</v>
      </c>
    </row>
    <row r="12023" spans="1:5" x14ac:dyDescent="0.2">
      <c r="A12023" t="s">
        <v>36027</v>
      </c>
      <c r="B12023" t="s">
        <v>36028</v>
      </c>
      <c r="C12023" t="s">
        <v>36028</v>
      </c>
      <c r="D12023" t="str">
        <f>HYPERLINK("https://zfin.org/ZDB-GENE-040426-699")</f>
        <v>https://zfin.org/ZDB-GENE-040426-699</v>
      </c>
      <c r="E12023" t="s">
        <v>36029</v>
      </c>
    </row>
    <row r="12024" spans="1:5" x14ac:dyDescent="0.2">
      <c r="A12024" t="s">
        <v>36030</v>
      </c>
      <c r="B12024" t="s">
        <v>36031</v>
      </c>
      <c r="C12024" t="s">
        <v>36031</v>
      </c>
      <c r="D12024" t="str">
        <f>HYPERLINK("https://zfin.org/ZDB-GENE-060421-4388")</f>
        <v>https://zfin.org/ZDB-GENE-060421-4388</v>
      </c>
      <c r="E12024" t="s">
        <v>36032</v>
      </c>
    </row>
    <row r="12025" spans="1:5" x14ac:dyDescent="0.2">
      <c r="A12025" t="s">
        <v>36033</v>
      </c>
      <c r="B12025" t="s">
        <v>36034</v>
      </c>
      <c r="C12025" t="s">
        <v>36034</v>
      </c>
      <c r="D12025" t="str">
        <f>HYPERLINK("https://zfin.org/ZDB-GENE-090706-4")</f>
        <v>https://zfin.org/ZDB-GENE-090706-4</v>
      </c>
      <c r="E12025" t="s">
        <v>36035</v>
      </c>
    </row>
    <row r="12026" spans="1:5" x14ac:dyDescent="0.2">
      <c r="A12026" t="s">
        <v>36036</v>
      </c>
      <c r="B12026" t="s">
        <v>36037</v>
      </c>
      <c r="C12026" t="s">
        <v>36037</v>
      </c>
      <c r="D12026" t="str">
        <f>HYPERLINK("https://zfin.org/ZDB-GENE-050506-102")</f>
        <v>https://zfin.org/ZDB-GENE-050506-102</v>
      </c>
      <c r="E12026" t="s">
        <v>36038</v>
      </c>
    </row>
    <row r="12027" spans="1:5" x14ac:dyDescent="0.2">
      <c r="A12027" t="s">
        <v>36039</v>
      </c>
      <c r="B12027" t="s">
        <v>36040</v>
      </c>
      <c r="C12027" t="s">
        <v>36040</v>
      </c>
      <c r="D12027" t="str">
        <f>HYPERLINK("https://zfin.org/ZDB-GENE-040426-1229")</f>
        <v>https://zfin.org/ZDB-GENE-040426-1229</v>
      </c>
      <c r="E12027" t="s">
        <v>36041</v>
      </c>
    </row>
    <row r="12028" spans="1:5" x14ac:dyDescent="0.2">
      <c r="A12028" t="s">
        <v>36042</v>
      </c>
      <c r="B12028" t="s">
        <v>36043</v>
      </c>
      <c r="C12028" t="s">
        <v>36043</v>
      </c>
      <c r="D12028" t="str">
        <f>HYPERLINK("https://zfin.org/ZDB-GENE-080219-51")</f>
        <v>https://zfin.org/ZDB-GENE-080219-51</v>
      </c>
      <c r="E12028" t="s">
        <v>36044</v>
      </c>
    </row>
    <row r="12029" spans="1:5" x14ac:dyDescent="0.2">
      <c r="A12029" t="s">
        <v>36045</v>
      </c>
      <c r="B12029" t="s">
        <v>36046</v>
      </c>
      <c r="C12029" t="s">
        <v>36046</v>
      </c>
      <c r="D12029" t="str">
        <f>HYPERLINK("https://zfin.org/ZDB-GENE-030131-9439")</f>
        <v>https://zfin.org/ZDB-GENE-030131-9439</v>
      </c>
      <c r="E12029" t="s">
        <v>36047</v>
      </c>
    </row>
    <row r="12030" spans="1:5" x14ac:dyDescent="0.2">
      <c r="A12030" t="s">
        <v>36048</v>
      </c>
      <c r="B12030" t="s">
        <v>36049</v>
      </c>
      <c r="C12030" t="s">
        <v>36049</v>
      </c>
      <c r="D12030" t="str">
        <f>HYPERLINK("https://zfin.org/ZDB-GENE-040426-1270")</f>
        <v>https://zfin.org/ZDB-GENE-040426-1270</v>
      </c>
      <c r="E12030" t="s">
        <v>36050</v>
      </c>
    </row>
    <row r="12031" spans="1:5" x14ac:dyDescent="0.2">
      <c r="A12031" t="s">
        <v>36051</v>
      </c>
      <c r="B12031" t="s">
        <v>36052</v>
      </c>
      <c r="C12031" t="s">
        <v>36052</v>
      </c>
      <c r="D12031" t="str">
        <f>HYPERLINK("https://zfin.org/ZDB-GENE-030131-7661")</f>
        <v>https://zfin.org/ZDB-GENE-030131-7661</v>
      </c>
      <c r="E12031" t="s">
        <v>36053</v>
      </c>
    </row>
    <row r="12032" spans="1:5" x14ac:dyDescent="0.2">
      <c r="A12032" t="s">
        <v>36054</v>
      </c>
      <c r="B12032" t="s">
        <v>36055</v>
      </c>
      <c r="C12032" t="s">
        <v>36055</v>
      </c>
      <c r="D12032" t="str">
        <f>HYPERLINK("https://zfin.org/ZDB-GENE-070112-2312")</f>
        <v>https://zfin.org/ZDB-GENE-070112-2312</v>
      </c>
      <c r="E12032" t="s">
        <v>36056</v>
      </c>
    </row>
    <row r="12033" spans="1:5" x14ac:dyDescent="0.2">
      <c r="A12033" t="s">
        <v>36057</v>
      </c>
      <c r="B12033" t="s">
        <v>36058</v>
      </c>
      <c r="C12033" t="s">
        <v>36058</v>
      </c>
      <c r="D12033" t="str">
        <f>HYPERLINK("https://zfin.org/ZDB-GENE-041010-163")</f>
        <v>https://zfin.org/ZDB-GENE-041010-163</v>
      </c>
      <c r="E12033" t="s">
        <v>36059</v>
      </c>
    </row>
    <row r="12034" spans="1:5" x14ac:dyDescent="0.2">
      <c r="A12034" t="s">
        <v>36060</v>
      </c>
      <c r="B12034" t="s">
        <v>36061</v>
      </c>
      <c r="C12034" t="s">
        <v>36061</v>
      </c>
      <c r="D12034" t="str">
        <f>HYPERLINK("https://zfin.org/ZDB-GENE-060322-10")</f>
        <v>https://zfin.org/ZDB-GENE-060322-10</v>
      </c>
      <c r="E12034" t="s">
        <v>36062</v>
      </c>
    </row>
    <row r="12035" spans="1:5" x14ac:dyDescent="0.2">
      <c r="A12035" t="s">
        <v>36063</v>
      </c>
      <c r="B12035" t="s">
        <v>36064</v>
      </c>
      <c r="C12035" t="s">
        <v>36064</v>
      </c>
      <c r="D12035" t="str">
        <f>HYPERLINK("https://zfin.org/ZDB-GENE-030131-3113")</f>
        <v>https://zfin.org/ZDB-GENE-030131-3113</v>
      </c>
      <c r="E12035" t="s">
        <v>36065</v>
      </c>
    </row>
    <row r="12036" spans="1:5" x14ac:dyDescent="0.2">
      <c r="A12036" t="s">
        <v>36066</v>
      </c>
      <c r="B12036" t="s">
        <v>36067</v>
      </c>
      <c r="C12036" t="s">
        <v>36067</v>
      </c>
      <c r="D12036" t="str">
        <f>HYPERLINK("https://zfin.org/ZDB-GENE-040426-1620")</f>
        <v>https://zfin.org/ZDB-GENE-040426-1620</v>
      </c>
      <c r="E12036" t="s">
        <v>36068</v>
      </c>
    </row>
    <row r="12037" spans="1:5" x14ac:dyDescent="0.2">
      <c r="A12037" t="s">
        <v>36069</v>
      </c>
      <c r="B12037" t="s">
        <v>36070</v>
      </c>
      <c r="C12037" t="s">
        <v>36070</v>
      </c>
      <c r="D12037" t="str">
        <f>HYPERLINK("https://zfin.org/ZDB-GENE-090406-2")</f>
        <v>https://zfin.org/ZDB-GENE-090406-2</v>
      </c>
      <c r="E12037" t="s">
        <v>36071</v>
      </c>
    </row>
    <row r="12038" spans="1:5" x14ac:dyDescent="0.2">
      <c r="A12038" t="s">
        <v>36072</v>
      </c>
      <c r="B12038" t="s">
        <v>36073</v>
      </c>
      <c r="C12038" t="s">
        <v>36073</v>
      </c>
      <c r="D12038" t="str">
        <f>HYPERLINK("https://zfin.org/ZDB-GENE-050522-456")</f>
        <v>https://zfin.org/ZDB-GENE-050522-456</v>
      </c>
      <c r="E12038" t="s">
        <v>36074</v>
      </c>
    </row>
    <row r="12039" spans="1:5" x14ac:dyDescent="0.2">
      <c r="A12039" t="s">
        <v>36075</v>
      </c>
      <c r="B12039" t="s">
        <v>36076</v>
      </c>
      <c r="C12039" t="s">
        <v>36076</v>
      </c>
      <c r="D12039" t="str">
        <f>HYPERLINK("https://zfin.org/ZDB-GENE-040426-2045")</f>
        <v>https://zfin.org/ZDB-GENE-040426-2045</v>
      </c>
      <c r="E12039" t="s">
        <v>36077</v>
      </c>
    </row>
    <row r="12040" spans="1:5" x14ac:dyDescent="0.2">
      <c r="A12040" t="s">
        <v>36078</v>
      </c>
      <c r="B12040" t="s">
        <v>36079</v>
      </c>
      <c r="C12040" t="s">
        <v>36079</v>
      </c>
      <c r="D12040" t="str">
        <f>HYPERLINK("https://zfin.org/ZDB-GENE-130103-5")</f>
        <v>https://zfin.org/ZDB-GENE-130103-5</v>
      </c>
      <c r="E12040" t="s">
        <v>36080</v>
      </c>
    </row>
    <row r="12041" spans="1:5" x14ac:dyDescent="0.2">
      <c r="A12041" t="s">
        <v>36081</v>
      </c>
      <c r="B12041" t="s">
        <v>36082</v>
      </c>
      <c r="C12041" t="s">
        <v>36082</v>
      </c>
      <c r="D12041" t="str">
        <f>HYPERLINK("https://zfin.org/ZDB-GENE-120215-114")</f>
        <v>https://zfin.org/ZDB-GENE-120215-114</v>
      </c>
      <c r="E12041" t="s">
        <v>36083</v>
      </c>
    </row>
    <row r="12042" spans="1:5" x14ac:dyDescent="0.2">
      <c r="A12042" t="s">
        <v>36084</v>
      </c>
      <c r="B12042" t="s">
        <v>36085</v>
      </c>
      <c r="C12042" t="s">
        <v>36085</v>
      </c>
      <c r="D12042" t="str">
        <f>HYPERLINK("https://zfin.org/ZDB-GENE-090313-384")</f>
        <v>https://zfin.org/ZDB-GENE-090313-384</v>
      </c>
      <c r="E12042" t="s">
        <v>36086</v>
      </c>
    </row>
    <row r="12043" spans="1:5" x14ac:dyDescent="0.2">
      <c r="A12043" t="s">
        <v>36087</v>
      </c>
      <c r="B12043" t="s">
        <v>36088</v>
      </c>
      <c r="C12043" t="s">
        <v>36088</v>
      </c>
      <c r="D12043" t="str">
        <f>HYPERLINK("https://zfin.org/ZDB-GENE-110411-160")</f>
        <v>https://zfin.org/ZDB-GENE-110411-160</v>
      </c>
      <c r="E12043" t="s">
        <v>36089</v>
      </c>
    </row>
    <row r="12044" spans="1:5" x14ac:dyDescent="0.2">
      <c r="A12044" t="s">
        <v>36090</v>
      </c>
      <c r="B12044" t="s">
        <v>36091</v>
      </c>
      <c r="C12044" t="s">
        <v>36091</v>
      </c>
      <c r="D12044" t="str">
        <f>HYPERLINK("https://zfin.org/ZDB-GENE-050913-35")</f>
        <v>https://zfin.org/ZDB-GENE-050913-35</v>
      </c>
      <c r="E12044" t="s">
        <v>36092</v>
      </c>
    </row>
    <row r="12045" spans="1:5" x14ac:dyDescent="0.2">
      <c r="A12045" t="s">
        <v>36093</v>
      </c>
      <c r="B12045" t="s">
        <v>36094</v>
      </c>
      <c r="C12045" t="s">
        <v>36094</v>
      </c>
      <c r="D12045" t="str">
        <f>HYPERLINK("https://zfin.org/ZDB-GENE-060929-1154")</f>
        <v>https://zfin.org/ZDB-GENE-060929-1154</v>
      </c>
      <c r="E12045" t="s">
        <v>36095</v>
      </c>
    </row>
    <row r="12046" spans="1:5" x14ac:dyDescent="0.2">
      <c r="A12046" t="s">
        <v>36096</v>
      </c>
      <c r="B12046" t="s">
        <v>36097</v>
      </c>
      <c r="C12046" t="s">
        <v>36097</v>
      </c>
      <c r="D12046" t="str">
        <f>HYPERLINK("https://zfin.org/ZDB-GENE-141216-265")</f>
        <v>https://zfin.org/ZDB-GENE-141216-265</v>
      </c>
      <c r="E12046" t="s">
        <v>36098</v>
      </c>
    </row>
    <row r="12047" spans="1:5" x14ac:dyDescent="0.2">
      <c r="A12047" t="s">
        <v>36099</v>
      </c>
      <c r="B12047" t="s">
        <v>36100</v>
      </c>
      <c r="C12047" t="s">
        <v>36100</v>
      </c>
      <c r="D12047" t="str">
        <f>HYPERLINK("https://zfin.org/ZDB-GENE-030131-650")</f>
        <v>https://zfin.org/ZDB-GENE-030131-650</v>
      </c>
      <c r="E12047" t="s">
        <v>36101</v>
      </c>
    </row>
    <row r="12048" spans="1:5" x14ac:dyDescent="0.2">
      <c r="A12048" t="s">
        <v>36102</v>
      </c>
      <c r="B12048" t="s">
        <v>36103</v>
      </c>
      <c r="C12048" t="s">
        <v>36103</v>
      </c>
      <c r="D12048" t="str">
        <f>HYPERLINK("https://zfin.org/ZDB-GENE-080610-1")</f>
        <v>https://zfin.org/ZDB-GENE-080610-1</v>
      </c>
      <c r="E12048" t="s">
        <v>36104</v>
      </c>
    </row>
    <row r="12049" spans="1:5" x14ac:dyDescent="0.2">
      <c r="A12049" t="s">
        <v>36105</v>
      </c>
      <c r="B12049" t="s">
        <v>36106</v>
      </c>
      <c r="C12049" t="s">
        <v>36106</v>
      </c>
      <c r="D12049" t="str">
        <f>HYPERLINK("https://zfin.org/ZDB-GENE-080204-78")</f>
        <v>https://zfin.org/ZDB-GENE-080204-78</v>
      </c>
      <c r="E12049" t="s">
        <v>36107</v>
      </c>
    </row>
    <row r="12050" spans="1:5" x14ac:dyDescent="0.2">
      <c r="A12050" t="s">
        <v>36108</v>
      </c>
      <c r="B12050" t="s">
        <v>36109</v>
      </c>
      <c r="C12050" t="s">
        <v>36109</v>
      </c>
      <c r="D12050" t="str">
        <f>HYPERLINK("https://zfin.org/ZDB-GENE-091204-402")</f>
        <v>https://zfin.org/ZDB-GENE-091204-402</v>
      </c>
      <c r="E12050" t="s">
        <v>36110</v>
      </c>
    </row>
    <row r="12051" spans="1:5" x14ac:dyDescent="0.2">
      <c r="A12051" t="s">
        <v>36111</v>
      </c>
      <c r="B12051" t="s">
        <v>36112</v>
      </c>
      <c r="C12051" t="s">
        <v>36112</v>
      </c>
      <c r="D12051" t="str">
        <f>HYPERLINK("https://zfin.org/ZDB-GENE-050309-166")</f>
        <v>https://zfin.org/ZDB-GENE-050309-166</v>
      </c>
      <c r="E12051" t="s">
        <v>36113</v>
      </c>
    </row>
    <row r="12052" spans="1:5" x14ac:dyDescent="0.2">
      <c r="A12052" t="s">
        <v>36114</v>
      </c>
      <c r="B12052" t="s">
        <v>36115</v>
      </c>
      <c r="C12052" t="s">
        <v>36115</v>
      </c>
      <c r="D12052" t="str">
        <f>HYPERLINK("https://zfin.org/ZDB-GENE-990714-29")</f>
        <v>https://zfin.org/ZDB-GENE-990714-29</v>
      </c>
      <c r="E12052" t="s">
        <v>36116</v>
      </c>
    </row>
    <row r="12053" spans="1:5" x14ac:dyDescent="0.2">
      <c r="A12053" t="s">
        <v>36117</v>
      </c>
      <c r="B12053" t="s">
        <v>36118</v>
      </c>
      <c r="C12053" t="s">
        <v>36118</v>
      </c>
      <c r="D12053" t="str">
        <f>HYPERLINK("https://zfin.org/ZDB-GENE-060531-108")</f>
        <v>https://zfin.org/ZDB-GENE-060531-108</v>
      </c>
      <c r="E12053" t="s">
        <v>36119</v>
      </c>
    </row>
    <row r="12054" spans="1:5" x14ac:dyDescent="0.2">
      <c r="A12054" t="s">
        <v>36120</v>
      </c>
      <c r="B12054" t="s">
        <v>36121</v>
      </c>
      <c r="C12054" t="s">
        <v>36121</v>
      </c>
      <c r="D12054" t="str">
        <f>HYPERLINK("https://zfin.org/ZDB-GENE-030616-23")</f>
        <v>https://zfin.org/ZDB-GENE-030616-23</v>
      </c>
      <c r="E12054" t="s">
        <v>36122</v>
      </c>
    </row>
    <row r="12055" spans="1:5" x14ac:dyDescent="0.2">
      <c r="A12055" t="s">
        <v>36123</v>
      </c>
      <c r="B12055" t="s">
        <v>36124</v>
      </c>
      <c r="C12055" t="s">
        <v>36124</v>
      </c>
      <c r="D12055" t="str">
        <f>HYPERLINK("https://zfin.org/ZDB-GENE-100922-148")</f>
        <v>https://zfin.org/ZDB-GENE-100922-148</v>
      </c>
      <c r="E12055" t="s">
        <v>36125</v>
      </c>
    </row>
    <row r="12056" spans="1:5" x14ac:dyDescent="0.2">
      <c r="A12056" t="s">
        <v>36126</v>
      </c>
      <c r="B12056" t="s">
        <v>36127</v>
      </c>
      <c r="C12056" t="s">
        <v>36127</v>
      </c>
      <c r="D12056" t="str">
        <f>HYPERLINK("https://zfin.org/")</f>
        <v>https://zfin.org/</v>
      </c>
      <c r="E12056" t="s">
        <v>36128</v>
      </c>
    </row>
    <row r="12057" spans="1:5" x14ac:dyDescent="0.2">
      <c r="A12057" t="s">
        <v>36129</v>
      </c>
      <c r="B12057" t="s">
        <v>36130</v>
      </c>
      <c r="C12057" t="s">
        <v>36130</v>
      </c>
      <c r="D12057" t="str">
        <f>HYPERLINK("https://zfin.org/ZDB-GENE-070108-1")</f>
        <v>https://zfin.org/ZDB-GENE-070108-1</v>
      </c>
      <c r="E12057" t="s">
        <v>36131</v>
      </c>
    </row>
    <row r="12058" spans="1:5" x14ac:dyDescent="0.2">
      <c r="A12058" t="s">
        <v>36132</v>
      </c>
      <c r="B12058" t="s">
        <v>36133</v>
      </c>
      <c r="C12058" t="s">
        <v>36133</v>
      </c>
      <c r="D12058" t="str">
        <f>HYPERLINK("https://zfin.org/ZDB-GENE-050208-726")</f>
        <v>https://zfin.org/ZDB-GENE-050208-726</v>
      </c>
      <c r="E12058" t="s">
        <v>36134</v>
      </c>
    </row>
    <row r="12059" spans="1:5" x14ac:dyDescent="0.2">
      <c r="A12059" t="s">
        <v>36135</v>
      </c>
      <c r="B12059" t="s">
        <v>36136</v>
      </c>
      <c r="C12059" t="s">
        <v>36136</v>
      </c>
      <c r="D12059" t="str">
        <f>HYPERLINK("https://zfin.org/ZDB-GENE-040718-261")</f>
        <v>https://zfin.org/ZDB-GENE-040718-261</v>
      </c>
      <c r="E12059" t="s">
        <v>36137</v>
      </c>
    </row>
    <row r="12060" spans="1:5" x14ac:dyDescent="0.2">
      <c r="A12060" t="s">
        <v>36138</v>
      </c>
      <c r="B12060" t="s">
        <v>36139</v>
      </c>
      <c r="C12060" t="s">
        <v>36139</v>
      </c>
      <c r="D12060" t="str">
        <f>HYPERLINK("https://zfin.org/ZDB-GENE-080220-34")</f>
        <v>https://zfin.org/ZDB-GENE-080220-34</v>
      </c>
      <c r="E12060" t="s">
        <v>36140</v>
      </c>
    </row>
    <row r="12061" spans="1:5" x14ac:dyDescent="0.2">
      <c r="A12061" t="s">
        <v>36141</v>
      </c>
      <c r="B12061" t="s">
        <v>36142</v>
      </c>
      <c r="C12061" t="s">
        <v>36142</v>
      </c>
      <c r="D12061" t="str">
        <f>HYPERLINK("https://zfin.org/ZDB-GENE-131127-638")</f>
        <v>https://zfin.org/ZDB-GENE-131127-638</v>
      </c>
      <c r="E12061" t="s">
        <v>36143</v>
      </c>
    </row>
    <row r="12062" spans="1:5" x14ac:dyDescent="0.2">
      <c r="A12062" t="s">
        <v>36144</v>
      </c>
      <c r="B12062" t="s">
        <v>36145</v>
      </c>
      <c r="C12062" t="s">
        <v>36145</v>
      </c>
      <c r="D12062" t="str">
        <f>HYPERLINK("https://zfin.org/ZDB-GENE-041210-81")</f>
        <v>https://zfin.org/ZDB-GENE-041210-81</v>
      </c>
      <c r="E12062" t="s">
        <v>36146</v>
      </c>
    </row>
    <row r="12063" spans="1:5" x14ac:dyDescent="0.2">
      <c r="A12063" t="s">
        <v>36147</v>
      </c>
      <c r="B12063" t="s">
        <v>36148</v>
      </c>
      <c r="C12063" t="s">
        <v>36148</v>
      </c>
      <c r="D12063" t="str">
        <f>HYPERLINK("https://zfin.org/ZDB-GENE-100525-1")</f>
        <v>https://zfin.org/ZDB-GENE-100525-1</v>
      </c>
      <c r="E12063" t="s">
        <v>36149</v>
      </c>
    </row>
    <row r="12064" spans="1:5" x14ac:dyDescent="0.2">
      <c r="A12064" t="s">
        <v>36150</v>
      </c>
      <c r="B12064" t="s">
        <v>36151</v>
      </c>
      <c r="C12064" t="s">
        <v>36151</v>
      </c>
      <c r="D12064" t="str">
        <f>HYPERLINK("https://zfin.org/ZDB-GENE-050522-345")</f>
        <v>https://zfin.org/ZDB-GENE-050522-345</v>
      </c>
      <c r="E12064" t="s">
        <v>36152</v>
      </c>
    </row>
    <row r="12065" spans="1:5" x14ac:dyDescent="0.2">
      <c r="A12065" t="s">
        <v>36153</v>
      </c>
      <c r="B12065" t="s">
        <v>36154</v>
      </c>
      <c r="C12065" t="s">
        <v>36154</v>
      </c>
      <c r="D12065" t="str">
        <f>HYPERLINK("https://zfin.org/ZDB-GENE-080116-1")</f>
        <v>https://zfin.org/ZDB-GENE-080116-1</v>
      </c>
      <c r="E12065" t="s">
        <v>36155</v>
      </c>
    </row>
    <row r="12066" spans="1:5" x14ac:dyDescent="0.2">
      <c r="A12066" t="s">
        <v>36156</v>
      </c>
      <c r="B12066" t="s">
        <v>36157</v>
      </c>
      <c r="C12066" t="s">
        <v>36157</v>
      </c>
      <c r="D12066" t="str">
        <f>HYPERLINK("https://zfin.org/ZDB-GENE-131126-22")</f>
        <v>https://zfin.org/ZDB-GENE-131126-22</v>
      </c>
      <c r="E12066" t="s">
        <v>36158</v>
      </c>
    </row>
    <row r="12067" spans="1:5" x14ac:dyDescent="0.2">
      <c r="A12067" t="s">
        <v>36159</v>
      </c>
      <c r="B12067" t="s">
        <v>36160</v>
      </c>
      <c r="C12067" t="s">
        <v>36160</v>
      </c>
      <c r="D12067" t="str">
        <f>HYPERLINK("https://zfin.org/ZDB-GENE-050522-147")</f>
        <v>https://zfin.org/ZDB-GENE-050522-147</v>
      </c>
      <c r="E12067" t="s">
        <v>36161</v>
      </c>
    </row>
    <row r="12068" spans="1:5" x14ac:dyDescent="0.2">
      <c r="A12068" t="s">
        <v>36162</v>
      </c>
      <c r="B12068" t="s">
        <v>36163</v>
      </c>
      <c r="C12068" t="s">
        <v>36163</v>
      </c>
      <c r="D12068" t="str">
        <f>HYPERLINK("https://zfin.org/ZDB-GENE-070424-64")</f>
        <v>https://zfin.org/ZDB-GENE-070424-64</v>
      </c>
      <c r="E12068" t="s">
        <v>36164</v>
      </c>
    </row>
    <row r="12069" spans="1:5" x14ac:dyDescent="0.2">
      <c r="A12069" t="s">
        <v>36165</v>
      </c>
      <c r="B12069" t="s">
        <v>36166</v>
      </c>
      <c r="C12069" t="s">
        <v>36166</v>
      </c>
      <c r="D12069" t="str">
        <f>HYPERLINK("https://zfin.org/ZDB-GENE-030131-7209")</f>
        <v>https://zfin.org/ZDB-GENE-030131-7209</v>
      </c>
      <c r="E12069" t="s">
        <v>36167</v>
      </c>
    </row>
    <row r="12070" spans="1:5" x14ac:dyDescent="0.2">
      <c r="A12070" t="s">
        <v>36168</v>
      </c>
      <c r="B12070" t="s">
        <v>36169</v>
      </c>
      <c r="C12070" t="s">
        <v>36169</v>
      </c>
      <c r="D12070" t="str">
        <f>HYPERLINK("https://zfin.org/ZDB-GENE-050417-39")</f>
        <v>https://zfin.org/ZDB-GENE-050417-39</v>
      </c>
      <c r="E12070" t="s">
        <v>36170</v>
      </c>
    </row>
    <row r="12071" spans="1:5" x14ac:dyDescent="0.2">
      <c r="A12071" t="s">
        <v>36171</v>
      </c>
      <c r="B12071" t="s">
        <v>36172</v>
      </c>
      <c r="C12071" t="s">
        <v>36172</v>
      </c>
      <c r="D12071" t="str">
        <f>HYPERLINK("https://zfin.org/ZDB-GENE-040808-34")</f>
        <v>https://zfin.org/ZDB-GENE-040808-34</v>
      </c>
      <c r="E12071" t="s">
        <v>36173</v>
      </c>
    </row>
    <row r="12072" spans="1:5" x14ac:dyDescent="0.2">
      <c r="A12072" t="s">
        <v>36174</v>
      </c>
      <c r="B12072" t="s">
        <v>36175</v>
      </c>
      <c r="C12072" t="s">
        <v>36175</v>
      </c>
      <c r="D12072" t="str">
        <f>HYPERLINK("https://zfin.org/ZDB-GENE-050220-12")</f>
        <v>https://zfin.org/ZDB-GENE-050220-12</v>
      </c>
      <c r="E12072" t="s">
        <v>36176</v>
      </c>
    </row>
    <row r="12073" spans="1:5" x14ac:dyDescent="0.2">
      <c r="A12073" t="s">
        <v>36177</v>
      </c>
      <c r="B12073" t="s">
        <v>36178</v>
      </c>
      <c r="C12073" t="s">
        <v>36178</v>
      </c>
      <c r="D12073" t="str">
        <f>HYPERLINK("https://zfin.org/ZDB-GENE-040426-2581")</f>
        <v>https://zfin.org/ZDB-GENE-040426-2581</v>
      </c>
      <c r="E12073" t="s">
        <v>36179</v>
      </c>
    </row>
    <row r="12074" spans="1:5" x14ac:dyDescent="0.2">
      <c r="A12074" t="s">
        <v>36180</v>
      </c>
      <c r="B12074" t="s">
        <v>36181</v>
      </c>
      <c r="C12074" t="s">
        <v>36181</v>
      </c>
      <c r="D12074" t="str">
        <f>HYPERLINK("https://zfin.org/ZDB-GENE-131125-92")</f>
        <v>https://zfin.org/ZDB-GENE-131125-92</v>
      </c>
      <c r="E12074" t="s">
        <v>36182</v>
      </c>
    </row>
    <row r="12075" spans="1:5" x14ac:dyDescent="0.2">
      <c r="A12075" t="s">
        <v>36183</v>
      </c>
      <c r="B12075" t="s">
        <v>36184</v>
      </c>
      <c r="C12075" t="s">
        <v>36184</v>
      </c>
      <c r="D12075" t="str">
        <f>HYPERLINK("https://zfin.org/ZDB-GENE-070209-167")</f>
        <v>https://zfin.org/ZDB-GENE-070209-167</v>
      </c>
      <c r="E12075" t="s">
        <v>36185</v>
      </c>
    </row>
    <row r="12076" spans="1:5" x14ac:dyDescent="0.2">
      <c r="A12076" t="s">
        <v>36186</v>
      </c>
      <c r="B12076" t="s">
        <v>36187</v>
      </c>
      <c r="C12076" t="s">
        <v>36187</v>
      </c>
      <c r="D12076" t="str">
        <f>HYPERLINK("https://zfin.org/ZDB-GENE-050320-83")</f>
        <v>https://zfin.org/ZDB-GENE-050320-83</v>
      </c>
      <c r="E12076" t="s">
        <v>36188</v>
      </c>
    </row>
    <row r="12077" spans="1:5" x14ac:dyDescent="0.2">
      <c r="A12077" t="s">
        <v>36189</v>
      </c>
      <c r="B12077" t="s">
        <v>36190</v>
      </c>
      <c r="C12077" t="s">
        <v>36190</v>
      </c>
      <c r="D12077" t="str">
        <f>HYPERLINK("https://zfin.org/ZDB-GENE-030131-4744")</f>
        <v>https://zfin.org/ZDB-GENE-030131-4744</v>
      </c>
      <c r="E12077" t="s">
        <v>36191</v>
      </c>
    </row>
    <row r="12078" spans="1:5" x14ac:dyDescent="0.2">
      <c r="A12078" t="s">
        <v>36192</v>
      </c>
      <c r="B12078" t="s">
        <v>36193</v>
      </c>
      <c r="C12078" t="s">
        <v>36193</v>
      </c>
      <c r="D12078" t="str">
        <f>HYPERLINK("https://zfin.org/ZDB-GENE-041212-52")</f>
        <v>https://zfin.org/ZDB-GENE-041212-52</v>
      </c>
      <c r="E12078" t="s">
        <v>36194</v>
      </c>
    </row>
    <row r="12079" spans="1:5" x14ac:dyDescent="0.2">
      <c r="A12079" t="s">
        <v>36195</v>
      </c>
      <c r="B12079" t="s">
        <v>36196</v>
      </c>
      <c r="C12079" t="s">
        <v>36196</v>
      </c>
      <c r="D12079" t="str">
        <f>HYPERLINK("https://zfin.org/ZDB-GENE-060427-1")</f>
        <v>https://zfin.org/ZDB-GENE-060427-1</v>
      </c>
      <c r="E12079" t="s">
        <v>36197</v>
      </c>
    </row>
    <row r="12080" spans="1:5" x14ac:dyDescent="0.2">
      <c r="A12080" t="s">
        <v>36198</v>
      </c>
      <c r="B12080" t="s">
        <v>36199</v>
      </c>
      <c r="C12080" t="s">
        <v>36199</v>
      </c>
      <c r="D12080" t="str">
        <f>HYPERLINK("https://zfin.org/ZDB-GENE-030114-5")</f>
        <v>https://zfin.org/ZDB-GENE-030114-5</v>
      </c>
      <c r="E12080" t="s">
        <v>36200</v>
      </c>
    </row>
    <row r="12081" spans="1:5" x14ac:dyDescent="0.2">
      <c r="A12081" t="s">
        <v>36201</v>
      </c>
      <c r="B12081" t="s">
        <v>36202</v>
      </c>
      <c r="C12081" t="s">
        <v>36202</v>
      </c>
      <c r="D12081" t="str">
        <f>HYPERLINK("https://zfin.org/ZDB-GENE-060413-12")</f>
        <v>https://zfin.org/ZDB-GENE-060413-12</v>
      </c>
      <c r="E12081" t="s">
        <v>36203</v>
      </c>
    </row>
    <row r="12082" spans="1:5" x14ac:dyDescent="0.2">
      <c r="A12082" t="s">
        <v>36204</v>
      </c>
      <c r="B12082" t="s">
        <v>36205</v>
      </c>
      <c r="C12082" t="s">
        <v>36205</v>
      </c>
      <c r="D12082" t="str">
        <f>HYPERLINK("https://zfin.org/ZDB-GENE-041210-79")</f>
        <v>https://zfin.org/ZDB-GENE-041210-79</v>
      </c>
      <c r="E12082" t="s">
        <v>36206</v>
      </c>
    </row>
    <row r="12083" spans="1:5" x14ac:dyDescent="0.2">
      <c r="A12083" t="s">
        <v>36207</v>
      </c>
      <c r="B12083" t="s">
        <v>15168</v>
      </c>
      <c r="C12083" t="s">
        <v>36208</v>
      </c>
      <c r="D12083" t="str">
        <f>HYPERLINK("https://zfin.org/")</f>
        <v>https://zfin.org/</v>
      </c>
    </row>
    <row r="12084" spans="1:5" x14ac:dyDescent="0.2">
      <c r="A12084" t="s">
        <v>36209</v>
      </c>
      <c r="B12084" t="s">
        <v>36210</v>
      </c>
      <c r="C12084" t="s">
        <v>36210</v>
      </c>
      <c r="D12084" t="str">
        <f>HYPERLINK("https://zfin.org/ZDB-GENE-030131-6151")</f>
        <v>https://zfin.org/ZDB-GENE-030131-6151</v>
      </c>
      <c r="E12084" t="s">
        <v>36211</v>
      </c>
    </row>
    <row r="12085" spans="1:5" x14ac:dyDescent="0.2">
      <c r="A12085" t="s">
        <v>36212</v>
      </c>
      <c r="B12085" t="s">
        <v>36213</v>
      </c>
      <c r="C12085" t="s">
        <v>36213</v>
      </c>
      <c r="D12085" t="str">
        <f>HYPERLINK("https://zfin.org/ZDB-GENE-121114-8")</f>
        <v>https://zfin.org/ZDB-GENE-121114-8</v>
      </c>
      <c r="E12085" t="s">
        <v>36214</v>
      </c>
    </row>
    <row r="12086" spans="1:5" x14ac:dyDescent="0.2">
      <c r="A12086" t="s">
        <v>36215</v>
      </c>
      <c r="B12086" t="s">
        <v>36216</v>
      </c>
      <c r="C12086" t="s">
        <v>36216</v>
      </c>
      <c r="D12086" t="str">
        <f>HYPERLINK("https://zfin.org/ZDB-GENE-030131-2993")</f>
        <v>https://zfin.org/ZDB-GENE-030131-2993</v>
      </c>
      <c r="E12086" t="s">
        <v>36217</v>
      </c>
    </row>
    <row r="12087" spans="1:5" x14ac:dyDescent="0.2">
      <c r="A12087" t="s">
        <v>36218</v>
      </c>
      <c r="B12087" t="s">
        <v>36219</v>
      </c>
      <c r="C12087" t="s">
        <v>36219</v>
      </c>
      <c r="D12087" t="str">
        <f>HYPERLINK("https://zfin.org/ZDB-GENE-110411-253")</f>
        <v>https://zfin.org/ZDB-GENE-110411-253</v>
      </c>
      <c r="E12087" t="s">
        <v>36220</v>
      </c>
    </row>
    <row r="12088" spans="1:5" x14ac:dyDescent="0.2">
      <c r="A12088" t="s">
        <v>36221</v>
      </c>
      <c r="B12088" t="s">
        <v>36222</v>
      </c>
      <c r="C12088" t="s">
        <v>36222</v>
      </c>
      <c r="D12088" t="str">
        <f>HYPERLINK("https://zfin.org/ZDB-GENE-040426-1264")</f>
        <v>https://zfin.org/ZDB-GENE-040426-1264</v>
      </c>
      <c r="E12088" t="s">
        <v>36223</v>
      </c>
    </row>
    <row r="12089" spans="1:5" x14ac:dyDescent="0.2">
      <c r="A12089" t="s">
        <v>36224</v>
      </c>
      <c r="B12089" t="s">
        <v>36225</v>
      </c>
      <c r="C12089" t="s">
        <v>36225</v>
      </c>
      <c r="D12089" t="str">
        <f>HYPERLINK("https://zfin.org/ZDB-GENE-030711-2")</f>
        <v>https://zfin.org/ZDB-GENE-030711-2</v>
      </c>
      <c r="E12089" t="s">
        <v>36226</v>
      </c>
    </row>
    <row r="12090" spans="1:5" x14ac:dyDescent="0.2">
      <c r="A12090" t="s">
        <v>36227</v>
      </c>
      <c r="B12090" t="s">
        <v>36228</v>
      </c>
      <c r="C12090" t="s">
        <v>36228</v>
      </c>
      <c r="D12090" t="str">
        <f>HYPERLINK("https://zfin.org/ZDB-GENE-030131-3920")</f>
        <v>https://zfin.org/ZDB-GENE-030131-3920</v>
      </c>
      <c r="E12090" t="s">
        <v>36229</v>
      </c>
    </row>
    <row r="12091" spans="1:5" x14ac:dyDescent="0.2">
      <c r="A12091" t="s">
        <v>36230</v>
      </c>
      <c r="B12091" t="s">
        <v>36231</v>
      </c>
      <c r="C12091" t="s">
        <v>36231</v>
      </c>
      <c r="D12091" t="str">
        <f>HYPERLINK("https://zfin.org/ZDB-GENE-050410-6")</f>
        <v>https://zfin.org/ZDB-GENE-050410-6</v>
      </c>
      <c r="E12091" t="s">
        <v>36232</v>
      </c>
    </row>
    <row r="12092" spans="1:5" x14ac:dyDescent="0.2">
      <c r="A12092" t="s">
        <v>36233</v>
      </c>
      <c r="B12092" t="s">
        <v>36234</v>
      </c>
      <c r="C12092" t="s">
        <v>36234</v>
      </c>
      <c r="D12092" t="str">
        <f>HYPERLINK("https://zfin.org/ZDB-GENE-040426-1960")</f>
        <v>https://zfin.org/ZDB-GENE-040426-1960</v>
      </c>
      <c r="E12092" t="s">
        <v>36235</v>
      </c>
    </row>
    <row r="12093" spans="1:5" x14ac:dyDescent="0.2">
      <c r="A12093" t="s">
        <v>36236</v>
      </c>
      <c r="B12093" t="s">
        <v>36237</v>
      </c>
      <c r="C12093" t="s">
        <v>36237</v>
      </c>
      <c r="D12093" t="str">
        <f>HYPERLINK("https://zfin.org/ZDB-GENE-030131-1441")</f>
        <v>https://zfin.org/ZDB-GENE-030131-1441</v>
      </c>
      <c r="E12093" t="s">
        <v>36238</v>
      </c>
    </row>
    <row r="12094" spans="1:5" x14ac:dyDescent="0.2">
      <c r="A12094" t="s">
        <v>36239</v>
      </c>
      <c r="B12094" t="s">
        <v>36240</v>
      </c>
      <c r="C12094" t="s">
        <v>36240</v>
      </c>
      <c r="D12094" t="str">
        <f>HYPERLINK("https://zfin.org/ZDB-GENE-030131-605")</f>
        <v>https://zfin.org/ZDB-GENE-030131-605</v>
      </c>
      <c r="E12094" t="s">
        <v>36241</v>
      </c>
    </row>
    <row r="12095" spans="1:5" x14ac:dyDescent="0.2">
      <c r="A12095" t="s">
        <v>36242</v>
      </c>
      <c r="B12095" t="s">
        <v>36243</v>
      </c>
      <c r="C12095" t="s">
        <v>36243</v>
      </c>
      <c r="D12095" t="str">
        <f>HYPERLINK("https://zfin.org/ZDB-GENE-061103-421")</f>
        <v>https://zfin.org/ZDB-GENE-061103-421</v>
      </c>
      <c r="E12095" t="s">
        <v>36244</v>
      </c>
    </row>
    <row r="12096" spans="1:5" x14ac:dyDescent="0.2">
      <c r="A12096" t="s">
        <v>36245</v>
      </c>
      <c r="B12096" t="s">
        <v>36246</v>
      </c>
      <c r="C12096" t="s">
        <v>36246</v>
      </c>
      <c r="D12096" t="str">
        <f>HYPERLINK("https://zfin.org/ZDB-GENE-070212-1")</f>
        <v>https://zfin.org/ZDB-GENE-070212-1</v>
      </c>
      <c r="E12096" t="s">
        <v>36247</v>
      </c>
    </row>
    <row r="12097" spans="1:5" x14ac:dyDescent="0.2">
      <c r="A12097" t="s">
        <v>36248</v>
      </c>
      <c r="B12097" t="s">
        <v>36249</v>
      </c>
      <c r="C12097" t="s">
        <v>36249</v>
      </c>
      <c r="D12097" t="str">
        <f>HYPERLINK("https://zfin.org/ZDB-GENE-050320-29")</f>
        <v>https://zfin.org/ZDB-GENE-050320-29</v>
      </c>
      <c r="E12097" t="s">
        <v>36250</v>
      </c>
    </row>
    <row r="12098" spans="1:5" x14ac:dyDescent="0.2">
      <c r="A12098" t="s">
        <v>36251</v>
      </c>
      <c r="B12098" t="s">
        <v>36252</v>
      </c>
      <c r="C12098" t="s">
        <v>36252</v>
      </c>
      <c r="D12098" t="str">
        <f>HYPERLINK("https://zfin.org/ZDB-GENE-091204-150")</f>
        <v>https://zfin.org/ZDB-GENE-091204-150</v>
      </c>
      <c r="E12098" t="s">
        <v>36253</v>
      </c>
    </row>
    <row r="12099" spans="1:5" x14ac:dyDescent="0.2">
      <c r="A12099" t="s">
        <v>36254</v>
      </c>
      <c r="B12099" t="s">
        <v>36255</v>
      </c>
      <c r="C12099" t="s">
        <v>36255</v>
      </c>
      <c r="D12099" t="str">
        <f>HYPERLINK("https://zfin.org/ZDB-GENE-091204-419")</f>
        <v>https://zfin.org/ZDB-GENE-091204-419</v>
      </c>
      <c r="E12099" t="s">
        <v>36256</v>
      </c>
    </row>
    <row r="12100" spans="1:5" x14ac:dyDescent="0.2">
      <c r="A12100" t="s">
        <v>36257</v>
      </c>
      <c r="B12100" t="s">
        <v>36258</v>
      </c>
      <c r="C12100" t="s">
        <v>36258</v>
      </c>
      <c r="D12100" t="str">
        <f>HYPERLINK("https://zfin.org/ZDB-GENE-030131-8312")</f>
        <v>https://zfin.org/ZDB-GENE-030131-8312</v>
      </c>
      <c r="E12100" t="s">
        <v>36259</v>
      </c>
    </row>
    <row r="12101" spans="1:5" x14ac:dyDescent="0.2">
      <c r="A12101" t="s">
        <v>36260</v>
      </c>
      <c r="B12101" t="s">
        <v>36169</v>
      </c>
      <c r="C12101" t="s">
        <v>36261</v>
      </c>
      <c r="D12101" t="str">
        <f>HYPERLINK("https://zfin.org/ZDB-GENE-050417-39")</f>
        <v>https://zfin.org/ZDB-GENE-050417-39</v>
      </c>
      <c r="E12101" t="s">
        <v>36170</v>
      </c>
    </row>
    <row r="12102" spans="1:5" x14ac:dyDescent="0.2">
      <c r="A12102" t="s">
        <v>36262</v>
      </c>
      <c r="B12102" t="s">
        <v>36263</v>
      </c>
      <c r="C12102" t="s">
        <v>36263</v>
      </c>
      <c r="D12102" t="str">
        <f>HYPERLINK("https://zfin.org/ZDB-GENE-040426-2266")</f>
        <v>https://zfin.org/ZDB-GENE-040426-2266</v>
      </c>
      <c r="E12102" t="s">
        <v>36264</v>
      </c>
    </row>
    <row r="12103" spans="1:5" x14ac:dyDescent="0.2">
      <c r="A12103" t="s">
        <v>36265</v>
      </c>
      <c r="B12103" t="s">
        <v>36266</v>
      </c>
      <c r="C12103" t="s">
        <v>36266</v>
      </c>
      <c r="D12103" t="str">
        <f>HYPERLINK("https://zfin.org/ZDB-GENE-030131-5707")</f>
        <v>https://zfin.org/ZDB-GENE-030131-5707</v>
      </c>
      <c r="E12103" t="s">
        <v>36267</v>
      </c>
    </row>
    <row r="12104" spans="1:5" x14ac:dyDescent="0.2">
      <c r="A12104" t="s">
        <v>36268</v>
      </c>
      <c r="B12104" t="s">
        <v>36269</v>
      </c>
      <c r="C12104" t="s">
        <v>36269</v>
      </c>
      <c r="D12104" t="str">
        <f>HYPERLINK("https://zfin.org/ZDB-GENE-050420-101")</f>
        <v>https://zfin.org/ZDB-GENE-050420-101</v>
      </c>
      <c r="E12104" t="s">
        <v>36270</v>
      </c>
    </row>
    <row r="12105" spans="1:5" x14ac:dyDescent="0.2">
      <c r="A12105" t="s">
        <v>36271</v>
      </c>
      <c r="B12105" t="s">
        <v>36272</v>
      </c>
      <c r="C12105" t="s">
        <v>36272</v>
      </c>
      <c r="D12105" t="str">
        <f>HYPERLINK("https://zfin.org/ZDB-GENE-110411-81")</f>
        <v>https://zfin.org/ZDB-GENE-110411-81</v>
      </c>
      <c r="E12105" t="s">
        <v>36273</v>
      </c>
    </row>
    <row r="12106" spans="1:5" x14ac:dyDescent="0.2">
      <c r="A12106" t="s">
        <v>36274</v>
      </c>
      <c r="B12106" t="s">
        <v>36275</v>
      </c>
      <c r="C12106" t="s">
        <v>36275</v>
      </c>
      <c r="D12106" t="str">
        <f>HYPERLINK("https://zfin.org/ZDB-GENE-060825-91")</f>
        <v>https://zfin.org/ZDB-GENE-060825-91</v>
      </c>
      <c r="E12106" t="s">
        <v>36276</v>
      </c>
    </row>
    <row r="12107" spans="1:5" x14ac:dyDescent="0.2">
      <c r="A12107" t="s">
        <v>36277</v>
      </c>
      <c r="B12107" t="s">
        <v>36278</v>
      </c>
      <c r="C12107" t="s">
        <v>36278</v>
      </c>
      <c r="D12107" t="str">
        <f>HYPERLINK("https://zfin.org/ZDB-GENE-050208-550")</f>
        <v>https://zfin.org/ZDB-GENE-050208-550</v>
      </c>
      <c r="E12107" t="s">
        <v>36279</v>
      </c>
    </row>
    <row r="12108" spans="1:5" x14ac:dyDescent="0.2">
      <c r="A12108" t="s">
        <v>36280</v>
      </c>
      <c r="B12108" t="s">
        <v>36281</v>
      </c>
      <c r="C12108" t="s">
        <v>36281</v>
      </c>
      <c r="D12108" t="str">
        <f>HYPERLINK("https://zfin.org/ZDB-GENE-030826-1")</f>
        <v>https://zfin.org/ZDB-GENE-030826-1</v>
      </c>
      <c r="E12108" t="s">
        <v>36282</v>
      </c>
    </row>
    <row r="12109" spans="1:5" x14ac:dyDescent="0.2">
      <c r="A12109" t="s">
        <v>36283</v>
      </c>
      <c r="B12109" t="s">
        <v>36284</v>
      </c>
      <c r="C12109" t="s">
        <v>36284</v>
      </c>
      <c r="D12109" t="str">
        <f>HYPERLINK("https://zfin.org/ZDB-GENE-040426-1663")</f>
        <v>https://zfin.org/ZDB-GENE-040426-1663</v>
      </c>
      <c r="E12109" t="s">
        <v>36285</v>
      </c>
    </row>
    <row r="12110" spans="1:5" x14ac:dyDescent="0.2">
      <c r="A12110" t="s">
        <v>36286</v>
      </c>
      <c r="B12110" t="s">
        <v>36287</v>
      </c>
      <c r="C12110" t="s">
        <v>36287</v>
      </c>
      <c r="D12110" t="str">
        <f>HYPERLINK("https://zfin.org/ZDB-GENE-040426-2379")</f>
        <v>https://zfin.org/ZDB-GENE-040426-2379</v>
      </c>
      <c r="E12110" t="s">
        <v>36288</v>
      </c>
    </row>
    <row r="12111" spans="1:5" x14ac:dyDescent="0.2">
      <c r="A12111" t="s">
        <v>36289</v>
      </c>
      <c r="B12111" t="s">
        <v>36290</v>
      </c>
      <c r="C12111" t="s">
        <v>36290</v>
      </c>
      <c r="D12111" t="str">
        <f>HYPERLINK("https://zfin.org/ZDB-GENE-100922-38")</f>
        <v>https://zfin.org/ZDB-GENE-100922-38</v>
      </c>
      <c r="E12111" t="s">
        <v>36291</v>
      </c>
    </row>
    <row r="12112" spans="1:5" x14ac:dyDescent="0.2">
      <c r="A12112" t="s">
        <v>36292</v>
      </c>
      <c r="B12112" t="s">
        <v>36293</v>
      </c>
      <c r="C12112" t="s">
        <v>36293</v>
      </c>
      <c r="D12112" t="str">
        <f>HYPERLINK("https://zfin.org/ZDB-GENE-040718-330")</f>
        <v>https://zfin.org/ZDB-GENE-040718-330</v>
      </c>
      <c r="E12112" t="s">
        <v>36294</v>
      </c>
    </row>
    <row r="12113" spans="1:5" x14ac:dyDescent="0.2">
      <c r="A12113" t="s">
        <v>36295</v>
      </c>
      <c r="B12113" t="s">
        <v>36296</v>
      </c>
      <c r="C12113" t="s">
        <v>36296</v>
      </c>
      <c r="D12113" t="str">
        <f>HYPERLINK("https://zfin.org/ZDB-GENE-040426-2290")</f>
        <v>https://zfin.org/ZDB-GENE-040426-2290</v>
      </c>
      <c r="E12113" t="s">
        <v>36297</v>
      </c>
    </row>
    <row r="12114" spans="1:5" x14ac:dyDescent="0.2">
      <c r="A12114" t="s">
        <v>36298</v>
      </c>
      <c r="B12114" t="s">
        <v>36299</v>
      </c>
      <c r="C12114" t="s">
        <v>36299</v>
      </c>
      <c r="D12114" t="str">
        <f>HYPERLINK("https://zfin.org/ZDB-GENE-030131-1783")</f>
        <v>https://zfin.org/ZDB-GENE-030131-1783</v>
      </c>
      <c r="E12114" t="s">
        <v>36300</v>
      </c>
    </row>
    <row r="12115" spans="1:5" x14ac:dyDescent="0.2">
      <c r="A12115" t="s">
        <v>36301</v>
      </c>
      <c r="B12115" t="s">
        <v>36302</v>
      </c>
      <c r="C12115" t="s">
        <v>36302</v>
      </c>
      <c r="D12115" t="str">
        <f>HYPERLINK("https://zfin.org/ZDB-GENE-081104-480")</f>
        <v>https://zfin.org/ZDB-GENE-081104-480</v>
      </c>
      <c r="E12115" t="s">
        <v>36303</v>
      </c>
    </row>
    <row r="12116" spans="1:5" x14ac:dyDescent="0.2">
      <c r="A12116" t="s">
        <v>36304</v>
      </c>
      <c r="B12116" t="s">
        <v>36305</v>
      </c>
      <c r="C12116" t="s">
        <v>36306</v>
      </c>
      <c r="D12116" t="str">
        <f>HYPERLINK("https://zfin.org/ZDB-GENE-041111-173")</f>
        <v>https://zfin.org/ZDB-GENE-041111-173</v>
      </c>
      <c r="E12116" t="s">
        <v>36307</v>
      </c>
    </row>
    <row r="12117" spans="1:5" x14ac:dyDescent="0.2">
      <c r="A12117" t="s">
        <v>36308</v>
      </c>
      <c r="B12117" t="s">
        <v>36309</v>
      </c>
      <c r="C12117" t="s">
        <v>36309</v>
      </c>
      <c r="D12117" t="str">
        <f>HYPERLINK("https://zfin.org/ZDB-GENE-040801-197")</f>
        <v>https://zfin.org/ZDB-GENE-040801-197</v>
      </c>
      <c r="E12117" t="s">
        <v>36310</v>
      </c>
    </row>
    <row r="12118" spans="1:5" x14ac:dyDescent="0.2">
      <c r="A12118" t="s">
        <v>36311</v>
      </c>
      <c r="B12118" t="s">
        <v>36312</v>
      </c>
      <c r="C12118" t="s">
        <v>36312</v>
      </c>
      <c r="D12118" t="str">
        <f>HYPERLINK("https://zfin.org/ZDB-GENE-110913-65")</f>
        <v>https://zfin.org/ZDB-GENE-110913-65</v>
      </c>
      <c r="E12118" t="s">
        <v>36313</v>
      </c>
    </row>
    <row r="12119" spans="1:5" x14ac:dyDescent="0.2">
      <c r="A12119" t="s">
        <v>36314</v>
      </c>
      <c r="B12119" t="s">
        <v>36315</v>
      </c>
      <c r="C12119" t="s">
        <v>36315</v>
      </c>
      <c r="D12119" t="str">
        <f>HYPERLINK("https://zfin.org/ZDB-GENE-120612-1")</f>
        <v>https://zfin.org/ZDB-GENE-120612-1</v>
      </c>
      <c r="E12119" t="s">
        <v>36316</v>
      </c>
    </row>
    <row r="12120" spans="1:5" x14ac:dyDescent="0.2">
      <c r="A12120" t="s">
        <v>36317</v>
      </c>
      <c r="B12120" t="s">
        <v>36318</v>
      </c>
      <c r="C12120" t="s">
        <v>36318</v>
      </c>
      <c r="D12120" t="str">
        <f>HYPERLINK("https://zfin.org/ZDB-GENE-040426-2403")</f>
        <v>https://zfin.org/ZDB-GENE-040426-2403</v>
      </c>
      <c r="E12120" t="s">
        <v>36319</v>
      </c>
    </row>
    <row r="12121" spans="1:5" x14ac:dyDescent="0.2">
      <c r="A12121" t="s">
        <v>36320</v>
      </c>
      <c r="B12121" t="s">
        <v>36321</v>
      </c>
      <c r="C12121" t="s">
        <v>36321</v>
      </c>
      <c r="D12121" t="str">
        <f>HYPERLINK("https://zfin.org/ZDB-GENE-090218-1")</f>
        <v>https://zfin.org/ZDB-GENE-090218-1</v>
      </c>
      <c r="E12121" t="s">
        <v>36322</v>
      </c>
    </row>
    <row r="12122" spans="1:5" x14ac:dyDescent="0.2">
      <c r="A12122" t="s">
        <v>36323</v>
      </c>
      <c r="B12122" t="s">
        <v>36324</v>
      </c>
      <c r="C12122" t="s">
        <v>36324</v>
      </c>
      <c r="D12122" t="str">
        <f>HYPERLINK("https://zfin.org/ZDB-GENE-081105-144")</f>
        <v>https://zfin.org/ZDB-GENE-081105-144</v>
      </c>
      <c r="E12122" t="s">
        <v>36325</v>
      </c>
    </row>
    <row r="12123" spans="1:5" x14ac:dyDescent="0.2">
      <c r="A12123" t="s">
        <v>36326</v>
      </c>
      <c r="B12123" t="s">
        <v>36327</v>
      </c>
      <c r="C12123" t="s">
        <v>36327</v>
      </c>
      <c r="D12123" t="str">
        <f>HYPERLINK("https://zfin.org/ZDB-GENE-030131-5459")</f>
        <v>https://zfin.org/ZDB-GENE-030131-5459</v>
      </c>
      <c r="E12123" t="s">
        <v>36328</v>
      </c>
    </row>
    <row r="12124" spans="1:5" x14ac:dyDescent="0.2">
      <c r="A12124" t="s">
        <v>36329</v>
      </c>
      <c r="B12124" t="s">
        <v>36330</v>
      </c>
      <c r="C12124" t="s">
        <v>36330</v>
      </c>
      <c r="D12124" t="str">
        <f>HYPERLINK("https://zfin.org/ZDB-GENE-050706-50")</f>
        <v>https://zfin.org/ZDB-GENE-050706-50</v>
      </c>
      <c r="E12124" t="s">
        <v>36331</v>
      </c>
    </row>
    <row r="12125" spans="1:5" x14ac:dyDescent="0.2">
      <c r="A12125" t="s">
        <v>36332</v>
      </c>
      <c r="B12125" t="s">
        <v>36333</v>
      </c>
      <c r="C12125" t="s">
        <v>36333</v>
      </c>
      <c r="D12125" t="str">
        <f>HYPERLINK("https://zfin.org/ZDB-GENE-040426-1006")</f>
        <v>https://zfin.org/ZDB-GENE-040426-1006</v>
      </c>
      <c r="E12125" t="s">
        <v>36334</v>
      </c>
    </row>
    <row r="12126" spans="1:5" x14ac:dyDescent="0.2">
      <c r="A12126" t="s">
        <v>36335</v>
      </c>
      <c r="B12126" t="s">
        <v>36336</v>
      </c>
      <c r="C12126" t="s">
        <v>36336</v>
      </c>
      <c r="D12126" t="str">
        <f>HYPERLINK("https://zfin.org/ZDB-GENE-030131-3892")</f>
        <v>https://zfin.org/ZDB-GENE-030131-3892</v>
      </c>
      <c r="E12126" t="s">
        <v>36337</v>
      </c>
    </row>
    <row r="12127" spans="1:5" x14ac:dyDescent="0.2">
      <c r="A12127" t="s">
        <v>36338</v>
      </c>
      <c r="B12127" t="s">
        <v>36339</v>
      </c>
      <c r="C12127" t="s">
        <v>36339</v>
      </c>
      <c r="D12127" t="str">
        <f>HYPERLINK("https://zfin.org/ZDB-GENE-011210-2")</f>
        <v>https://zfin.org/ZDB-GENE-011210-2</v>
      </c>
      <c r="E12127" t="s">
        <v>36340</v>
      </c>
    </row>
    <row r="12128" spans="1:5" x14ac:dyDescent="0.2">
      <c r="A12128" t="s">
        <v>36341</v>
      </c>
      <c r="B12128" t="s">
        <v>36342</v>
      </c>
      <c r="C12128" t="s">
        <v>36342</v>
      </c>
      <c r="D12128" t="str">
        <f>HYPERLINK("https://zfin.org/ZDB-GENE-050522-251")</f>
        <v>https://zfin.org/ZDB-GENE-050522-251</v>
      </c>
      <c r="E12128" t="s">
        <v>36343</v>
      </c>
    </row>
    <row r="12129" spans="1:5" x14ac:dyDescent="0.2">
      <c r="A12129" t="s">
        <v>36344</v>
      </c>
      <c r="B12129" t="s">
        <v>12552</v>
      </c>
      <c r="C12129" t="s">
        <v>36345</v>
      </c>
      <c r="D12129" t="str">
        <f>HYPERLINK("https://zfin.org/ZDB-GENE-061013-144")</f>
        <v>https://zfin.org/ZDB-GENE-061013-144</v>
      </c>
      <c r="E12129" t="s">
        <v>36346</v>
      </c>
    </row>
    <row r="12130" spans="1:5" x14ac:dyDescent="0.2">
      <c r="A12130" t="s">
        <v>36347</v>
      </c>
      <c r="B12130" t="s">
        <v>36348</v>
      </c>
      <c r="C12130" t="s">
        <v>36348</v>
      </c>
      <c r="D12130" t="str">
        <f>HYPERLINK("https://zfin.org/ZDB-GENE-060526-271")</f>
        <v>https://zfin.org/ZDB-GENE-060526-271</v>
      </c>
      <c r="E12130" t="s">
        <v>36349</v>
      </c>
    </row>
    <row r="12131" spans="1:5" x14ac:dyDescent="0.2">
      <c r="A12131" t="s">
        <v>36350</v>
      </c>
      <c r="B12131" t="s">
        <v>36351</v>
      </c>
      <c r="C12131" t="s">
        <v>36351</v>
      </c>
      <c r="D12131" t="str">
        <f>HYPERLINK("https://zfin.org/ZDB-GENE-120614-1")</f>
        <v>https://zfin.org/ZDB-GENE-120614-1</v>
      </c>
      <c r="E12131" t="s">
        <v>36352</v>
      </c>
    </row>
    <row r="12132" spans="1:5" x14ac:dyDescent="0.2">
      <c r="A12132" t="s">
        <v>36353</v>
      </c>
      <c r="B12132" t="s">
        <v>36354</v>
      </c>
      <c r="C12132" t="s">
        <v>36354</v>
      </c>
      <c r="D12132" t="str">
        <f>HYPERLINK("https://zfin.org/ZDB-GENE-050913-75")</f>
        <v>https://zfin.org/ZDB-GENE-050913-75</v>
      </c>
      <c r="E12132" t="s">
        <v>36355</v>
      </c>
    </row>
    <row r="12133" spans="1:5" x14ac:dyDescent="0.2">
      <c r="A12133" t="s">
        <v>36356</v>
      </c>
      <c r="B12133" t="s">
        <v>36357</v>
      </c>
      <c r="C12133" t="s">
        <v>36357</v>
      </c>
      <c r="D12133" t="str">
        <f>HYPERLINK("https://zfin.org/ZDB-GENE-060929-260")</f>
        <v>https://zfin.org/ZDB-GENE-060929-260</v>
      </c>
      <c r="E12133" t="s">
        <v>36358</v>
      </c>
    </row>
    <row r="12134" spans="1:5" x14ac:dyDescent="0.2">
      <c r="A12134" t="s">
        <v>36359</v>
      </c>
      <c r="B12134" t="s">
        <v>36360</v>
      </c>
      <c r="C12134" t="s">
        <v>36360</v>
      </c>
      <c r="D12134" t="str">
        <f>HYPERLINK("https://zfin.org/ZDB-GENE-100426-1")</f>
        <v>https://zfin.org/ZDB-GENE-100426-1</v>
      </c>
      <c r="E12134" t="s">
        <v>36361</v>
      </c>
    </row>
    <row r="12135" spans="1:5" x14ac:dyDescent="0.2">
      <c r="A12135" t="s">
        <v>36362</v>
      </c>
      <c r="B12135" t="s">
        <v>36363</v>
      </c>
      <c r="C12135" t="s">
        <v>36363</v>
      </c>
      <c r="D12135" t="str">
        <f>HYPERLINK("https://zfin.org/ZDB-GENE-030131-698")</f>
        <v>https://zfin.org/ZDB-GENE-030131-698</v>
      </c>
      <c r="E12135" t="s">
        <v>36364</v>
      </c>
    </row>
    <row r="12136" spans="1:5" x14ac:dyDescent="0.2">
      <c r="A12136" t="s">
        <v>36365</v>
      </c>
      <c r="B12136" t="s">
        <v>36366</v>
      </c>
      <c r="C12136" t="s">
        <v>36366</v>
      </c>
      <c r="D12136" t="str">
        <f>HYPERLINK("https://zfin.org/ZDB-GENE-131122-19")</f>
        <v>https://zfin.org/ZDB-GENE-131122-19</v>
      </c>
      <c r="E12136" t="s">
        <v>36367</v>
      </c>
    </row>
    <row r="12137" spans="1:5" x14ac:dyDescent="0.2">
      <c r="A12137" t="s">
        <v>36368</v>
      </c>
      <c r="B12137" t="s">
        <v>36369</v>
      </c>
      <c r="C12137" t="s">
        <v>36369</v>
      </c>
      <c r="D12137" t="str">
        <f>HYPERLINK("https://zfin.org/ZDB-GENE-000831-6")</f>
        <v>https://zfin.org/ZDB-GENE-000831-6</v>
      </c>
      <c r="E12137" t="s">
        <v>36370</v>
      </c>
    </row>
    <row r="12138" spans="1:5" x14ac:dyDescent="0.2">
      <c r="A12138" t="s">
        <v>36371</v>
      </c>
      <c r="B12138" t="s">
        <v>36372</v>
      </c>
      <c r="C12138" t="s">
        <v>36372</v>
      </c>
      <c r="D12138" t="str">
        <f>HYPERLINK("https://zfin.org/ZDB-GENE-040808-37")</f>
        <v>https://zfin.org/ZDB-GENE-040808-37</v>
      </c>
      <c r="E12138" t="s">
        <v>36373</v>
      </c>
    </row>
    <row r="12139" spans="1:5" x14ac:dyDescent="0.2">
      <c r="A12139" t="s">
        <v>36374</v>
      </c>
      <c r="B12139" t="s">
        <v>36375</v>
      </c>
      <c r="C12139" t="s">
        <v>36375</v>
      </c>
      <c r="D12139" t="str">
        <f>HYPERLINK("https://zfin.org/ZDB-GENE-050417-290")</f>
        <v>https://zfin.org/ZDB-GENE-050417-290</v>
      </c>
      <c r="E12139" t="s">
        <v>36376</v>
      </c>
    </row>
    <row r="12140" spans="1:5" x14ac:dyDescent="0.2">
      <c r="A12140" t="s">
        <v>36377</v>
      </c>
      <c r="B12140" t="s">
        <v>36378</v>
      </c>
      <c r="C12140" t="s">
        <v>36378</v>
      </c>
      <c r="D12140" t="str">
        <f>HYPERLINK("https://zfin.org/ZDB-GENE-121022-4")</f>
        <v>https://zfin.org/ZDB-GENE-121022-4</v>
      </c>
      <c r="E12140" t="s">
        <v>36379</v>
      </c>
    </row>
    <row r="12141" spans="1:5" x14ac:dyDescent="0.2">
      <c r="A12141" t="s">
        <v>36380</v>
      </c>
      <c r="B12141" t="s">
        <v>36381</v>
      </c>
      <c r="C12141" t="s">
        <v>36381</v>
      </c>
      <c r="D12141" t="str">
        <f>HYPERLINK("https://zfin.org/ZDB-GENE-020320-5")</f>
        <v>https://zfin.org/ZDB-GENE-020320-5</v>
      </c>
      <c r="E12141" t="s">
        <v>36382</v>
      </c>
    </row>
    <row r="12142" spans="1:5" x14ac:dyDescent="0.2">
      <c r="A12142" t="s">
        <v>36383</v>
      </c>
      <c r="B12142" t="s">
        <v>36384</v>
      </c>
      <c r="C12142" t="s">
        <v>36384</v>
      </c>
      <c r="D12142" t="str">
        <f>HYPERLINK("https://zfin.org/ZDB-GENE-050522-26")</f>
        <v>https://zfin.org/ZDB-GENE-050522-26</v>
      </c>
      <c r="E12142" t="s">
        <v>36385</v>
      </c>
    </row>
    <row r="12143" spans="1:5" x14ac:dyDescent="0.2">
      <c r="A12143" t="s">
        <v>36386</v>
      </c>
      <c r="B12143" t="s">
        <v>36387</v>
      </c>
      <c r="C12143" t="s">
        <v>36387</v>
      </c>
      <c r="D12143" t="str">
        <f>HYPERLINK("https://zfin.org/ZDB-GENE-041024-4")</f>
        <v>https://zfin.org/ZDB-GENE-041024-4</v>
      </c>
      <c r="E12143" t="s">
        <v>36388</v>
      </c>
    </row>
    <row r="12144" spans="1:5" x14ac:dyDescent="0.2">
      <c r="A12144" t="s">
        <v>36389</v>
      </c>
      <c r="B12144" t="s">
        <v>36390</v>
      </c>
      <c r="C12144" t="s">
        <v>36390</v>
      </c>
      <c r="D12144" t="str">
        <f>HYPERLINK("https://zfin.org/ZDB-GENE-071009-2")</f>
        <v>https://zfin.org/ZDB-GENE-071009-2</v>
      </c>
      <c r="E12144" t="s">
        <v>36391</v>
      </c>
    </row>
    <row r="12145" spans="1:5" x14ac:dyDescent="0.2">
      <c r="A12145" t="s">
        <v>36392</v>
      </c>
      <c r="B12145" t="s">
        <v>36393</v>
      </c>
      <c r="C12145" t="s">
        <v>36393</v>
      </c>
      <c r="D12145" t="str">
        <f>HYPERLINK("https://zfin.org/ZDB-GENE-131121-333")</f>
        <v>https://zfin.org/ZDB-GENE-131121-333</v>
      </c>
      <c r="E12145" t="s">
        <v>36394</v>
      </c>
    </row>
    <row r="12146" spans="1:5" x14ac:dyDescent="0.2">
      <c r="A12146" t="s">
        <v>36395</v>
      </c>
      <c r="B12146" t="s">
        <v>36396</v>
      </c>
      <c r="C12146" t="s">
        <v>36396</v>
      </c>
      <c r="D12146" t="str">
        <f>HYPERLINK("https://zfin.org/ZDB-GENE-030131-7035")</f>
        <v>https://zfin.org/ZDB-GENE-030131-7035</v>
      </c>
      <c r="E12146" t="s">
        <v>36397</v>
      </c>
    </row>
    <row r="12147" spans="1:5" x14ac:dyDescent="0.2">
      <c r="A12147" t="s">
        <v>36398</v>
      </c>
      <c r="B12147" t="s">
        <v>36399</v>
      </c>
      <c r="C12147" t="s">
        <v>36399</v>
      </c>
      <c r="D12147" t="str">
        <f>HYPERLINK("https://zfin.org/ZDB-GENE-131121-81")</f>
        <v>https://zfin.org/ZDB-GENE-131121-81</v>
      </c>
      <c r="E12147" t="s">
        <v>36400</v>
      </c>
    </row>
    <row r="12148" spans="1:5" x14ac:dyDescent="0.2">
      <c r="A12148" t="s">
        <v>36401</v>
      </c>
      <c r="B12148" t="s">
        <v>36402</v>
      </c>
      <c r="C12148" t="s">
        <v>36402</v>
      </c>
      <c r="D12148" t="str">
        <f>HYPERLINK("https://zfin.org/ZDB-GENE-130531-42")</f>
        <v>https://zfin.org/ZDB-GENE-130531-42</v>
      </c>
      <c r="E12148" t="s">
        <v>36403</v>
      </c>
    </row>
    <row r="12149" spans="1:5" x14ac:dyDescent="0.2">
      <c r="A12149" t="s">
        <v>36404</v>
      </c>
      <c r="B12149" t="s">
        <v>36405</v>
      </c>
      <c r="C12149" t="s">
        <v>36405</v>
      </c>
      <c r="D12149" t="str">
        <f>HYPERLINK("https://zfin.org/ZDB-GENE-040912-185")</f>
        <v>https://zfin.org/ZDB-GENE-040912-185</v>
      </c>
      <c r="E12149" t="s">
        <v>36406</v>
      </c>
    </row>
    <row r="12150" spans="1:5" x14ac:dyDescent="0.2">
      <c r="A12150" t="s">
        <v>36407</v>
      </c>
      <c r="B12150" t="s">
        <v>36408</v>
      </c>
      <c r="C12150" t="s">
        <v>36408</v>
      </c>
      <c r="D12150" t="str">
        <f>HYPERLINK("https://zfin.org/ZDB-GENE-030326-1")</f>
        <v>https://zfin.org/ZDB-GENE-030326-1</v>
      </c>
      <c r="E12150" t="s">
        <v>36409</v>
      </c>
    </row>
    <row r="12151" spans="1:5" x14ac:dyDescent="0.2">
      <c r="A12151" t="s">
        <v>36410</v>
      </c>
      <c r="B12151" t="s">
        <v>36411</v>
      </c>
      <c r="C12151" t="s">
        <v>36411</v>
      </c>
      <c r="D12151" t="str">
        <f>HYPERLINK("https://zfin.org/ZDB-GENE-040426-1755")</f>
        <v>https://zfin.org/ZDB-GENE-040426-1755</v>
      </c>
      <c r="E12151" t="s">
        <v>36412</v>
      </c>
    </row>
    <row r="12152" spans="1:5" x14ac:dyDescent="0.2">
      <c r="A12152" t="s">
        <v>36413</v>
      </c>
      <c r="B12152" t="s">
        <v>36414</v>
      </c>
      <c r="C12152" t="s">
        <v>36414</v>
      </c>
      <c r="D12152" t="str">
        <f>HYPERLINK("https://zfin.org/ZDB-GENE-101014-1")</f>
        <v>https://zfin.org/ZDB-GENE-101014-1</v>
      </c>
      <c r="E12152" t="s">
        <v>36415</v>
      </c>
    </row>
    <row r="12153" spans="1:5" x14ac:dyDescent="0.2">
      <c r="A12153" t="s">
        <v>36416</v>
      </c>
      <c r="B12153" t="s">
        <v>36417</v>
      </c>
      <c r="C12153" t="s">
        <v>36417</v>
      </c>
      <c r="D12153" t="str">
        <f>HYPERLINK("https://zfin.org/ZDB-GENE-091204-441")</f>
        <v>https://zfin.org/ZDB-GENE-091204-441</v>
      </c>
      <c r="E12153" t="s">
        <v>36418</v>
      </c>
    </row>
    <row r="12154" spans="1:5" x14ac:dyDescent="0.2">
      <c r="A12154" t="s">
        <v>36419</v>
      </c>
      <c r="B12154" t="s">
        <v>36420</v>
      </c>
      <c r="C12154" t="s">
        <v>36420</v>
      </c>
      <c r="D12154" t="str">
        <f>HYPERLINK("https://zfin.org/ZDB-GENE-141222-74")</f>
        <v>https://zfin.org/ZDB-GENE-141222-74</v>
      </c>
      <c r="E12154" t="s">
        <v>36421</v>
      </c>
    </row>
    <row r="12155" spans="1:5" x14ac:dyDescent="0.2">
      <c r="A12155" t="s">
        <v>36422</v>
      </c>
      <c r="B12155" t="s">
        <v>36423</v>
      </c>
      <c r="C12155" t="s">
        <v>36423</v>
      </c>
      <c r="D12155" t="str">
        <f>HYPERLINK("https://zfin.org/ZDB-GENE-030131-8134")</f>
        <v>https://zfin.org/ZDB-GENE-030131-8134</v>
      </c>
      <c r="E12155" t="s">
        <v>36424</v>
      </c>
    </row>
    <row r="12156" spans="1:5" x14ac:dyDescent="0.2">
      <c r="A12156" t="s">
        <v>36425</v>
      </c>
      <c r="B12156" t="s">
        <v>36426</v>
      </c>
      <c r="C12156" t="s">
        <v>36426</v>
      </c>
      <c r="D12156" t="str">
        <f>HYPERLINK("https://zfin.org/ZDB-GENE-091204-382")</f>
        <v>https://zfin.org/ZDB-GENE-091204-382</v>
      </c>
      <c r="E12156" t="s">
        <v>36427</v>
      </c>
    </row>
    <row r="12157" spans="1:5" x14ac:dyDescent="0.2">
      <c r="A12157" t="s">
        <v>36428</v>
      </c>
      <c r="B12157" t="s">
        <v>36429</v>
      </c>
      <c r="C12157" t="s">
        <v>36429</v>
      </c>
      <c r="D12157" t="str">
        <f>HYPERLINK("https://zfin.org/ZDB-GENE-051023-6")</f>
        <v>https://zfin.org/ZDB-GENE-051023-6</v>
      </c>
      <c r="E12157" t="s">
        <v>36430</v>
      </c>
    </row>
    <row r="12158" spans="1:5" x14ac:dyDescent="0.2">
      <c r="A12158" t="s">
        <v>36431</v>
      </c>
      <c r="B12158" t="s">
        <v>36432</v>
      </c>
      <c r="C12158" t="s">
        <v>36432</v>
      </c>
      <c r="D12158" t="str">
        <f>HYPERLINK("https://zfin.org/ZDB-GENE-040801-253")</f>
        <v>https://zfin.org/ZDB-GENE-040801-253</v>
      </c>
      <c r="E12158" t="s">
        <v>36433</v>
      </c>
    </row>
    <row r="12159" spans="1:5" x14ac:dyDescent="0.2">
      <c r="A12159" t="s">
        <v>36434</v>
      </c>
      <c r="B12159" t="s">
        <v>36435</v>
      </c>
      <c r="C12159" t="s">
        <v>36435</v>
      </c>
      <c r="D12159" t="str">
        <f>HYPERLINK("https://zfin.org/ZDB-GENE-030131-8646")</f>
        <v>https://zfin.org/ZDB-GENE-030131-8646</v>
      </c>
      <c r="E12159" t="s">
        <v>36436</v>
      </c>
    </row>
    <row r="12160" spans="1:5" x14ac:dyDescent="0.2">
      <c r="A12160" t="s">
        <v>36437</v>
      </c>
      <c r="B12160" t="s">
        <v>36438</v>
      </c>
      <c r="C12160" t="s">
        <v>36438</v>
      </c>
      <c r="D12160" t="str">
        <f>HYPERLINK("https://zfin.org/ZDB-GENE-030131-4309")</f>
        <v>https://zfin.org/ZDB-GENE-030131-4309</v>
      </c>
      <c r="E12160" t="s">
        <v>36439</v>
      </c>
    </row>
    <row r="12161" spans="1:5" x14ac:dyDescent="0.2">
      <c r="A12161" t="s">
        <v>36440</v>
      </c>
      <c r="B12161" t="s">
        <v>36441</v>
      </c>
      <c r="C12161" t="s">
        <v>36441</v>
      </c>
      <c r="D12161" t="str">
        <f>HYPERLINK("https://zfin.org/ZDB-GENE-060810-98")</f>
        <v>https://zfin.org/ZDB-GENE-060810-98</v>
      </c>
      <c r="E12161" t="s">
        <v>36442</v>
      </c>
    </row>
    <row r="12162" spans="1:5" x14ac:dyDescent="0.2">
      <c r="A12162" t="s">
        <v>36443</v>
      </c>
      <c r="B12162" t="s">
        <v>36444</v>
      </c>
      <c r="C12162" t="s">
        <v>36444</v>
      </c>
      <c r="D12162" t="str">
        <f>HYPERLINK("https://zfin.org/ZDB-GENE-030131-7016")</f>
        <v>https://zfin.org/ZDB-GENE-030131-7016</v>
      </c>
      <c r="E12162" t="s">
        <v>36445</v>
      </c>
    </row>
    <row r="12163" spans="1:5" x14ac:dyDescent="0.2">
      <c r="A12163" t="s">
        <v>36446</v>
      </c>
      <c r="B12163" t="s">
        <v>36447</v>
      </c>
      <c r="C12163" t="s">
        <v>36447</v>
      </c>
      <c r="D12163" t="str">
        <f>HYPERLINK("https://zfin.org/ZDB-GENE-040912-183")</f>
        <v>https://zfin.org/ZDB-GENE-040912-183</v>
      </c>
      <c r="E12163" t="s">
        <v>36448</v>
      </c>
    </row>
    <row r="12164" spans="1:5" x14ac:dyDescent="0.2">
      <c r="A12164" t="s">
        <v>36449</v>
      </c>
      <c r="B12164" t="s">
        <v>36450</v>
      </c>
      <c r="C12164" t="s">
        <v>36450</v>
      </c>
      <c r="D12164" t="str">
        <f>HYPERLINK("https://zfin.org/ZDB-GENE-060503-656")</f>
        <v>https://zfin.org/ZDB-GENE-060503-656</v>
      </c>
      <c r="E12164" t="s">
        <v>36451</v>
      </c>
    </row>
    <row r="12165" spans="1:5" x14ac:dyDescent="0.2">
      <c r="A12165" t="s">
        <v>36452</v>
      </c>
      <c r="B12165" t="s">
        <v>36453</v>
      </c>
      <c r="C12165" t="s">
        <v>36453</v>
      </c>
      <c r="D12165" t="str">
        <f>HYPERLINK("https://zfin.org/ZDB-GENE-040426-2216")</f>
        <v>https://zfin.org/ZDB-GENE-040426-2216</v>
      </c>
      <c r="E12165" t="s">
        <v>36454</v>
      </c>
    </row>
    <row r="12166" spans="1:5" x14ac:dyDescent="0.2">
      <c r="A12166" t="s">
        <v>36455</v>
      </c>
      <c r="B12166" t="s">
        <v>36456</v>
      </c>
      <c r="C12166" t="s">
        <v>36456</v>
      </c>
      <c r="D12166" t="str">
        <f>HYPERLINK("https://zfin.org/ZDB-GENE-040426-761")</f>
        <v>https://zfin.org/ZDB-GENE-040426-761</v>
      </c>
      <c r="E12166" t="s">
        <v>36457</v>
      </c>
    </row>
    <row r="12167" spans="1:5" x14ac:dyDescent="0.2">
      <c r="A12167" t="s">
        <v>36458</v>
      </c>
      <c r="B12167" t="s">
        <v>36459</v>
      </c>
      <c r="C12167" t="s">
        <v>36459</v>
      </c>
      <c r="D12167" t="str">
        <f>HYPERLINK("https://zfin.org/ZDB-GENE-110411-217")</f>
        <v>https://zfin.org/ZDB-GENE-110411-217</v>
      </c>
      <c r="E12167" t="s">
        <v>36460</v>
      </c>
    </row>
    <row r="12168" spans="1:5" x14ac:dyDescent="0.2">
      <c r="A12168" t="s">
        <v>36461</v>
      </c>
      <c r="B12168" t="s">
        <v>36462</v>
      </c>
      <c r="C12168" t="s">
        <v>36462</v>
      </c>
      <c r="D12168" t="str">
        <f>HYPERLINK("https://zfin.org/ZDB-GENE-000928-1")</f>
        <v>https://zfin.org/ZDB-GENE-000928-1</v>
      </c>
      <c r="E12168" t="s">
        <v>36463</v>
      </c>
    </row>
    <row r="12169" spans="1:5" x14ac:dyDescent="0.2">
      <c r="A12169" t="s">
        <v>36464</v>
      </c>
      <c r="B12169" t="s">
        <v>36465</v>
      </c>
      <c r="C12169" t="s">
        <v>36465</v>
      </c>
      <c r="D12169" t="str">
        <f>HYPERLINK("https://zfin.org/ZDB-GENE-021231-4")</f>
        <v>https://zfin.org/ZDB-GENE-021231-4</v>
      </c>
      <c r="E12169" t="s">
        <v>36466</v>
      </c>
    </row>
    <row r="12170" spans="1:5" x14ac:dyDescent="0.2">
      <c r="A12170" t="s">
        <v>36467</v>
      </c>
      <c r="B12170" t="s">
        <v>36468</v>
      </c>
      <c r="C12170" t="s">
        <v>36468</v>
      </c>
      <c r="D12170" t="str">
        <f>HYPERLINK("https://zfin.org/ZDB-GENE-030131-3727")</f>
        <v>https://zfin.org/ZDB-GENE-030131-3727</v>
      </c>
      <c r="E12170" t="s">
        <v>36469</v>
      </c>
    </row>
    <row r="12171" spans="1:5" x14ac:dyDescent="0.2">
      <c r="A12171" t="s">
        <v>36470</v>
      </c>
      <c r="B12171" t="s">
        <v>36471</v>
      </c>
      <c r="C12171" t="s">
        <v>36471</v>
      </c>
      <c r="D12171" t="str">
        <f>HYPERLINK("https://zfin.org/ZDB-GENE-030131-808")</f>
        <v>https://zfin.org/ZDB-GENE-030131-808</v>
      </c>
      <c r="E12171" t="s">
        <v>36472</v>
      </c>
    </row>
    <row r="12172" spans="1:5" x14ac:dyDescent="0.2">
      <c r="A12172" t="s">
        <v>36473</v>
      </c>
      <c r="B12172" t="s">
        <v>36474</v>
      </c>
      <c r="C12172" t="s">
        <v>36474</v>
      </c>
      <c r="D12172" t="str">
        <f>HYPERLINK("https://zfin.org/ZDB-GENE-040824-3")</f>
        <v>https://zfin.org/ZDB-GENE-040824-3</v>
      </c>
      <c r="E12172" t="s">
        <v>36475</v>
      </c>
    </row>
    <row r="12173" spans="1:5" x14ac:dyDescent="0.2">
      <c r="A12173" t="s">
        <v>36476</v>
      </c>
      <c r="B12173" t="s">
        <v>36477</v>
      </c>
      <c r="C12173" t="s">
        <v>36477</v>
      </c>
      <c r="D12173" t="str">
        <f>HYPERLINK("https://zfin.org/ZDB-GENE-030131-9446")</f>
        <v>https://zfin.org/ZDB-GENE-030131-9446</v>
      </c>
      <c r="E12173" t="s">
        <v>36478</v>
      </c>
    </row>
    <row r="12174" spans="1:5" x14ac:dyDescent="0.2">
      <c r="A12174" t="s">
        <v>36479</v>
      </c>
      <c r="B12174" t="s">
        <v>36480</v>
      </c>
      <c r="C12174" t="s">
        <v>36480</v>
      </c>
      <c r="D12174" t="str">
        <f>HYPERLINK("https://zfin.org/ZDB-GENE-050417-52")</f>
        <v>https://zfin.org/ZDB-GENE-050417-52</v>
      </c>
      <c r="E12174" t="s">
        <v>36481</v>
      </c>
    </row>
    <row r="12175" spans="1:5" x14ac:dyDescent="0.2">
      <c r="A12175" t="s">
        <v>36482</v>
      </c>
      <c r="B12175" t="s">
        <v>36483</v>
      </c>
      <c r="C12175" t="s">
        <v>36483</v>
      </c>
      <c r="D12175" t="str">
        <f>HYPERLINK("https://zfin.org/ZDB-GENE-030131-8330")</f>
        <v>https://zfin.org/ZDB-GENE-030131-8330</v>
      </c>
      <c r="E12175" t="s">
        <v>36484</v>
      </c>
    </row>
    <row r="12176" spans="1:5" x14ac:dyDescent="0.2">
      <c r="A12176" t="s">
        <v>36485</v>
      </c>
      <c r="B12176" t="s">
        <v>36486</v>
      </c>
      <c r="C12176" t="s">
        <v>36486</v>
      </c>
      <c r="D12176" t="str">
        <f>HYPERLINK("https://zfin.org/ZDB-GENE-040426-1099")</f>
        <v>https://zfin.org/ZDB-GENE-040426-1099</v>
      </c>
      <c r="E12176" t="s">
        <v>36487</v>
      </c>
    </row>
    <row r="12177" spans="1:5" x14ac:dyDescent="0.2">
      <c r="A12177" t="s">
        <v>36488</v>
      </c>
      <c r="B12177" t="s">
        <v>36489</v>
      </c>
      <c r="C12177" t="s">
        <v>36489</v>
      </c>
      <c r="D12177" t="str">
        <f>HYPERLINK("https://zfin.org/ZDB-GENE-080403-8")</f>
        <v>https://zfin.org/ZDB-GENE-080403-8</v>
      </c>
      <c r="E12177" t="s">
        <v>36490</v>
      </c>
    </row>
    <row r="12178" spans="1:5" x14ac:dyDescent="0.2">
      <c r="A12178" t="s">
        <v>36491</v>
      </c>
      <c r="B12178" t="s">
        <v>36492</v>
      </c>
      <c r="C12178" t="s">
        <v>36492</v>
      </c>
      <c r="D12178" t="str">
        <f>HYPERLINK("https://zfin.org/ZDB-GENE-030131-1583")</f>
        <v>https://zfin.org/ZDB-GENE-030131-1583</v>
      </c>
      <c r="E12178" t="s">
        <v>36493</v>
      </c>
    </row>
    <row r="12179" spans="1:5" x14ac:dyDescent="0.2">
      <c r="A12179" t="s">
        <v>36494</v>
      </c>
      <c r="B12179" t="s">
        <v>36495</v>
      </c>
      <c r="C12179" t="s">
        <v>36495</v>
      </c>
      <c r="D12179" t="str">
        <f>HYPERLINK("https://zfin.org/ZDB-GENE-090313-204")</f>
        <v>https://zfin.org/ZDB-GENE-090313-204</v>
      </c>
      <c r="E12179" t="s">
        <v>36496</v>
      </c>
    </row>
    <row r="12180" spans="1:5" x14ac:dyDescent="0.2">
      <c r="A12180" t="s">
        <v>36497</v>
      </c>
      <c r="B12180" t="s">
        <v>36498</v>
      </c>
      <c r="C12180" t="s">
        <v>36498</v>
      </c>
      <c r="D12180" t="str">
        <f>HYPERLINK("https://zfin.org/ZDB-GENE-040426-1740")</f>
        <v>https://zfin.org/ZDB-GENE-040426-1740</v>
      </c>
      <c r="E12180" t="s">
        <v>36499</v>
      </c>
    </row>
    <row r="12181" spans="1:5" x14ac:dyDescent="0.2">
      <c r="A12181" t="s">
        <v>36500</v>
      </c>
      <c r="B12181" t="s">
        <v>36501</v>
      </c>
      <c r="C12181" t="s">
        <v>36501</v>
      </c>
      <c r="D12181" t="str">
        <f>HYPERLINK("https://zfin.org/ZDB-GENE-090313-10")</f>
        <v>https://zfin.org/ZDB-GENE-090313-10</v>
      </c>
      <c r="E12181" t="s">
        <v>36502</v>
      </c>
    </row>
    <row r="12182" spans="1:5" x14ac:dyDescent="0.2">
      <c r="A12182" t="s">
        <v>36503</v>
      </c>
      <c r="B12182" t="s">
        <v>36504</v>
      </c>
      <c r="C12182" t="s">
        <v>36504</v>
      </c>
      <c r="D12182" t="str">
        <f>HYPERLINK("https://zfin.org/ZDB-GENE-141216-207")</f>
        <v>https://zfin.org/ZDB-GENE-141216-207</v>
      </c>
      <c r="E12182" t="s">
        <v>36505</v>
      </c>
    </row>
    <row r="12183" spans="1:5" x14ac:dyDescent="0.2">
      <c r="A12183" t="s">
        <v>36506</v>
      </c>
      <c r="B12183" t="s">
        <v>36507</v>
      </c>
      <c r="C12183" t="s">
        <v>36507</v>
      </c>
      <c r="D12183" t="str">
        <f>HYPERLINK("https://zfin.org/ZDB-GENE-040426-848")</f>
        <v>https://zfin.org/ZDB-GENE-040426-848</v>
      </c>
      <c r="E12183" t="s">
        <v>36508</v>
      </c>
    </row>
    <row r="12184" spans="1:5" x14ac:dyDescent="0.2">
      <c r="A12184" t="s">
        <v>36509</v>
      </c>
      <c r="B12184" t="s">
        <v>36510</v>
      </c>
      <c r="C12184" t="s">
        <v>36510</v>
      </c>
      <c r="D12184" t="str">
        <f>HYPERLINK("https://zfin.org/ZDB-GENE-131121-204")</f>
        <v>https://zfin.org/ZDB-GENE-131121-204</v>
      </c>
      <c r="E12184" t="s">
        <v>36511</v>
      </c>
    </row>
    <row r="12185" spans="1:5" x14ac:dyDescent="0.2">
      <c r="A12185" t="s">
        <v>36512</v>
      </c>
      <c r="B12185" t="s">
        <v>36513</v>
      </c>
      <c r="C12185" t="s">
        <v>36513</v>
      </c>
      <c r="D12185" t="str">
        <f>HYPERLINK("https://zfin.org/ZDB-GENE-131115-1")</f>
        <v>https://zfin.org/ZDB-GENE-131115-1</v>
      </c>
      <c r="E12185" t="s">
        <v>36514</v>
      </c>
    </row>
    <row r="12186" spans="1:5" x14ac:dyDescent="0.2">
      <c r="A12186" t="s">
        <v>36515</v>
      </c>
      <c r="B12186" t="s">
        <v>36516</v>
      </c>
      <c r="C12186" t="s">
        <v>36516</v>
      </c>
      <c r="D12186" t="str">
        <f>HYPERLINK("https://zfin.org/ZDB-GENE-070209-191")</f>
        <v>https://zfin.org/ZDB-GENE-070209-191</v>
      </c>
      <c r="E12186" t="s">
        <v>36517</v>
      </c>
    </row>
    <row r="12187" spans="1:5" x14ac:dyDescent="0.2">
      <c r="A12187" t="s">
        <v>36518</v>
      </c>
      <c r="B12187" t="s">
        <v>36519</v>
      </c>
      <c r="C12187" t="s">
        <v>36519</v>
      </c>
      <c r="D12187" t="str">
        <f>HYPERLINK("https://zfin.org/ZDB-GENE-070705-411")</f>
        <v>https://zfin.org/ZDB-GENE-070705-411</v>
      </c>
      <c r="E12187" t="s">
        <v>36520</v>
      </c>
    </row>
    <row r="12188" spans="1:5" x14ac:dyDescent="0.2">
      <c r="A12188" t="s">
        <v>36521</v>
      </c>
      <c r="B12188" t="s">
        <v>36522</v>
      </c>
      <c r="C12188" t="s">
        <v>36522</v>
      </c>
      <c r="D12188" t="str">
        <f>HYPERLINK("https://zfin.org/ZDB-GENE-060929-48")</f>
        <v>https://zfin.org/ZDB-GENE-060929-48</v>
      </c>
      <c r="E12188" t="s">
        <v>36523</v>
      </c>
    </row>
    <row r="12189" spans="1:5" x14ac:dyDescent="0.2">
      <c r="A12189" t="s">
        <v>36524</v>
      </c>
      <c r="B12189" t="s">
        <v>36525</v>
      </c>
      <c r="C12189" t="s">
        <v>36525</v>
      </c>
      <c r="D12189" t="str">
        <f>HYPERLINK("https://zfin.org/ZDB-GENE-050809-118")</f>
        <v>https://zfin.org/ZDB-GENE-050809-118</v>
      </c>
      <c r="E12189" t="s">
        <v>36526</v>
      </c>
    </row>
    <row r="12190" spans="1:5" x14ac:dyDescent="0.2">
      <c r="A12190" t="s">
        <v>36527</v>
      </c>
      <c r="B12190" t="s">
        <v>36528</v>
      </c>
      <c r="C12190" t="s">
        <v>36528</v>
      </c>
      <c r="D12190" t="str">
        <f>HYPERLINK("https://zfin.org/ZDB-GENE-040724-45")</f>
        <v>https://zfin.org/ZDB-GENE-040724-45</v>
      </c>
      <c r="E12190" t="s">
        <v>36529</v>
      </c>
    </row>
    <row r="12191" spans="1:5" x14ac:dyDescent="0.2">
      <c r="A12191" t="s">
        <v>36530</v>
      </c>
      <c r="B12191" t="s">
        <v>36531</v>
      </c>
      <c r="C12191" t="s">
        <v>36531</v>
      </c>
      <c r="D12191" t="str">
        <f>HYPERLINK("https://zfin.org/ZDB-GENE-030131-2621")</f>
        <v>https://zfin.org/ZDB-GENE-030131-2621</v>
      </c>
      <c r="E12191" t="s">
        <v>36532</v>
      </c>
    </row>
    <row r="12192" spans="1:5" x14ac:dyDescent="0.2">
      <c r="A12192" t="s">
        <v>36533</v>
      </c>
      <c r="B12192" t="s">
        <v>36534</v>
      </c>
      <c r="C12192" t="s">
        <v>36534</v>
      </c>
      <c r="D12192" t="str">
        <f>HYPERLINK("https://zfin.org/ZDB-GENE-070705-409")</f>
        <v>https://zfin.org/ZDB-GENE-070705-409</v>
      </c>
      <c r="E12192" t="s">
        <v>36535</v>
      </c>
    </row>
    <row r="12193" spans="1:5" x14ac:dyDescent="0.2">
      <c r="A12193" t="s">
        <v>36536</v>
      </c>
      <c r="B12193" t="s">
        <v>36537</v>
      </c>
      <c r="C12193" t="s">
        <v>36537</v>
      </c>
      <c r="D12193" t="str">
        <f>HYPERLINK("https://zfin.org/ZDB-GENE-100427-1")</f>
        <v>https://zfin.org/ZDB-GENE-100427-1</v>
      </c>
      <c r="E12193" t="s">
        <v>36538</v>
      </c>
    </row>
    <row r="12194" spans="1:5" x14ac:dyDescent="0.2">
      <c r="A12194" t="s">
        <v>36539</v>
      </c>
      <c r="B12194" t="s">
        <v>36540</v>
      </c>
      <c r="C12194" t="s">
        <v>36540</v>
      </c>
      <c r="D12194" t="str">
        <f>HYPERLINK("https://zfin.org/ZDB-GENE-060503-393")</f>
        <v>https://zfin.org/ZDB-GENE-060503-393</v>
      </c>
      <c r="E12194" t="s">
        <v>36541</v>
      </c>
    </row>
    <row r="12195" spans="1:5" x14ac:dyDescent="0.2">
      <c r="A12195" t="s">
        <v>36542</v>
      </c>
      <c r="B12195" t="s">
        <v>36543</v>
      </c>
      <c r="C12195" t="s">
        <v>36543</v>
      </c>
      <c r="D12195" t="str">
        <f>HYPERLINK("https://zfin.org/ZDB-GENE-030131-3235")</f>
        <v>https://zfin.org/ZDB-GENE-030131-3235</v>
      </c>
      <c r="E12195" t="s">
        <v>36544</v>
      </c>
    </row>
    <row r="12196" spans="1:5" x14ac:dyDescent="0.2">
      <c r="A12196" t="s">
        <v>36545</v>
      </c>
      <c r="B12196" t="s">
        <v>36546</v>
      </c>
      <c r="C12196" t="s">
        <v>36546</v>
      </c>
      <c r="D12196" t="str">
        <f>HYPERLINK("https://zfin.org/ZDB-GENE-060503-86")</f>
        <v>https://zfin.org/ZDB-GENE-060503-86</v>
      </c>
      <c r="E12196" t="s">
        <v>36547</v>
      </c>
    </row>
    <row r="12197" spans="1:5" x14ac:dyDescent="0.2">
      <c r="A12197" t="s">
        <v>36548</v>
      </c>
      <c r="B12197" t="s">
        <v>36549</v>
      </c>
      <c r="C12197" t="s">
        <v>36549</v>
      </c>
      <c r="D12197" t="str">
        <f>HYPERLINK("https://zfin.org/ZDB-GENE-050320-80")</f>
        <v>https://zfin.org/ZDB-GENE-050320-80</v>
      </c>
      <c r="E12197" t="s">
        <v>36550</v>
      </c>
    </row>
    <row r="12198" spans="1:5" x14ac:dyDescent="0.2">
      <c r="A12198" t="s">
        <v>36551</v>
      </c>
      <c r="B12198" t="s">
        <v>36552</v>
      </c>
      <c r="C12198" t="s">
        <v>36552</v>
      </c>
      <c r="D12198" t="str">
        <f>HYPERLINK("https://zfin.org/ZDB-GENE-131127-574")</f>
        <v>https://zfin.org/ZDB-GENE-131127-574</v>
      </c>
      <c r="E12198" t="s">
        <v>36553</v>
      </c>
    </row>
    <row r="12199" spans="1:5" x14ac:dyDescent="0.2">
      <c r="A12199" t="s">
        <v>36554</v>
      </c>
      <c r="B12199" t="s">
        <v>36555</v>
      </c>
      <c r="C12199" t="s">
        <v>36555</v>
      </c>
      <c r="D12199" t="str">
        <f>HYPERLINK("https://zfin.org/ZDB-GENE-040426-772")</f>
        <v>https://zfin.org/ZDB-GENE-040426-772</v>
      </c>
      <c r="E12199" t="s">
        <v>36556</v>
      </c>
    </row>
    <row r="12200" spans="1:5" x14ac:dyDescent="0.2">
      <c r="A12200" t="s">
        <v>36557</v>
      </c>
      <c r="B12200" t="s">
        <v>36558</v>
      </c>
      <c r="C12200" t="s">
        <v>36558</v>
      </c>
      <c r="D12200" t="str">
        <f>HYPERLINK("https://zfin.org/ZDB-GENE-070209-128")</f>
        <v>https://zfin.org/ZDB-GENE-070209-128</v>
      </c>
      <c r="E12200" t="s">
        <v>36559</v>
      </c>
    </row>
    <row r="12201" spans="1:5" x14ac:dyDescent="0.2">
      <c r="A12201" t="s">
        <v>36560</v>
      </c>
      <c r="B12201" t="s">
        <v>36561</v>
      </c>
      <c r="C12201" t="s">
        <v>36561</v>
      </c>
      <c r="D12201" t="str">
        <f>HYPERLINK("https://zfin.org/ZDB-GENE-060526-68")</f>
        <v>https://zfin.org/ZDB-GENE-060526-68</v>
      </c>
      <c r="E12201" t="s">
        <v>36562</v>
      </c>
    </row>
    <row r="12202" spans="1:5" x14ac:dyDescent="0.2">
      <c r="A12202" t="s">
        <v>36563</v>
      </c>
      <c r="B12202" t="s">
        <v>36564</v>
      </c>
      <c r="C12202" t="s">
        <v>36564</v>
      </c>
      <c r="D12202" t="str">
        <f>HYPERLINK("https://zfin.org/ZDB-GENE-060503-368")</f>
        <v>https://zfin.org/ZDB-GENE-060503-368</v>
      </c>
      <c r="E12202" t="s">
        <v>36565</v>
      </c>
    </row>
    <row r="12203" spans="1:5" x14ac:dyDescent="0.2">
      <c r="A12203" t="s">
        <v>36566</v>
      </c>
      <c r="B12203" t="s">
        <v>36567</v>
      </c>
      <c r="C12203" t="s">
        <v>36567</v>
      </c>
      <c r="D12203" t="str">
        <f>HYPERLINK("https://zfin.org/ZDB-GENE-030131-8407")</f>
        <v>https://zfin.org/ZDB-GENE-030131-8407</v>
      </c>
      <c r="E12203" t="s">
        <v>36568</v>
      </c>
    </row>
    <row r="12204" spans="1:5" x14ac:dyDescent="0.2">
      <c r="A12204" t="s">
        <v>36569</v>
      </c>
      <c r="B12204" t="s">
        <v>36570</v>
      </c>
      <c r="C12204" t="s">
        <v>36570</v>
      </c>
      <c r="D12204" t="str">
        <f>HYPERLINK("https://zfin.org/ZDB-GENE-030131-1747")</f>
        <v>https://zfin.org/ZDB-GENE-030131-1747</v>
      </c>
      <c r="E12204" t="s">
        <v>36571</v>
      </c>
    </row>
    <row r="12205" spans="1:5" x14ac:dyDescent="0.2">
      <c r="A12205" t="s">
        <v>36572</v>
      </c>
      <c r="B12205" t="s">
        <v>36573</v>
      </c>
      <c r="C12205" t="s">
        <v>36573</v>
      </c>
      <c r="D12205" t="str">
        <f>HYPERLINK("https://zfin.org/ZDB-GENE-040426-1376")</f>
        <v>https://zfin.org/ZDB-GENE-040426-1376</v>
      </c>
      <c r="E12205" t="s">
        <v>36574</v>
      </c>
    </row>
    <row r="12206" spans="1:5" x14ac:dyDescent="0.2">
      <c r="A12206" t="s">
        <v>36575</v>
      </c>
      <c r="B12206" t="s">
        <v>36576</v>
      </c>
      <c r="C12206" t="s">
        <v>36576</v>
      </c>
      <c r="D12206" t="str">
        <f>HYPERLINK("https://zfin.org/ZDB-GENE-030131-6242")</f>
        <v>https://zfin.org/ZDB-GENE-030131-6242</v>
      </c>
      <c r="E12206" t="s">
        <v>36577</v>
      </c>
    </row>
    <row r="12207" spans="1:5" x14ac:dyDescent="0.2">
      <c r="A12207" t="s">
        <v>36578</v>
      </c>
      <c r="B12207" t="s">
        <v>35734</v>
      </c>
      <c r="C12207" t="s">
        <v>36579</v>
      </c>
      <c r="D12207" t="str">
        <f>HYPERLINK("https://zfin.org/ZDB-GENE-081105-75")</f>
        <v>https://zfin.org/ZDB-GENE-081105-75</v>
      </c>
      <c r="E12207" t="s">
        <v>36580</v>
      </c>
    </row>
    <row r="12208" spans="1:5" x14ac:dyDescent="0.2">
      <c r="A12208" t="s">
        <v>36581</v>
      </c>
      <c r="B12208" t="s">
        <v>36582</v>
      </c>
      <c r="C12208" t="s">
        <v>36582</v>
      </c>
      <c r="D12208" t="str">
        <f>HYPERLINK("https://zfin.org/ZDB-GENE-991008-6")</f>
        <v>https://zfin.org/ZDB-GENE-991008-6</v>
      </c>
      <c r="E12208" t="s">
        <v>36583</v>
      </c>
    </row>
    <row r="12209" spans="1:5" x14ac:dyDescent="0.2">
      <c r="A12209" t="s">
        <v>36584</v>
      </c>
      <c r="B12209" t="s">
        <v>36585</v>
      </c>
      <c r="C12209" t="s">
        <v>36585</v>
      </c>
      <c r="D12209" t="str">
        <f>HYPERLINK("https://zfin.org/ZDB-GENE-040801-218")</f>
        <v>https://zfin.org/ZDB-GENE-040801-218</v>
      </c>
      <c r="E12209" t="s">
        <v>36586</v>
      </c>
    </row>
    <row r="12210" spans="1:5" x14ac:dyDescent="0.2">
      <c r="A12210" t="s">
        <v>36587</v>
      </c>
      <c r="B12210" t="s">
        <v>36588</v>
      </c>
      <c r="C12210" t="s">
        <v>36588</v>
      </c>
      <c r="D12210" t="str">
        <f>HYPERLINK("https://zfin.org/ZDB-GENE-090313-232")</f>
        <v>https://zfin.org/ZDB-GENE-090313-232</v>
      </c>
      <c r="E12210" t="s">
        <v>36589</v>
      </c>
    </row>
    <row r="12211" spans="1:5" x14ac:dyDescent="0.2">
      <c r="A12211" t="s">
        <v>36590</v>
      </c>
      <c r="B12211" t="s">
        <v>36591</v>
      </c>
      <c r="C12211" t="s">
        <v>36591</v>
      </c>
      <c r="D12211" t="str">
        <f>HYPERLINK("https://zfin.org/ZDB-GENE-090311-56")</f>
        <v>https://zfin.org/ZDB-GENE-090311-56</v>
      </c>
      <c r="E12211" t="s">
        <v>36592</v>
      </c>
    </row>
    <row r="12212" spans="1:5" x14ac:dyDescent="0.2">
      <c r="A12212" t="s">
        <v>36593</v>
      </c>
      <c r="B12212" t="s">
        <v>36594</v>
      </c>
      <c r="C12212" t="s">
        <v>36594</v>
      </c>
      <c r="D12212" t="str">
        <f>HYPERLINK("https://zfin.org/ZDB-GENE-090313-344")</f>
        <v>https://zfin.org/ZDB-GENE-090313-344</v>
      </c>
      <c r="E12212" t="s">
        <v>36595</v>
      </c>
    </row>
    <row r="12213" spans="1:5" x14ac:dyDescent="0.2">
      <c r="A12213" t="s">
        <v>36596</v>
      </c>
      <c r="B12213" t="s">
        <v>36597</v>
      </c>
      <c r="C12213" t="s">
        <v>36597</v>
      </c>
      <c r="D12213" t="str">
        <f>HYPERLINK("https://zfin.org/ZDB-GENE-081104-204")</f>
        <v>https://zfin.org/ZDB-GENE-081104-204</v>
      </c>
      <c r="E12213" t="s">
        <v>36598</v>
      </c>
    </row>
    <row r="12214" spans="1:5" x14ac:dyDescent="0.2">
      <c r="A12214" t="s">
        <v>36599</v>
      </c>
      <c r="B12214" t="s">
        <v>36600</v>
      </c>
      <c r="C12214" t="s">
        <v>36600</v>
      </c>
      <c r="D12214" t="str">
        <f>HYPERLINK("https://zfin.org/ZDB-GENE-070912-267")</f>
        <v>https://zfin.org/ZDB-GENE-070912-267</v>
      </c>
      <c r="E12214" t="s">
        <v>36601</v>
      </c>
    </row>
    <row r="12215" spans="1:5" x14ac:dyDescent="0.2">
      <c r="A12215" t="s">
        <v>36602</v>
      </c>
      <c r="B12215" t="s">
        <v>36603</v>
      </c>
      <c r="C12215" t="s">
        <v>36603</v>
      </c>
      <c r="D12215" t="str">
        <f>HYPERLINK("https://zfin.org/ZDB-GENE-030131-5065")</f>
        <v>https://zfin.org/ZDB-GENE-030131-5065</v>
      </c>
      <c r="E12215" t="s">
        <v>36604</v>
      </c>
    </row>
    <row r="12216" spans="1:5" x14ac:dyDescent="0.2">
      <c r="A12216" t="s">
        <v>36605</v>
      </c>
      <c r="B12216" t="s">
        <v>36606</v>
      </c>
      <c r="C12216" t="s">
        <v>36606</v>
      </c>
      <c r="D12216" t="str">
        <f>HYPERLINK("https://zfin.org/ZDB-GENE-081107-52")</f>
        <v>https://zfin.org/ZDB-GENE-081107-52</v>
      </c>
      <c r="E12216" t="s">
        <v>36607</v>
      </c>
    </row>
    <row r="12217" spans="1:5" x14ac:dyDescent="0.2">
      <c r="A12217" t="s">
        <v>36608</v>
      </c>
      <c r="B12217" t="s">
        <v>36609</v>
      </c>
      <c r="C12217" t="s">
        <v>36609</v>
      </c>
      <c r="D12217" t="str">
        <f>HYPERLINK("https://zfin.org/ZDB-GENE-030131-3008")</f>
        <v>https://zfin.org/ZDB-GENE-030131-3008</v>
      </c>
      <c r="E12217" t="s">
        <v>36610</v>
      </c>
    </row>
    <row r="12218" spans="1:5" x14ac:dyDescent="0.2">
      <c r="A12218" t="s">
        <v>36611</v>
      </c>
      <c r="B12218" t="s">
        <v>36612</v>
      </c>
      <c r="C12218" t="s">
        <v>36612</v>
      </c>
      <c r="D12218" t="str">
        <f>HYPERLINK("https://zfin.org/ZDB-GENE-060929-652")</f>
        <v>https://zfin.org/ZDB-GENE-060929-652</v>
      </c>
      <c r="E12218" t="s">
        <v>36613</v>
      </c>
    </row>
    <row r="12219" spans="1:5" x14ac:dyDescent="0.2">
      <c r="A12219" t="s">
        <v>36614</v>
      </c>
      <c r="B12219" t="s">
        <v>36615</v>
      </c>
      <c r="C12219" t="s">
        <v>36615</v>
      </c>
      <c r="D12219" t="str">
        <f>HYPERLINK("https://zfin.org/ZDB-GENE-061103-415")</f>
        <v>https://zfin.org/ZDB-GENE-061103-415</v>
      </c>
      <c r="E12219" t="s">
        <v>36616</v>
      </c>
    </row>
    <row r="12220" spans="1:5" x14ac:dyDescent="0.2">
      <c r="A12220" t="s">
        <v>36617</v>
      </c>
      <c r="B12220" t="s">
        <v>36618</v>
      </c>
      <c r="C12220" t="s">
        <v>36618</v>
      </c>
      <c r="D12220" t="str">
        <f>HYPERLINK("https://zfin.org/ZDB-GENE-100716-2")</f>
        <v>https://zfin.org/ZDB-GENE-100716-2</v>
      </c>
      <c r="E12220" t="s">
        <v>36619</v>
      </c>
    </row>
    <row r="12221" spans="1:5" x14ac:dyDescent="0.2">
      <c r="A12221" t="s">
        <v>36620</v>
      </c>
      <c r="B12221" t="s">
        <v>36621</v>
      </c>
      <c r="C12221" t="s">
        <v>36621</v>
      </c>
      <c r="D12221" t="str">
        <f>HYPERLINK("https://zfin.org/ZDB-GENE-070112-732")</f>
        <v>https://zfin.org/ZDB-GENE-070112-732</v>
      </c>
      <c r="E12221" t="s">
        <v>36622</v>
      </c>
    </row>
    <row r="12222" spans="1:5" x14ac:dyDescent="0.2">
      <c r="A12222" t="s">
        <v>36623</v>
      </c>
      <c r="B12222" t="s">
        <v>36624</v>
      </c>
      <c r="C12222" t="s">
        <v>36624</v>
      </c>
      <c r="D12222" t="str">
        <f>HYPERLINK("https://zfin.org/ZDB-GENE-980526-114")</f>
        <v>https://zfin.org/ZDB-GENE-980526-114</v>
      </c>
      <c r="E12222" t="s">
        <v>36625</v>
      </c>
    </row>
    <row r="12223" spans="1:5" x14ac:dyDescent="0.2">
      <c r="A12223" t="s">
        <v>36626</v>
      </c>
      <c r="B12223" t="s">
        <v>36627</v>
      </c>
      <c r="C12223" t="s">
        <v>36627</v>
      </c>
      <c r="D12223" t="str">
        <f>HYPERLINK("https://zfin.org/ZDB-GENE-040711-3")</f>
        <v>https://zfin.org/ZDB-GENE-040711-3</v>
      </c>
      <c r="E12223" t="s">
        <v>36628</v>
      </c>
    </row>
    <row r="12224" spans="1:5" x14ac:dyDescent="0.2">
      <c r="A12224" t="s">
        <v>36629</v>
      </c>
      <c r="B12224" t="s">
        <v>36630</v>
      </c>
      <c r="C12224" t="s">
        <v>36630</v>
      </c>
      <c r="D12224" t="str">
        <f>HYPERLINK("https://zfin.org/ZDB-GENE-030829-25")</f>
        <v>https://zfin.org/ZDB-GENE-030829-25</v>
      </c>
      <c r="E12224" t="s">
        <v>36631</v>
      </c>
    </row>
    <row r="12225" spans="1:5" x14ac:dyDescent="0.2">
      <c r="A12225" t="s">
        <v>36632</v>
      </c>
      <c r="B12225" t="s">
        <v>36633</v>
      </c>
      <c r="C12225" t="s">
        <v>36633</v>
      </c>
      <c r="D12225" t="str">
        <f>HYPERLINK("https://zfin.org/ZDB-GENE-131127-341")</f>
        <v>https://zfin.org/ZDB-GENE-131127-341</v>
      </c>
      <c r="E12225" t="s">
        <v>36634</v>
      </c>
    </row>
    <row r="12226" spans="1:5" x14ac:dyDescent="0.2">
      <c r="A12226" t="s">
        <v>36635</v>
      </c>
      <c r="B12226" t="s">
        <v>36636</v>
      </c>
      <c r="C12226" t="s">
        <v>36636</v>
      </c>
      <c r="D12226" t="str">
        <f>HYPERLINK("https://zfin.org/ZDB-GENE-141216-126")</f>
        <v>https://zfin.org/ZDB-GENE-141216-126</v>
      </c>
      <c r="E12226" t="s">
        <v>36637</v>
      </c>
    </row>
    <row r="12227" spans="1:5" x14ac:dyDescent="0.2">
      <c r="A12227" t="s">
        <v>36638</v>
      </c>
      <c r="B12227" t="s">
        <v>36639</v>
      </c>
      <c r="C12227" t="s">
        <v>36639</v>
      </c>
      <c r="D12227" t="str">
        <f>HYPERLINK("https://zfin.org/ZDB-GENE-081104-202")</f>
        <v>https://zfin.org/ZDB-GENE-081104-202</v>
      </c>
      <c r="E12227" t="s">
        <v>36640</v>
      </c>
    </row>
    <row r="12228" spans="1:5" x14ac:dyDescent="0.2">
      <c r="A12228" t="s">
        <v>36641</v>
      </c>
      <c r="B12228" t="s">
        <v>36642</v>
      </c>
      <c r="C12228" t="s">
        <v>36642</v>
      </c>
      <c r="D12228" t="str">
        <f>HYPERLINK("https://zfin.org/ZDB-GENE-061026-4")</f>
        <v>https://zfin.org/ZDB-GENE-061026-4</v>
      </c>
      <c r="E12228" t="s">
        <v>36643</v>
      </c>
    </row>
    <row r="12229" spans="1:5" x14ac:dyDescent="0.2">
      <c r="A12229" t="s">
        <v>36644</v>
      </c>
      <c r="B12229" t="s">
        <v>36645</v>
      </c>
      <c r="C12229" t="s">
        <v>36645</v>
      </c>
      <c r="D12229" t="str">
        <f>HYPERLINK("https://zfin.org/ZDB-GENE-061109-2")</f>
        <v>https://zfin.org/ZDB-GENE-061109-2</v>
      </c>
      <c r="E12229" t="s">
        <v>36646</v>
      </c>
    </row>
    <row r="12230" spans="1:5" x14ac:dyDescent="0.2">
      <c r="A12230" t="s">
        <v>36647</v>
      </c>
      <c r="B12230" t="s">
        <v>36648</v>
      </c>
      <c r="C12230" t="s">
        <v>36648</v>
      </c>
      <c r="D12230" t="str">
        <f>HYPERLINK("https://zfin.org/ZDB-GENE-040912-131")</f>
        <v>https://zfin.org/ZDB-GENE-040912-131</v>
      </c>
      <c r="E12230" t="s">
        <v>36649</v>
      </c>
    </row>
    <row r="12231" spans="1:5" x14ac:dyDescent="0.2">
      <c r="A12231" t="s">
        <v>36650</v>
      </c>
      <c r="B12231" t="s">
        <v>36651</v>
      </c>
      <c r="C12231" t="s">
        <v>36651</v>
      </c>
      <c r="D12231" t="str">
        <f>HYPERLINK("https://zfin.org/ZDB-GENE-041114-161")</f>
        <v>https://zfin.org/ZDB-GENE-041114-161</v>
      </c>
      <c r="E12231" t="s">
        <v>36652</v>
      </c>
    </row>
    <row r="12232" spans="1:5" x14ac:dyDescent="0.2">
      <c r="A12232" t="s">
        <v>36653</v>
      </c>
      <c r="B12232" t="s">
        <v>36654</v>
      </c>
      <c r="C12232" t="s">
        <v>36654</v>
      </c>
      <c r="D12232" t="str">
        <f>HYPERLINK("https://zfin.org/ZDB-GENE-050208-327")</f>
        <v>https://zfin.org/ZDB-GENE-050208-327</v>
      </c>
      <c r="E12232" t="s">
        <v>36655</v>
      </c>
    </row>
    <row r="12233" spans="1:5" x14ac:dyDescent="0.2">
      <c r="A12233" t="s">
        <v>36656</v>
      </c>
      <c r="B12233" t="s">
        <v>36657</v>
      </c>
      <c r="C12233" t="s">
        <v>36657</v>
      </c>
      <c r="D12233" t="str">
        <f>HYPERLINK("https://zfin.org/ZDB-GENE-040115-4")</f>
        <v>https://zfin.org/ZDB-GENE-040115-4</v>
      </c>
      <c r="E12233" t="s">
        <v>36658</v>
      </c>
    </row>
    <row r="12234" spans="1:5" x14ac:dyDescent="0.2">
      <c r="A12234" t="s">
        <v>36659</v>
      </c>
      <c r="B12234" t="s">
        <v>36660</v>
      </c>
      <c r="C12234" t="s">
        <v>36660</v>
      </c>
      <c r="D12234" t="str">
        <f>HYPERLINK("https://zfin.org/ZDB-GENE-030131-8783")</f>
        <v>https://zfin.org/ZDB-GENE-030131-8783</v>
      </c>
      <c r="E12234" t="s">
        <v>36661</v>
      </c>
    </row>
    <row r="12235" spans="1:5" x14ac:dyDescent="0.2">
      <c r="A12235" t="s">
        <v>36662</v>
      </c>
      <c r="B12235" t="s">
        <v>36663</v>
      </c>
      <c r="C12235" t="s">
        <v>36663</v>
      </c>
      <c r="D12235" t="str">
        <f>HYPERLINK("https://zfin.org/ZDB-GENE-030131-8538")</f>
        <v>https://zfin.org/ZDB-GENE-030131-8538</v>
      </c>
      <c r="E12235" t="s">
        <v>36664</v>
      </c>
    </row>
    <row r="12236" spans="1:5" x14ac:dyDescent="0.2">
      <c r="A12236" t="s">
        <v>36665</v>
      </c>
      <c r="B12236" t="s">
        <v>36666</v>
      </c>
      <c r="C12236" t="s">
        <v>36666</v>
      </c>
      <c r="D12236" t="str">
        <f>HYPERLINK("https://zfin.org/ZDB-GENE-131121-320")</f>
        <v>https://zfin.org/ZDB-GENE-131121-320</v>
      </c>
      <c r="E12236" t="s">
        <v>36667</v>
      </c>
    </row>
    <row r="12237" spans="1:5" x14ac:dyDescent="0.2">
      <c r="A12237" t="s">
        <v>36668</v>
      </c>
      <c r="B12237" t="s">
        <v>36669</v>
      </c>
      <c r="C12237" t="s">
        <v>36669</v>
      </c>
      <c r="D12237" t="str">
        <f>HYPERLINK("https://zfin.org/ZDB-GENE-030131-7165")</f>
        <v>https://zfin.org/ZDB-GENE-030131-7165</v>
      </c>
      <c r="E12237" t="s">
        <v>36670</v>
      </c>
    </row>
    <row r="12238" spans="1:5" x14ac:dyDescent="0.2">
      <c r="A12238" t="s">
        <v>36671</v>
      </c>
      <c r="B12238" t="s">
        <v>36672</v>
      </c>
      <c r="C12238" t="s">
        <v>36672</v>
      </c>
      <c r="D12238" t="str">
        <f>HYPERLINK("https://zfin.org/ZDB-GENE-050522-53")</f>
        <v>https://zfin.org/ZDB-GENE-050522-53</v>
      </c>
      <c r="E12238" t="s">
        <v>36673</v>
      </c>
    </row>
    <row r="12239" spans="1:5" x14ac:dyDescent="0.2">
      <c r="A12239" t="s">
        <v>36674</v>
      </c>
      <c r="B12239" t="s">
        <v>36675</v>
      </c>
      <c r="C12239" t="s">
        <v>36675</v>
      </c>
      <c r="D12239" t="str">
        <f>HYPERLINK("https://zfin.org/ZDB-GENE-051113-156")</f>
        <v>https://zfin.org/ZDB-GENE-051113-156</v>
      </c>
      <c r="E12239" t="s">
        <v>36676</v>
      </c>
    </row>
    <row r="12240" spans="1:5" x14ac:dyDescent="0.2">
      <c r="A12240" t="s">
        <v>36677</v>
      </c>
      <c r="B12240" t="s">
        <v>36678</v>
      </c>
      <c r="C12240" t="s">
        <v>36678</v>
      </c>
      <c r="D12240" t="str">
        <f>HYPERLINK("https://zfin.org/ZDB-GENE-060825-289")</f>
        <v>https://zfin.org/ZDB-GENE-060825-289</v>
      </c>
      <c r="E12240" t="s">
        <v>36679</v>
      </c>
    </row>
    <row r="12241" spans="1:5" x14ac:dyDescent="0.2">
      <c r="A12241" t="s">
        <v>36680</v>
      </c>
      <c r="B12241" t="s">
        <v>36681</v>
      </c>
      <c r="C12241" t="s">
        <v>36681</v>
      </c>
      <c r="D12241" t="str">
        <f>HYPERLINK("https://zfin.org/ZDB-GENE-141212-241")</f>
        <v>https://zfin.org/ZDB-GENE-141212-241</v>
      </c>
      <c r="E12241" t="s">
        <v>36682</v>
      </c>
    </row>
    <row r="12242" spans="1:5" x14ac:dyDescent="0.2">
      <c r="A12242" t="s">
        <v>36683</v>
      </c>
      <c r="B12242" t="s">
        <v>36684</v>
      </c>
      <c r="C12242" t="s">
        <v>36684</v>
      </c>
      <c r="D12242" t="str">
        <f>HYPERLINK("https://zfin.org/ZDB-GENE-070928-23")</f>
        <v>https://zfin.org/ZDB-GENE-070928-23</v>
      </c>
      <c r="E12242" t="s">
        <v>36685</v>
      </c>
    </row>
    <row r="12243" spans="1:5" x14ac:dyDescent="0.2">
      <c r="A12243" t="s">
        <v>36686</v>
      </c>
      <c r="B12243" t="s">
        <v>36687</v>
      </c>
      <c r="C12243" t="s">
        <v>36687</v>
      </c>
      <c r="D12243" t="str">
        <f>HYPERLINK("https://zfin.org/ZDB-GENE-030131-445")</f>
        <v>https://zfin.org/ZDB-GENE-030131-445</v>
      </c>
      <c r="E12243" t="s">
        <v>36688</v>
      </c>
    </row>
    <row r="12244" spans="1:5" x14ac:dyDescent="0.2">
      <c r="A12244" t="s">
        <v>36689</v>
      </c>
      <c r="B12244" t="s">
        <v>36690</v>
      </c>
      <c r="C12244" t="s">
        <v>36690</v>
      </c>
      <c r="D12244" t="str">
        <f>HYPERLINK("https://zfin.org/ZDB-GENE-070912-583")</f>
        <v>https://zfin.org/ZDB-GENE-070912-583</v>
      </c>
      <c r="E12244" t="s">
        <v>36691</v>
      </c>
    </row>
    <row r="12245" spans="1:5" x14ac:dyDescent="0.2">
      <c r="A12245" t="s">
        <v>36692</v>
      </c>
      <c r="B12245" t="s">
        <v>36693</v>
      </c>
      <c r="C12245" t="s">
        <v>36693</v>
      </c>
      <c r="D12245" t="str">
        <f>HYPERLINK("https://zfin.org/ZDB-GENE-040426-1007")</f>
        <v>https://zfin.org/ZDB-GENE-040426-1007</v>
      </c>
      <c r="E12245" t="s">
        <v>36694</v>
      </c>
    </row>
    <row r="12246" spans="1:5" x14ac:dyDescent="0.2">
      <c r="A12246" t="s">
        <v>36695</v>
      </c>
      <c r="B12246" t="s">
        <v>36696</v>
      </c>
      <c r="C12246" t="s">
        <v>36696</v>
      </c>
      <c r="D12246" t="str">
        <f>HYPERLINK("https://zfin.org/ZDB-GENE-040718-70")</f>
        <v>https://zfin.org/ZDB-GENE-040718-70</v>
      </c>
      <c r="E12246" t="s">
        <v>36697</v>
      </c>
    </row>
    <row r="12247" spans="1:5" x14ac:dyDescent="0.2">
      <c r="A12247" t="s">
        <v>36698</v>
      </c>
      <c r="B12247" t="s">
        <v>36699</v>
      </c>
      <c r="C12247" t="s">
        <v>36699</v>
      </c>
      <c r="D12247" t="str">
        <f>HYPERLINK("https://zfin.org/ZDB-GENE-031001-12")</f>
        <v>https://zfin.org/ZDB-GENE-031001-12</v>
      </c>
      <c r="E12247" t="s">
        <v>36700</v>
      </c>
    </row>
    <row r="12248" spans="1:5" x14ac:dyDescent="0.2">
      <c r="A12248" t="s">
        <v>36701</v>
      </c>
      <c r="B12248" t="s">
        <v>36702</v>
      </c>
      <c r="C12248" t="s">
        <v>36702</v>
      </c>
      <c r="D12248" t="str">
        <f>HYPERLINK("https://zfin.org/ZDB-GENE-070912-582")</f>
        <v>https://zfin.org/ZDB-GENE-070912-582</v>
      </c>
      <c r="E12248" t="s">
        <v>36703</v>
      </c>
    </row>
    <row r="12249" spans="1:5" x14ac:dyDescent="0.2">
      <c r="A12249" t="s">
        <v>36704</v>
      </c>
      <c r="B12249" t="s">
        <v>36705</v>
      </c>
      <c r="C12249" t="s">
        <v>36705</v>
      </c>
      <c r="D12249" t="str">
        <f>HYPERLINK("https://zfin.org/ZDB-GENE-041212-74")</f>
        <v>https://zfin.org/ZDB-GENE-041212-74</v>
      </c>
      <c r="E12249" t="s">
        <v>36706</v>
      </c>
    </row>
    <row r="12250" spans="1:5" x14ac:dyDescent="0.2">
      <c r="A12250" t="s">
        <v>36707</v>
      </c>
      <c r="B12250" t="s">
        <v>36708</v>
      </c>
      <c r="C12250" t="s">
        <v>36708</v>
      </c>
      <c r="D12250" t="str">
        <f>HYPERLINK("https://zfin.org/ZDB-GENE-061013-383")</f>
        <v>https://zfin.org/ZDB-GENE-061013-383</v>
      </c>
      <c r="E12250" t="s">
        <v>36709</v>
      </c>
    </row>
    <row r="12251" spans="1:5" x14ac:dyDescent="0.2">
      <c r="A12251" t="s">
        <v>36710</v>
      </c>
      <c r="B12251" t="s">
        <v>36711</v>
      </c>
      <c r="C12251" t="s">
        <v>36711</v>
      </c>
      <c r="D12251" t="str">
        <f>HYPERLINK("https://zfin.org/ZDB-GENE-050522-450")</f>
        <v>https://zfin.org/ZDB-GENE-050522-450</v>
      </c>
      <c r="E12251" t="s">
        <v>36712</v>
      </c>
    </row>
    <row r="12252" spans="1:5" x14ac:dyDescent="0.2">
      <c r="A12252" t="s">
        <v>36713</v>
      </c>
      <c r="B12252" t="s">
        <v>36714</v>
      </c>
      <c r="C12252" t="s">
        <v>36714</v>
      </c>
      <c r="D12252" t="str">
        <f>HYPERLINK("https://zfin.org/ZDB-GENE-041008-2")</f>
        <v>https://zfin.org/ZDB-GENE-041008-2</v>
      </c>
      <c r="E12252" t="s">
        <v>36715</v>
      </c>
    </row>
    <row r="12253" spans="1:5" x14ac:dyDescent="0.2">
      <c r="A12253" t="s">
        <v>36716</v>
      </c>
      <c r="B12253" t="s">
        <v>36717</v>
      </c>
      <c r="C12253" t="s">
        <v>36717</v>
      </c>
      <c r="D12253" t="str">
        <f>HYPERLINK("https://zfin.org/ZDB-GENE-991110-22")</f>
        <v>https://zfin.org/ZDB-GENE-991110-22</v>
      </c>
      <c r="E12253" t="s">
        <v>36718</v>
      </c>
    </row>
    <row r="12254" spans="1:5" x14ac:dyDescent="0.2">
      <c r="A12254" t="s">
        <v>36719</v>
      </c>
      <c r="B12254" t="s">
        <v>36720</v>
      </c>
      <c r="C12254" t="s">
        <v>36720</v>
      </c>
      <c r="D12254" t="str">
        <f>HYPERLINK("https://zfin.org/ZDB-GENE-030131-8276")</f>
        <v>https://zfin.org/ZDB-GENE-030131-8276</v>
      </c>
      <c r="E12254" t="s">
        <v>36721</v>
      </c>
    </row>
    <row r="12255" spans="1:5" x14ac:dyDescent="0.2">
      <c r="A12255" t="s">
        <v>36722</v>
      </c>
      <c r="B12255" t="s">
        <v>36723</v>
      </c>
      <c r="C12255" t="s">
        <v>36723</v>
      </c>
      <c r="D12255" t="str">
        <f>HYPERLINK("https://zfin.org/ZDB-GENE-990415-131")</f>
        <v>https://zfin.org/ZDB-GENE-990415-131</v>
      </c>
      <c r="E12255" t="s">
        <v>36724</v>
      </c>
    </row>
    <row r="12256" spans="1:5" x14ac:dyDescent="0.2">
      <c r="A12256" t="s">
        <v>36725</v>
      </c>
      <c r="B12256" t="s">
        <v>36726</v>
      </c>
      <c r="C12256" t="s">
        <v>36726</v>
      </c>
      <c r="D12256" t="str">
        <f>HYPERLINK("https://zfin.org/ZDB-GENE-051113-312")</f>
        <v>https://zfin.org/ZDB-GENE-051113-312</v>
      </c>
      <c r="E12256" t="s">
        <v>36727</v>
      </c>
    </row>
    <row r="12257" spans="1:5" x14ac:dyDescent="0.2">
      <c r="A12257" t="s">
        <v>36728</v>
      </c>
      <c r="B12257" t="s">
        <v>36729</v>
      </c>
      <c r="C12257" t="s">
        <v>36729</v>
      </c>
      <c r="D12257" t="str">
        <f>HYPERLINK("https://zfin.org/ZDB-GENE-040426-1937")</f>
        <v>https://zfin.org/ZDB-GENE-040426-1937</v>
      </c>
      <c r="E12257" t="s">
        <v>36730</v>
      </c>
    </row>
    <row r="12258" spans="1:5" x14ac:dyDescent="0.2">
      <c r="A12258" t="s">
        <v>36731</v>
      </c>
      <c r="B12258" t="s">
        <v>36732</v>
      </c>
      <c r="C12258" t="s">
        <v>36732</v>
      </c>
      <c r="D12258" t="str">
        <f>HYPERLINK("https://zfin.org/ZDB-GENE-140106-165")</f>
        <v>https://zfin.org/ZDB-GENE-140106-165</v>
      </c>
      <c r="E12258" t="s">
        <v>36733</v>
      </c>
    </row>
    <row r="12259" spans="1:5" x14ac:dyDescent="0.2">
      <c r="A12259" t="s">
        <v>36734</v>
      </c>
      <c r="B12259" t="s">
        <v>36735</v>
      </c>
      <c r="C12259" t="s">
        <v>36735</v>
      </c>
      <c r="D12259" t="str">
        <f>HYPERLINK("https://zfin.org/ZDB-GENE-131127-309")</f>
        <v>https://zfin.org/ZDB-GENE-131127-309</v>
      </c>
      <c r="E12259" t="s">
        <v>36736</v>
      </c>
    </row>
    <row r="12260" spans="1:5" x14ac:dyDescent="0.2">
      <c r="A12260" t="s">
        <v>36737</v>
      </c>
      <c r="B12260" t="s">
        <v>36738</v>
      </c>
      <c r="C12260" t="s">
        <v>36738</v>
      </c>
      <c r="D12260" t="str">
        <f>HYPERLINK("https://zfin.org/ZDB-GENE-060623-36")</f>
        <v>https://zfin.org/ZDB-GENE-060623-36</v>
      </c>
      <c r="E12260" t="s">
        <v>36739</v>
      </c>
    </row>
    <row r="12261" spans="1:5" x14ac:dyDescent="0.2">
      <c r="A12261" t="s">
        <v>36740</v>
      </c>
      <c r="B12261" t="s">
        <v>36741</v>
      </c>
      <c r="C12261" t="s">
        <v>36741</v>
      </c>
      <c r="D12261" t="str">
        <f>HYPERLINK("https://zfin.org/ZDB-GENE-030131-9927")</f>
        <v>https://zfin.org/ZDB-GENE-030131-9927</v>
      </c>
      <c r="E12261" t="s">
        <v>36742</v>
      </c>
    </row>
    <row r="12262" spans="1:5" x14ac:dyDescent="0.2">
      <c r="A12262" t="s">
        <v>36743</v>
      </c>
      <c r="B12262" t="s">
        <v>36744</v>
      </c>
      <c r="C12262" t="s">
        <v>36744</v>
      </c>
      <c r="D12262" t="str">
        <f>HYPERLINK("https://zfin.org/ZDB-GENE-131127-504")</f>
        <v>https://zfin.org/ZDB-GENE-131127-504</v>
      </c>
      <c r="E12262" t="s">
        <v>36745</v>
      </c>
    </row>
    <row r="12263" spans="1:5" x14ac:dyDescent="0.2">
      <c r="A12263" t="s">
        <v>36746</v>
      </c>
      <c r="B12263" t="s">
        <v>36747</v>
      </c>
      <c r="C12263" t="s">
        <v>36747</v>
      </c>
      <c r="D12263" t="str">
        <f>HYPERLINK("https://zfin.org/ZDB-GENE-040426-2854")</f>
        <v>https://zfin.org/ZDB-GENE-040426-2854</v>
      </c>
      <c r="E12263" t="s">
        <v>36748</v>
      </c>
    </row>
    <row r="12264" spans="1:5" x14ac:dyDescent="0.2">
      <c r="A12264" t="s">
        <v>36749</v>
      </c>
      <c r="B12264" t="s">
        <v>36750</v>
      </c>
      <c r="C12264" t="s">
        <v>36750</v>
      </c>
      <c r="D12264" t="str">
        <f>HYPERLINK("https://zfin.org/ZDB-GENE-050320-117")</f>
        <v>https://zfin.org/ZDB-GENE-050320-117</v>
      </c>
      <c r="E12264" t="s">
        <v>36751</v>
      </c>
    </row>
    <row r="12265" spans="1:5" x14ac:dyDescent="0.2">
      <c r="A12265" t="s">
        <v>36752</v>
      </c>
      <c r="B12265" t="s">
        <v>36753</v>
      </c>
      <c r="C12265" t="s">
        <v>36753</v>
      </c>
      <c r="D12265" t="str">
        <f>HYPERLINK("https://zfin.org/ZDB-GENE-040426-1195")</f>
        <v>https://zfin.org/ZDB-GENE-040426-1195</v>
      </c>
      <c r="E12265" t="s">
        <v>36754</v>
      </c>
    </row>
    <row r="12266" spans="1:5" x14ac:dyDescent="0.2">
      <c r="A12266" t="s">
        <v>36755</v>
      </c>
      <c r="B12266" t="s">
        <v>36756</v>
      </c>
      <c r="C12266" t="s">
        <v>36756</v>
      </c>
      <c r="D12266" t="str">
        <f>HYPERLINK("https://zfin.org/ZDB-GENE-060616-326")</f>
        <v>https://zfin.org/ZDB-GENE-060616-326</v>
      </c>
      <c r="E12266" t="s">
        <v>36757</v>
      </c>
    </row>
    <row r="12267" spans="1:5" x14ac:dyDescent="0.2">
      <c r="A12267" t="s">
        <v>36758</v>
      </c>
      <c r="B12267" t="s">
        <v>36759</v>
      </c>
      <c r="C12267" t="s">
        <v>36759</v>
      </c>
      <c r="D12267" t="str">
        <f>HYPERLINK("https://zfin.org/ZDB-GENE-060503-86")</f>
        <v>https://zfin.org/ZDB-GENE-060503-86</v>
      </c>
      <c r="E12267" t="s">
        <v>36760</v>
      </c>
    </row>
    <row r="12268" spans="1:5" x14ac:dyDescent="0.2">
      <c r="A12268" t="s">
        <v>36761</v>
      </c>
      <c r="B12268" t="s">
        <v>36762</v>
      </c>
      <c r="C12268" t="s">
        <v>36762</v>
      </c>
      <c r="D12268" t="str">
        <f>HYPERLINK("https://zfin.org/ZDB-GENE-040426-916")</f>
        <v>https://zfin.org/ZDB-GENE-040426-916</v>
      </c>
      <c r="E12268" t="s">
        <v>36763</v>
      </c>
    </row>
    <row r="12269" spans="1:5" x14ac:dyDescent="0.2">
      <c r="A12269" t="s">
        <v>36764</v>
      </c>
      <c r="B12269" t="s">
        <v>36765</v>
      </c>
      <c r="C12269" t="s">
        <v>36765</v>
      </c>
      <c r="D12269" t="str">
        <f>HYPERLINK("https://zfin.org/ZDB-GENE-131121-280")</f>
        <v>https://zfin.org/ZDB-GENE-131121-280</v>
      </c>
      <c r="E12269" t="s">
        <v>36766</v>
      </c>
    </row>
    <row r="12270" spans="1:5" x14ac:dyDescent="0.2">
      <c r="A12270" t="s">
        <v>36767</v>
      </c>
      <c r="B12270" t="s">
        <v>36768</v>
      </c>
      <c r="C12270" t="s">
        <v>36768</v>
      </c>
      <c r="D12270" t="str">
        <f>HYPERLINK("https://zfin.org/ZDB-GENE-080516-7")</f>
        <v>https://zfin.org/ZDB-GENE-080516-7</v>
      </c>
      <c r="E12270" t="s">
        <v>36769</v>
      </c>
    </row>
    <row r="12271" spans="1:5" x14ac:dyDescent="0.2">
      <c r="A12271" t="s">
        <v>36770</v>
      </c>
      <c r="B12271" t="s">
        <v>36771</v>
      </c>
      <c r="C12271" t="s">
        <v>36771</v>
      </c>
      <c r="D12271" t="str">
        <f>HYPERLINK("https://zfin.org/ZDB-GENE-030131-7044")</f>
        <v>https://zfin.org/ZDB-GENE-030131-7044</v>
      </c>
      <c r="E12271" t="s">
        <v>36772</v>
      </c>
    </row>
    <row r="12272" spans="1:5" x14ac:dyDescent="0.2">
      <c r="A12272" t="s">
        <v>36773</v>
      </c>
      <c r="B12272" t="s">
        <v>36774</v>
      </c>
      <c r="C12272" t="s">
        <v>36774</v>
      </c>
      <c r="D12272" t="str">
        <f>HYPERLINK("https://zfin.org/ZDB-GENE-030131-9092")</f>
        <v>https://zfin.org/ZDB-GENE-030131-9092</v>
      </c>
      <c r="E12272" t="s">
        <v>36775</v>
      </c>
    </row>
    <row r="12273" spans="1:5" x14ac:dyDescent="0.2">
      <c r="A12273" t="s">
        <v>36776</v>
      </c>
      <c r="B12273" t="s">
        <v>36777</v>
      </c>
      <c r="C12273" t="s">
        <v>36777</v>
      </c>
      <c r="D12273" t="str">
        <f>HYPERLINK("https://zfin.org/ZDB-GENE-001207-1")</f>
        <v>https://zfin.org/ZDB-GENE-001207-1</v>
      </c>
      <c r="E12273" t="s">
        <v>36778</v>
      </c>
    </row>
    <row r="12274" spans="1:5" x14ac:dyDescent="0.2">
      <c r="A12274" t="s">
        <v>36779</v>
      </c>
      <c r="B12274" t="s">
        <v>36780</v>
      </c>
      <c r="C12274" t="s">
        <v>36780</v>
      </c>
      <c r="D12274" t="str">
        <f>HYPERLINK("https://zfin.org/ZDB-GENE-030131-9517")</f>
        <v>https://zfin.org/ZDB-GENE-030131-9517</v>
      </c>
      <c r="E12274" t="s">
        <v>36781</v>
      </c>
    </row>
    <row r="12275" spans="1:5" x14ac:dyDescent="0.2">
      <c r="A12275" t="s">
        <v>36782</v>
      </c>
      <c r="B12275" t="s">
        <v>36783</v>
      </c>
      <c r="C12275" t="s">
        <v>36783</v>
      </c>
      <c r="D12275" t="str">
        <f>HYPERLINK("https://zfin.org/ZDB-GENE-060503-273")</f>
        <v>https://zfin.org/ZDB-GENE-060503-273</v>
      </c>
      <c r="E12275" t="s">
        <v>36784</v>
      </c>
    </row>
    <row r="12276" spans="1:5" x14ac:dyDescent="0.2">
      <c r="A12276" t="s">
        <v>36785</v>
      </c>
      <c r="B12276" t="s">
        <v>36786</v>
      </c>
      <c r="C12276" t="s">
        <v>36786</v>
      </c>
      <c r="D12276" t="str">
        <f>HYPERLINK("https://zfin.org/ZDB-GENE-141212-390")</f>
        <v>https://zfin.org/ZDB-GENE-141212-390</v>
      </c>
      <c r="E12276" t="s">
        <v>36787</v>
      </c>
    </row>
    <row r="12277" spans="1:5" x14ac:dyDescent="0.2">
      <c r="A12277" t="s">
        <v>36788</v>
      </c>
      <c r="B12277" t="s">
        <v>36789</v>
      </c>
      <c r="C12277" t="s">
        <v>36789</v>
      </c>
      <c r="D12277" t="str">
        <f>HYPERLINK("https://zfin.org/ZDB-GENE-061207-55")</f>
        <v>https://zfin.org/ZDB-GENE-061207-55</v>
      </c>
      <c r="E12277" t="s">
        <v>36790</v>
      </c>
    </row>
    <row r="12278" spans="1:5" x14ac:dyDescent="0.2">
      <c r="A12278" t="s">
        <v>36791</v>
      </c>
      <c r="B12278" t="s">
        <v>36792</v>
      </c>
      <c r="C12278" t="s">
        <v>36792</v>
      </c>
      <c r="D12278" t="str">
        <f>HYPERLINK("https://zfin.org/ZDB-GENE-040426-1340")</f>
        <v>https://zfin.org/ZDB-GENE-040426-1340</v>
      </c>
      <c r="E12278" t="s">
        <v>36793</v>
      </c>
    </row>
    <row r="12279" spans="1:5" x14ac:dyDescent="0.2">
      <c r="A12279" t="s">
        <v>36794</v>
      </c>
      <c r="B12279" t="s">
        <v>36795</v>
      </c>
      <c r="C12279" t="s">
        <v>36795</v>
      </c>
      <c r="D12279" t="str">
        <f>HYPERLINK("https://zfin.org/ZDB-GENE-030131-839")</f>
        <v>https://zfin.org/ZDB-GENE-030131-839</v>
      </c>
      <c r="E12279" t="s">
        <v>36796</v>
      </c>
    </row>
    <row r="12280" spans="1:5" x14ac:dyDescent="0.2">
      <c r="A12280" t="s">
        <v>36797</v>
      </c>
      <c r="B12280" t="s">
        <v>36798</v>
      </c>
      <c r="C12280" t="s">
        <v>36798</v>
      </c>
      <c r="D12280" t="str">
        <f>HYPERLINK("https://zfin.org/ZDB-GENE-141219-44")</f>
        <v>https://zfin.org/ZDB-GENE-141219-44</v>
      </c>
      <c r="E12280" t="s">
        <v>36799</v>
      </c>
    </row>
    <row r="12281" spans="1:5" x14ac:dyDescent="0.2">
      <c r="A12281" t="s">
        <v>36800</v>
      </c>
      <c r="B12281" t="s">
        <v>36801</v>
      </c>
      <c r="C12281" t="s">
        <v>36801</v>
      </c>
      <c r="D12281" t="str">
        <f>HYPERLINK("https://zfin.org/ZDB-GENE-040426-1072")</f>
        <v>https://zfin.org/ZDB-GENE-040426-1072</v>
      </c>
      <c r="E12281" t="s">
        <v>36802</v>
      </c>
    </row>
    <row r="12282" spans="1:5" x14ac:dyDescent="0.2">
      <c r="A12282" t="s">
        <v>36803</v>
      </c>
      <c r="B12282" t="s">
        <v>36804</v>
      </c>
      <c r="C12282" t="s">
        <v>36804</v>
      </c>
      <c r="D12282" t="str">
        <f>HYPERLINK("https://zfin.org/ZDB-GENE-030131-6205")</f>
        <v>https://zfin.org/ZDB-GENE-030131-6205</v>
      </c>
      <c r="E12282" t="s">
        <v>36805</v>
      </c>
    </row>
    <row r="12283" spans="1:5" x14ac:dyDescent="0.2">
      <c r="A12283" t="s">
        <v>36806</v>
      </c>
      <c r="B12283" t="s">
        <v>36807</v>
      </c>
      <c r="C12283" t="s">
        <v>36807</v>
      </c>
      <c r="D12283" t="str">
        <f>HYPERLINK("https://zfin.org/ZDB-GENE-040315-1")</f>
        <v>https://zfin.org/ZDB-GENE-040315-1</v>
      </c>
      <c r="E12283" t="s">
        <v>36808</v>
      </c>
    </row>
    <row r="12284" spans="1:5" x14ac:dyDescent="0.2">
      <c r="A12284" t="s">
        <v>36809</v>
      </c>
      <c r="B12284" t="s">
        <v>36810</v>
      </c>
      <c r="C12284" t="s">
        <v>36810</v>
      </c>
      <c r="D12284" t="str">
        <f>HYPERLINK("https://zfin.org/ZDB-GENE-040426-1134")</f>
        <v>https://zfin.org/ZDB-GENE-040426-1134</v>
      </c>
      <c r="E12284" t="s">
        <v>36811</v>
      </c>
    </row>
    <row r="12285" spans="1:5" x14ac:dyDescent="0.2">
      <c r="A12285" t="s">
        <v>36812</v>
      </c>
      <c r="B12285" t="s">
        <v>36813</v>
      </c>
      <c r="C12285" t="s">
        <v>36813</v>
      </c>
      <c r="D12285" t="str">
        <f>HYPERLINK("https://zfin.org/ZDB-GENE-030103-1")</f>
        <v>https://zfin.org/ZDB-GENE-030103-1</v>
      </c>
      <c r="E12285" t="s">
        <v>36814</v>
      </c>
    </row>
    <row r="12286" spans="1:5" x14ac:dyDescent="0.2">
      <c r="A12286" t="s">
        <v>36815</v>
      </c>
      <c r="B12286" t="s">
        <v>36816</v>
      </c>
      <c r="C12286" t="s">
        <v>36816</v>
      </c>
      <c r="D12286" t="str">
        <f>HYPERLINK("https://zfin.org/ZDB-GENE-141211-30")</f>
        <v>https://zfin.org/ZDB-GENE-141211-30</v>
      </c>
      <c r="E12286" t="s">
        <v>36817</v>
      </c>
    </row>
    <row r="12287" spans="1:5" x14ac:dyDescent="0.2">
      <c r="A12287" t="s">
        <v>36818</v>
      </c>
      <c r="B12287" t="s">
        <v>36819</v>
      </c>
      <c r="C12287" t="s">
        <v>36819</v>
      </c>
      <c r="D12287" t="str">
        <f>HYPERLINK("https://zfin.org/ZDB-GENE-081105-13")</f>
        <v>https://zfin.org/ZDB-GENE-081105-13</v>
      </c>
      <c r="E12287" t="s">
        <v>36820</v>
      </c>
    </row>
    <row r="12288" spans="1:5" x14ac:dyDescent="0.2">
      <c r="A12288" t="s">
        <v>36821</v>
      </c>
      <c r="B12288" t="s">
        <v>36822</v>
      </c>
      <c r="C12288" t="s">
        <v>36822</v>
      </c>
      <c r="D12288" t="str">
        <f>HYPERLINK("https://zfin.org/ZDB-GENE-990715-9")</f>
        <v>https://zfin.org/ZDB-GENE-990715-9</v>
      </c>
      <c r="E12288" t="s">
        <v>36823</v>
      </c>
    </row>
    <row r="12289" spans="1:5" x14ac:dyDescent="0.2">
      <c r="A12289" t="s">
        <v>36824</v>
      </c>
      <c r="B12289" t="s">
        <v>36825</v>
      </c>
      <c r="C12289" t="s">
        <v>36825</v>
      </c>
      <c r="D12289" t="str">
        <f>HYPERLINK("https://zfin.org/ZDB-GENE-050417-203")</f>
        <v>https://zfin.org/ZDB-GENE-050417-203</v>
      </c>
      <c r="E12289" t="s">
        <v>36826</v>
      </c>
    </row>
    <row r="12290" spans="1:5" x14ac:dyDescent="0.2">
      <c r="A12290" t="s">
        <v>36827</v>
      </c>
      <c r="B12290" t="s">
        <v>36828</v>
      </c>
      <c r="C12290" t="s">
        <v>36828</v>
      </c>
      <c r="D12290" t="str">
        <f>HYPERLINK("https://zfin.org/ZDB-GENE-030131-4956")</f>
        <v>https://zfin.org/ZDB-GENE-030131-4956</v>
      </c>
      <c r="E12290" t="s">
        <v>36829</v>
      </c>
    </row>
    <row r="12291" spans="1:5" x14ac:dyDescent="0.2">
      <c r="A12291" t="s">
        <v>36830</v>
      </c>
      <c r="B12291" t="s">
        <v>36831</v>
      </c>
      <c r="C12291" t="s">
        <v>36831</v>
      </c>
      <c r="D12291" t="str">
        <f>HYPERLINK("https://zfin.org/ZDB-GENE-040426-2647")</f>
        <v>https://zfin.org/ZDB-GENE-040426-2647</v>
      </c>
      <c r="E12291" t="s">
        <v>36832</v>
      </c>
    </row>
    <row r="12292" spans="1:5" x14ac:dyDescent="0.2">
      <c r="A12292" t="s">
        <v>36833</v>
      </c>
      <c r="B12292" t="s">
        <v>36834</v>
      </c>
      <c r="C12292" t="s">
        <v>36834</v>
      </c>
      <c r="D12292" t="str">
        <f>HYPERLINK("https://zfin.org/ZDB-GENE-081104-440")</f>
        <v>https://zfin.org/ZDB-GENE-081104-440</v>
      </c>
      <c r="E12292" t="s">
        <v>36835</v>
      </c>
    </row>
    <row r="12293" spans="1:5" x14ac:dyDescent="0.2">
      <c r="A12293" t="s">
        <v>36836</v>
      </c>
      <c r="B12293" t="s">
        <v>36837</v>
      </c>
      <c r="C12293" t="s">
        <v>36837</v>
      </c>
      <c r="D12293" t="str">
        <f>HYPERLINK("https://zfin.org/ZDB-GENE-030616-178")</f>
        <v>https://zfin.org/ZDB-GENE-030616-178</v>
      </c>
      <c r="E12293" t="s">
        <v>36838</v>
      </c>
    </row>
    <row r="12294" spans="1:5" x14ac:dyDescent="0.2">
      <c r="A12294" t="s">
        <v>36839</v>
      </c>
      <c r="B12294" t="s">
        <v>36840</v>
      </c>
      <c r="C12294" t="s">
        <v>36840</v>
      </c>
      <c r="D12294" t="str">
        <f>HYPERLINK("https://zfin.org/ZDB-GENE-050809-146")</f>
        <v>https://zfin.org/ZDB-GENE-050809-146</v>
      </c>
      <c r="E12294" t="s">
        <v>36841</v>
      </c>
    </row>
    <row r="12295" spans="1:5" x14ac:dyDescent="0.2">
      <c r="A12295" t="s">
        <v>36842</v>
      </c>
      <c r="B12295" t="s">
        <v>36843</v>
      </c>
      <c r="C12295" t="s">
        <v>36843</v>
      </c>
      <c r="D12295" t="str">
        <f>HYPERLINK("https://zfin.org/ZDB-GENE-040801-250")</f>
        <v>https://zfin.org/ZDB-GENE-040801-250</v>
      </c>
      <c r="E12295" t="s">
        <v>36844</v>
      </c>
    </row>
    <row r="12296" spans="1:5" x14ac:dyDescent="0.2">
      <c r="A12296" t="s">
        <v>36845</v>
      </c>
      <c r="B12296" t="s">
        <v>36846</v>
      </c>
      <c r="C12296" t="s">
        <v>36846</v>
      </c>
      <c r="D12296" t="str">
        <f>HYPERLINK("https://zfin.org/ZDB-GENE-040426-835")</f>
        <v>https://zfin.org/ZDB-GENE-040426-835</v>
      </c>
      <c r="E12296" t="s">
        <v>36847</v>
      </c>
    </row>
    <row r="12297" spans="1:5" x14ac:dyDescent="0.2">
      <c r="A12297" t="s">
        <v>36848</v>
      </c>
      <c r="B12297" t="s">
        <v>36849</v>
      </c>
      <c r="C12297" t="s">
        <v>36849</v>
      </c>
      <c r="D12297" t="str">
        <f>HYPERLINK("https://zfin.org/ZDB-GENE-030131-9860")</f>
        <v>https://zfin.org/ZDB-GENE-030131-9860</v>
      </c>
      <c r="E12297" t="s">
        <v>36850</v>
      </c>
    </row>
    <row r="12298" spans="1:5" x14ac:dyDescent="0.2">
      <c r="A12298" t="s">
        <v>36851</v>
      </c>
      <c r="B12298" t="s">
        <v>36852</v>
      </c>
      <c r="C12298" t="s">
        <v>36852</v>
      </c>
      <c r="D12298" t="str">
        <f>HYPERLINK("https://zfin.org/ZDB-GENE-030131-405")</f>
        <v>https://zfin.org/ZDB-GENE-030131-405</v>
      </c>
      <c r="E12298" t="s">
        <v>36853</v>
      </c>
    </row>
    <row r="12299" spans="1:5" x14ac:dyDescent="0.2">
      <c r="A12299" t="s">
        <v>36854</v>
      </c>
      <c r="B12299" t="s">
        <v>36855</v>
      </c>
      <c r="C12299" t="s">
        <v>36855</v>
      </c>
      <c r="D12299" t="str">
        <f>HYPERLINK("https://zfin.org/ZDB-GENE-050309-21")</f>
        <v>https://zfin.org/ZDB-GENE-050309-21</v>
      </c>
      <c r="E12299" t="s">
        <v>36856</v>
      </c>
    </row>
    <row r="12300" spans="1:5" x14ac:dyDescent="0.2">
      <c r="A12300" t="s">
        <v>36857</v>
      </c>
      <c r="B12300" t="s">
        <v>36858</v>
      </c>
      <c r="C12300" t="s">
        <v>36858</v>
      </c>
      <c r="D12300" t="str">
        <f>HYPERLINK("https://zfin.org/ZDB-GENE-030131-5510")</f>
        <v>https://zfin.org/ZDB-GENE-030131-5510</v>
      </c>
      <c r="E12300" t="s">
        <v>36859</v>
      </c>
    </row>
    <row r="12301" spans="1:5" x14ac:dyDescent="0.2">
      <c r="A12301" t="s">
        <v>36860</v>
      </c>
      <c r="B12301" t="s">
        <v>36861</v>
      </c>
      <c r="C12301" t="s">
        <v>36861</v>
      </c>
      <c r="D12301" t="str">
        <f>HYPERLINK("https://zfin.org/ZDB-GENE-050809-146")</f>
        <v>https://zfin.org/ZDB-GENE-050809-146</v>
      </c>
      <c r="E12301" t="s">
        <v>36841</v>
      </c>
    </row>
    <row r="12302" spans="1:5" x14ac:dyDescent="0.2">
      <c r="A12302" t="s">
        <v>36862</v>
      </c>
      <c r="B12302" t="s">
        <v>36863</v>
      </c>
      <c r="C12302" t="s">
        <v>36863</v>
      </c>
      <c r="D12302" t="str">
        <f>HYPERLINK("https://zfin.org/ZDB-GENE-050417-462")</f>
        <v>https://zfin.org/ZDB-GENE-050417-462</v>
      </c>
      <c r="E12302" t="s">
        <v>36864</v>
      </c>
    </row>
    <row r="12303" spans="1:5" x14ac:dyDescent="0.2">
      <c r="A12303" t="s">
        <v>36865</v>
      </c>
      <c r="B12303" t="s">
        <v>36866</v>
      </c>
      <c r="C12303" t="s">
        <v>36866</v>
      </c>
      <c r="D12303" t="str">
        <f>HYPERLINK("https://zfin.org/ZDB-GENE-040426-793")</f>
        <v>https://zfin.org/ZDB-GENE-040426-793</v>
      </c>
      <c r="E12303" t="s">
        <v>36867</v>
      </c>
    </row>
    <row r="12304" spans="1:5" x14ac:dyDescent="0.2">
      <c r="A12304" t="s">
        <v>36868</v>
      </c>
      <c r="B12304" t="s">
        <v>36869</v>
      </c>
      <c r="C12304" t="s">
        <v>36869</v>
      </c>
      <c r="D12304" t="str">
        <f>HYPERLINK("https://zfin.org/ZDB-GENE-040801-69")</f>
        <v>https://zfin.org/ZDB-GENE-040801-69</v>
      </c>
      <c r="E12304" t="s">
        <v>36870</v>
      </c>
    </row>
    <row r="12305" spans="1:5" x14ac:dyDescent="0.2">
      <c r="A12305" t="s">
        <v>36871</v>
      </c>
      <c r="B12305" t="s">
        <v>36872</v>
      </c>
      <c r="C12305" t="s">
        <v>36872</v>
      </c>
      <c r="D12305" t="str">
        <f>HYPERLINK("https://zfin.org/ZDB-GENE-091204-157")</f>
        <v>https://zfin.org/ZDB-GENE-091204-157</v>
      </c>
      <c r="E12305" t="s">
        <v>36873</v>
      </c>
    </row>
    <row r="12306" spans="1:5" x14ac:dyDescent="0.2">
      <c r="A12306" t="s">
        <v>36874</v>
      </c>
      <c r="B12306" t="s">
        <v>36875</v>
      </c>
      <c r="C12306" t="s">
        <v>36875</v>
      </c>
      <c r="D12306" t="str">
        <f>HYPERLINK("https://zfin.org/ZDB-GENE-050417-13")</f>
        <v>https://zfin.org/ZDB-GENE-050417-13</v>
      </c>
      <c r="E12306" t="s">
        <v>36876</v>
      </c>
    </row>
    <row r="12307" spans="1:5" x14ac:dyDescent="0.2">
      <c r="A12307" t="s">
        <v>36877</v>
      </c>
      <c r="B12307" t="s">
        <v>36878</v>
      </c>
      <c r="C12307" t="s">
        <v>36878</v>
      </c>
      <c r="D12307" t="str">
        <f>HYPERLINK("https://zfin.org/ZDB-GENE-100922-142")</f>
        <v>https://zfin.org/ZDB-GENE-100922-142</v>
      </c>
      <c r="E12307" t="s">
        <v>36879</v>
      </c>
    </row>
    <row r="12308" spans="1:5" x14ac:dyDescent="0.2">
      <c r="A12308" t="s">
        <v>36880</v>
      </c>
      <c r="B12308" t="s">
        <v>36881</v>
      </c>
      <c r="C12308" t="s">
        <v>36881</v>
      </c>
      <c r="D12308" t="str">
        <f>HYPERLINK("https://zfin.org/ZDB-GENE-131120-40")</f>
        <v>https://zfin.org/ZDB-GENE-131120-40</v>
      </c>
      <c r="E12308" t="s">
        <v>36882</v>
      </c>
    </row>
    <row r="12309" spans="1:5" x14ac:dyDescent="0.2">
      <c r="A12309" t="s">
        <v>36883</v>
      </c>
      <c r="B12309" t="s">
        <v>36884</v>
      </c>
      <c r="C12309" t="s">
        <v>36884</v>
      </c>
      <c r="D12309" t="str">
        <f>HYPERLINK("https://zfin.org/ZDB-GENE-060929-1274")</f>
        <v>https://zfin.org/ZDB-GENE-060929-1274</v>
      </c>
      <c r="E12309" t="s">
        <v>36885</v>
      </c>
    </row>
    <row r="12310" spans="1:5" x14ac:dyDescent="0.2">
      <c r="A12310" t="s">
        <v>36886</v>
      </c>
      <c r="B12310" t="s">
        <v>36887</v>
      </c>
      <c r="C12310" t="s">
        <v>36887</v>
      </c>
      <c r="D12310" t="str">
        <f>HYPERLINK("https://zfin.org/ZDB-GENE-040426-1983")</f>
        <v>https://zfin.org/ZDB-GENE-040426-1983</v>
      </c>
      <c r="E12310" t="s">
        <v>36888</v>
      </c>
    </row>
    <row r="12311" spans="1:5" x14ac:dyDescent="0.2">
      <c r="A12311" t="s">
        <v>36889</v>
      </c>
      <c r="B12311" t="s">
        <v>36890</v>
      </c>
      <c r="C12311" t="s">
        <v>36890</v>
      </c>
      <c r="D12311" t="str">
        <f>HYPERLINK("https://zfin.org/ZDB-GENE-030131-8405")</f>
        <v>https://zfin.org/ZDB-GENE-030131-8405</v>
      </c>
      <c r="E12311" t="s">
        <v>36891</v>
      </c>
    </row>
    <row r="12312" spans="1:5" x14ac:dyDescent="0.2">
      <c r="A12312" t="s">
        <v>36892</v>
      </c>
      <c r="B12312" t="s">
        <v>36893</v>
      </c>
      <c r="C12312" t="s">
        <v>36893</v>
      </c>
      <c r="D12312" t="str">
        <f>HYPERLINK("https://zfin.org/ZDB-GENE-100427-2")</f>
        <v>https://zfin.org/ZDB-GENE-100427-2</v>
      </c>
      <c r="E12312" t="s">
        <v>36894</v>
      </c>
    </row>
    <row r="12313" spans="1:5" x14ac:dyDescent="0.2">
      <c r="A12313" t="s">
        <v>36895</v>
      </c>
      <c r="B12313" t="s">
        <v>36896</v>
      </c>
      <c r="C12313" t="s">
        <v>36896</v>
      </c>
      <c r="D12313" t="str">
        <f>HYPERLINK("https://zfin.org/ZDB-GENE-030616-62")</f>
        <v>https://zfin.org/ZDB-GENE-030616-62</v>
      </c>
      <c r="E12313" t="s">
        <v>36897</v>
      </c>
    </row>
    <row r="12314" spans="1:5" x14ac:dyDescent="0.2">
      <c r="A12314" t="s">
        <v>36898</v>
      </c>
      <c r="B12314" t="s">
        <v>36899</v>
      </c>
      <c r="C12314" t="s">
        <v>36899</v>
      </c>
      <c r="D12314" t="str">
        <f>HYPERLINK("https://zfin.org/ZDB-GENE-050419-126")</f>
        <v>https://zfin.org/ZDB-GENE-050419-126</v>
      </c>
      <c r="E12314" t="s">
        <v>36900</v>
      </c>
    </row>
    <row r="12315" spans="1:5" x14ac:dyDescent="0.2">
      <c r="A12315" t="s">
        <v>36901</v>
      </c>
      <c r="B12315" t="s">
        <v>36902</v>
      </c>
      <c r="C12315" t="s">
        <v>36902</v>
      </c>
      <c r="D12315" t="str">
        <f>HYPERLINK("https://zfin.org/ZDB-GENE-030131-2644")</f>
        <v>https://zfin.org/ZDB-GENE-030131-2644</v>
      </c>
      <c r="E12315" t="s">
        <v>36903</v>
      </c>
    </row>
    <row r="12316" spans="1:5" x14ac:dyDescent="0.2">
      <c r="A12316" t="s">
        <v>36904</v>
      </c>
      <c r="B12316" t="s">
        <v>36905</v>
      </c>
      <c r="C12316" t="s">
        <v>36905</v>
      </c>
      <c r="D12316" t="str">
        <f>HYPERLINK("https://zfin.org/ZDB-GENE-070410-89")</f>
        <v>https://zfin.org/ZDB-GENE-070410-89</v>
      </c>
      <c r="E12316" t="s">
        <v>36906</v>
      </c>
    </row>
    <row r="12317" spans="1:5" x14ac:dyDescent="0.2">
      <c r="A12317" t="s">
        <v>36907</v>
      </c>
      <c r="B12317" t="s">
        <v>36908</v>
      </c>
      <c r="C12317" t="s">
        <v>36908</v>
      </c>
      <c r="D12317" t="str">
        <f>HYPERLINK("https://zfin.org/ZDB-GENE-030131-2332")</f>
        <v>https://zfin.org/ZDB-GENE-030131-2332</v>
      </c>
      <c r="E12317" t="s">
        <v>36909</v>
      </c>
    </row>
    <row r="12318" spans="1:5" x14ac:dyDescent="0.2">
      <c r="A12318" t="s">
        <v>36910</v>
      </c>
      <c r="B12318" t="s">
        <v>36911</v>
      </c>
      <c r="C12318" t="s">
        <v>36911</v>
      </c>
      <c r="D12318" t="str">
        <f>HYPERLINK("https://zfin.org/ZDB-GENE-040426-1972")</f>
        <v>https://zfin.org/ZDB-GENE-040426-1972</v>
      </c>
      <c r="E12318" t="s">
        <v>36912</v>
      </c>
    </row>
    <row r="12319" spans="1:5" x14ac:dyDescent="0.2">
      <c r="A12319" t="s">
        <v>36913</v>
      </c>
      <c r="B12319" t="s">
        <v>36914</v>
      </c>
      <c r="C12319" t="s">
        <v>36914</v>
      </c>
      <c r="D12319" t="str">
        <f>HYPERLINK("https://zfin.org/ZDB-GENE-030131-2126")</f>
        <v>https://zfin.org/ZDB-GENE-030131-2126</v>
      </c>
      <c r="E12319" t="s">
        <v>36915</v>
      </c>
    </row>
    <row r="12320" spans="1:5" x14ac:dyDescent="0.2">
      <c r="A12320" t="s">
        <v>36916</v>
      </c>
      <c r="B12320" t="s">
        <v>36917</v>
      </c>
      <c r="C12320" t="s">
        <v>36918</v>
      </c>
      <c r="D12320" t="str">
        <f>HYPERLINK("https://zfin.org/ZDB-GENE-070912-662")</f>
        <v>https://zfin.org/ZDB-GENE-070912-662</v>
      </c>
      <c r="E12320" t="s">
        <v>36919</v>
      </c>
    </row>
    <row r="12321" spans="1:5" x14ac:dyDescent="0.2">
      <c r="A12321" t="s">
        <v>36920</v>
      </c>
      <c r="B12321" t="s">
        <v>36921</v>
      </c>
      <c r="C12321" t="s">
        <v>36921</v>
      </c>
      <c r="D12321" t="str">
        <f>HYPERLINK("https://zfin.org/ZDB-GENE-990415-271")</f>
        <v>https://zfin.org/ZDB-GENE-990415-271</v>
      </c>
      <c r="E12321" t="s">
        <v>36922</v>
      </c>
    </row>
    <row r="12322" spans="1:5" x14ac:dyDescent="0.2">
      <c r="A12322" t="s">
        <v>36923</v>
      </c>
      <c r="B12322" t="s">
        <v>36924</v>
      </c>
      <c r="C12322" t="s">
        <v>36924</v>
      </c>
      <c r="D12322" t="str">
        <f>HYPERLINK("https://zfin.org/ZDB-GENE-060503-662")</f>
        <v>https://zfin.org/ZDB-GENE-060503-662</v>
      </c>
      <c r="E12322" t="s">
        <v>36925</v>
      </c>
    </row>
    <row r="12323" spans="1:5" x14ac:dyDescent="0.2">
      <c r="A12323" t="s">
        <v>36926</v>
      </c>
      <c r="B12323" t="s">
        <v>36927</v>
      </c>
      <c r="C12323" t="s">
        <v>36927</v>
      </c>
      <c r="D12323" t="str">
        <f>HYPERLINK("https://zfin.org/ZDB-GENE-040426-2713")</f>
        <v>https://zfin.org/ZDB-GENE-040426-2713</v>
      </c>
      <c r="E12323" t="s">
        <v>36928</v>
      </c>
    </row>
    <row r="12324" spans="1:5" x14ac:dyDescent="0.2">
      <c r="A12324" t="s">
        <v>36929</v>
      </c>
      <c r="B12324" t="s">
        <v>36930</v>
      </c>
      <c r="C12324" t="s">
        <v>36930</v>
      </c>
      <c r="D12324" t="str">
        <f>HYPERLINK("https://zfin.org/ZDB-GENE-040426-2887")</f>
        <v>https://zfin.org/ZDB-GENE-040426-2887</v>
      </c>
      <c r="E12324" t="s">
        <v>36931</v>
      </c>
    </row>
    <row r="12325" spans="1:5" x14ac:dyDescent="0.2">
      <c r="A12325" t="s">
        <v>36932</v>
      </c>
      <c r="B12325" t="s">
        <v>36933</v>
      </c>
      <c r="C12325" t="s">
        <v>36933</v>
      </c>
      <c r="D12325" t="str">
        <f>HYPERLINK("https://zfin.org/ZDB-GENE-030801-1")</f>
        <v>https://zfin.org/ZDB-GENE-030801-1</v>
      </c>
      <c r="E12325" t="s">
        <v>36934</v>
      </c>
    </row>
    <row r="12326" spans="1:5" x14ac:dyDescent="0.2">
      <c r="A12326" t="s">
        <v>36935</v>
      </c>
      <c r="B12326" t="s">
        <v>36936</v>
      </c>
      <c r="C12326" t="s">
        <v>36936</v>
      </c>
      <c r="D12326" t="str">
        <f>HYPERLINK("https://zfin.org/ZDB-GENE-990415-212")</f>
        <v>https://zfin.org/ZDB-GENE-990415-212</v>
      </c>
      <c r="E12326" t="s">
        <v>36937</v>
      </c>
    </row>
    <row r="12327" spans="1:5" x14ac:dyDescent="0.2">
      <c r="A12327" t="s">
        <v>36938</v>
      </c>
      <c r="B12327" t="s">
        <v>36939</v>
      </c>
      <c r="C12327" t="s">
        <v>36939</v>
      </c>
      <c r="D12327" t="str">
        <f>HYPERLINK("https://zfin.org/ZDB-GENE-090429-2")</f>
        <v>https://zfin.org/ZDB-GENE-090429-2</v>
      </c>
      <c r="E12327" t="s">
        <v>36940</v>
      </c>
    </row>
    <row r="12328" spans="1:5" x14ac:dyDescent="0.2">
      <c r="A12328" t="s">
        <v>36941</v>
      </c>
      <c r="B12328" t="s">
        <v>36942</v>
      </c>
      <c r="C12328" t="s">
        <v>36942</v>
      </c>
      <c r="D12328" t="str">
        <f>HYPERLINK("https://zfin.org/ZDB-GENE-070112-1992")</f>
        <v>https://zfin.org/ZDB-GENE-070112-1992</v>
      </c>
      <c r="E12328" t="s">
        <v>36943</v>
      </c>
    </row>
    <row r="12329" spans="1:5" x14ac:dyDescent="0.2">
      <c r="A12329" t="s">
        <v>36944</v>
      </c>
      <c r="B12329" t="s">
        <v>36945</v>
      </c>
      <c r="C12329" t="s">
        <v>36945</v>
      </c>
      <c r="D12329" t="str">
        <f>HYPERLINK("https://zfin.org/ZDB-GENE-041114-158")</f>
        <v>https://zfin.org/ZDB-GENE-041114-158</v>
      </c>
      <c r="E12329" t="s">
        <v>36946</v>
      </c>
    </row>
    <row r="12330" spans="1:5" x14ac:dyDescent="0.2">
      <c r="A12330" t="s">
        <v>36947</v>
      </c>
      <c r="B12330" t="s">
        <v>36948</v>
      </c>
      <c r="C12330" t="s">
        <v>36948</v>
      </c>
      <c r="D12330" t="str">
        <f>HYPERLINK("https://zfin.org/ZDB-GENE-041111-50")</f>
        <v>https://zfin.org/ZDB-GENE-041111-50</v>
      </c>
      <c r="E12330" t="s">
        <v>36949</v>
      </c>
    </row>
    <row r="12331" spans="1:5" x14ac:dyDescent="0.2">
      <c r="A12331" t="s">
        <v>36950</v>
      </c>
      <c r="B12331" t="s">
        <v>36951</v>
      </c>
      <c r="C12331" t="s">
        <v>36951</v>
      </c>
      <c r="D12331" t="str">
        <f>HYPERLINK("https://zfin.org/ZDB-GENE-081104-520")</f>
        <v>https://zfin.org/ZDB-GENE-081104-520</v>
      </c>
      <c r="E12331" t="s">
        <v>36952</v>
      </c>
    </row>
    <row r="12332" spans="1:5" x14ac:dyDescent="0.2">
      <c r="A12332" t="s">
        <v>36953</v>
      </c>
      <c r="B12332" t="s">
        <v>36954</v>
      </c>
      <c r="C12332" t="s">
        <v>36954</v>
      </c>
      <c r="D12332" t="str">
        <f>HYPERLINK("https://zfin.org/ZDB-GENE-030131-8623")</f>
        <v>https://zfin.org/ZDB-GENE-030131-8623</v>
      </c>
      <c r="E12332" t="s">
        <v>36955</v>
      </c>
    </row>
    <row r="12333" spans="1:5" x14ac:dyDescent="0.2">
      <c r="A12333" t="s">
        <v>36956</v>
      </c>
      <c r="B12333" t="s">
        <v>36957</v>
      </c>
      <c r="C12333" t="s">
        <v>36957</v>
      </c>
      <c r="D12333" t="str">
        <f>HYPERLINK("https://zfin.org/ZDB-GENE-041210-88")</f>
        <v>https://zfin.org/ZDB-GENE-041210-88</v>
      </c>
      <c r="E12333" t="s">
        <v>36958</v>
      </c>
    </row>
    <row r="12334" spans="1:5" x14ac:dyDescent="0.2">
      <c r="A12334" t="s">
        <v>36959</v>
      </c>
      <c r="B12334" t="s">
        <v>36960</v>
      </c>
      <c r="C12334" t="s">
        <v>36960</v>
      </c>
      <c r="D12334" t="str">
        <f>HYPERLINK("https://zfin.org/ZDB-GENE-081022-170")</f>
        <v>https://zfin.org/ZDB-GENE-081022-170</v>
      </c>
      <c r="E12334" t="s">
        <v>36961</v>
      </c>
    </row>
    <row r="12335" spans="1:5" x14ac:dyDescent="0.2">
      <c r="A12335" t="s">
        <v>36962</v>
      </c>
      <c r="B12335" t="s">
        <v>36963</v>
      </c>
      <c r="C12335" t="s">
        <v>36963</v>
      </c>
      <c r="D12335" t="str">
        <f>HYPERLINK("https://zfin.org/ZDB-GENE-021220-1")</f>
        <v>https://zfin.org/ZDB-GENE-021220-1</v>
      </c>
      <c r="E12335" t="s">
        <v>36964</v>
      </c>
    </row>
    <row r="12336" spans="1:5" x14ac:dyDescent="0.2">
      <c r="A12336" t="s">
        <v>36965</v>
      </c>
      <c r="B12336" t="s">
        <v>36966</v>
      </c>
      <c r="C12336" t="s">
        <v>36966</v>
      </c>
      <c r="D12336" t="str">
        <f>HYPERLINK("https://zfin.org/ZDB-GENE-080407-2")</f>
        <v>https://zfin.org/ZDB-GENE-080407-2</v>
      </c>
      <c r="E12336" t="s">
        <v>36967</v>
      </c>
    </row>
    <row r="12337" spans="1:5" x14ac:dyDescent="0.2">
      <c r="A12337" t="s">
        <v>36968</v>
      </c>
      <c r="B12337" t="s">
        <v>36969</v>
      </c>
      <c r="C12337" t="s">
        <v>36969</v>
      </c>
      <c r="D12337" t="str">
        <f>HYPERLINK("https://zfin.org/ZDB-GENE-010226-3")</f>
        <v>https://zfin.org/ZDB-GENE-010226-3</v>
      </c>
      <c r="E12337" t="s">
        <v>36970</v>
      </c>
    </row>
    <row r="12338" spans="1:5" x14ac:dyDescent="0.2">
      <c r="A12338" t="s">
        <v>36971</v>
      </c>
      <c r="B12338" t="s">
        <v>36972</v>
      </c>
      <c r="C12338" t="s">
        <v>36972</v>
      </c>
      <c r="D12338" t="str">
        <f>HYPERLINK("https://zfin.org/ZDB-GENE-980526-249")</f>
        <v>https://zfin.org/ZDB-GENE-980526-249</v>
      </c>
      <c r="E12338" t="s">
        <v>36973</v>
      </c>
    </row>
    <row r="12339" spans="1:5" x14ac:dyDescent="0.2">
      <c r="A12339" t="s">
        <v>36974</v>
      </c>
      <c r="B12339" t="s">
        <v>36975</v>
      </c>
      <c r="C12339" t="s">
        <v>36975</v>
      </c>
      <c r="D12339" t="str">
        <f>HYPERLINK("https://zfin.org/ZDB-GENE-060503-672")</f>
        <v>https://zfin.org/ZDB-GENE-060503-672</v>
      </c>
      <c r="E12339" t="s">
        <v>36976</v>
      </c>
    </row>
    <row r="12340" spans="1:5" x14ac:dyDescent="0.2">
      <c r="A12340" t="s">
        <v>36977</v>
      </c>
      <c r="B12340" t="s">
        <v>36978</v>
      </c>
      <c r="C12340" t="s">
        <v>36978</v>
      </c>
      <c r="D12340" t="str">
        <f>HYPERLINK("https://zfin.org/ZDB-GENE-040426-926")</f>
        <v>https://zfin.org/ZDB-GENE-040426-926</v>
      </c>
      <c r="E12340" t="s">
        <v>36979</v>
      </c>
    </row>
    <row r="12341" spans="1:5" x14ac:dyDescent="0.2">
      <c r="A12341" t="s">
        <v>36980</v>
      </c>
      <c r="B12341" t="s">
        <v>36981</v>
      </c>
      <c r="C12341" t="s">
        <v>36981</v>
      </c>
      <c r="D12341" t="str">
        <f>HYPERLINK("https://zfin.org/ZDB-GENE-070912-584")</f>
        <v>https://zfin.org/ZDB-GENE-070912-584</v>
      </c>
      <c r="E12341" t="s">
        <v>36982</v>
      </c>
    </row>
    <row r="12342" spans="1:5" x14ac:dyDescent="0.2">
      <c r="A12342" t="s">
        <v>36983</v>
      </c>
      <c r="B12342" t="s">
        <v>36984</v>
      </c>
      <c r="C12342" t="s">
        <v>36984</v>
      </c>
      <c r="D12342" t="str">
        <f>HYPERLINK("https://zfin.org/ZDB-GENE-030131-6760")</f>
        <v>https://zfin.org/ZDB-GENE-030131-6760</v>
      </c>
      <c r="E12342" t="s">
        <v>36985</v>
      </c>
    </row>
    <row r="12343" spans="1:5" x14ac:dyDescent="0.2">
      <c r="A12343" t="s">
        <v>36986</v>
      </c>
      <c r="B12343" t="s">
        <v>36987</v>
      </c>
      <c r="C12343" t="s">
        <v>36987</v>
      </c>
      <c r="D12343" t="str">
        <f>HYPERLINK("https://zfin.org/ZDB-GENE-040426-2232")</f>
        <v>https://zfin.org/ZDB-GENE-040426-2232</v>
      </c>
      <c r="E12343" t="s">
        <v>36988</v>
      </c>
    </row>
    <row r="12344" spans="1:5" x14ac:dyDescent="0.2">
      <c r="A12344" t="s">
        <v>36989</v>
      </c>
      <c r="B12344" t="s">
        <v>36990</v>
      </c>
      <c r="C12344" t="s">
        <v>36990</v>
      </c>
      <c r="D12344" t="str">
        <f>HYPERLINK("https://zfin.org/ZDB-GENE-090313-75")</f>
        <v>https://zfin.org/ZDB-GENE-090313-75</v>
      </c>
      <c r="E12344" t="s">
        <v>36991</v>
      </c>
    </row>
    <row r="12345" spans="1:5" x14ac:dyDescent="0.2">
      <c r="A12345" t="s">
        <v>36992</v>
      </c>
      <c r="B12345" t="s">
        <v>36993</v>
      </c>
      <c r="C12345" t="s">
        <v>36993</v>
      </c>
      <c r="D12345" t="str">
        <f>HYPERLINK("https://zfin.org/ZDB-GENE-040426-2254")</f>
        <v>https://zfin.org/ZDB-GENE-040426-2254</v>
      </c>
      <c r="E12345" t="s">
        <v>36994</v>
      </c>
    </row>
    <row r="12346" spans="1:5" x14ac:dyDescent="0.2">
      <c r="A12346" t="s">
        <v>36995</v>
      </c>
      <c r="B12346" t="s">
        <v>36996</v>
      </c>
      <c r="C12346" t="s">
        <v>36996</v>
      </c>
      <c r="D12346" t="str">
        <f>HYPERLINK("https://zfin.org/ZDB-GENE-040426-989")</f>
        <v>https://zfin.org/ZDB-GENE-040426-989</v>
      </c>
      <c r="E12346" t="s">
        <v>36997</v>
      </c>
    </row>
    <row r="12347" spans="1:5" x14ac:dyDescent="0.2">
      <c r="A12347" t="s">
        <v>36998</v>
      </c>
      <c r="B12347" t="s">
        <v>36999</v>
      </c>
      <c r="C12347" t="s">
        <v>36999</v>
      </c>
      <c r="D12347" t="str">
        <f>HYPERLINK("https://zfin.org/ZDB-GENE-140106-157")</f>
        <v>https://zfin.org/ZDB-GENE-140106-157</v>
      </c>
      <c r="E12347" t="s">
        <v>37000</v>
      </c>
    </row>
    <row r="12348" spans="1:5" x14ac:dyDescent="0.2">
      <c r="A12348" t="s">
        <v>37001</v>
      </c>
      <c r="B12348" t="s">
        <v>37002</v>
      </c>
      <c r="C12348" t="s">
        <v>37002</v>
      </c>
      <c r="D12348" t="str">
        <f>HYPERLINK("https://zfin.org/ZDB-GENE-050302-79")</f>
        <v>https://zfin.org/ZDB-GENE-050302-79</v>
      </c>
      <c r="E12348" t="s">
        <v>37003</v>
      </c>
    </row>
    <row r="12349" spans="1:5" x14ac:dyDescent="0.2">
      <c r="A12349" t="s">
        <v>37004</v>
      </c>
      <c r="B12349" t="s">
        <v>37005</v>
      </c>
      <c r="C12349" t="s">
        <v>37005</v>
      </c>
      <c r="D12349" t="str">
        <f>HYPERLINK("https://zfin.org/ZDB-GENE-060830-1")</f>
        <v>https://zfin.org/ZDB-GENE-060830-1</v>
      </c>
      <c r="E12349" t="s">
        <v>37006</v>
      </c>
    </row>
    <row r="12350" spans="1:5" x14ac:dyDescent="0.2">
      <c r="A12350" t="s">
        <v>37007</v>
      </c>
      <c r="B12350" t="s">
        <v>37008</v>
      </c>
      <c r="C12350" t="s">
        <v>37008</v>
      </c>
      <c r="D12350" t="str">
        <f>HYPERLINK("https://zfin.org/ZDB-GENE-080917-7")</f>
        <v>https://zfin.org/ZDB-GENE-080917-7</v>
      </c>
      <c r="E12350" t="s">
        <v>37009</v>
      </c>
    </row>
    <row r="12351" spans="1:5" x14ac:dyDescent="0.2">
      <c r="A12351" t="s">
        <v>37010</v>
      </c>
      <c r="B12351" t="s">
        <v>37011</v>
      </c>
      <c r="C12351" t="s">
        <v>37011</v>
      </c>
      <c r="D12351" t="str">
        <f>HYPERLINK("https://zfin.org/ZDB-GENE-070112-1332")</f>
        <v>https://zfin.org/ZDB-GENE-070112-1332</v>
      </c>
      <c r="E12351" t="s">
        <v>37012</v>
      </c>
    </row>
    <row r="12352" spans="1:5" x14ac:dyDescent="0.2">
      <c r="A12352" t="s">
        <v>37013</v>
      </c>
      <c r="B12352" t="s">
        <v>37014</v>
      </c>
      <c r="C12352" t="s">
        <v>37014</v>
      </c>
      <c r="D12352" t="str">
        <f>HYPERLINK("https://zfin.org/ZDB-GENE-141216-323")</f>
        <v>https://zfin.org/ZDB-GENE-141216-323</v>
      </c>
      <c r="E12352" t="s">
        <v>37015</v>
      </c>
    </row>
    <row r="12353" spans="1:5" x14ac:dyDescent="0.2">
      <c r="A12353" t="s">
        <v>37016</v>
      </c>
      <c r="B12353" t="s">
        <v>37017</v>
      </c>
      <c r="C12353" t="s">
        <v>37017</v>
      </c>
      <c r="D12353" t="str">
        <f>HYPERLINK("https://zfin.org/ZDB-GENE-040303-1")</f>
        <v>https://zfin.org/ZDB-GENE-040303-1</v>
      </c>
      <c r="E12353" t="s">
        <v>37018</v>
      </c>
    </row>
    <row r="12354" spans="1:5" x14ac:dyDescent="0.2">
      <c r="A12354" t="s">
        <v>37019</v>
      </c>
      <c r="B12354" t="s">
        <v>37020</v>
      </c>
      <c r="C12354" t="s">
        <v>37020</v>
      </c>
      <c r="D12354" t="str">
        <f>HYPERLINK("https://zfin.org/ZDB-GENE-000516-1")</f>
        <v>https://zfin.org/ZDB-GENE-000516-1</v>
      </c>
      <c r="E12354" t="s">
        <v>37021</v>
      </c>
    </row>
    <row r="12355" spans="1:5" x14ac:dyDescent="0.2">
      <c r="A12355" t="s">
        <v>37022</v>
      </c>
      <c r="B12355" t="s">
        <v>37023</v>
      </c>
      <c r="C12355" t="s">
        <v>37023</v>
      </c>
      <c r="D12355" t="str">
        <f>HYPERLINK("https://zfin.org/ZDB-GENE-991110-23")</f>
        <v>https://zfin.org/ZDB-GENE-991110-23</v>
      </c>
      <c r="E12355" t="s">
        <v>37024</v>
      </c>
    </row>
    <row r="12356" spans="1:5" x14ac:dyDescent="0.2">
      <c r="A12356" t="s">
        <v>37025</v>
      </c>
      <c r="B12356" t="s">
        <v>37026</v>
      </c>
      <c r="C12356" t="s">
        <v>37026</v>
      </c>
      <c r="D12356" t="str">
        <f>HYPERLINK("https://zfin.org/ZDB-GENE-121105-13")</f>
        <v>https://zfin.org/ZDB-GENE-121105-13</v>
      </c>
      <c r="E12356" t="s">
        <v>37027</v>
      </c>
    </row>
    <row r="12357" spans="1:5" x14ac:dyDescent="0.2">
      <c r="A12357" t="s">
        <v>37028</v>
      </c>
      <c r="B12357" t="s">
        <v>37029</v>
      </c>
      <c r="C12357" t="s">
        <v>37029</v>
      </c>
      <c r="D12357" t="str">
        <f>HYPERLINK("https://zfin.org/ZDB-GENE-980526-499")</f>
        <v>https://zfin.org/ZDB-GENE-980526-499</v>
      </c>
      <c r="E12357" t="s">
        <v>37030</v>
      </c>
    </row>
    <row r="12358" spans="1:5" x14ac:dyDescent="0.2">
      <c r="A12358" t="s">
        <v>37031</v>
      </c>
      <c r="B12358" t="s">
        <v>37032</v>
      </c>
      <c r="C12358" t="s">
        <v>37032</v>
      </c>
      <c r="D12358" t="str">
        <f>HYPERLINK("https://zfin.org/ZDB-GENE-040914-84")</f>
        <v>https://zfin.org/ZDB-GENE-040914-84</v>
      </c>
      <c r="E12358" t="s">
        <v>37033</v>
      </c>
    </row>
    <row r="12359" spans="1:5" x14ac:dyDescent="0.2">
      <c r="A12359" t="s">
        <v>37034</v>
      </c>
      <c r="B12359" t="s">
        <v>37035</v>
      </c>
      <c r="C12359" t="s">
        <v>37035</v>
      </c>
      <c r="D12359" t="str">
        <f>HYPERLINK("https://zfin.org/ZDB-GENE-081105-158")</f>
        <v>https://zfin.org/ZDB-GENE-081105-158</v>
      </c>
      <c r="E12359" t="s">
        <v>37036</v>
      </c>
    </row>
    <row r="12360" spans="1:5" x14ac:dyDescent="0.2">
      <c r="A12360" t="s">
        <v>37037</v>
      </c>
      <c r="B12360" t="s">
        <v>37038</v>
      </c>
      <c r="C12360" t="s">
        <v>37038</v>
      </c>
      <c r="D12360" t="str">
        <f>HYPERLINK("https://zfin.org/ZDB-GENE-070615-13")</f>
        <v>https://zfin.org/ZDB-GENE-070615-13</v>
      </c>
      <c r="E12360" t="s">
        <v>37039</v>
      </c>
    </row>
    <row r="12361" spans="1:5" x14ac:dyDescent="0.2">
      <c r="A12361" t="s">
        <v>37040</v>
      </c>
      <c r="B12361" t="s">
        <v>37041</v>
      </c>
      <c r="C12361" t="s">
        <v>37041</v>
      </c>
      <c r="D12361" t="str">
        <f>HYPERLINK("https://zfin.org/ZDB-GENE-110418-1")</f>
        <v>https://zfin.org/ZDB-GENE-110418-1</v>
      </c>
      <c r="E12361" t="s">
        <v>37042</v>
      </c>
    </row>
    <row r="12362" spans="1:5" x14ac:dyDescent="0.2">
      <c r="A12362" t="s">
        <v>37043</v>
      </c>
      <c r="B12362" t="s">
        <v>37044</v>
      </c>
      <c r="C12362" t="s">
        <v>37044</v>
      </c>
      <c r="D12362" t="str">
        <f>HYPERLINK("https://zfin.org/ZDB-GENE-070928-13")</f>
        <v>https://zfin.org/ZDB-GENE-070928-13</v>
      </c>
      <c r="E12362" t="s">
        <v>37045</v>
      </c>
    </row>
    <row r="12363" spans="1:5" x14ac:dyDescent="0.2">
      <c r="A12363" t="s">
        <v>37046</v>
      </c>
      <c r="B12363" t="s">
        <v>37047</v>
      </c>
      <c r="C12363" t="s">
        <v>37047</v>
      </c>
      <c r="D12363" t="str">
        <f>HYPERLINK("https://zfin.org/ZDB-GENE-060322-9")</f>
        <v>https://zfin.org/ZDB-GENE-060322-9</v>
      </c>
      <c r="E12363" t="s">
        <v>37048</v>
      </c>
    </row>
    <row r="12364" spans="1:5" x14ac:dyDescent="0.2">
      <c r="A12364" t="s">
        <v>37049</v>
      </c>
      <c r="B12364" t="s">
        <v>37050</v>
      </c>
      <c r="C12364" t="s">
        <v>37050</v>
      </c>
      <c r="D12364" t="str">
        <f>HYPERLINK("https://zfin.org/ZDB-GENE-121005-1")</f>
        <v>https://zfin.org/ZDB-GENE-121005-1</v>
      </c>
      <c r="E12364" t="s">
        <v>37051</v>
      </c>
    </row>
    <row r="12365" spans="1:5" x14ac:dyDescent="0.2">
      <c r="A12365" t="s">
        <v>37052</v>
      </c>
      <c r="B12365" t="s">
        <v>37053</v>
      </c>
      <c r="C12365" t="s">
        <v>37053</v>
      </c>
      <c r="D12365" t="str">
        <f>HYPERLINK("https://zfin.org/ZDB-GENE-040718-334")</f>
        <v>https://zfin.org/ZDB-GENE-040718-334</v>
      </c>
      <c r="E12365" t="s">
        <v>37054</v>
      </c>
    </row>
    <row r="12366" spans="1:5" x14ac:dyDescent="0.2">
      <c r="A12366" t="s">
        <v>37055</v>
      </c>
      <c r="B12366" t="s">
        <v>37056</v>
      </c>
      <c r="C12366" t="s">
        <v>37056</v>
      </c>
      <c r="D12366" t="str">
        <f>HYPERLINK("https://zfin.org/ZDB-GENE-060503-513")</f>
        <v>https://zfin.org/ZDB-GENE-060503-513</v>
      </c>
      <c r="E12366" t="s">
        <v>37057</v>
      </c>
    </row>
    <row r="12367" spans="1:5" x14ac:dyDescent="0.2">
      <c r="A12367" t="s">
        <v>37058</v>
      </c>
      <c r="B12367" t="s">
        <v>37059</v>
      </c>
      <c r="C12367" t="s">
        <v>37059</v>
      </c>
      <c r="D12367" t="str">
        <f>HYPERLINK("https://zfin.org/ZDB-GENE-040426-2700")</f>
        <v>https://zfin.org/ZDB-GENE-040426-2700</v>
      </c>
      <c r="E12367" t="s">
        <v>37060</v>
      </c>
    </row>
    <row r="12368" spans="1:5" x14ac:dyDescent="0.2">
      <c r="A12368" t="s">
        <v>37061</v>
      </c>
      <c r="B12368" t="s">
        <v>37062</v>
      </c>
      <c r="C12368" t="s">
        <v>37062</v>
      </c>
      <c r="D12368" t="str">
        <f>HYPERLINK("https://zfin.org/ZDB-GENE-081104-219")</f>
        <v>https://zfin.org/ZDB-GENE-081104-219</v>
      </c>
      <c r="E12368" t="s">
        <v>37063</v>
      </c>
    </row>
    <row r="12369" spans="1:5" x14ac:dyDescent="0.2">
      <c r="A12369" t="s">
        <v>37064</v>
      </c>
      <c r="B12369" t="s">
        <v>37065</v>
      </c>
      <c r="C12369" t="s">
        <v>37065</v>
      </c>
      <c r="D12369" t="str">
        <f>HYPERLINK("https://zfin.org/ZDB-GENE-980526-352")</f>
        <v>https://zfin.org/ZDB-GENE-980526-352</v>
      </c>
      <c r="E12369" t="s">
        <v>37066</v>
      </c>
    </row>
    <row r="12370" spans="1:5" x14ac:dyDescent="0.2">
      <c r="A12370" t="s">
        <v>37067</v>
      </c>
      <c r="B12370" t="s">
        <v>37068</v>
      </c>
      <c r="C12370" t="s">
        <v>37068</v>
      </c>
      <c r="D12370" t="str">
        <f>HYPERLINK("https://zfin.org/ZDB-GENE-030826-13")</f>
        <v>https://zfin.org/ZDB-GENE-030826-13</v>
      </c>
      <c r="E12370" t="s">
        <v>37069</v>
      </c>
    </row>
    <row r="12371" spans="1:5" x14ac:dyDescent="0.2">
      <c r="A12371" t="s">
        <v>37070</v>
      </c>
      <c r="B12371" t="s">
        <v>37071</v>
      </c>
      <c r="C12371" t="s">
        <v>37071</v>
      </c>
      <c r="D12371" t="str">
        <f>HYPERLINK("https://zfin.org/ZDB-GENE-040408-1")</f>
        <v>https://zfin.org/ZDB-GENE-040408-1</v>
      </c>
      <c r="E12371" t="s">
        <v>37072</v>
      </c>
    </row>
    <row r="12372" spans="1:5" x14ac:dyDescent="0.2">
      <c r="A12372" t="s">
        <v>37073</v>
      </c>
      <c r="B12372" t="s">
        <v>37074</v>
      </c>
      <c r="C12372" t="s">
        <v>37074</v>
      </c>
      <c r="D12372" t="str">
        <f>HYPERLINK("https://zfin.org/ZDB-GENE-060526-60")</f>
        <v>https://zfin.org/ZDB-GENE-060526-60</v>
      </c>
      <c r="E12372" t="s">
        <v>37075</v>
      </c>
    </row>
    <row r="12373" spans="1:5" x14ac:dyDescent="0.2">
      <c r="A12373" t="s">
        <v>37076</v>
      </c>
      <c r="B12373" t="s">
        <v>37077</v>
      </c>
      <c r="C12373" t="s">
        <v>37077</v>
      </c>
      <c r="D12373" t="str">
        <f>HYPERLINK("https://zfin.org/ZDB-GENE-040718-12")</f>
        <v>https://zfin.org/ZDB-GENE-040718-12</v>
      </c>
      <c r="E12373" t="s">
        <v>37078</v>
      </c>
    </row>
    <row r="12374" spans="1:5" x14ac:dyDescent="0.2">
      <c r="A12374" t="s">
        <v>37079</v>
      </c>
      <c r="B12374" t="s">
        <v>37080</v>
      </c>
      <c r="C12374" t="s">
        <v>37080</v>
      </c>
      <c r="D12374" t="str">
        <f>HYPERLINK("https://zfin.org/ZDB-GENE-141120-2")</f>
        <v>https://zfin.org/ZDB-GENE-141120-2</v>
      </c>
      <c r="E12374" t="s">
        <v>37081</v>
      </c>
    </row>
    <row r="12375" spans="1:5" x14ac:dyDescent="0.2">
      <c r="A12375" t="s">
        <v>37082</v>
      </c>
      <c r="B12375" t="s">
        <v>37083</v>
      </c>
      <c r="C12375" t="s">
        <v>37083</v>
      </c>
      <c r="D12375" t="str">
        <f>HYPERLINK("https://zfin.org/ZDB-GENE-060526-106")</f>
        <v>https://zfin.org/ZDB-GENE-060526-106</v>
      </c>
      <c r="E12375" t="s">
        <v>37084</v>
      </c>
    </row>
    <row r="12376" spans="1:5" x14ac:dyDescent="0.2">
      <c r="A12376" t="s">
        <v>37085</v>
      </c>
      <c r="B12376" t="s">
        <v>37086</v>
      </c>
      <c r="C12376" t="s">
        <v>37086</v>
      </c>
      <c r="D12376" t="str">
        <f>HYPERLINK("https://zfin.org/ZDB-GENE-030131-948")</f>
        <v>https://zfin.org/ZDB-GENE-030131-948</v>
      </c>
      <c r="E12376" t="s">
        <v>37087</v>
      </c>
    </row>
    <row r="12377" spans="1:5" x14ac:dyDescent="0.2">
      <c r="A12377" t="s">
        <v>37088</v>
      </c>
      <c r="B12377" t="s">
        <v>37089</v>
      </c>
      <c r="C12377" t="s">
        <v>37089</v>
      </c>
      <c r="D12377" t="str">
        <f>HYPERLINK("https://zfin.org/ZDB-GENE-040426-1725")</f>
        <v>https://zfin.org/ZDB-GENE-040426-1725</v>
      </c>
      <c r="E12377" t="s">
        <v>37090</v>
      </c>
    </row>
    <row r="12378" spans="1:5" x14ac:dyDescent="0.2">
      <c r="A12378" t="s">
        <v>37091</v>
      </c>
      <c r="B12378" t="s">
        <v>37092</v>
      </c>
      <c r="C12378" t="s">
        <v>37092</v>
      </c>
      <c r="D12378" t="str">
        <f>HYPERLINK("https://zfin.org/ZDB-GENE-081104-368")</f>
        <v>https://zfin.org/ZDB-GENE-081104-368</v>
      </c>
      <c r="E12378" t="s">
        <v>37093</v>
      </c>
    </row>
    <row r="12379" spans="1:5" x14ac:dyDescent="0.2">
      <c r="A12379" t="s">
        <v>37094</v>
      </c>
      <c r="B12379" t="s">
        <v>37095</v>
      </c>
      <c r="C12379" t="s">
        <v>37095</v>
      </c>
      <c r="D12379" t="str">
        <f>HYPERLINK("https://zfin.org/ZDB-GENE-030515-7")</f>
        <v>https://zfin.org/ZDB-GENE-030515-7</v>
      </c>
      <c r="E12379" t="s">
        <v>37096</v>
      </c>
    </row>
    <row r="12380" spans="1:5" x14ac:dyDescent="0.2">
      <c r="A12380" t="s">
        <v>37097</v>
      </c>
      <c r="B12380" t="s">
        <v>37098</v>
      </c>
      <c r="C12380" t="s">
        <v>37098</v>
      </c>
      <c r="D12380" t="str">
        <f>HYPERLINK("https://zfin.org/ZDB-GENE-040912-5")</f>
        <v>https://zfin.org/ZDB-GENE-040912-5</v>
      </c>
      <c r="E12380" t="s">
        <v>37099</v>
      </c>
    </row>
    <row r="12381" spans="1:5" x14ac:dyDescent="0.2">
      <c r="A12381" t="s">
        <v>37100</v>
      </c>
      <c r="B12381" t="s">
        <v>37101</v>
      </c>
      <c r="C12381" t="s">
        <v>37101</v>
      </c>
      <c r="D12381" t="str">
        <f>HYPERLINK("https://zfin.org/ZDB-GENE-050327-35")</f>
        <v>https://zfin.org/ZDB-GENE-050327-35</v>
      </c>
      <c r="E12381" t="s">
        <v>37102</v>
      </c>
    </row>
    <row r="12382" spans="1:5" x14ac:dyDescent="0.2">
      <c r="A12382" t="s">
        <v>37103</v>
      </c>
      <c r="B12382" t="s">
        <v>37104</v>
      </c>
      <c r="C12382" t="s">
        <v>37104</v>
      </c>
      <c r="D12382" t="str">
        <f>HYPERLINK("https://zfin.org/ZDB-GENE-060810-162")</f>
        <v>https://zfin.org/ZDB-GENE-060810-162</v>
      </c>
      <c r="E12382" t="s">
        <v>37105</v>
      </c>
    </row>
    <row r="12383" spans="1:5" x14ac:dyDescent="0.2">
      <c r="A12383" t="s">
        <v>37106</v>
      </c>
      <c r="B12383" t="s">
        <v>37107</v>
      </c>
      <c r="C12383" t="s">
        <v>37107</v>
      </c>
      <c r="D12383" t="str">
        <f>HYPERLINK("https://zfin.org/ZDB-GENE-040122-5")</f>
        <v>https://zfin.org/ZDB-GENE-040122-5</v>
      </c>
      <c r="E12383" t="s">
        <v>37108</v>
      </c>
    </row>
    <row r="12384" spans="1:5" x14ac:dyDescent="0.2">
      <c r="A12384" t="s">
        <v>37109</v>
      </c>
      <c r="B12384" t="s">
        <v>37110</v>
      </c>
      <c r="C12384" t="s">
        <v>37110</v>
      </c>
      <c r="D12384" t="str">
        <f>HYPERLINK("https://zfin.org/ZDB-GENE-070209-98")</f>
        <v>https://zfin.org/ZDB-GENE-070209-98</v>
      </c>
      <c r="E12384" t="s">
        <v>37111</v>
      </c>
    </row>
    <row r="12385" spans="1:5" x14ac:dyDescent="0.2">
      <c r="A12385" t="s">
        <v>37112</v>
      </c>
      <c r="B12385" t="s">
        <v>37113</v>
      </c>
      <c r="C12385" t="s">
        <v>37113</v>
      </c>
      <c r="D12385" t="str">
        <f>HYPERLINK("https://zfin.org/ZDB-GENE-050522-442")</f>
        <v>https://zfin.org/ZDB-GENE-050522-442</v>
      </c>
      <c r="E12385" t="s">
        <v>37114</v>
      </c>
    </row>
    <row r="12386" spans="1:5" x14ac:dyDescent="0.2">
      <c r="A12386" t="s">
        <v>37115</v>
      </c>
      <c r="B12386" t="s">
        <v>37116</v>
      </c>
      <c r="C12386" t="s">
        <v>37116</v>
      </c>
      <c r="D12386" t="str">
        <f>HYPERLINK("https://zfin.org/ZDB-GENE-050407-1")</f>
        <v>https://zfin.org/ZDB-GENE-050407-1</v>
      </c>
      <c r="E12386" t="s">
        <v>37117</v>
      </c>
    </row>
    <row r="12387" spans="1:5" x14ac:dyDescent="0.2">
      <c r="A12387" t="s">
        <v>37118</v>
      </c>
      <c r="B12387" t="s">
        <v>37119</v>
      </c>
      <c r="C12387" t="s">
        <v>37119</v>
      </c>
      <c r="D12387" t="str">
        <f>HYPERLINK("https://zfin.org/ZDB-GENE-040822-9")</f>
        <v>https://zfin.org/ZDB-GENE-040822-9</v>
      </c>
      <c r="E12387" t="s">
        <v>37120</v>
      </c>
    </row>
    <row r="12388" spans="1:5" x14ac:dyDescent="0.2">
      <c r="A12388" t="s">
        <v>37121</v>
      </c>
      <c r="B12388" t="s">
        <v>37122</v>
      </c>
      <c r="C12388" t="s">
        <v>37122</v>
      </c>
      <c r="D12388" t="str">
        <f>HYPERLINK("https://zfin.org/ZDB-GENE-050419-198")</f>
        <v>https://zfin.org/ZDB-GENE-050419-198</v>
      </c>
      <c r="E12388" t="s">
        <v>37123</v>
      </c>
    </row>
    <row r="12389" spans="1:5" x14ac:dyDescent="0.2">
      <c r="A12389" t="s">
        <v>37124</v>
      </c>
      <c r="B12389" t="s">
        <v>37125</v>
      </c>
      <c r="C12389" t="s">
        <v>37125</v>
      </c>
      <c r="D12389" t="str">
        <f>HYPERLINK("https://zfin.org/ZDB-GENE-040426-1957")</f>
        <v>https://zfin.org/ZDB-GENE-040426-1957</v>
      </c>
      <c r="E12389" t="s">
        <v>37126</v>
      </c>
    </row>
    <row r="12390" spans="1:5" x14ac:dyDescent="0.2">
      <c r="A12390" t="s">
        <v>37127</v>
      </c>
      <c r="B12390" t="s">
        <v>37128</v>
      </c>
      <c r="C12390" t="s">
        <v>37128</v>
      </c>
      <c r="D12390" t="str">
        <f>HYPERLINK("https://zfin.org/ZDB-GENE-070705-263")</f>
        <v>https://zfin.org/ZDB-GENE-070705-263</v>
      </c>
      <c r="E12390" t="s">
        <v>37129</v>
      </c>
    </row>
    <row r="12391" spans="1:5" x14ac:dyDescent="0.2">
      <c r="A12391" t="s">
        <v>37130</v>
      </c>
      <c r="B12391" t="s">
        <v>37131</v>
      </c>
      <c r="C12391" t="s">
        <v>37131</v>
      </c>
      <c r="D12391" t="str">
        <f>HYPERLINK("https://zfin.org/ZDB-GENE-030416-1")</f>
        <v>https://zfin.org/ZDB-GENE-030416-1</v>
      </c>
      <c r="E12391" t="s">
        <v>37132</v>
      </c>
    </row>
    <row r="12392" spans="1:5" x14ac:dyDescent="0.2">
      <c r="A12392" t="s">
        <v>37133</v>
      </c>
      <c r="B12392" t="s">
        <v>37134</v>
      </c>
      <c r="C12392" t="s">
        <v>37134</v>
      </c>
      <c r="D12392" t="str">
        <f>HYPERLINK("https://zfin.org/ZDB-GENE-050809-111")</f>
        <v>https://zfin.org/ZDB-GENE-050809-111</v>
      </c>
      <c r="E12392" t="s">
        <v>37135</v>
      </c>
    </row>
    <row r="12393" spans="1:5" x14ac:dyDescent="0.2">
      <c r="A12393" t="s">
        <v>37136</v>
      </c>
      <c r="B12393" t="s">
        <v>37137</v>
      </c>
      <c r="C12393" t="s">
        <v>37137</v>
      </c>
      <c r="D12393" t="str">
        <f>HYPERLINK("https://zfin.org/ZDB-GENE-050417-411")</f>
        <v>https://zfin.org/ZDB-GENE-050417-411</v>
      </c>
      <c r="E12393" t="s">
        <v>37138</v>
      </c>
    </row>
    <row r="12394" spans="1:5" x14ac:dyDescent="0.2">
      <c r="A12394" t="s">
        <v>37139</v>
      </c>
      <c r="B12394" t="s">
        <v>37140</v>
      </c>
      <c r="C12394" t="s">
        <v>37140</v>
      </c>
      <c r="D12394" t="str">
        <f>HYPERLINK("https://zfin.org/ZDB-GENE-131127-600")</f>
        <v>https://zfin.org/ZDB-GENE-131127-600</v>
      </c>
      <c r="E12394" t="s">
        <v>37141</v>
      </c>
    </row>
    <row r="12395" spans="1:5" x14ac:dyDescent="0.2">
      <c r="A12395" t="s">
        <v>37142</v>
      </c>
      <c r="B12395" t="s">
        <v>37143</v>
      </c>
      <c r="C12395" t="s">
        <v>37143</v>
      </c>
      <c r="D12395" t="str">
        <f>HYPERLINK("https://zfin.org/ZDB-GENE-061013-268")</f>
        <v>https://zfin.org/ZDB-GENE-061013-268</v>
      </c>
      <c r="E12395" t="s">
        <v>37144</v>
      </c>
    </row>
    <row r="12396" spans="1:5" x14ac:dyDescent="0.2">
      <c r="A12396" t="s">
        <v>37145</v>
      </c>
      <c r="B12396" t="s">
        <v>36432</v>
      </c>
      <c r="C12396" t="s">
        <v>37146</v>
      </c>
      <c r="D12396" t="str">
        <f>HYPERLINK("https://zfin.org/ZDB-GENE-040801-253")</f>
        <v>https://zfin.org/ZDB-GENE-040801-253</v>
      </c>
      <c r="E12396" t="s">
        <v>36433</v>
      </c>
    </row>
    <row r="12397" spans="1:5" x14ac:dyDescent="0.2">
      <c r="A12397" t="s">
        <v>37147</v>
      </c>
      <c r="B12397" t="s">
        <v>37148</v>
      </c>
      <c r="C12397" t="s">
        <v>37148</v>
      </c>
      <c r="D12397" t="str">
        <f>HYPERLINK("https://zfin.org/ZDB-GENE-040525-2")</f>
        <v>https://zfin.org/ZDB-GENE-040525-2</v>
      </c>
      <c r="E12397" t="s">
        <v>37149</v>
      </c>
    </row>
    <row r="12398" spans="1:5" x14ac:dyDescent="0.2">
      <c r="A12398" t="s">
        <v>37150</v>
      </c>
      <c r="B12398" t="s">
        <v>37151</v>
      </c>
      <c r="C12398" t="s">
        <v>37151</v>
      </c>
      <c r="D12398" t="str">
        <f>HYPERLINK("https://zfin.org/ZDB-GENE-030131-1946")</f>
        <v>https://zfin.org/ZDB-GENE-030131-1946</v>
      </c>
      <c r="E12398" t="s">
        <v>37152</v>
      </c>
    </row>
    <row r="12399" spans="1:5" x14ac:dyDescent="0.2">
      <c r="A12399" t="s">
        <v>37153</v>
      </c>
      <c r="B12399" t="s">
        <v>37154</v>
      </c>
      <c r="C12399" t="s">
        <v>37154</v>
      </c>
      <c r="D12399" t="str">
        <f>HYPERLINK("https://zfin.org/ZDB-GENE-050320-68")</f>
        <v>https://zfin.org/ZDB-GENE-050320-68</v>
      </c>
      <c r="E12399" t="s">
        <v>37155</v>
      </c>
    </row>
    <row r="12400" spans="1:5" x14ac:dyDescent="0.2">
      <c r="A12400" t="s">
        <v>37156</v>
      </c>
      <c r="B12400" t="s">
        <v>37157</v>
      </c>
      <c r="C12400" t="s">
        <v>37157</v>
      </c>
      <c r="D12400" t="str">
        <f>HYPERLINK("https://zfin.org/ZDB-GENE-050417-435")</f>
        <v>https://zfin.org/ZDB-GENE-050417-435</v>
      </c>
      <c r="E12400" t="s">
        <v>37158</v>
      </c>
    </row>
    <row r="12401" spans="1:5" x14ac:dyDescent="0.2">
      <c r="A12401" t="s">
        <v>37159</v>
      </c>
      <c r="B12401" t="s">
        <v>37160</v>
      </c>
      <c r="C12401" t="s">
        <v>37160</v>
      </c>
      <c r="D12401" t="str">
        <f>HYPERLINK("https://zfin.org/ZDB-GENE-030131-6622")</f>
        <v>https://zfin.org/ZDB-GENE-030131-6622</v>
      </c>
      <c r="E12401" t="s">
        <v>37161</v>
      </c>
    </row>
    <row r="12402" spans="1:5" x14ac:dyDescent="0.2">
      <c r="A12402" t="s">
        <v>37162</v>
      </c>
      <c r="B12402" t="s">
        <v>37163</v>
      </c>
      <c r="C12402" t="s">
        <v>37163</v>
      </c>
      <c r="D12402" t="str">
        <f>HYPERLINK("https://zfin.org/ZDB-GENE-061215-128")</f>
        <v>https://zfin.org/ZDB-GENE-061215-128</v>
      </c>
      <c r="E12402" t="s">
        <v>37164</v>
      </c>
    </row>
    <row r="12403" spans="1:5" x14ac:dyDescent="0.2">
      <c r="A12403" t="s">
        <v>37165</v>
      </c>
      <c r="B12403" t="s">
        <v>37166</v>
      </c>
      <c r="C12403" t="s">
        <v>37166</v>
      </c>
      <c r="D12403" t="str">
        <f>HYPERLINK("https://zfin.org/ZDB-GENE-050522-188")</f>
        <v>https://zfin.org/ZDB-GENE-050522-188</v>
      </c>
      <c r="E12403" t="s">
        <v>37167</v>
      </c>
    </row>
    <row r="12404" spans="1:5" x14ac:dyDescent="0.2">
      <c r="A12404" t="s">
        <v>37168</v>
      </c>
      <c r="B12404" t="s">
        <v>37169</v>
      </c>
      <c r="C12404" t="s">
        <v>37169</v>
      </c>
      <c r="D12404" t="str">
        <f>HYPERLINK("https://zfin.org/ZDB-GENE-060621-2")</f>
        <v>https://zfin.org/ZDB-GENE-060621-2</v>
      </c>
      <c r="E12404" t="s">
        <v>37170</v>
      </c>
    </row>
    <row r="12405" spans="1:5" x14ac:dyDescent="0.2">
      <c r="A12405" t="s">
        <v>37171</v>
      </c>
      <c r="B12405" t="s">
        <v>37172</v>
      </c>
      <c r="C12405" t="s">
        <v>37172</v>
      </c>
      <c r="D12405" t="str">
        <f>HYPERLINK("https://zfin.org/ZDB-GENE-091020-13")</f>
        <v>https://zfin.org/ZDB-GENE-091020-13</v>
      </c>
      <c r="E12405" t="s">
        <v>37173</v>
      </c>
    </row>
    <row r="12406" spans="1:5" x14ac:dyDescent="0.2">
      <c r="A12406" t="s">
        <v>37174</v>
      </c>
      <c r="B12406" t="s">
        <v>37175</v>
      </c>
      <c r="C12406" t="s">
        <v>37175</v>
      </c>
      <c r="D12406" t="str">
        <f>HYPERLINK("https://zfin.org/ZDB-GENE-030131-5739")</f>
        <v>https://zfin.org/ZDB-GENE-030131-5739</v>
      </c>
      <c r="E12406" t="s">
        <v>37176</v>
      </c>
    </row>
    <row r="12407" spans="1:5" x14ac:dyDescent="0.2">
      <c r="A12407" t="s">
        <v>37177</v>
      </c>
      <c r="B12407" t="s">
        <v>37178</v>
      </c>
      <c r="C12407" t="s">
        <v>37178</v>
      </c>
      <c r="D12407" t="str">
        <f>HYPERLINK("https://zfin.org/ZDB-GENE-081104-81")</f>
        <v>https://zfin.org/ZDB-GENE-081104-81</v>
      </c>
      <c r="E12407" t="s">
        <v>37179</v>
      </c>
    </row>
    <row r="12408" spans="1:5" x14ac:dyDescent="0.2">
      <c r="A12408" t="s">
        <v>37180</v>
      </c>
      <c r="B12408" t="s">
        <v>37181</v>
      </c>
      <c r="C12408" t="s">
        <v>37181</v>
      </c>
      <c r="D12408" t="str">
        <f>HYPERLINK("https://zfin.org/ZDB-GENE-030131-6279")</f>
        <v>https://zfin.org/ZDB-GENE-030131-6279</v>
      </c>
      <c r="E12408" t="s">
        <v>37182</v>
      </c>
    </row>
    <row r="12409" spans="1:5" x14ac:dyDescent="0.2">
      <c r="A12409" t="s">
        <v>37183</v>
      </c>
      <c r="B12409" t="s">
        <v>37184</v>
      </c>
      <c r="C12409" t="s">
        <v>37184</v>
      </c>
      <c r="D12409" t="str">
        <f>HYPERLINK("https://zfin.org/ZDB-GENE-031118-158")</f>
        <v>https://zfin.org/ZDB-GENE-031118-158</v>
      </c>
      <c r="E12409" t="s">
        <v>37185</v>
      </c>
    </row>
    <row r="12410" spans="1:5" x14ac:dyDescent="0.2">
      <c r="A12410" t="s">
        <v>37186</v>
      </c>
      <c r="B12410" t="s">
        <v>37187</v>
      </c>
      <c r="C12410" t="s">
        <v>37187</v>
      </c>
      <c r="D12410" t="str">
        <f>HYPERLINK("https://zfin.org/ZDB-GENE-090313-76")</f>
        <v>https://zfin.org/ZDB-GENE-090313-76</v>
      </c>
      <c r="E12410" t="s">
        <v>37188</v>
      </c>
    </row>
    <row r="12411" spans="1:5" x14ac:dyDescent="0.2">
      <c r="A12411" t="s">
        <v>37189</v>
      </c>
      <c r="B12411" t="s">
        <v>37190</v>
      </c>
      <c r="C12411" t="s">
        <v>37190</v>
      </c>
      <c r="D12411" t="str">
        <f>HYPERLINK("https://zfin.org/ZDB-GENE-030616-63")</f>
        <v>https://zfin.org/ZDB-GENE-030616-63</v>
      </c>
      <c r="E12411" t="s">
        <v>37191</v>
      </c>
    </row>
    <row r="12412" spans="1:5" x14ac:dyDescent="0.2">
      <c r="A12412" t="s">
        <v>37192</v>
      </c>
      <c r="B12412" t="s">
        <v>37193</v>
      </c>
      <c r="C12412" t="s">
        <v>37193</v>
      </c>
      <c r="D12412" t="str">
        <f>HYPERLINK("https://zfin.org/ZDB-GENE-031010-37")</f>
        <v>https://zfin.org/ZDB-GENE-031010-37</v>
      </c>
      <c r="E12412" t="s">
        <v>37194</v>
      </c>
    </row>
    <row r="12413" spans="1:5" x14ac:dyDescent="0.2">
      <c r="A12413" t="s">
        <v>37195</v>
      </c>
      <c r="B12413" t="s">
        <v>37196</v>
      </c>
      <c r="C12413" t="s">
        <v>37196</v>
      </c>
      <c r="D12413" t="str">
        <f>HYPERLINK("https://zfin.org/ZDB-GENE-060929-40")</f>
        <v>https://zfin.org/ZDB-GENE-060929-40</v>
      </c>
      <c r="E12413" t="s">
        <v>37197</v>
      </c>
    </row>
    <row r="12414" spans="1:5" x14ac:dyDescent="0.2">
      <c r="A12414" t="s">
        <v>37198</v>
      </c>
      <c r="B12414" t="s">
        <v>37199</v>
      </c>
      <c r="C12414" t="s">
        <v>37199</v>
      </c>
      <c r="D12414" t="str">
        <f>HYPERLINK("https://zfin.org/ZDB-GENE-061219-1")</f>
        <v>https://zfin.org/ZDB-GENE-061219-1</v>
      </c>
      <c r="E12414" t="s">
        <v>37200</v>
      </c>
    </row>
    <row r="12415" spans="1:5" x14ac:dyDescent="0.2">
      <c r="A12415" t="s">
        <v>37201</v>
      </c>
      <c r="B12415" t="s">
        <v>37202</v>
      </c>
      <c r="C12415" t="s">
        <v>37202</v>
      </c>
      <c r="D12415" t="str">
        <f>HYPERLINK("https://zfin.org/ZDB-GENE-010328-14")</f>
        <v>https://zfin.org/ZDB-GENE-010328-14</v>
      </c>
      <c r="E12415" t="s">
        <v>37203</v>
      </c>
    </row>
    <row r="12416" spans="1:5" x14ac:dyDescent="0.2">
      <c r="A12416" t="s">
        <v>37204</v>
      </c>
      <c r="B12416" t="s">
        <v>37205</v>
      </c>
      <c r="C12416" t="s">
        <v>37205</v>
      </c>
      <c r="D12416" t="str">
        <f>HYPERLINK("https://zfin.org/ZDB-GENE-040801-185")</f>
        <v>https://zfin.org/ZDB-GENE-040801-185</v>
      </c>
      <c r="E12416" t="s">
        <v>37206</v>
      </c>
    </row>
    <row r="12417" spans="1:5" x14ac:dyDescent="0.2">
      <c r="A12417" t="s">
        <v>37207</v>
      </c>
      <c r="B12417" t="s">
        <v>37208</v>
      </c>
      <c r="C12417" t="s">
        <v>37208</v>
      </c>
      <c r="D12417" t="str">
        <f>HYPERLINK("https://zfin.org/ZDB-GENE-070501-7")</f>
        <v>https://zfin.org/ZDB-GENE-070501-7</v>
      </c>
      <c r="E12417" t="s">
        <v>37209</v>
      </c>
    </row>
    <row r="12418" spans="1:5" x14ac:dyDescent="0.2">
      <c r="A12418" t="s">
        <v>37210</v>
      </c>
      <c r="B12418" t="s">
        <v>37211</v>
      </c>
      <c r="C12418" t="s">
        <v>37211</v>
      </c>
      <c r="D12418" t="str">
        <f>HYPERLINK("https://zfin.org/ZDB-GENE-080926-3")</f>
        <v>https://zfin.org/ZDB-GENE-080926-3</v>
      </c>
      <c r="E12418" t="s">
        <v>37212</v>
      </c>
    </row>
    <row r="12419" spans="1:5" x14ac:dyDescent="0.2">
      <c r="A12419" t="s">
        <v>37213</v>
      </c>
      <c r="B12419" t="s">
        <v>37214</v>
      </c>
      <c r="C12419" t="s">
        <v>37214</v>
      </c>
      <c r="D12419" t="str">
        <f>HYPERLINK("https://zfin.org/ZDB-GENE-050626-79")</f>
        <v>https://zfin.org/ZDB-GENE-050626-79</v>
      </c>
      <c r="E12419" t="s">
        <v>37215</v>
      </c>
    </row>
    <row r="12420" spans="1:5" x14ac:dyDescent="0.2">
      <c r="A12420" t="s">
        <v>37216</v>
      </c>
      <c r="B12420" t="s">
        <v>26508</v>
      </c>
      <c r="C12420" t="s">
        <v>37217</v>
      </c>
      <c r="D12420" t="str">
        <f>HYPERLINK("https://zfin.org/ZDB-GENE-131121-226")</f>
        <v>https://zfin.org/ZDB-GENE-131121-226</v>
      </c>
      <c r="E12420" t="s">
        <v>37218</v>
      </c>
    </row>
    <row r="12421" spans="1:5" x14ac:dyDescent="0.2">
      <c r="A12421" t="s">
        <v>37219</v>
      </c>
      <c r="B12421" t="s">
        <v>37220</v>
      </c>
      <c r="C12421" t="s">
        <v>37220</v>
      </c>
      <c r="D12421" t="str">
        <f>HYPERLINK("https://zfin.org/ZDB-GENE-060503-723")</f>
        <v>https://zfin.org/ZDB-GENE-060503-723</v>
      </c>
      <c r="E12421" t="s">
        <v>37221</v>
      </c>
    </row>
    <row r="12422" spans="1:5" x14ac:dyDescent="0.2">
      <c r="A12422" t="s">
        <v>37222</v>
      </c>
      <c r="B12422" t="s">
        <v>37223</v>
      </c>
      <c r="C12422" t="s">
        <v>37223</v>
      </c>
      <c r="D12422" t="str">
        <f>HYPERLINK("https://zfin.org/ZDB-GENE-030131-6127")</f>
        <v>https://zfin.org/ZDB-GENE-030131-6127</v>
      </c>
      <c r="E12422" t="s">
        <v>37224</v>
      </c>
    </row>
    <row r="12423" spans="1:5" x14ac:dyDescent="0.2">
      <c r="A12423" t="s">
        <v>37225</v>
      </c>
      <c r="B12423" t="s">
        <v>37226</v>
      </c>
      <c r="C12423" t="s">
        <v>37226</v>
      </c>
      <c r="D12423" t="str">
        <f>HYPERLINK("https://zfin.org/ZDB-GENE-000616-16")</f>
        <v>https://zfin.org/ZDB-GENE-000616-16</v>
      </c>
      <c r="E12423" t="s">
        <v>37227</v>
      </c>
    </row>
    <row r="12424" spans="1:5" x14ac:dyDescent="0.2">
      <c r="A12424" t="s">
        <v>37228</v>
      </c>
      <c r="B12424" t="s">
        <v>37229</v>
      </c>
      <c r="C12424" t="s">
        <v>37229</v>
      </c>
      <c r="D12424" t="str">
        <f>HYPERLINK("https://zfin.org/ZDB-GENE-030131-8466")</f>
        <v>https://zfin.org/ZDB-GENE-030131-8466</v>
      </c>
      <c r="E12424" t="s">
        <v>37230</v>
      </c>
    </row>
    <row r="12425" spans="1:5" x14ac:dyDescent="0.2">
      <c r="A12425" t="s">
        <v>37231</v>
      </c>
      <c r="B12425" t="s">
        <v>37232</v>
      </c>
      <c r="C12425" t="s">
        <v>37232</v>
      </c>
      <c r="D12425" t="str">
        <f>HYPERLINK("https://zfin.org/ZDB-GENE-980526-324")</f>
        <v>https://zfin.org/ZDB-GENE-980526-324</v>
      </c>
      <c r="E12425" t="s">
        <v>37233</v>
      </c>
    </row>
    <row r="12426" spans="1:5" x14ac:dyDescent="0.2">
      <c r="A12426" t="s">
        <v>37234</v>
      </c>
      <c r="B12426" t="s">
        <v>37235</v>
      </c>
      <c r="C12426" t="s">
        <v>37235</v>
      </c>
      <c r="D12426" t="str">
        <f>HYPERLINK("https://zfin.org/ZDB-GENE-990415-78")</f>
        <v>https://zfin.org/ZDB-GENE-990415-78</v>
      </c>
      <c r="E12426" t="s">
        <v>37236</v>
      </c>
    </row>
    <row r="12427" spans="1:5" x14ac:dyDescent="0.2">
      <c r="A12427" t="s">
        <v>37237</v>
      </c>
      <c r="B12427" t="s">
        <v>37238</v>
      </c>
      <c r="C12427" t="s">
        <v>37238</v>
      </c>
      <c r="D12427" t="str">
        <f>HYPERLINK("https://zfin.org/ZDB-GENE-041010-122")</f>
        <v>https://zfin.org/ZDB-GENE-041010-122</v>
      </c>
      <c r="E12427" t="s">
        <v>37239</v>
      </c>
    </row>
    <row r="12428" spans="1:5" x14ac:dyDescent="0.2">
      <c r="A12428" t="s">
        <v>37240</v>
      </c>
      <c r="B12428" t="s">
        <v>37241</v>
      </c>
      <c r="C12428" t="s">
        <v>37241</v>
      </c>
      <c r="D12428" t="str">
        <f>HYPERLINK("https://zfin.org/ZDB-GENE-041014-83")</f>
        <v>https://zfin.org/ZDB-GENE-041014-83</v>
      </c>
      <c r="E12428" t="s">
        <v>37242</v>
      </c>
    </row>
    <row r="12429" spans="1:5" x14ac:dyDescent="0.2">
      <c r="A12429" t="s">
        <v>37243</v>
      </c>
      <c r="B12429" t="s">
        <v>37244</v>
      </c>
      <c r="C12429" t="s">
        <v>37244</v>
      </c>
      <c r="D12429" t="str">
        <f>HYPERLINK("https://zfin.org/ZDB-GENE-100922-241")</f>
        <v>https://zfin.org/ZDB-GENE-100922-241</v>
      </c>
      <c r="E12429" t="s">
        <v>37245</v>
      </c>
    </row>
    <row r="12430" spans="1:5" x14ac:dyDescent="0.2">
      <c r="A12430" t="s">
        <v>37246</v>
      </c>
      <c r="B12430" t="s">
        <v>37247</v>
      </c>
      <c r="C12430" t="s">
        <v>37247</v>
      </c>
      <c r="D12430" t="str">
        <f>HYPERLINK("https://zfin.org/ZDB-GENE-140820-11")</f>
        <v>https://zfin.org/ZDB-GENE-140820-11</v>
      </c>
      <c r="E12430" t="s">
        <v>37248</v>
      </c>
    </row>
    <row r="12431" spans="1:5" x14ac:dyDescent="0.2">
      <c r="A12431" t="s">
        <v>37249</v>
      </c>
      <c r="B12431" t="s">
        <v>37250</v>
      </c>
      <c r="C12431" t="s">
        <v>37250</v>
      </c>
      <c r="D12431" t="str">
        <f>HYPERLINK("https://zfin.org/ZDB-GENE-061103-172")</f>
        <v>https://zfin.org/ZDB-GENE-061103-172</v>
      </c>
      <c r="E12431" t="s">
        <v>37251</v>
      </c>
    </row>
    <row r="12432" spans="1:5" x14ac:dyDescent="0.2">
      <c r="A12432" t="s">
        <v>37252</v>
      </c>
      <c r="B12432" t="s">
        <v>37253</v>
      </c>
      <c r="C12432" t="s">
        <v>37253</v>
      </c>
      <c r="D12432" t="str">
        <f>HYPERLINK("https://zfin.org/ZDB-GENE-060531-6")</f>
        <v>https://zfin.org/ZDB-GENE-060531-6</v>
      </c>
      <c r="E12432" t="s">
        <v>37254</v>
      </c>
    </row>
    <row r="12433" spans="1:5" x14ac:dyDescent="0.2">
      <c r="A12433" t="s">
        <v>37255</v>
      </c>
      <c r="B12433" t="s">
        <v>37256</v>
      </c>
      <c r="C12433" t="s">
        <v>37256</v>
      </c>
      <c r="D12433" t="str">
        <f>HYPERLINK("https://zfin.org/ZDB-GENE-040426-1210")</f>
        <v>https://zfin.org/ZDB-GENE-040426-1210</v>
      </c>
      <c r="E12433" t="s">
        <v>37257</v>
      </c>
    </row>
    <row r="12434" spans="1:5" x14ac:dyDescent="0.2">
      <c r="A12434" t="s">
        <v>37258</v>
      </c>
      <c r="B12434" t="s">
        <v>37259</v>
      </c>
      <c r="C12434" t="s">
        <v>37259</v>
      </c>
      <c r="D12434" t="str">
        <f>HYPERLINK("https://zfin.org/ZDB-GENE-091118-22")</f>
        <v>https://zfin.org/ZDB-GENE-091118-22</v>
      </c>
      <c r="E12434" t="s">
        <v>37260</v>
      </c>
    </row>
    <row r="12435" spans="1:5" x14ac:dyDescent="0.2">
      <c r="A12435" t="s">
        <v>37261</v>
      </c>
      <c r="B12435" t="s">
        <v>37262</v>
      </c>
      <c r="C12435" t="s">
        <v>37262</v>
      </c>
      <c r="D12435" t="str">
        <f>HYPERLINK("https://zfin.org/ZDB-GENE-091118-6")</f>
        <v>https://zfin.org/ZDB-GENE-091118-6</v>
      </c>
      <c r="E12435" t="s">
        <v>37263</v>
      </c>
    </row>
    <row r="12436" spans="1:5" x14ac:dyDescent="0.2">
      <c r="A12436" t="s">
        <v>37264</v>
      </c>
      <c r="B12436" t="s">
        <v>37265</v>
      </c>
      <c r="C12436" t="s">
        <v>37265</v>
      </c>
      <c r="D12436" t="str">
        <f>HYPERLINK("https://zfin.org/ZDB-GENE-040426-1997")</f>
        <v>https://zfin.org/ZDB-GENE-040426-1997</v>
      </c>
      <c r="E12436" t="s">
        <v>37266</v>
      </c>
    </row>
    <row r="12437" spans="1:5" x14ac:dyDescent="0.2">
      <c r="A12437" t="s">
        <v>37267</v>
      </c>
      <c r="B12437" t="s">
        <v>37268</v>
      </c>
      <c r="C12437" t="s">
        <v>37268</v>
      </c>
      <c r="D12437" t="str">
        <f>HYPERLINK("https://zfin.org/ZDB-GENE-060503-818")</f>
        <v>https://zfin.org/ZDB-GENE-060503-818</v>
      </c>
      <c r="E12437" t="s">
        <v>37269</v>
      </c>
    </row>
    <row r="12438" spans="1:5" x14ac:dyDescent="0.2">
      <c r="A12438" t="s">
        <v>37270</v>
      </c>
      <c r="B12438" t="s">
        <v>37271</v>
      </c>
      <c r="C12438" t="s">
        <v>37271</v>
      </c>
      <c r="D12438" t="str">
        <f>HYPERLINK("https://zfin.org/ZDB-GENE-070511-1")</f>
        <v>https://zfin.org/ZDB-GENE-070511-1</v>
      </c>
      <c r="E12438" t="s">
        <v>37272</v>
      </c>
    </row>
    <row r="12439" spans="1:5" x14ac:dyDescent="0.2">
      <c r="A12439" t="s">
        <v>37273</v>
      </c>
      <c r="B12439" t="s">
        <v>37274</v>
      </c>
      <c r="C12439" t="s">
        <v>37274</v>
      </c>
      <c r="D12439" t="str">
        <f>HYPERLINK("https://zfin.org/ZDB-GENE-101124-1")</f>
        <v>https://zfin.org/ZDB-GENE-101124-1</v>
      </c>
      <c r="E12439" t="s">
        <v>37275</v>
      </c>
    </row>
    <row r="12440" spans="1:5" x14ac:dyDescent="0.2">
      <c r="A12440" t="s">
        <v>37276</v>
      </c>
      <c r="B12440" t="s">
        <v>37277</v>
      </c>
      <c r="C12440" t="s">
        <v>37277</v>
      </c>
      <c r="D12440" t="str">
        <f>HYPERLINK("https://zfin.org/ZDB-GENE-030131-8201")</f>
        <v>https://zfin.org/ZDB-GENE-030131-8201</v>
      </c>
      <c r="E12440" t="s">
        <v>37278</v>
      </c>
    </row>
    <row r="12441" spans="1:5" x14ac:dyDescent="0.2">
      <c r="A12441" t="s">
        <v>37279</v>
      </c>
      <c r="B12441" t="s">
        <v>37280</v>
      </c>
      <c r="C12441" t="s">
        <v>37280</v>
      </c>
      <c r="D12441" t="str">
        <f>HYPERLINK("https://zfin.org/ZDB-GENE-030131-9888")</f>
        <v>https://zfin.org/ZDB-GENE-030131-9888</v>
      </c>
      <c r="E12441" t="s">
        <v>37281</v>
      </c>
    </row>
    <row r="12442" spans="1:5" x14ac:dyDescent="0.2">
      <c r="A12442" t="s">
        <v>37282</v>
      </c>
      <c r="B12442" t="s">
        <v>37283</v>
      </c>
      <c r="C12442" t="s">
        <v>37283</v>
      </c>
      <c r="D12442" t="str">
        <f>HYPERLINK("https://zfin.org/ZDB-GENE-021030-3")</f>
        <v>https://zfin.org/ZDB-GENE-021030-3</v>
      </c>
      <c r="E12442" t="s">
        <v>37284</v>
      </c>
    </row>
    <row r="12443" spans="1:5" x14ac:dyDescent="0.2">
      <c r="A12443" t="s">
        <v>37285</v>
      </c>
      <c r="B12443" t="s">
        <v>37286</v>
      </c>
      <c r="C12443" t="s">
        <v>37286</v>
      </c>
      <c r="D12443" t="str">
        <f>HYPERLINK("https://zfin.org/ZDB-GENE-030131-8599")</f>
        <v>https://zfin.org/ZDB-GENE-030131-8599</v>
      </c>
      <c r="E12443" t="s">
        <v>37287</v>
      </c>
    </row>
    <row r="12444" spans="1:5" x14ac:dyDescent="0.2">
      <c r="A12444" t="s">
        <v>37288</v>
      </c>
      <c r="B12444" t="s">
        <v>37289</v>
      </c>
      <c r="C12444" t="s">
        <v>37289</v>
      </c>
      <c r="D12444" t="str">
        <f>HYPERLINK("https://zfin.org/ZDB-GENE-050522-303")</f>
        <v>https://zfin.org/ZDB-GENE-050522-303</v>
      </c>
      <c r="E12444" t="s">
        <v>37290</v>
      </c>
    </row>
    <row r="12445" spans="1:5" x14ac:dyDescent="0.2">
      <c r="A12445" t="s">
        <v>37291</v>
      </c>
      <c r="B12445" t="s">
        <v>37292</v>
      </c>
      <c r="C12445" t="s">
        <v>37292</v>
      </c>
      <c r="D12445" t="str">
        <f>HYPERLINK("https://zfin.org/ZDB-GENE-040426-1812")</f>
        <v>https://zfin.org/ZDB-GENE-040426-1812</v>
      </c>
      <c r="E12445" t="s">
        <v>37293</v>
      </c>
    </row>
    <row r="12446" spans="1:5" x14ac:dyDescent="0.2">
      <c r="A12446" t="s">
        <v>37294</v>
      </c>
      <c r="B12446" t="s">
        <v>37295</v>
      </c>
      <c r="C12446" t="s">
        <v>37295</v>
      </c>
      <c r="D12446" t="str">
        <f>HYPERLINK("https://zfin.org/ZDB-GENE-040426-1049")</f>
        <v>https://zfin.org/ZDB-GENE-040426-1049</v>
      </c>
      <c r="E12446" t="s">
        <v>37296</v>
      </c>
    </row>
    <row r="12447" spans="1:5" x14ac:dyDescent="0.2">
      <c r="A12447" t="s">
        <v>37297</v>
      </c>
      <c r="B12447" t="s">
        <v>37298</v>
      </c>
      <c r="C12447" t="s">
        <v>37298</v>
      </c>
      <c r="D12447" t="str">
        <f>HYPERLINK("https://zfin.org/ZDB-GENE-061009-16")</f>
        <v>https://zfin.org/ZDB-GENE-061009-16</v>
      </c>
      <c r="E12447" t="s">
        <v>37299</v>
      </c>
    </row>
    <row r="12448" spans="1:5" x14ac:dyDescent="0.2">
      <c r="A12448" t="s">
        <v>37300</v>
      </c>
      <c r="B12448" t="s">
        <v>37301</v>
      </c>
      <c r="C12448" t="s">
        <v>37301</v>
      </c>
      <c r="D12448" t="str">
        <f>HYPERLINK("https://zfin.org/ZDB-GENE-130530-819")</f>
        <v>https://zfin.org/ZDB-GENE-130530-819</v>
      </c>
      <c r="E12448" t="s">
        <v>37302</v>
      </c>
    </row>
    <row r="12449" spans="1:5" x14ac:dyDescent="0.2">
      <c r="A12449" t="s">
        <v>37303</v>
      </c>
      <c r="B12449" t="s">
        <v>37304</v>
      </c>
      <c r="C12449" t="s">
        <v>37304</v>
      </c>
      <c r="D12449" t="str">
        <f>HYPERLINK("https://zfin.org/ZDB-GENE-040426-1603")</f>
        <v>https://zfin.org/ZDB-GENE-040426-1603</v>
      </c>
      <c r="E12449" t="s">
        <v>37305</v>
      </c>
    </row>
    <row r="12450" spans="1:5" x14ac:dyDescent="0.2">
      <c r="A12450" t="s">
        <v>37306</v>
      </c>
      <c r="B12450" t="s">
        <v>37307</v>
      </c>
      <c r="C12450" t="s">
        <v>37307</v>
      </c>
      <c r="D12450" t="str">
        <f>HYPERLINK("https://zfin.org/ZDB-GENE-131127-285")</f>
        <v>https://zfin.org/ZDB-GENE-131127-285</v>
      </c>
      <c r="E12450" t="s">
        <v>37308</v>
      </c>
    </row>
    <row r="12451" spans="1:5" x14ac:dyDescent="0.2">
      <c r="A12451" t="s">
        <v>37309</v>
      </c>
      <c r="B12451" t="s">
        <v>37310</v>
      </c>
      <c r="C12451" t="s">
        <v>37310</v>
      </c>
      <c r="D12451" t="str">
        <f>HYPERLINK("https://zfin.org/ZDB-GENE-080204-34")</f>
        <v>https://zfin.org/ZDB-GENE-080204-34</v>
      </c>
      <c r="E12451" t="s">
        <v>37311</v>
      </c>
    </row>
    <row r="12452" spans="1:5" x14ac:dyDescent="0.2">
      <c r="A12452" t="s">
        <v>37312</v>
      </c>
      <c r="B12452" t="s">
        <v>37313</v>
      </c>
      <c r="C12452" t="s">
        <v>37313</v>
      </c>
      <c r="D12452" t="str">
        <f>HYPERLINK("https://zfin.org/ZDB-GENE-141222-21")</f>
        <v>https://zfin.org/ZDB-GENE-141222-21</v>
      </c>
      <c r="E12452" t="s">
        <v>37314</v>
      </c>
    </row>
    <row r="12453" spans="1:5" x14ac:dyDescent="0.2">
      <c r="A12453" t="s">
        <v>37315</v>
      </c>
      <c r="B12453" t="s">
        <v>37316</v>
      </c>
      <c r="C12453" t="s">
        <v>37316</v>
      </c>
      <c r="D12453" t="str">
        <f>HYPERLINK("https://zfin.org/ZDB-GENE-030909-8")</f>
        <v>https://zfin.org/ZDB-GENE-030909-8</v>
      </c>
      <c r="E12453" t="s">
        <v>37317</v>
      </c>
    </row>
    <row r="12454" spans="1:5" x14ac:dyDescent="0.2">
      <c r="A12454" t="s">
        <v>37318</v>
      </c>
      <c r="B12454" t="s">
        <v>37319</v>
      </c>
      <c r="C12454" t="s">
        <v>37319</v>
      </c>
      <c r="D12454" t="str">
        <f>HYPERLINK("https://zfin.org/ZDB-GENE-060503-626")</f>
        <v>https://zfin.org/ZDB-GENE-060503-626</v>
      </c>
      <c r="E12454" t="s">
        <v>37320</v>
      </c>
    </row>
    <row r="12455" spans="1:5" x14ac:dyDescent="0.2">
      <c r="A12455" t="s">
        <v>37321</v>
      </c>
      <c r="B12455" t="s">
        <v>37322</v>
      </c>
      <c r="C12455" t="s">
        <v>37322</v>
      </c>
      <c r="D12455" t="str">
        <f>HYPERLINK("https://zfin.org/ZDB-GENE-070112-982")</f>
        <v>https://zfin.org/ZDB-GENE-070112-982</v>
      </c>
      <c r="E12455" t="s">
        <v>37323</v>
      </c>
    </row>
    <row r="12456" spans="1:5" x14ac:dyDescent="0.2">
      <c r="A12456" t="s">
        <v>37324</v>
      </c>
      <c r="B12456" t="s">
        <v>37325</v>
      </c>
      <c r="C12456" t="s">
        <v>37325</v>
      </c>
      <c r="D12456" t="str">
        <f>HYPERLINK("https://zfin.org/ZDB-GENE-040426-746")</f>
        <v>https://zfin.org/ZDB-GENE-040426-746</v>
      </c>
      <c r="E12456" t="s">
        <v>37326</v>
      </c>
    </row>
    <row r="12457" spans="1:5" x14ac:dyDescent="0.2">
      <c r="A12457" t="s">
        <v>37327</v>
      </c>
      <c r="B12457" t="s">
        <v>37328</v>
      </c>
      <c r="C12457" t="s">
        <v>37328</v>
      </c>
      <c r="D12457" t="str">
        <f>HYPERLINK("https://zfin.org/ZDB-GENE-100921-86")</f>
        <v>https://zfin.org/ZDB-GENE-100921-86</v>
      </c>
      <c r="E12457" t="s">
        <v>37329</v>
      </c>
    </row>
    <row r="12458" spans="1:5" x14ac:dyDescent="0.2">
      <c r="A12458" t="s">
        <v>37330</v>
      </c>
      <c r="B12458" t="s">
        <v>37331</v>
      </c>
      <c r="C12458" t="s">
        <v>37331</v>
      </c>
      <c r="D12458" t="str">
        <f>HYPERLINK("https://zfin.org/ZDB-GENE-061207-42")</f>
        <v>https://zfin.org/ZDB-GENE-061207-42</v>
      </c>
      <c r="E12458" t="s">
        <v>37332</v>
      </c>
    </row>
    <row r="12459" spans="1:5" x14ac:dyDescent="0.2">
      <c r="A12459" t="s">
        <v>37333</v>
      </c>
      <c r="B12459" t="s">
        <v>37334</v>
      </c>
      <c r="C12459" t="s">
        <v>37334</v>
      </c>
      <c r="D12459" t="str">
        <f>HYPERLINK("https://zfin.org/ZDB-GENE-030131-6081")</f>
        <v>https://zfin.org/ZDB-GENE-030131-6081</v>
      </c>
      <c r="E12459" t="s">
        <v>37335</v>
      </c>
    </row>
    <row r="12460" spans="1:5" x14ac:dyDescent="0.2">
      <c r="A12460" t="s">
        <v>37336</v>
      </c>
      <c r="B12460" t="s">
        <v>37337</v>
      </c>
      <c r="C12460" t="s">
        <v>37337</v>
      </c>
      <c r="D12460" t="str">
        <f>HYPERLINK("https://zfin.org/ZDB-GENE-040718-52")</f>
        <v>https://zfin.org/ZDB-GENE-040718-52</v>
      </c>
      <c r="E12460" t="s">
        <v>37338</v>
      </c>
    </row>
    <row r="12461" spans="1:5" x14ac:dyDescent="0.2">
      <c r="A12461" t="s">
        <v>37339</v>
      </c>
      <c r="B12461" t="s">
        <v>37340</v>
      </c>
      <c r="C12461" t="s">
        <v>37340</v>
      </c>
      <c r="D12461" t="str">
        <f>HYPERLINK("https://zfin.org/ZDB-GENE-041010-92")</f>
        <v>https://zfin.org/ZDB-GENE-041010-92</v>
      </c>
      <c r="E12461" t="s">
        <v>37341</v>
      </c>
    </row>
    <row r="12462" spans="1:5" x14ac:dyDescent="0.2">
      <c r="A12462" t="s">
        <v>37342</v>
      </c>
      <c r="B12462" t="s">
        <v>37343</v>
      </c>
      <c r="C12462" t="s">
        <v>37343</v>
      </c>
      <c r="D12462" t="str">
        <f>HYPERLINK("https://zfin.org/ZDB-GENE-071004-50")</f>
        <v>https://zfin.org/ZDB-GENE-071004-50</v>
      </c>
      <c r="E12462" t="s">
        <v>37344</v>
      </c>
    </row>
    <row r="12463" spans="1:5" x14ac:dyDescent="0.2">
      <c r="A12463" t="s">
        <v>37345</v>
      </c>
      <c r="B12463" t="s">
        <v>37346</v>
      </c>
      <c r="C12463" t="s">
        <v>37346</v>
      </c>
      <c r="D12463" t="str">
        <f>HYPERLINK("https://zfin.org/ZDB-GENE-020801-2")</f>
        <v>https://zfin.org/ZDB-GENE-020801-2</v>
      </c>
      <c r="E12463" t="s">
        <v>37347</v>
      </c>
    </row>
    <row r="12464" spans="1:5" x14ac:dyDescent="0.2">
      <c r="A12464" t="s">
        <v>37348</v>
      </c>
      <c r="B12464" t="s">
        <v>37349</v>
      </c>
      <c r="C12464" t="s">
        <v>37349</v>
      </c>
      <c r="D12464" t="str">
        <f>HYPERLINK("https://zfin.org/ZDB-GENE-060503-35")</f>
        <v>https://zfin.org/ZDB-GENE-060503-35</v>
      </c>
      <c r="E12464" t="s">
        <v>37350</v>
      </c>
    </row>
    <row r="12465" spans="1:5" x14ac:dyDescent="0.2">
      <c r="A12465" t="s">
        <v>37351</v>
      </c>
      <c r="B12465" t="s">
        <v>37352</v>
      </c>
      <c r="C12465" t="s">
        <v>37352</v>
      </c>
      <c r="D12465" t="str">
        <f>HYPERLINK("https://zfin.org/ZDB-GENE-030131-1647")</f>
        <v>https://zfin.org/ZDB-GENE-030131-1647</v>
      </c>
      <c r="E12465" t="s">
        <v>37353</v>
      </c>
    </row>
    <row r="12466" spans="1:5" x14ac:dyDescent="0.2">
      <c r="A12466" t="s">
        <v>37354</v>
      </c>
      <c r="B12466" t="s">
        <v>37355</v>
      </c>
      <c r="C12466" t="s">
        <v>37355</v>
      </c>
      <c r="D12466" t="str">
        <f>HYPERLINK("https://zfin.org/ZDB-GENE-131127-358")</f>
        <v>https://zfin.org/ZDB-GENE-131127-358</v>
      </c>
      <c r="E12466" t="s">
        <v>37356</v>
      </c>
    </row>
    <row r="12467" spans="1:5" x14ac:dyDescent="0.2">
      <c r="A12467" t="s">
        <v>37357</v>
      </c>
      <c r="B12467" t="s">
        <v>37358</v>
      </c>
      <c r="C12467" t="s">
        <v>37358</v>
      </c>
      <c r="D12467" t="str">
        <f>HYPERLINK("https://zfin.org/ZDB-GENE-030131-1005")</f>
        <v>https://zfin.org/ZDB-GENE-030131-1005</v>
      </c>
      <c r="E12467" t="s">
        <v>37359</v>
      </c>
    </row>
    <row r="12468" spans="1:5" x14ac:dyDescent="0.2">
      <c r="A12468" t="s">
        <v>37360</v>
      </c>
      <c r="B12468" t="s">
        <v>37361</v>
      </c>
      <c r="C12468" t="s">
        <v>37361</v>
      </c>
      <c r="D12468" t="str">
        <f>HYPERLINK("https://zfin.org/ZDB-GENE-120703-35")</f>
        <v>https://zfin.org/ZDB-GENE-120703-35</v>
      </c>
      <c r="E12468" t="s">
        <v>37362</v>
      </c>
    </row>
    <row r="12469" spans="1:5" x14ac:dyDescent="0.2">
      <c r="A12469" t="s">
        <v>37363</v>
      </c>
      <c r="B12469" t="s">
        <v>37364</v>
      </c>
      <c r="C12469" t="s">
        <v>37364</v>
      </c>
      <c r="D12469" t="str">
        <f>HYPERLINK("https://zfin.org/ZDB-GENE-040426-865")</f>
        <v>https://zfin.org/ZDB-GENE-040426-865</v>
      </c>
      <c r="E12469" t="s">
        <v>37365</v>
      </c>
    </row>
    <row r="12470" spans="1:5" x14ac:dyDescent="0.2">
      <c r="A12470" t="s">
        <v>37366</v>
      </c>
      <c r="B12470" t="s">
        <v>37367</v>
      </c>
      <c r="C12470" t="s">
        <v>37367</v>
      </c>
      <c r="D12470" t="str">
        <f>HYPERLINK("https://zfin.org/ZDB-GENE-040426-1707")</f>
        <v>https://zfin.org/ZDB-GENE-040426-1707</v>
      </c>
      <c r="E12470" t="s">
        <v>37368</v>
      </c>
    </row>
    <row r="12471" spans="1:5" x14ac:dyDescent="0.2">
      <c r="A12471" t="s">
        <v>37369</v>
      </c>
      <c r="B12471" t="s">
        <v>37370</v>
      </c>
      <c r="C12471" t="s">
        <v>37370</v>
      </c>
      <c r="D12471" t="str">
        <f>HYPERLINK("https://zfin.org/ZDB-GENE-030131-3544")</f>
        <v>https://zfin.org/ZDB-GENE-030131-3544</v>
      </c>
      <c r="E12471" t="s">
        <v>37371</v>
      </c>
    </row>
    <row r="12472" spans="1:5" x14ac:dyDescent="0.2">
      <c r="A12472" t="s">
        <v>37372</v>
      </c>
      <c r="B12472" t="s">
        <v>37373</v>
      </c>
      <c r="C12472" t="s">
        <v>37373</v>
      </c>
      <c r="D12472" t="str">
        <f>HYPERLINK("https://zfin.org/ZDB-GENE-021030-4")</f>
        <v>https://zfin.org/ZDB-GENE-021030-4</v>
      </c>
      <c r="E12472" t="s">
        <v>37374</v>
      </c>
    </row>
    <row r="12473" spans="1:5" x14ac:dyDescent="0.2">
      <c r="A12473" t="s">
        <v>37375</v>
      </c>
      <c r="B12473" t="s">
        <v>37376</v>
      </c>
      <c r="C12473" t="s">
        <v>37376</v>
      </c>
      <c r="D12473" t="str">
        <f>HYPERLINK("https://zfin.org/ZDB-GENE-030131-7889")</f>
        <v>https://zfin.org/ZDB-GENE-030131-7889</v>
      </c>
      <c r="E12473" t="s">
        <v>37377</v>
      </c>
    </row>
    <row r="12474" spans="1:5" x14ac:dyDescent="0.2">
      <c r="A12474" t="s">
        <v>37378</v>
      </c>
      <c r="B12474" t="s">
        <v>37379</v>
      </c>
      <c r="C12474" t="s">
        <v>37379</v>
      </c>
      <c r="D12474" t="str">
        <f>HYPERLINK("https://zfin.org/ZDB-GENE-030131-6252")</f>
        <v>https://zfin.org/ZDB-GENE-030131-6252</v>
      </c>
      <c r="E12474" t="s">
        <v>37380</v>
      </c>
    </row>
    <row r="12475" spans="1:5" x14ac:dyDescent="0.2">
      <c r="A12475" t="s">
        <v>37381</v>
      </c>
      <c r="B12475" t="s">
        <v>37382</v>
      </c>
      <c r="C12475" t="s">
        <v>37382</v>
      </c>
      <c r="D12475" t="str">
        <f>HYPERLINK("https://zfin.org/ZDB-GENE-040426-1578")</f>
        <v>https://zfin.org/ZDB-GENE-040426-1578</v>
      </c>
      <c r="E12475" t="s">
        <v>37383</v>
      </c>
    </row>
    <row r="12476" spans="1:5" x14ac:dyDescent="0.2">
      <c r="A12476" t="s">
        <v>37384</v>
      </c>
      <c r="B12476" t="s">
        <v>37385</v>
      </c>
      <c r="C12476" t="s">
        <v>37385</v>
      </c>
      <c r="D12476" t="str">
        <f>HYPERLINK("https://zfin.org/ZDB-GENE-100716-1")</f>
        <v>https://zfin.org/ZDB-GENE-100716-1</v>
      </c>
      <c r="E12476" t="s">
        <v>37386</v>
      </c>
    </row>
    <row r="12477" spans="1:5" x14ac:dyDescent="0.2">
      <c r="A12477" t="s">
        <v>37387</v>
      </c>
      <c r="B12477" t="s">
        <v>37388</v>
      </c>
      <c r="C12477" t="s">
        <v>37388</v>
      </c>
      <c r="D12477" t="str">
        <f>HYPERLINK("https://zfin.org/ZDB-GENE-040912-150")</f>
        <v>https://zfin.org/ZDB-GENE-040912-150</v>
      </c>
      <c r="E12477" t="s">
        <v>37389</v>
      </c>
    </row>
    <row r="12478" spans="1:5" x14ac:dyDescent="0.2">
      <c r="A12478" t="s">
        <v>37390</v>
      </c>
      <c r="B12478" t="s">
        <v>37391</v>
      </c>
      <c r="C12478" t="s">
        <v>37391</v>
      </c>
      <c r="D12478" t="str">
        <f>HYPERLINK("https://zfin.org/ZDB-GENE-070815-1")</f>
        <v>https://zfin.org/ZDB-GENE-070815-1</v>
      </c>
      <c r="E12478" t="s">
        <v>37392</v>
      </c>
    </row>
    <row r="12479" spans="1:5" x14ac:dyDescent="0.2">
      <c r="A12479" t="s">
        <v>37393</v>
      </c>
      <c r="B12479" t="s">
        <v>37394</v>
      </c>
      <c r="C12479" t="s">
        <v>37394</v>
      </c>
      <c r="D12479" t="str">
        <f>HYPERLINK("https://zfin.org/ZDB-GENE-040426-2495")</f>
        <v>https://zfin.org/ZDB-GENE-040426-2495</v>
      </c>
      <c r="E12479" t="s">
        <v>37395</v>
      </c>
    </row>
    <row r="12480" spans="1:5" x14ac:dyDescent="0.2">
      <c r="A12480" t="s">
        <v>37396</v>
      </c>
      <c r="B12480" t="s">
        <v>37397</v>
      </c>
      <c r="C12480" t="s">
        <v>37397</v>
      </c>
      <c r="D12480" t="str">
        <f>HYPERLINK("https://zfin.org/ZDB-GENE-030131-6497")</f>
        <v>https://zfin.org/ZDB-GENE-030131-6497</v>
      </c>
      <c r="E12480" t="s">
        <v>37398</v>
      </c>
    </row>
    <row r="12481" spans="1:5" x14ac:dyDescent="0.2">
      <c r="A12481" t="s">
        <v>37399</v>
      </c>
      <c r="B12481" t="s">
        <v>37400</v>
      </c>
      <c r="C12481" t="s">
        <v>37400</v>
      </c>
      <c r="D12481" t="str">
        <f>HYPERLINK("https://zfin.org/ZDB-GENE-070424-29")</f>
        <v>https://zfin.org/ZDB-GENE-070424-29</v>
      </c>
      <c r="E12481" t="s">
        <v>37401</v>
      </c>
    </row>
    <row r="12482" spans="1:5" x14ac:dyDescent="0.2">
      <c r="A12482" t="s">
        <v>37402</v>
      </c>
      <c r="B12482" t="s">
        <v>37403</v>
      </c>
      <c r="C12482" t="s">
        <v>37403</v>
      </c>
      <c r="D12482" t="str">
        <f>HYPERLINK("https://zfin.org/ZDB-GENE-120827-2")</f>
        <v>https://zfin.org/ZDB-GENE-120827-2</v>
      </c>
      <c r="E12482" t="s">
        <v>37404</v>
      </c>
    </row>
    <row r="12483" spans="1:5" x14ac:dyDescent="0.2">
      <c r="A12483" t="s">
        <v>37405</v>
      </c>
      <c r="B12483" t="s">
        <v>37406</v>
      </c>
      <c r="C12483" t="s">
        <v>37406</v>
      </c>
      <c r="D12483" t="str">
        <f>HYPERLINK("https://zfin.org/ZDB-GENE-030131-4400")</f>
        <v>https://zfin.org/ZDB-GENE-030131-4400</v>
      </c>
      <c r="E12483" t="s">
        <v>37407</v>
      </c>
    </row>
    <row r="12484" spans="1:5" x14ac:dyDescent="0.2">
      <c r="A12484" t="s">
        <v>37408</v>
      </c>
      <c r="B12484" t="s">
        <v>37409</v>
      </c>
      <c r="C12484" t="s">
        <v>37409</v>
      </c>
      <c r="D12484" t="str">
        <f>HYPERLINK("https://zfin.org/ZDB-GENE-100405-1")</f>
        <v>https://zfin.org/ZDB-GENE-100405-1</v>
      </c>
      <c r="E12484" t="s">
        <v>37410</v>
      </c>
    </row>
    <row r="12485" spans="1:5" x14ac:dyDescent="0.2">
      <c r="A12485" t="s">
        <v>37411</v>
      </c>
      <c r="B12485" t="s">
        <v>37412</v>
      </c>
      <c r="C12485" t="s">
        <v>37412</v>
      </c>
      <c r="D12485" t="str">
        <f>HYPERLINK("https://zfin.org/ZDB-GENE-070912-44")</f>
        <v>https://zfin.org/ZDB-GENE-070912-44</v>
      </c>
      <c r="E12485" t="s">
        <v>37413</v>
      </c>
    </row>
    <row r="12486" spans="1:5" x14ac:dyDescent="0.2">
      <c r="A12486" t="s">
        <v>37414</v>
      </c>
      <c r="B12486" t="s">
        <v>37415</v>
      </c>
      <c r="C12486" t="s">
        <v>37415</v>
      </c>
      <c r="D12486" t="str">
        <f>HYPERLINK("https://zfin.org/ZDB-GENE-141216-134")</f>
        <v>https://zfin.org/ZDB-GENE-141216-134</v>
      </c>
      <c r="E12486" t="s">
        <v>37416</v>
      </c>
    </row>
    <row r="12487" spans="1:5" x14ac:dyDescent="0.2">
      <c r="A12487" t="s">
        <v>37417</v>
      </c>
      <c r="B12487" t="s">
        <v>37418</v>
      </c>
      <c r="C12487" t="s">
        <v>37418</v>
      </c>
      <c r="D12487" t="str">
        <f>HYPERLINK("https://zfin.org/ZDB-GENE-030411-5")</f>
        <v>https://zfin.org/ZDB-GENE-030411-5</v>
      </c>
      <c r="E12487" t="s">
        <v>37419</v>
      </c>
    </row>
    <row r="12488" spans="1:5" x14ac:dyDescent="0.2">
      <c r="A12488" t="s">
        <v>37420</v>
      </c>
      <c r="B12488" t="s">
        <v>37421</v>
      </c>
      <c r="C12488" t="s">
        <v>37421</v>
      </c>
      <c r="D12488" t="str">
        <f>HYPERLINK("https://zfin.org/ZDB-GENE-030131-8617")</f>
        <v>https://zfin.org/ZDB-GENE-030131-8617</v>
      </c>
      <c r="E12488" t="s">
        <v>37422</v>
      </c>
    </row>
    <row r="12489" spans="1:5" x14ac:dyDescent="0.2">
      <c r="A12489" t="s">
        <v>37423</v>
      </c>
      <c r="B12489" t="s">
        <v>37424</v>
      </c>
      <c r="C12489" t="s">
        <v>37424</v>
      </c>
      <c r="D12489" t="str">
        <f>HYPERLINK("https://zfin.org/ZDB-GENE-110913-76")</f>
        <v>https://zfin.org/ZDB-GENE-110913-76</v>
      </c>
      <c r="E12489" t="s">
        <v>37425</v>
      </c>
    </row>
    <row r="12490" spans="1:5" x14ac:dyDescent="0.2">
      <c r="A12490" t="s">
        <v>37426</v>
      </c>
      <c r="B12490" t="s">
        <v>37427</v>
      </c>
      <c r="C12490" t="s">
        <v>37427</v>
      </c>
      <c r="D12490" t="str">
        <f>HYPERLINK("https://zfin.org/ZDB-GENE-030131-8909")</f>
        <v>https://zfin.org/ZDB-GENE-030131-8909</v>
      </c>
      <c r="E12490" t="s">
        <v>37428</v>
      </c>
    </row>
    <row r="12491" spans="1:5" x14ac:dyDescent="0.2">
      <c r="A12491" t="s">
        <v>37429</v>
      </c>
      <c r="B12491" t="s">
        <v>37430</v>
      </c>
      <c r="C12491" t="s">
        <v>37430</v>
      </c>
      <c r="D12491" t="str">
        <f>HYPERLINK("https://zfin.org/ZDB-GENE-050522-45")</f>
        <v>https://zfin.org/ZDB-GENE-050522-45</v>
      </c>
      <c r="E12491" t="s">
        <v>37431</v>
      </c>
    </row>
    <row r="12492" spans="1:5" x14ac:dyDescent="0.2">
      <c r="A12492" t="s">
        <v>37432</v>
      </c>
      <c r="B12492" t="s">
        <v>37433</v>
      </c>
      <c r="C12492" t="s">
        <v>37433</v>
      </c>
      <c r="D12492" t="str">
        <f>HYPERLINK("https://zfin.org/ZDB-GENE-091204-109")</f>
        <v>https://zfin.org/ZDB-GENE-091204-109</v>
      </c>
      <c r="E12492" t="s">
        <v>37434</v>
      </c>
    </row>
    <row r="12493" spans="1:5" x14ac:dyDescent="0.2">
      <c r="A12493" t="s">
        <v>37435</v>
      </c>
      <c r="B12493" t="s">
        <v>37436</v>
      </c>
      <c r="C12493" t="s">
        <v>37436</v>
      </c>
      <c r="D12493" t="str">
        <f>HYPERLINK("https://zfin.org/ZDB-GENE-081104-1")</f>
        <v>https://zfin.org/ZDB-GENE-081104-1</v>
      </c>
      <c r="E12493" t="s">
        <v>37437</v>
      </c>
    </row>
    <row r="12494" spans="1:5" x14ac:dyDescent="0.2">
      <c r="A12494" t="s">
        <v>37438</v>
      </c>
      <c r="B12494" t="s">
        <v>37439</v>
      </c>
      <c r="C12494" t="s">
        <v>37439</v>
      </c>
      <c r="D12494" t="str">
        <f>HYPERLINK("https://zfin.org/ZDB-GENE-041001-194")</f>
        <v>https://zfin.org/ZDB-GENE-041001-194</v>
      </c>
      <c r="E12494" t="s">
        <v>37440</v>
      </c>
    </row>
    <row r="12495" spans="1:5" x14ac:dyDescent="0.2">
      <c r="A12495" t="s">
        <v>37441</v>
      </c>
      <c r="B12495" t="s">
        <v>37442</v>
      </c>
      <c r="C12495" t="s">
        <v>37442</v>
      </c>
      <c r="D12495" t="str">
        <f>HYPERLINK("https://zfin.org/ZDB-GENE-110913-166")</f>
        <v>https://zfin.org/ZDB-GENE-110913-166</v>
      </c>
      <c r="E12495" t="s">
        <v>37443</v>
      </c>
    </row>
    <row r="12496" spans="1:5" x14ac:dyDescent="0.2">
      <c r="A12496" t="s">
        <v>37444</v>
      </c>
      <c r="B12496" t="s">
        <v>37445</v>
      </c>
      <c r="C12496" t="s">
        <v>37445</v>
      </c>
      <c r="D12496" t="str">
        <f>HYPERLINK("https://zfin.org/ZDB-GENE-140106-124")</f>
        <v>https://zfin.org/ZDB-GENE-140106-124</v>
      </c>
      <c r="E12496" t="s">
        <v>37446</v>
      </c>
    </row>
    <row r="12497" spans="1:5" x14ac:dyDescent="0.2">
      <c r="A12497" t="s">
        <v>37447</v>
      </c>
      <c r="B12497" t="s">
        <v>37448</v>
      </c>
      <c r="C12497" t="s">
        <v>37448</v>
      </c>
      <c r="D12497" t="str">
        <f>HYPERLINK("https://zfin.org/ZDB-GENE-040121-7")</f>
        <v>https://zfin.org/ZDB-GENE-040121-7</v>
      </c>
      <c r="E12497" t="s">
        <v>37449</v>
      </c>
    </row>
    <row r="12498" spans="1:5" x14ac:dyDescent="0.2">
      <c r="A12498" t="s">
        <v>37450</v>
      </c>
      <c r="B12498" t="s">
        <v>37451</v>
      </c>
      <c r="C12498" t="s">
        <v>37451</v>
      </c>
      <c r="D12498" t="str">
        <f>HYPERLINK("https://zfin.org/ZDB-GENE-010501-1")</f>
        <v>https://zfin.org/ZDB-GENE-010501-1</v>
      </c>
      <c r="E12498" t="s">
        <v>37452</v>
      </c>
    </row>
    <row r="12499" spans="1:5" x14ac:dyDescent="0.2">
      <c r="A12499" t="s">
        <v>37453</v>
      </c>
      <c r="B12499" t="s">
        <v>37454</v>
      </c>
      <c r="C12499" t="s">
        <v>37454</v>
      </c>
      <c r="D12499" t="str">
        <f>HYPERLINK("https://zfin.org/ZDB-GENE-041014-158")</f>
        <v>https://zfin.org/ZDB-GENE-041014-158</v>
      </c>
      <c r="E12499" t="s">
        <v>37455</v>
      </c>
    </row>
    <row r="12500" spans="1:5" x14ac:dyDescent="0.2">
      <c r="A12500" t="s">
        <v>37456</v>
      </c>
      <c r="B12500" t="s">
        <v>37457</v>
      </c>
      <c r="C12500" t="s">
        <v>37457</v>
      </c>
      <c r="D12500" t="str">
        <f>HYPERLINK("https://zfin.org/ZDB-GENE-040426-2600")</f>
        <v>https://zfin.org/ZDB-GENE-040426-2600</v>
      </c>
      <c r="E12500" t="s">
        <v>37458</v>
      </c>
    </row>
    <row r="12501" spans="1:5" x14ac:dyDescent="0.2">
      <c r="A12501" t="s">
        <v>37459</v>
      </c>
      <c r="B12501" t="s">
        <v>37460</v>
      </c>
      <c r="C12501" t="s">
        <v>37460</v>
      </c>
      <c r="D12501" t="str">
        <f>HYPERLINK("https://zfin.org/ZDB-GENE-030616-154")</f>
        <v>https://zfin.org/ZDB-GENE-030616-154</v>
      </c>
      <c r="E12501" t="s">
        <v>37461</v>
      </c>
    </row>
    <row r="12502" spans="1:5" x14ac:dyDescent="0.2">
      <c r="A12502" t="s">
        <v>37462</v>
      </c>
      <c r="B12502" t="s">
        <v>37463</v>
      </c>
      <c r="C12502" t="s">
        <v>37463</v>
      </c>
      <c r="D12502" t="str">
        <f>HYPERLINK("https://zfin.org/ZDB-GENE-041014-73")</f>
        <v>https://zfin.org/ZDB-GENE-041014-73</v>
      </c>
      <c r="E12502" t="s">
        <v>37464</v>
      </c>
    </row>
    <row r="12503" spans="1:5" x14ac:dyDescent="0.2">
      <c r="A12503" t="s">
        <v>37465</v>
      </c>
      <c r="B12503" t="s">
        <v>37466</v>
      </c>
      <c r="C12503" t="s">
        <v>37466</v>
      </c>
      <c r="D12503" t="str">
        <f>HYPERLINK("https://zfin.org/ZDB-GENE-130603-45")</f>
        <v>https://zfin.org/ZDB-GENE-130603-45</v>
      </c>
      <c r="E12503" t="s">
        <v>37467</v>
      </c>
    </row>
    <row r="12504" spans="1:5" x14ac:dyDescent="0.2">
      <c r="A12504" t="s">
        <v>37468</v>
      </c>
      <c r="B12504" t="s">
        <v>37469</v>
      </c>
      <c r="C12504" t="s">
        <v>37469</v>
      </c>
      <c r="D12504" t="str">
        <f>HYPERLINK("https://zfin.org/ZDB-GENE-121214-346")</f>
        <v>https://zfin.org/ZDB-GENE-121214-346</v>
      </c>
      <c r="E12504" t="s">
        <v>37470</v>
      </c>
    </row>
    <row r="12505" spans="1:5" x14ac:dyDescent="0.2">
      <c r="A12505" t="s">
        <v>37471</v>
      </c>
      <c r="B12505" t="s">
        <v>37472</v>
      </c>
      <c r="C12505" t="s">
        <v>37472</v>
      </c>
      <c r="D12505" t="str">
        <f>HYPERLINK("https://zfin.org/ZDB-GENE-030131-6363")</f>
        <v>https://zfin.org/ZDB-GENE-030131-6363</v>
      </c>
      <c r="E12505" t="s">
        <v>37473</v>
      </c>
    </row>
    <row r="12506" spans="1:5" x14ac:dyDescent="0.2">
      <c r="A12506" t="s">
        <v>37474</v>
      </c>
      <c r="B12506" t="s">
        <v>37475</v>
      </c>
      <c r="C12506" t="s">
        <v>37475</v>
      </c>
      <c r="D12506" t="str">
        <f>HYPERLINK("https://zfin.org/ZDB-GENE-041114-148")</f>
        <v>https://zfin.org/ZDB-GENE-041114-148</v>
      </c>
      <c r="E12506" t="s">
        <v>37476</v>
      </c>
    </row>
    <row r="12507" spans="1:5" x14ac:dyDescent="0.2">
      <c r="A12507" t="s">
        <v>37477</v>
      </c>
      <c r="B12507" t="s">
        <v>37478</v>
      </c>
      <c r="C12507" t="s">
        <v>37478</v>
      </c>
      <c r="D12507" t="str">
        <f>HYPERLINK("https://zfin.org/ZDB-GENE-040426-1066")</f>
        <v>https://zfin.org/ZDB-GENE-040426-1066</v>
      </c>
      <c r="E12507" t="s">
        <v>37479</v>
      </c>
    </row>
    <row r="12508" spans="1:5" x14ac:dyDescent="0.2">
      <c r="A12508" t="s">
        <v>37480</v>
      </c>
      <c r="B12508" t="s">
        <v>37481</v>
      </c>
      <c r="C12508" t="s">
        <v>37481</v>
      </c>
      <c r="D12508" t="str">
        <f>HYPERLINK("https://zfin.org/ZDB-GENE-050208-381")</f>
        <v>https://zfin.org/ZDB-GENE-050208-381</v>
      </c>
      <c r="E12508" t="s">
        <v>37482</v>
      </c>
    </row>
    <row r="12509" spans="1:5" x14ac:dyDescent="0.2">
      <c r="A12509" t="s">
        <v>37483</v>
      </c>
      <c r="B12509" t="s">
        <v>37484</v>
      </c>
      <c r="C12509" t="s">
        <v>37484</v>
      </c>
      <c r="D12509" t="str">
        <f>HYPERLINK("https://zfin.org/ZDB-GENE-030616-450")</f>
        <v>https://zfin.org/ZDB-GENE-030616-450</v>
      </c>
      <c r="E12509" t="s">
        <v>37485</v>
      </c>
    </row>
    <row r="12510" spans="1:5" x14ac:dyDescent="0.2">
      <c r="A12510" t="s">
        <v>37486</v>
      </c>
      <c r="B12510" t="s">
        <v>37487</v>
      </c>
      <c r="C12510" t="s">
        <v>37487</v>
      </c>
      <c r="D12510" t="str">
        <f>HYPERLINK("https://zfin.org/ZDB-GENE-030131-8092")</f>
        <v>https://zfin.org/ZDB-GENE-030131-8092</v>
      </c>
      <c r="E12510" t="s">
        <v>37488</v>
      </c>
    </row>
    <row r="12511" spans="1:5" x14ac:dyDescent="0.2">
      <c r="A12511" t="s">
        <v>37489</v>
      </c>
      <c r="B12511" t="s">
        <v>37490</v>
      </c>
      <c r="C12511" t="s">
        <v>37490</v>
      </c>
      <c r="D12511" t="str">
        <f>HYPERLINK("https://zfin.org/ZDB-GENE-030131-5428")</f>
        <v>https://zfin.org/ZDB-GENE-030131-5428</v>
      </c>
      <c r="E12511" t="s">
        <v>37491</v>
      </c>
    </row>
    <row r="12512" spans="1:5" x14ac:dyDescent="0.2">
      <c r="A12512" t="s">
        <v>37492</v>
      </c>
      <c r="B12512" t="s">
        <v>37493</v>
      </c>
      <c r="C12512" t="s">
        <v>37493</v>
      </c>
      <c r="D12512" t="str">
        <f>HYPERLINK("https://zfin.org/ZDB-GENE-050417-288")</f>
        <v>https://zfin.org/ZDB-GENE-050417-288</v>
      </c>
      <c r="E12512" t="s">
        <v>37494</v>
      </c>
    </row>
    <row r="12513" spans="1:5" x14ac:dyDescent="0.2">
      <c r="A12513" t="s">
        <v>37495</v>
      </c>
      <c r="B12513" t="s">
        <v>37496</v>
      </c>
      <c r="C12513" t="s">
        <v>37496</v>
      </c>
      <c r="D12513" t="str">
        <f>HYPERLINK("https://zfin.org/ZDB-GENE-081107-9")</f>
        <v>https://zfin.org/ZDB-GENE-081107-9</v>
      </c>
      <c r="E12513" t="s">
        <v>37497</v>
      </c>
    </row>
    <row r="12514" spans="1:5" x14ac:dyDescent="0.2">
      <c r="A12514" t="s">
        <v>37498</v>
      </c>
      <c r="B12514" t="s">
        <v>37499</v>
      </c>
      <c r="C12514" t="s">
        <v>37499</v>
      </c>
      <c r="D12514" t="str">
        <f>HYPERLINK("https://zfin.org/ZDB-GENE-040426-2702")</f>
        <v>https://zfin.org/ZDB-GENE-040426-2702</v>
      </c>
      <c r="E12514" t="s">
        <v>37500</v>
      </c>
    </row>
    <row r="12515" spans="1:5" x14ac:dyDescent="0.2">
      <c r="A12515" t="s">
        <v>37501</v>
      </c>
      <c r="B12515" t="s">
        <v>37502</v>
      </c>
      <c r="C12515" t="s">
        <v>37502</v>
      </c>
      <c r="D12515" t="str">
        <f>HYPERLINK("https://zfin.org/ZDB-GENE-091204-64")</f>
        <v>https://zfin.org/ZDB-GENE-091204-64</v>
      </c>
      <c r="E12515" t="s">
        <v>37503</v>
      </c>
    </row>
    <row r="12516" spans="1:5" x14ac:dyDescent="0.2">
      <c r="A12516" t="s">
        <v>37504</v>
      </c>
      <c r="B12516" t="s">
        <v>37505</v>
      </c>
      <c r="C12516" t="s">
        <v>37505</v>
      </c>
      <c r="D12516" t="str">
        <f>HYPERLINK("https://zfin.org/ZDB-GENE-060503-479")</f>
        <v>https://zfin.org/ZDB-GENE-060503-479</v>
      </c>
      <c r="E12516" t="s">
        <v>37506</v>
      </c>
    </row>
    <row r="12517" spans="1:5" x14ac:dyDescent="0.2">
      <c r="A12517" t="s">
        <v>37507</v>
      </c>
      <c r="B12517" t="s">
        <v>37508</v>
      </c>
      <c r="C12517" t="s">
        <v>37508</v>
      </c>
      <c r="D12517" t="str">
        <f>HYPERLINK("https://zfin.org/ZDB-GENE-050417-328")</f>
        <v>https://zfin.org/ZDB-GENE-050417-328</v>
      </c>
      <c r="E12517" t="s">
        <v>37509</v>
      </c>
    </row>
    <row r="12518" spans="1:5" x14ac:dyDescent="0.2">
      <c r="A12518" t="s">
        <v>37510</v>
      </c>
      <c r="B12518" t="s">
        <v>37511</v>
      </c>
      <c r="C12518" t="s">
        <v>37511</v>
      </c>
      <c r="D12518" t="str">
        <f>HYPERLINK("https://zfin.org/ZDB-GENE-050208-777")</f>
        <v>https://zfin.org/ZDB-GENE-050208-777</v>
      </c>
      <c r="E12518" t="s">
        <v>37512</v>
      </c>
    </row>
    <row r="12519" spans="1:5" x14ac:dyDescent="0.2">
      <c r="A12519" t="s">
        <v>37513</v>
      </c>
      <c r="B12519" t="s">
        <v>37514</v>
      </c>
      <c r="C12519" t="s">
        <v>37514</v>
      </c>
      <c r="D12519" t="str">
        <f>HYPERLINK("https://zfin.org/ZDB-GENE-071024-2")</f>
        <v>https://zfin.org/ZDB-GENE-071024-2</v>
      </c>
      <c r="E12519" t="s">
        <v>37515</v>
      </c>
    </row>
    <row r="12520" spans="1:5" x14ac:dyDescent="0.2">
      <c r="A12520" t="s">
        <v>37516</v>
      </c>
      <c r="B12520" t="s">
        <v>37517</v>
      </c>
      <c r="C12520" t="s">
        <v>37517</v>
      </c>
      <c r="D12520" t="str">
        <f>HYPERLINK("https://zfin.org/ZDB-GENE-990415-81")</f>
        <v>https://zfin.org/ZDB-GENE-990415-81</v>
      </c>
      <c r="E12520" t="s">
        <v>37518</v>
      </c>
    </row>
    <row r="12521" spans="1:5" x14ac:dyDescent="0.2">
      <c r="A12521" t="s">
        <v>37519</v>
      </c>
      <c r="B12521" t="s">
        <v>37520</v>
      </c>
      <c r="C12521" t="s">
        <v>37520</v>
      </c>
      <c r="D12521" t="str">
        <f>HYPERLINK("https://zfin.org/ZDB-GENE-090313-116")</f>
        <v>https://zfin.org/ZDB-GENE-090313-116</v>
      </c>
      <c r="E12521" t="s">
        <v>37521</v>
      </c>
    </row>
    <row r="12522" spans="1:5" x14ac:dyDescent="0.2">
      <c r="A12522" t="s">
        <v>37522</v>
      </c>
      <c r="B12522" t="s">
        <v>37523</v>
      </c>
      <c r="C12522" t="s">
        <v>37523</v>
      </c>
      <c r="D12522" t="str">
        <f>HYPERLINK("https://zfin.org/ZDB-GENE-070912-347")</f>
        <v>https://zfin.org/ZDB-GENE-070912-347</v>
      </c>
      <c r="E12522" t="s">
        <v>37524</v>
      </c>
    </row>
    <row r="12523" spans="1:5" x14ac:dyDescent="0.2">
      <c r="A12523" t="s">
        <v>37525</v>
      </c>
      <c r="B12523" t="s">
        <v>37526</v>
      </c>
      <c r="C12523" t="s">
        <v>37526</v>
      </c>
      <c r="D12523" t="str">
        <f>HYPERLINK("https://zfin.org/ZDB-GENE-141216-203")</f>
        <v>https://zfin.org/ZDB-GENE-141216-203</v>
      </c>
      <c r="E12523" t="s">
        <v>37527</v>
      </c>
    </row>
    <row r="12524" spans="1:5" x14ac:dyDescent="0.2">
      <c r="A12524" t="s">
        <v>37528</v>
      </c>
      <c r="B12524" t="s">
        <v>37529</v>
      </c>
      <c r="C12524" t="s">
        <v>37529</v>
      </c>
      <c r="D12524" t="str">
        <f>HYPERLINK("https://zfin.org/ZDB-GENE-030131-8003")</f>
        <v>https://zfin.org/ZDB-GENE-030131-8003</v>
      </c>
      <c r="E12524" t="s">
        <v>37530</v>
      </c>
    </row>
    <row r="12525" spans="1:5" x14ac:dyDescent="0.2">
      <c r="A12525" t="s">
        <v>37531</v>
      </c>
      <c r="B12525" t="s">
        <v>37532</v>
      </c>
      <c r="C12525" t="s">
        <v>37532</v>
      </c>
      <c r="D12525" t="str">
        <f>HYPERLINK("https://zfin.org/ZDB-GENE-050913-36")</f>
        <v>https://zfin.org/ZDB-GENE-050913-36</v>
      </c>
      <c r="E12525" t="s">
        <v>37533</v>
      </c>
    </row>
    <row r="12526" spans="1:5" x14ac:dyDescent="0.2">
      <c r="A12526" t="s">
        <v>37534</v>
      </c>
      <c r="B12526" t="s">
        <v>37535</v>
      </c>
      <c r="C12526" t="s">
        <v>37535</v>
      </c>
      <c r="D12526" t="str">
        <f>HYPERLINK("https://zfin.org/ZDB-GENE-070912-432")</f>
        <v>https://zfin.org/ZDB-GENE-070912-432</v>
      </c>
      <c r="E12526" t="s">
        <v>37536</v>
      </c>
    </row>
    <row r="12527" spans="1:5" x14ac:dyDescent="0.2">
      <c r="A12527" t="s">
        <v>37537</v>
      </c>
      <c r="B12527" t="s">
        <v>37538</v>
      </c>
      <c r="C12527" t="s">
        <v>37538</v>
      </c>
      <c r="D12527" t="str">
        <f>HYPERLINK("https://zfin.org/ZDB-GENE-041001-199")</f>
        <v>https://zfin.org/ZDB-GENE-041001-199</v>
      </c>
      <c r="E12527" t="s">
        <v>37539</v>
      </c>
    </row>
    <row r="12528" spans="1:5" x14ac:dyDescent="0.2">
      <c r="A12528" t="s">
        <v>37540</v>
      </c>
      <c r="B12528" t="s">
        <v>37541</v>
      </c>
      <c r="C12528" t="s">
        <v>37541</v>
      </c>
      <c r="D12528" t="str">
        <f>HYPERLINK("https://zfin.org/ZDB-GENE-070822-9")</f>
        <v>https://zfin.org/ZDB-GENE-070822-9</v>
      </c>
      <c r="E12528" t="s">
        <v>37542</v>
      </c>
    </row>
    <row r="12529" spans="1:5" x14ac:dyDescent="0.2">
      <c r="A12529" t="s">
        <v>37543</v>
      </c>
      <c r="B12529" t="s">
        <v>37544</v>
      </c>
      <c r="C12529" t="s">
        <v>37544</v>
      </c>
      <c r="D12529" t="str">
        <f>HYPERLINK("https://zfin.org/ZDB-GENE-070705-213")</f>
        <v>https://zfin.org/ZDB-GENE-070705-213</v>
      </c>
      <c r="E12529" t="s">
        <v>37545</v>
      </c>
    </row>
    <row r="12530" spans="1:5" x14ac:dyDescent="0.2">
      <c r="A12530" t="s">
        <v>37546</v>
      </c>
      <c r="B12530" t="s">
        <v>37547</v>
      </c>
      <c r="C12530" t="s">
        <v>37547</v>
      </c>
      <c r="D12530" t="str">
        <f>HYPERLINK("https://zfin.org/ZDB-GENE-040426-1822")</f>
        <v>https://zfin.org/ZDB-GENE-040426-1822</v>
      </c>
      <c r="E12530" t="s">
        <v>37548</v>
      </c>
    </row>
    <row r="12531" spans="1:5" x14ac:dyDescent="0.2">
      <c r="A12531" t="s">
        <v>37549</v>
      </c>
      <c r="B12531" t="s">
        <v>37550</v>
      </c>
      <c r="C12531" t="s">
        <v>37550</v>
      </c>
      <c r="D12531" t="str">
        <f>HYPERLINK("https://zfin.org/ZDB-GENE-070720-16")</f>
        <v>https://zfin.org/ZDB-GENE-070720-16</v>
      </c>
      <c r="E12531" t="s">
        <v>37551</v>
      </c>
    </row>
    <row r="12532" spans="1:5" x14ac:dyDescent="0.2">
      <c r="A12532" t="s">
        <v>37552</v>
      </c>
      <c r="B12532" t="s">
        <v>37553</v>
      </c>
      <c r="C12532" t="s">
        <v>37553</v>
      </c>
      <c r="D12532" t="str">
        <f>HYPERLINK("https://zfin.org/ZDB-GENE-070705-262")</f>
        <v>https://zfin.org/ZDB-GENE-070705-262</v>
      </c>
      <c r="E12532" t="s">
        <v>37554</v>
      </c>
    </row>
    <row r="12533" spans="1:5" x14ac:dyDescent="0.2">
      <c r="A12533" t="s">
        <v>37555</v>
      </c>
      <c r="B12533" t="s">
        <v>37556</v>
      </c>
      <c r="C12533" t="s">
        <v>37556</v>
      </c>
      <c r="D12533" t="str">
        <f>HYPERLINK("https://zfin.org/ZDB-GENE-060825-121")</f>
        <v>https://zfin.org/ZDB-GENE-060825-121</v>
      </c>
      <c r="E12533" t="s">
        <v>37557</v>
      </c>
    </row>
    <row r="12534" spans="1:5" x14ac:dyDescent="0.2">
      <c r="A12534" t="s">
        <v>37558</v>
      </c>
      <c r="B12534" t="s">
        <v>37559</v>
      </c>
      <c r="C12534" t="s">
        <v>37559</v>
      </c>
      <c r="D12534" t="str">
        <f>HYPERLINK("https://zfin.org/ZDB-GENE-090311-50")</f>
        <v>https://zfin.org/ZDB-GENE-090311-50</v>
      </c>
      <c r="E12534" t="s">
        <v>37560</v>
      </c>
    </row>
    <row r="12535" spans="1:5" x14ac:dyDescent="0.2">
      <c r="A12535" t="s">
        <v>37561</v>
      </c>
      <c r="B12535" t="s">
        <v>37562</v>
      </c>
      <c r="C12535" t="s">
        <v>37562</v>
      </c>
      <c r="D12535" t="str">
        <f>HYPERLINK("https://zfin.org/ZDB-GENE-030131-9122")</f>
        <v>https://zfin.org/ZDB-GENE-030131-9122</v>
      </c>
      <c r="E12535" t="s">
        <v>37563</v>
      </c>
    </row>
    <row r="12536" spans="1:5" x14ac:dyDescent="0.2">
      <c r="A12536" t="s">
        <v>37564</v>
      </c>
      <c r="B12536" t="s">
        <v>37565</v>
      </c>
      <c r="C12536" t="s">
        <v>37565</v>
      </c>
      <c r="D12536" t="str">
        <f>HYPERLINK("https://zfin.org/ZDB-GENE-091116-95")</f>
        <v>https://zfin.org/ZDB-GENE-091116-95</v>
      </c>
      <c r="E12536" t="s">
        <v>37566</v>
      </c>
    </row>
    <row r="12537" spans="1:5" x14ac:dyDescent="0.2">
      <c r="A12537" t="s">
        <v>37567</v>
      </c>
      <c r="B12537" t="s">
        <v>37568</v>
      </c>
      <c r="C12537" t="s">
        <v>37568</v>
      </c>
      <c r="D12537" t="str">
        <f>HYPERLINK("https://zfin.org/ZDB-GENE-070928-41")</f>
        <v>https://zfin.org/ZDB-GENE-070928-41</v>
      </c>
      <c r="E12537" t="s">
        <v>37569</v>
      </c>
    </row>
    <row r="12538" spans="1:5" x14ac:dyDescent="0.2">
      <c r="A12538" t="s">
        <v>37570</v>
      </c>
      <c r="B12538" t="s">
        <v>37571</v>
      </c>
      <c r="C12538" t="s">
        <v>37571</v>
      </c>
      <c r="D12538" t="str">
        <f>HYPERLINK("https://zfin.org/ZDB-GENE-131127-365")</f>
        <v>https://zfin.org/ZDB-GENE-131127-365</v>
      </c>
      <c r="E12538" t="s">
        <v>37572</v>
      </c>
    </row>
    <row r="12539" spans="1:5" x14ac:dyDescent="0.2">
      <c r="A12539" t="s">
        <v>37573</v>
      </c>
      <c r="B12539" t="s">
        <v>37574</v>
      </c>
      <c r="C12539" t="s">
        <v>37574</v>
      </c>
      <c r="D12539" t="str">
        <f>HYPERLINK("https://zfin.org/ZDB-GENE-030131-4944")</f>
        <v>https://zfin.org/ZDB-GENE-030131-4944</v>
      </c>
      <c r="E12539" t="s">
        <v>37575</v>
      </c>
    </row>
    <row r="12540" spans="1:5" x14ac:dyDescent="0.2">
      <c r="A12540" t="s">
        <v>37576</v>
      </c>
      <c r="B12540" t="s">
        <v>37577</v>
      </c>
      <c r="C12540" t="s">
        <v>37577</v>
      </c>
      <c r="D12540" t="str">
        <f>HYPERLINK("https://zfin.org/ZDB-GENE-091118-55")</f>
        <v>https://zfin.org/ZDB-GENE-091118-55</v>
      </c>
      <c r="E12540" t="s">
        <v>37578</v>
      </c>
    </row>
    <row r="12541" spans="1:5" x14ac:dyDescent="0.2">
      <c r="A12541" t="s">
        <v>37579</v>
      </c>
      <c r="B12541" t="s">
        <v>37580</v>
      </c>
      <c r="C12541" t="s">
        <v>37580</v>
      </c>
      <c r="D12541" t="str">
        <f>HYPERLINK("https://zfin.org/ZDB-GENE-041121-18")</f>
        <v>https://zfin.org/ZDB-GENE-041121-18</v>
      </c>
      <c r="E12541" t="s">
        <v>37581</v>
      </c>
    </row>
    <row r="12542" spans="1:5" x14ac:dyDescent="0.2">
      <c r="A12542" t="s">
        <v>37582</v>
      </c>
      <c r="B12542" t="s">
        <v>37583</v>
      </c>
      <c r="C12542" t="s">
        <v>37583</v>
      </c>
      <c r="D12542" t="str">
        <f>HYPERLINK("https://zfin.org/ZDB-GENE-121023-2")</f>
        <v>https://zfin.org/ZDB-GENE-121023-2</v>
      </c>
      <c r="E12542" t="s">
        <v>37584</v>
      </c>
    </row>
    <row r="12543" spans="1:5" x14ac:dyDescent="0.2">
      <c r="A12543" t="s">
        <v>37585</v>
      </c>
      <c r="B12543" t="s">
        <v>37586</v>
      </c>
      <c r="C12543" t="s">
        <v>37586</v>
      </c>
      <c r="D12543" t="str">
        <f>HYPERLINK("https://zfin.org/ZDB-GENE-040704-44")</f>
        <v>https://zfin.org/ZDB-GENE-040704-44</v>
      </c>
      <c r="E12543" t="s">
        <v>37587</v>
      </c>
    </row>
    <row r="12544" spans="1:5" x14ac:dyDescent="0.2">
      <c r="A12544" t="s">
        <v>37588</v>
      </c>
      <c r="B12544" t="s">
        <v>37589</v>
      </c>
      <c r="C12544" t="s">
        <v>37589</v>
      </c>
      <c r="D12544" t="str">
        <f>HYPERLINK("https://zfin.org/ZDB-GENE-980526-123")</f>
        <v>https://zfin.org/ZDB-GENE-980526-123</v>
      </c>
      <c r="E12544" t="s">
        <v>37590</v>
      </c>
    </row>
    <row r="12545" spans="1:5" x14ac:dyDescent="0.2">
      <c r="A12545" t="s">
        <v>37591</v>
      </c>
      <c r="B12545" t="s">
        <v>37592</v>
      </c>
      <c r="C12545" t="s">
        <v>37592</v>
      </c>
      <c r="D12545" t="str">
        <f>HYPERLINK("https://zfin.org/ZDB-GENE-080303-14")</f>
        <v>https://zfin.org/ZDB-GENE-080303-14</v>
      </c>
      <c r="E12545" t="s">
        <v>37593</v>
      </c>
    </row>
    <row r="12546" spans="1:5" x14ac:dyDescent="0.2">
      <c r="A12546" t="s">
        <v>37594</v>
      </c>
      <c r="B12546" t="s">
        <v>37595</v>
      </c>
      <c r="C12546" t="s">
        <v>37595</v>
      </c>
      <c r="D12546" t="str">
        <f>HYPERLINK("https://zfin.org/ZDB-GENE-040426-19")</f>
        <v>https://zfin.org/ZDB-GENE-040426-19</v>
      </c>
      <c r="E12546" t="s">
        <v>37596</v>
      </c>
    </row>
    <row r="12547" spans="1:5" x14ac:dyDescent="0.2">
      <c r="A12547" t="s">
        <v>37597</v>
      </c>
      <c r="B12547" t="s">
        <v>37598</v>
      </c>
      <c r="C12547" t="s">
        <v>37598</v>
      </c>
      <c r="D12547" t="str">
        <f>HYPERLINK("https://zfin.org/ZDB-GENE-130603-44")</f>
        <v>https://zfin.org/ZDB-GENE-130603-44</v>
      </c>
      <c r="E12547" t="s">
        <v>37599</v>
      </c>
    </row>
    <row r="12548" spans="1:5" x14ac:dyDescent="0.2">
      <c r="A12548" t="s">
        <v>37600</v>
      </c>
      <c r="B12548" t="s">
        <v>37601</v>
      </c>
      <c r="C12548" t="s">
        <v>37601</v>
      </c>
      <c r="D12548" t="str">
        <f>HYPERLINK("https://zfin.org/ZDB-GENE-110714-1")</f>
        <v>https://zfin.org/ZDB-GENE-110714-1</v>
      </c>
      <c r="E12548" t="s">
        <v>37602</v>
      </c>
    </row>
    <row r="12549" spans="1:5" x14ac:dyDescent="0.2">
      <c r="A12549" t="s">
        <v>37603</v>
      </c>
      <c r="B12549" t="s">
        <v>37604</v>
      </c>
      <c r="C12549" t="s">
        <v>37604</v>
      </c>
      <c r="D12549" t="str">
        <f>HYPERLINK("https://zfin.org/ZDB-GENE-050417-413")</f>
        <v>https://zfin.org/ZDB-GENE-050417-413</v>
      </c>
      <c r="E12549" t="s">
        <v>37605</v>
      </c>
    </row>
    <row r="12550" spans="1:5" x14ac:dyDescent="0.2">
      <c r="A12550" t="s">
        <v>37606</v>
      </c>
      <c r="B12550" t="s">
        <v>37607</v>
      </c>
      <c r="C12550" t="s">
        <v>37607</v>
      </c>
      <c r="D12550" t="str">
        <f>HYPERLINK("https://zfin.org/ZDB-GENE-030912-3")</f>
        <v>https://zfin.org/ZDB-GENE-030912-3</v>
      </c>
      <c r="E12550" t="s">
        <v>37608</v>
      </c>
    </row>
    <row r="12551" spans="1:5" x14ac:dyDescent="0.2">
      <c r="A12551" t="s">
        <v>37609</v>
      </c>
      <c r="B12551" t="s">
        <v>37610</v>
      </c>
      <c r="C12551" t="s">
        <v>37610</v>
      </c>
      <c r="D12551" t="str">
        <f>HYPERLINK("https://zfin.org/ZDB-GENE-041010-197")</f>
        <v>https://zfin.org/ZDB-GENE-041010-197</v>
      </c>
      <c r="E12551" t="s">
        <v>37611</v>
      </c>
    </row>
    <row r="12552" spans="1:5" x14ac:dyDescent="0.2">
      <c r="A12552" t="s">
        <v>37612</v>
      </c>
      <c r="B12552" t="s">
        <v>37613</v>
      </c>
      <c r="C12552" t="s">
        <v>37613</v>
      </c>
      <c r="D12552" t="str">
        <f>HYPERLINK("https://zfin.org/ZDB-GENE-100922-36")</f>
        <v>https://zfin.org/ZDB-GENE-100922-36</v>
      </c>
      <c r="E12552" t="s">
        <v>37614</v>
      </c>
    </row>
    <row r="12553" spans="1:5" x14ac:dyDescent="0.2">
      <c r="A12553" t="s">
        <v>37615</v>
      </c>
      <c r="B12553" t="s">
        <v>37616</v>
      </c>
      <c r="C12553" t="s">
        <v>37616</v>
      </c>
      <c r="D12553" t="str">
        <f>HYPERLINK("https://zfin.org/ZDB-GENE-041001-193")</f>
        <v>https://zfin.org/ZDB-GENE-041001-193</v>
      </c>
      <c r="E12553" t="s">
        <v>37617</v>
      </c>
    </row>
    <row r="12554" spans="1:5" x14ac:dyDescent="0.2">
      <c r="A12554" t="s">
        <v>37618</v>
      </c>
      <c r="B12554" t="s">
        <v>37619</v>
      </c>
      <c r="C12554" t="s">
        <v>37619</v>
      </c>
      <c r="D12554" t="str">
        <f>HYPERLINK("https://zfin.org/ZDB-GENE-060503-363")</f>
        <v>https://zfin.org/ZDB-GENE-060503-363</v>
      </c>
      <c r="E12554" t="s">
        <v>37620</v>
      </c>
    </row>
    <row r="12555" spans="1:5" x14ac:dyDescent="0.2">
      <c r="A12555" t="s">
        <v>37621</v>
      </c>
      <c r="B12555" t="s">
        <v>37622</v>
      </c>
      <c r="C12555" t="s">
        <v>37622</v>
      </c>
      <c r="D12555" t="str">
        <f>HYPERLINK("https://zfin.org/ZDB-GENE-060616-375")</f>
        <v>https://zfin.org/ZDB-GENE-060616-375</v>
      </c>
      <c r="E12555" t="s">
        <v>37623</v>
      </c>
    </row>
    <row r="12556" spans="1:5" x14ac:dyDescent="0.2">
      <c r="A12556" t="s">
        <v>37624</v>
      </c>
      <c r="B12556" t="s">
        <v>37625</v>
      </c>
      <c r="C12556" t="s">
        <v>37625</v>
      </c>
      <c r="D12556" t="str">
        <f>HYPERLINK("https://zfin.org/ZDB-GENE-041114-87")</f>
        <v>https://zfin.org/ZDB-GENE-041114-87</v>
      </c>
      <c r="E12556" t="s">
        <v>37626</v>
      </c>
    </row>
    <row r="12557" spans="1:5" x14ac:dyDescent="0.2">
      <c r="A12557" t="s">
        <v>37627</v>
      </c>
      <c r="B12557" t="s">
        <v>37628</v>
      </c>
      <c r="C12557" t="s">
        <v>37628</v>
      </c>
      <c r="D12557" t="str">
        <f>HYPERLINK("https://zfin.org/ZDB-GENE-030131-3146")</f>
        <v>https://zfin.org/ZDB-GENE-030131-3146</v>
      </c>
      <c r="E12557" t="s">
        <v>37629</v>
      </c>
    </row>
    <row r="12558" spans="1:5" x14ac:dyDescent="0.2">
      <c r="A12558" t="s">
        <v>37630</v>
      </c>
      <c r="B12558" t="s">
        <v>37631</v>
      </c>
      <c r="C12558" t="s">
        <v>37631</v>
      </c>
      <c r="D12558" t="str">
        <f>HYPERLINK("https://zfin.org/ZDB-GENE-040704-21")</f>
        <v>https://zfin.org/ZDB-GENE-040704-21</v>
      </c>
      <c r="E12558" t="s">
        <v>37632</v>
      </c>
    </row>
    <row r="12559" spans="1:5" x14ac:dyDescent="0.2">
      <c r="A12559" t="s">
        <v>37633</v>
      </c>
      <c r="B12559" t="s">
        <v>37634</v>
      </c>
      <c r="C12559" t="s">
        <v>37634</v>
      </c>
      <c r="D12559" t="str">
        <f>HYPERLINK("https://zfin.org/ZDB-GENE-100922-42")</f>
        <v>https://zfin.org/ZDB-GENE-100922-42</v>
      </c>
      <c r="E12559" t="s">
        <v>37635</v>
      </c>
    </row>
    <row r="12560" spans="1:5" x14ac:dyDescent="0.2">
      <c r="A12560" t="s">
        <v>37636</v>
      </c>
      <c r="B12560" t="s">
        <v>37637</v>
      </c>
      <c r="C12560" t="s">
        <v>37637</v>
      </c>
      <c r="D12560" t="str">
        <f>HYPERLINK("https://zfin.org/ZDB-GENE-030131-41")</f>
        <v>https://zfin.org/ZDB-GENE-030131-41</v>
      </c>
      <c r="E12560" t="s">
        <v>37638</v>
      </c>
    </row>
    <row r="12561" spans="1:5" x14ac:dyDescent="0.2">
      <c r="A12561" t="s">
        <v>37639</v>
      </c>
      <c r="B12561" t="s">
        <v>37640</v>
      </c>
      <c r="C12561" t="s">
        <v>37640</v>
      </c>
      <c r="D12561" t="str">
        <f>HYPERLINK("https://zfin.org/ZDB-GENE-040426-1720")</f>
        <v>https://zfin.org/ZDB-GENE-040426-1720</v>
      </c>
      <c r="E12561" t="s">
        <v>37641</v>
      </c>
    </row>
    <row r="12562" spans="1:5" x14ac:dyDescent="0.2">
      <c r="A12562" t="s">
        <v>37642</v>
      </c>
      <c r="B12562" t="s">
        <v>37643</v>
      </c>
      <c r="C12562" t="s">
        <v>37643</v>
      </c>
      <c r="D12562" t="str">
        <f>HYPERLINK("https://zfin.org/ZDB-GENE-070319-1")</f>
        <v>https://zfin.org/ZDB-GENE-070319-1</v>
      </c>
      <c r="E12562" t="s">
        <v>37644</v>
      </c>
    </row>
    <row r="12563" spans="1:5" x14ac:dyDescent="0.2">
      <c r="A12563" t="s">
        <v>37645</v>
      </c>
      <c r="B12563" t="s">
        <v>37646</v>
      </c>
      <c r="C12563" t="s">
        <v>37646</v>
      </c>
      <c r="D12563" t="str">
        <f>HYPERLINK("https://zfin.org/ZDB-GENE-110411-267")</f>
        <v>https://zfin.org/ZDB-GENE-110411-267</v>
      </c>
      <c r="E12563" t="s">
        <v>37647</v>
      </c>
    </row>
    <row r="12564" spans="1:5" x14ac:dyDescent="0.2">
      <c r="A12564" t="s">
        <v>37648</v>
      </c>
      <c r="B12564" t="s">
        <v>37649</v>
      </c>
      <c r="C12564" t="s">
        <v>37649</v>
      </c>
      <c r="D12564" t="str">
        <f>HYPERLINK("https://zfin.org/ZDB-GENE-030131-2459")</f>
        <v>https://zfin.org/ZDB-GENE-030131-2459</v>
      </c>
      <c r="E12564" t="s">
        <v>37650</v>
      </c>
    </row>
    <row r="12565" spans="1:5" x14ac:dyDescent="0.2">
      <c r="A12565" t="s">
        <v>37651</v>
      </c>
      <c r="B12565" t="s">
        <v>37652</v>
      </c>
      <c r="C12565" t="s">
        <v>37652</v>
      </c>
      <c r="D12565" t="str">
        <f>HYPERLINK("https://zfin.org/ZDB-GENE-030116-3")</f>
        <v>https://zfin.org/ZDB-GENE-030116-3</v>
      </c>
      <c r="E12565" t="s">
        <v>37653</v>
      </c>
    </row>
    <row r="12566" spans="1:5" x14ac:dyDescent="0.2">
      <c r="A12566" t="s">
        <v>37654</v>
      </c>
      <c r="B12566" t="s">
        <v>37655</v>
      </c>
      <c r="C12566" t="s">
        <v>37655</v>
      </c>
      <c r="D12566" t="str">
        <f>HYPERLINK("https://zfin.org/ZDB-GENE-030131-2438")</f>
        <v>https://zfin.org/ZDB-GENE-030131-2438</v>
      </c>
      <c r="E12566" t="s">
        <v>37656</v>
      </c>
    </row>
    <row r="12567" spans="1:5" x14ac:dyDescent="0.2">
      <c r="A12567" t="s">
        <v>37657</v>
      </c>
      <c r="B12567" t="s">
        <v>37658</v>
      </c>
      <c r="C12567" t="s">
        <v>37658</v>
      </c>
      <c r="D12567" t="str">
        <f>HYPERLINK("https://zfin.org/ZDB-GENE-040426-1529")</f>
        <v>https://zfin.org/ZDB-GENE-040426-1529</v>
      </c>
      <c r="E12567" t="s">
        <v>37659</v>
      </c>
    </row>
    <row r="12568" spans="1:5" x14ac:dyDescent="0.2">
      <c r="A12568" t="s">
        <v>37660</v>
      </c>
      <c r="B12568" t="s">
        <v>37661</v>
      </c>
      <c r="C12568" t="s">
        <v>37661</v>
      </c>
      <c r="D12568" t="str">
        <f>HYPERLINK("https://zfin.org/ZDB-GENE-100922-67")</f>
        <v>https://zfin.org/ZDB-GENE-100922-67</v>
      </c>
      <c r="E12568" t="s">
        <v>37662</v>
      </c>
    </row>
    <row r="12569" spans="1:5" x14ac:dyDescent="0.2">
      <c r="A12569" t="s">
        <v>37663</v>
      </c>
      <c r="B12569" t="s">
        <v>37664</v>
      </c>
      <c r="C12569" t="s">
        <v>37664</v>
      </c>
      <c r="D12569" t="str">
        <f>HYPERLINK("https://zfin.org/ZDB-GENE-040426-2923")</f>
        <v>https://zfin.org/ZDB-GENE-040426-2923</v>
      </c>
      <c r="E12569" t="s">
        <v>37665</v>
      </c>
    </row>
    <row r="12570" spans="1:5" x14ac:dyDescent="0.2">
      <c r="A12570" t="s">
        <v>37666</v>
      </c>
      <c r="B12570" t="s">
        <v>37667</v>
      </c>
      <c r="C12570" t="s">
        <v>37667</v>
      </c>
      <c r="D12570" t="str">
        <f>HYPERLINK("https://zfin.org/ZDB-GENE-060503-587")</f>
        <v>https://zfin.org/ZDB-GENE-060503-587</v>
      </c>
      <c r="E12570" t="s">
        <v>37668</v>
      </c>
    </row>
    <row r="12571" spans="1:5" x14ac:dyDescent="0.2">
      <c r="A12571" t="s">
        <v>37669</v>
      </c>
      <c r="B12571" t="s">
        <v>37670</v>
      </c>
      <c r="C12571" t="s">
        <v>37670</v>
      </c>
      <c r="D12571" t="str">
        <f>HYPERLINK("https://zfin.org/ZDB-GENE-090224-2")</f>
        <v>https://zfin.org/ZDB-GENE-090224-2</v>
      </c>
      <c r="E12571" t="s">
        <v>37671</v>
      </c>
    </row>
    <row r="12572" spans="1:5" x14ac:dyDescent="0.2">
      <c r="A12572" t="s">
        <v>37672</v>
      </c>
      <c r="B12572" t="s">
        <v>31907</v>
      </c>
      <c r="C12572" t="s">
        <v>37673</v>
      </c>
      <c r="D12572" t="str">
        <f>HYPERLINK("https://zfin.org/ZDB-GENE-060503-699")</f>
        <v>https://zfin.org/ZDB-GENE-060503-699</v>
      </c>
      <c r="E12572" t="s">
        <v>37674</v>
      </c>
    </row>
    <row r="12573" spans="1:5" x14ac:dyDescent="0.2">
      <c r="A12573" t="s">
        <v>37675</v>
      </c>
      <c r="B12573" t="s">
        <v>37676</v>
      </c>
      <c r="C12573" t="s">
        <v>37676</v>
      </c>
      <c r="D12573" t="str">
        <f>HYPERLINK("https://zfin.org/ZDB-GENE-090311-11")</f>
        <v>https://zfin.org/ZDB-GENE-090311-11</v>
      </c>
      <c r="E12573" t="s">
        <v>37677</v>
      </c>
    </row>
    <row r="12574" spans="1:5" x14ac:dyDescent="0.2">
      <c r="A12574" t="s">
        <v>37678</v>
      </c>
      <c r="B12574" t="s">
        <v>37679</v>
      </c>
      <c r="C12574" t="s">
        <v>37679</v>
      </c>
      <c r="D12574" t="str">
        <f>HYPERLINK("https://zfin.org/ZDB-GENE-131017-2")</f>
        <v>https://zfin.org/ZDB-GENE-131017-2</v>
      </c>
      <c r="E12574" t="s">
        <v>37680</v>
      </c>
    </row>
    <row r="12575" spans="1:5" x14ac:dyDescent="0.2">
      <c r="A12575" t="s">
        <v>37681</v>
      </c>
      <c r="B12575" t="s">
        <v>37682</v>
      </c>
      <c r="C12575" t="s">
        <v>37682</v>
      </c>
      <c r="D12575" t="str">
        <f>HYPERLINK("https://zfin.org/ZDB-GENE-030131-3742")</f>
        <v>https://zfin.org/ZDB-GENE-030131-3742</v>
      </c>
      <c r="E12575" t="s">
        <v>37683</v>
      </c>
    </row>
    <row r="12576" spans="1:5" x14ac:dyDescent="0.2">
      <c r="A12576" t="s">
        <v>37684</v>
      </c>
      <c r="B12576" t="s">
        <v>37685</v>
      </c>
      <c r="C12576" t="s">
        <v>37685</v>
      </c>
      <c r="D12576" t="str">
        <f>HYPERLINK("https://zfin.org/ZDB-GENE-060929-1086")</f>
        <v>https://zfin.org/ZDB-GENE-060929-1086</v>
      </c>
      <c r="E12576" t="s">
        <v>37686</v>
      </c>
    </row>
    <row r="12577" spans="1:5" x14ac:dyDescent="0.2">
      <c r="A12577" t="s">
        <v>37687</v>
      </c>
      <c r="B12577" t="s">
        <v>37688</v>
      </c>
      <c r="C12577" t="s">
        <v>37688</v>
      </c>
      <c r="D12577" t="str">
        <f>HYPERLINK("https://zfin.org/ZDB-GENE-030131-1957")</f>
        <v>https://zfin.org/ZDB-GENE-030131-1957</v>
      </c>
      <c r="E12577" t="s">
        <v>37689</v>
      </c>
    </row>
    <row r="12578" spans="1:5" x14ac:dyDescent="0.2">
      <c r="A12578" t="s">
        <v>37690</v>
      </c>
      <c r="B12578" t="s">
        <v>37691</v>
      </c>
      <c r="C12578" t="s">
        <v>37691</v>
      </c>
      <c r="D12578" t="str">
        <f>HYPERLINK("https://zfin.org/ZDB-GENE-050320-78")</f>
        <v>https://zfin.org/ZDB-GENE-050320-78</v>
      </c>
      <c r="E12578" t="s">
        <v>37692</v>
      </c>
    </row>
    <row r="12579" spans="1:5" x14ac:dyDescent="0.2">
      <c r="A12579" t="s">
        <v>37693</v>
      </c>
      <c r="B12579" t="s">
        <v>37694</v>
      </c>
      <c r="C12579" t="s">
        <v>37694</v>
      </c>
      <c r="D12579" t="str">
        <f>HYPERLINK("https://zfin.org/ZDB-GENE-120215-174")</f>
        <v>https://zfin.org/ZDB-GENE-120215-174</v>
      </c>
      <c r="E12579" t="s">
        <v>37695</v>
      </c>
    </row>
    <row r="12580" spans="1:5" x14ac:dyDescent="0.2">
      <c r="A12580" t="s">
        <v>37696</v>
      </c>
      <c r="B12580" t="s">
        <v>37697</v>
      </c>
      <c r="C12580" t="s">
        <v>37697</v>
      </c>
      <c r="D12580" t="str">
        <f>HYPERLINK("https://zfin.org/ZDB-GENE-061106-3")</f>
        <v>https://zfin.org/ZDB-GENE-061106-3</v>
      </c>
      <c r="E12580" t="s">
        <v>37698</v>
      </c>
    </row>
    <row r="12581" spans="1:5" x14ac:dyDescent="0.2">
      <c r="A12581" t="s">
        <v>37699</v>
      </c>
      <c r="B12581" t="s">
        <v>37700</v>
      </c>
      <c r="C12581" t="s">
        <v>37700</v>
      </c>
      <c r="D12581" t="str">
        <f>HYPERLINK("https://zfin.org/ZDB-GENE-030131-1740")</f>
        <v>https://zfin.org/ZDB-GENE-030131-1740</v>
      </c>
      <c r="E12581" t="s">
        <v>37701</v>
      </c>
    </row>
    <row r="12582" spans="1:5" x14ac:dyDescent="0.2">
      <c r="A12582" t="s">
        <v>37702</v>
      </c>
      <c r="B12582" t="s">
        <v>37703</v>
      </c>
      <c r="C12582" t="s">
        <v>37703</v>
      </c>
      <c r="D12582" t="str">
        <f>HYPERLINK("https://zfin.org/ZDB-GENE-030411-6")</f>
        <v>https://zfin.org/ZDB-GENE-030411-6</v>
      </c>
      <c r="E12582" t="s">
        <v>37704</v>
      </c>
    </row>
    <row r="12583" spans="1:5" x14ac:dyDescent="0.2">
      <c r="A12583" t="s">
        <v>37705</v>
      </c>
      <c r="B12583" t="s">
        <v>37706</v>
      </c>
      <c r="C12583" t="s">
        <v>37706</v>
      </c>
      <c r="D12583" t="str">
        <f>HYPERLINK("https://zfin.org/ZDB-GENE-110303-1")</f>
        <v>https://zfin.org/ZDB-GENE-110303-1</v>
      </c>
      <c r="E12583" t="s">
        <v>37707</v>
      </c>
    </row>
    <row r="12584" spans="1:5" x14ac:dyDescent="0.2">
      <c r="A12584" t="s">
        <v>37708</v>
      </c>
      <c r="B12584" t="s">
        <v>37709</v>
      </c>
      <c r="C12584" t="s">
        <v>37709</v>
      </c>
      <c r="D12584" t="str">
        <f>HYPERLINK("https://zfin.org/ZDB-GENE-030131-5455")</f>
        <v>https://zfin.org/ZDB-GENE-030131-5455</v>
      </c>
      <c r="E12584" t="s">
        <v>37710</v>
      </c>
    </row>
    <row r="12585" spans="1:5" x14ac:dyDescent="0.2">
      <c r="A12585" t="s">
        <v>37711</v>
      </c>
      <c r="B12585" t="s">
        <v>37712</v>
      </c>
      <c r="C12585" t="s">
        <v>37712</v>
      </c>
      <c r="D12585" t="str">
        <f>HYPERLINK("https://zfin.org/ZDB-GENE-100716-3")</f>
        <v>https://zfin.org/ZDB-GENE-100716-3</v>
      </c>
      <c r="E12585" t="s">
        <v>37713</v>
      </c>
    </row>
    <row r="12586" spans="1:5" x14ac:dyDescent="0.2">
      <c r="A12586" t="s">
        <v>37714</v>
      </c>
      <c r="B12586" t="s">
        <v>37715</v>
      </c>
      <c r="C12586" t="s">
        <v>37715</v>
      </c>
      <c r="D12586" t="str">
        <f>HYPERLINK("https://zfin.org/ZDB-GENE-090311-21")</f>
        <v>https://zfin.org/ZDB-GENE-090311-21</v>
      </c>
      <c r="E12586" t="s">
        <v>37716</v>
      </c>
    </row>
    <row r="12587" spans="1:5" x14ac:dyDescent="0.2">
      <c r="A12587" t="s">
        <v>37717</v>
      </c>
      <c r="B12587" t="s">
        <v>37718</v>
      </c>
      <c r="C12587" t="s">
        <v>37718</v>
      </c>
      <c r="D12587" t="str">
        <f>HYPERLINK("https://zfin.org/ZDB-GENE-021210-4")</f>
        <v>https://zfin.org/ZDB-GENE-021210-4</v>
      </c>
      <c r="E12587" t="s">
        <v>37719</v>
      </c>
    </row>
    <row r="12588" spans="1:5" x14ac:dyDescent="0.2">
      <c r="A12588" t="s">
        <v>37720</v>
      </c>
      <c r="B12588" t="s">
        <v>37721</v>
      </c>
      <c r="C12588" t="s">
        <v>37721</v>
      </c>
      <c r="D12588" t="str">
        <f>HYPERLINK("https://zfin.org/ZDB-GENE-040426-2650")</f>
        <v>https://zfin.org/ZDB-GENE-040426-2650</v>
      </c>
      <c r="E12588" t="s">
        <v>37722</v>
      </c>
    </row>
    <row r="12589" spans="1:5" x14ac:dyDescent="0.2">
      <c r="A12589" t="s">
        <v>37723</v>
      </c>
      <c r="B12589" t="s">
        <v>37724</v>
      </c>
      <c r="C12589" t="s">
        <v>37724</v>
      </c>
      <c r="D12589" t="str">
        <f>HYPERLINK("https://zfin.org/ZDB-GENE-070912-268")</f>
        <v>https://zfin.org/ZDB-GENE-070912-268</v>
      </c>
      <c r="E12589" t="s">
        <v>37725</v>
      </c>
    </row>
    <row r="12590" spans="1:5" x14ac:dyDescent="0.2">
      <c r="A12590" t="s">
        <v>37726</v>
      </c>
      <c r="B12590" t="s">
        <v>37727</v>
      </c>
      <c r="C12590" t="s">
        <v>37727</v>
      </c>
      <c r="D12590" t="str">
        <f>HYPERLINK("https://zfin.org/ZDB-GENE-060929-1082")</f>
        <v>https://zfin.org/ZDB-GENE-060929-1082</v>
      </c>
      <c r="E12590" t="s">
        <v>37728</v>
      </c>
    </row>
    <row r="12591" spans="1:5" x14ac:dyDescent="0.2">
      <c r="A12591" t="s">
        <v>37729</v>
      </c>
      <c r="B12591" t="s">
        <v>37730</v>
      </c>
      <c r="C12591" t="s">
        <v>37730</v>
      </c>
      <c r="D12591" t="str">
        <f>HYPERLINK("https://zfin.org/ZDB-GENE-081112-1")</f>
        <v>https://zfin.org/ZDB-GENE-081112-1</v>
      </c>
      <c r="E12591" t="s">
        <v>37731</v>
      </c>
    </row>
    <row r="12592" spans="1:5" x14ac:dyDescent="0.2">
      <c r="A12592" t="s">
        <v>37732</v>
      </c>
      <c r="B12592" t="s">
        <v>37733</v>
      </c>
      <c r="C12592" t="s">
        <v>37733</v>
      </c>
      <c r="D12592" t="str">
        <f>HYPERLINK("https://zfin.org/ZDB-GENE-090313-152")</f>
        <v>https://zfin.org/ZDB-GENE-090313-152</v>
      </c>
      <c r="E12592" t="s">
        <v>37734</v>
      </c>
    </row>
    <row r="12593" spans="1:5" x14ac:dyDescent="0.2">
      <c r="A12593" t="s">
        <v>37735</v>
      </c>
      <c r="B12593" t="s">
        <v>37736</v>
      </c>
      <c r="C12593" t="s">
        <v>37736</v>
      </c>
      <c r="D12593" t="str">
        <f>HYPERLINK("https://zfin.org/ZDB-GENE-040426-1710")</f>
        <v>https://zfin.org/ZDB-GENE-040426-1710</v>
      </c>
      <c r="E12593" t="s">
        <v>37737</v>
      </c>
    </row>
    <row r="12594" spans="1:5" x14ac:dyDescent="0.2">
      <c r="A12594" t="s">
        <v>37738</v>
      </c>
      <c r="B12594" t="s">
        <v>37739</v>
      </c>
      <c r="C12594" t="s">
        <v>37739</v>
      </c>
      <c r="D12594" t="str">
        <f>HYPERLINK("https://zfin.org/ZDB-GENE-120329-2")</f>
        <v>https://zfin.org/ZDB-GENE-120329-2</v>
      </c>
      <c r="E12594" t="s">
        <v>37740</v>
      </c>
    </row>
    <row r="12595" spans="1:5" x14ac:dyDescent="0.2">
      <c r="A12595" t="s">
        <v>37741</v>
      </c>
      <c r="B12595" t="s">
        <v>37742</v>
      </c>
      <c r="C12595" t="s">
        <v>37742</v>
      </c>
      <c r="D12595" t="str">
        <f>HYPERLINK("https://zfin.org/ZDB-GENE-120411-9")</f>
        <v>https://zfin.org/ZDB-GENE-120411-9</v>
      </c>
      <c r="E12595" t="s">
        <v>37743</v>
      </c>
    </row>
    <row r="12596" spans="1:5" x14ac:dyDescent="0.2">
      <c r="A12596" t="s">
        <v>37744</v>
      </c>
      <c r="B12596" t="s">
        <v>37745</v>
      </c>
      <c r="C12596" t="s">
        <v>37745</v>
      </c>
      <c r="D12596" t="str">
        <f>HYPERLINK("https://zfin.org/ZDB-GENE-140820-5")</f>
        <v>https://zfin.org/ZDB-GENE-140820-5</v>
      </c>
      <c r="E12596" t="s">
        <v>37746</v>
      </c>
    </row>
    <row r="12597" spans="1:5" x14ac:dyDescent="0.2">
      <c r="A12597" t="s">
        <v>37747</v>
      </c>
      <c r="B12597" t="s">
        <v>37748</v>
      </c>
      <c r="C12597" t="s">
        <v>37748</v>
      </c>
      <c r="D12597" t="str">
        <f>HYPERLINK("https://zfin.org/ZDB-GENE-040724-247")</f>
        <v>https://zfin.org/ZDB-GENE-040724-247</v>
      </c>
      <c r="E12597" t="s">
        <v>37749</v>
      </c>
    </row>
    <row r="12598" spans="1:5" x14ac:dyDescent="0.2">
      <c r="A12598" t="s">
        <v>37750</v>
      </c>
      <c r="B12598" t="s">
        <v>37751</v>
      </c>
      <c r="C12598" t="s">
        <v>37751</v>
      </c>
      <c r="D12598" t="str">
        <f>HYPERLINK("https://zfin.org/ZDB-GENE-050311-5")</f>
        <v>https://zfin.org/ZDB-GENE-050311-5</v>
      </c>
      <c r="E12598" t="s">
        <v>37752</v>
      </c>
    </row>
    <row r="12599" spans="1:5" x14ac:dyDescent="0.2">
      <c r="A12599" t="s">
        <v>37753</v>
      </c>
      <c r="B12599" t="s">
        <v>37754</v>
      </c>
      <c r="C12599" t="s">
        <v>37754</v>
      </c>
      <c r="D12599" t="str">
        <f>HYPERLINK("https://zfin.org/ZDB-GENE-040426-924")</f>
        <v>https://zfin.org/ZDB-GENE-040426-924</v>
      </c>
      <c r="E12599" t="s">
        <v>37755</v>
      </c>
    </row>
    <row r="12600" spans="1:5" x14ac:dyDescent="0.2">
      <c r="A12600" t="s">
        <v>37756</v>
      </c>
      <c r="B12600" t="s">
        <v>37757</v>
      </c>
      <c r="C12600" t="s">
        <v>37757</v>
      </c>
      <c r="D12600" t="str">
        <f>HYPERLINK("https://zfin.org/ZDB-GENE-100426-5")</f>
        <v>https://zfin.org/ZDB-GENE-100426-5</v>
      </c>
      <c r="E12600" t="s">
        <v>37758</v>
      </c>
    </row>
    <row r="12601" spans="1:5" x14ac:dyDescent="0.2">
      <c r="A12601" t="s">
        <v>37759</v>
      </c>
      <c r="B12601" t="s">
        <v>37760</v>
      </c>
      <c r="C12601" t="s">
        <v>37760</v>
      </c>
      <c r="D12601" t="str">
        <f>HYPERLINK("https://zfin.org/ZDB-GENE-050114-2")</f>
        <v>https://zfin.org/ZDB-GENE-050114-2</v>
      </c>
      <c r="E12601" t="s">
        <v>37761</v>
      </c>
    </row>
    <row r="12602" spans="1:5" x14ac:dyDescent="0.2">
      <c r="A12602" t="s">
        <v>37762</v>
      </c>
      <c r="B12602" t="s">
        <v>37763</v>
      </c>
      <c r="C12602" t="s">
        <v>37763</v>
      </c>
      <c r="D12602" t="str">
        <f>HYPERLINK("https://zfin.org/ZDB-GENE-031006-3")</f>
        <v>https://zfin.org/ZDB-GENE-031006-3</v>
      </c>
      <c r="E12602" t="s">
        <v>37764</v>
      </c>
    </row>
    <row r="12603" spans="1:5" x14ac:dyDescent="0.2">
      <c r="A12603" t="s">
        <v>37765</v>
      </c>
      <c r="B12603" t="s">
        <v>37766</v>
      </c>
      <c r="C12603" t="s">
        <v>37766</v>
      </c>
      <c r="D12603" t="str">
        <f>HYPERLINK("https://zfin.org/ZDB-GENE-050306-43")</f>
        <v>https://zfin.org/ZDB-GENE-050306-43</v>
      </c>
      <c r="E12603" t="s">
        <v>37767</v>
      </c>
    </row>
    <row r="12604" spans="1:5" x14ac:dyDescent="0.2">
      <c r="A12604" t="s">
        <v>37768</v>
      </c>
      <c r="B12604" t="s">
        <v>37769</v>
      </c>
      <c r="C12604" t="s">
        <v>37769</v>
      </c>
      <c r="D12604" t="str">
        <f>HYPERLINK("https://zfin.org/ZDB-GENE-050913-42")</f>
        <v>https://zfin.org/ZDB-GENE-050913-42</v>
      </c>
      <c r="E12604" t="s">
        <v>37770</v>
      </c>
    </row>
    <row r="12605" spans="1:5" x14ac:dyDescent="0.2">
      <c r="A12605" t="s">
        <v>37771</v>
      </c>
      <c r="B12605" t="s">
        <v>37772</v>
      </c>
      <c r="C12605" t="s">
        <v>37772</v>
      </c>
      <c r="D12605" t="str">
        <f>HYPERLINK("https://zfin.org/ZDB-GENE-050522-20")</f>
        <v>https://zfin.org/ZDB-GENE-050522-20</v>
      </c>
      <c r="E12605" t="s">
        <v>37773</v>
      </c>
    </row>
    <row r="12606" spans="1:5" x14ac:dyDescent="0.2">
      <c r="A12606" t="s">
        <v>37774</v>
      </c>
      <c r="B12606" t="s">
        <v>37775</v>
      </c>
      <c r="C12606" t="s">
        <v>37775</v>
      </c>
      <c r="D12606" t="str">
        <f>HYPERLINK("https://zfin.org/ZDB-GENE-040718-436")</f>
        <v>https://zfin.org/ZDB-GENE-040718-436</v>
      </c>
      <c r="E12606" t="s">
        <v>37776</v>
      </c>
    </row>
    <row r="12607" spans="1:5" x14ac:dyDescent="0.2">
      <c r="A12607" t="s">
        <v>37777</v>
      </c>
      <c r="B12607" t="s">
        <v>37778</v>
      </c>
      <c r="C12607" t="s">
        <v>37778</v>
      </c>
      <c r="D12607" t="str">
        <f>HYPERLINK("https://zfin.org/ZDB-GENE-030131-8522")</f>
        <v>https://zfin.org/ZDB-GENE-030131-8522</v>
      </c>
      <c r="E12607" t="s">
        <v>37779</v>
      </c>
    </row>
    <row r="12608" spans="1:5" x14ac:dyDescent="0.2">
      <c r="A12608" t="s">
        <v>37780</v>
      </c>
      <c r="B12608" t="s">
        <v>37781</v>
      </c>
      <c r="C12608" t="s">
        <v>37781</v>
      </c>
      <c r="D12608" t="str">
        <f>HYPERLINK("https://zfin.org/ZDB-GENE-040426-1263")</f>
        <v>https://zfin.org/ZDB-GENE-040426-1263</v>
      </c>
      <c r="E12608" t="s">
        <v>37782</v>
      </c>
    </row>
    <row r="12609" spans="1:5" x14ac:dyDescent="0.2">
      <c r="A12609" t="s">
        <v>37783</v>
      </c>
      <c r="B12609" t="s">
        <v>37784</v>
      </c>
      <c r="C12609" t="s">
        <v>37784</v>
      </c>
      <c r="D12609" t="str">
        <f>HYPERLINK("https://zfin.org/ZDB-GENE-120709-30")</f>
        <v>https://zfin.org/ZDB-GENE-120709-30</v>
      </c>
      <c r="E12609" t="s">
        <v>37785</v>
      </c>
    </row>
    <row r="12610" spans="1:5" x14ac:dyDescent="0.2">
      <c r="A12610" t="s">
        <v>37786</v>
      </c>
      <c r="B12610" t="s">
        <v>37787</v>
      </c>
      <c r="C12610" t="s">
        <v>37787</v>
      </c>
      <c r="D12610" t="str">
        <f>HYPERLINK("https://zfin.org/ZDB-GENE-050208-470")</f>
        <v>https://zfin.org/ZDB-GENE-050208-470</v>
      </c>
      <c r="E12610" t="s">
        <v>37788</v>
      </c>
    </row>
    <row r="12611" spans="1:5" x14ac:dyDescent="0.2">
      <c r="A12611" t="s">
        <v>37789</v>
      </c>
      <c r="B12611" t="s">
        <v>37790</v>
      </c>
      <c r="C12611" t="s">
        <v>37790</v>
      </c>
      <c r="D12611" t="str">
        <f>HYPERLINK("https://zfin.org/ZDB-GENE-070705-402")</f>
        <v>https://zfin.org/ZDB-GENE-070705-402</v>
      </c>
      <c r="E12611" t="s">
        <v>37791</v>
      </c>
    </row>
    <row r="12612" spans="1:5" x14ac:dyDescent="0.2">
      <c r="A12612" t="s">
        <v>37792</v>
      </c>
      <c r="B12612" t="s">
        <v>37793</v>
      </c>
      <c r="C12612" t="s">
        <v>37793</v>
      </c>
      <c r="D12612" t="str">
        <f>HYPERLINK("https://zfin.org/ZDB-GENE-060929-384")</f>
        <v>https://zfin.org/ZDB-GENE-060929-384</v>
      </c>
      <c r="E12612" t="s">
        <v>37794</v>
      </c>
    </row>
    <row r="12613" spans="1:5" x14ac:dyDescent="0.2">
      <c r="A12613" t="s">
        <v>37795</v>
      </c>
      <c r="B12613" t="s">
        <v>37796</v>
      </c>
      <c r="C12613" t="s">
        <v>37796</v>
      </c>
      <c r="D12613" t="str">
        <f>HYPERLINK("https://zfin.org/ZDB-GENE-041114-33")</f>
        <v>https://zfin.org/ZDB-GENE-041114-33</v>
      </c>
      <c r="E12613" t="s">
        <v>37797</v>
      </c>
    </row>
    <row r="12614" spans="1:5" x14ac:dyDescent="0.2">
      <c r="A12614" t="s">
        <v>37798</v>
      </c>
      <c r="B12614" t="s">
        <v>37799</v>
      </c>
      <c r="C12614" t="s">
        <v>37799</v>
      </c>
      <c r="D12614" t="str">
        <f>HYPERLINK("https://zfin.org/ZDB-GENE-050208-471")</f>
        <v>https://zfin.org/ZDB-GENE-050208-471</v>
      </c>
      <c r="E12614" t="s">
        <v>37800</v>
      </c>
    </row>
    <row r="12615" spans="1:5" x14ac:dyDescent="0.2">
      <c r="A12615" t="s">
        <v>37801</v>
      </c>
      <c r="B12615" t="s">
        <v>37802</v>
      </c>
      <c r="C12615" t="s">
        <v>37802</v>
      </c>
      <c r="D12615" t="str">
        <f>HYPERLINK("https://zfin.org/ZDB-GENE-091110-4")</f>
        <v>https://zfin.org/ZDB-GENE-091110-4</v>
      </c>
      <c r="E12615" t="s">
        <v>37803</v>
      </c>
    </row>
    <row r="12616" spans="1:5" x14ac:dyDescent="0.2">
      <c r="A12616" t="s">
        <v>37804</v>
      </c>
      <c r="B12616" t="s">
        <v>37805</v>
      </c>
      <c r="C12616" t="s">
        <v>37805</v>
      </c>
      <c r="D12616" t="str">
        <f>HYPERLINK("https://zfin.org/ZDB-GENE-030131-5532")</f>
        <v>https://zfin.org/ZDB-GENE-030131-5532</v>
      </c>
      <c r="E12616" t="s">
        <v>37806</v>
      </c>
    </row>
    <row r="12617" spans="1:5" x14ac:dyDescent="0.2">
      <c r="A12617" t="s">
        <v>37807</v>
      </c>
      <c r="B12617" t="s">
        <v>37808</v>
      </c>
      <c r="C12617" t="s">
        <v>37808</v>
      </c>
      <c r="D12617" t="str">
        <f>HYPERLINK("https://zfin.org/ZDB-GENE-060503-653")</f>
        <v>https://zfin.org/ZDB-GENE-060503-653</v>
      </c>
      <c r="E12617" t="s">
        <v>37809</v>
      </c>
    </row>
    <row r="12618" spans="1:5" x14ac:dyDescent="0.2">
      <c r="A12618" t="s">
        <v>37810</v>
      </c>
      <c r="B12618" t="s">
        <v>37811</v>
      </c>
      <c r="C12618" t="s">
        <v>37811</v>
      </c>
      <c r="D12618" t="str">
        <f>HYPERLINK("https://zfin.org/ZDB-GENE-131121-137")</f>
        <v>https://zfin.org/ZDB-GENE-131121-137</v>
      </c>
      <c r="E12618" t="s">
        <v>37812</v>
      </c>
    </row>
    <row r="12619" spans="1:5" x14ac:dyDescent="0.2">
      <c r="A12619" t="s">
        <v>37813</v>
      </c>
      <c r="B12619" t="s">
        <v>37814</v>
      </c>
      <c r="C12619" t="s">
        <v>37814</v>
      </c>
      <c r="D12619" t="str">
        <f>HYPERLINK("https://zfin.org/ZDB-GENE-050809-135")</f>
        <v>https://zfin.org/ZDB-GENE-050809-135</v>
      </c>
      <c r="E12619" t="s">
        <v>37815</v>
      </c>
    </row>
    <row r="12620" spans="1:5" x14ac:dyDescent="0.2">
      <c r="A12620" t="s">
        <v>37816</v>
      </c>
      <c r="B12620" t="s">
        <v>37817</v>
      </c>
      <c r="C12620" t="s">
        <v>37817</v>
      </c>
      <c r="D12620" t="str">
        <f>HYPERLINK("https://zfin.org/ZDB-GENE-060810-140")</f>
        <v>https://zfin.org/ZDB-GENE-060810-140</v>
      </c>
      <c r="E12620" t="s">
        <v>37818</v>
      </c>
    </row>
    <row r="12621" spans="1:5" x14ac:dyDescent="0.2">
      <c r="A12621" t="s">
        <v>37819</v>
      </c>
      <c r="B12621" t="s">
        <v>37820</v>
      </c>
      <c r="C12621" t="s">
        <v>37820</v>
      </c>
      <c r="D12621" t="str">
        <f>HYPERLINK("https://zfin.org/ZDB-GENE-040426-2190")</f>
        <v>https://zfin.org/ZDB-GENE-040426-2190</v>
      </c>
      <c r="E12621" t="s">
        <v>37821</v>
      </c>
    </row>
    <row r="12622" spans="1:5" x14ac:dyDescent="0.2">
      <c r="A12622" t="s">
        <v>37822</v>
      </c>
      <c r="B12622" t="s">
        <v>37823</v>
      </c>
      <c r="C12622" t="s">
        <v>37823</v>
      </c>
      <c r="D12622" t="str">
        <f>HYPERLINK("https://zfin.org/ZDB-GENE-060503-396")</f>
        <v>https://zfin.org/ZDB-GENE-060503-396</v>
      </c>
      <c r="E12622" t="s">
        <v>37824</v>
      </c>
    </row>
    <row r="12623" spans="1:5" x14ac:dyDescent="0.2">
      <c r="A12623" t="s">
        <v>37825</v>
      </c>
      <c r="B12623" t="s">
        <v>37826</v>
      </c>
      <c r="C12623" t="s">
        <v>37826</v>
      </c>
      <c r="D12623" t="str">
        <f>HYPERLINK("https://zfin.org/ZDB-GENE-040718-406")</f>
        <v>https://zfin.org/ZDB-GENE-040718-406</v>
      </c>
      <c r="E12623" t="s">
        <v>37827</v>
      </c>
    </row>
    <row r="12624" spans="1:5" x14ac:dyDescent="0.2">
      <c r="A12624" t="s">
        <v>37828</v>
      </c>
      <c r="B12624" t="s">
        <v>37829</v>
      </c>
      <c r="C12624" t="s">
        <v>37829</v>
      </c>
      <c r="D12624" t="str">
        <f>HYPERLINK("https://zfin.org/ZDB-GENE-060810-148")</f>
        <v>https://zfin.org/ZDB-GENE-060810-148</v>
      </c>
      <c r="E12624" t="s">
        <v>37830</v>
      </c>
    </row>
    <row r="12625" spans="1:5" x14ac:dyDescent="0.2">
      <c r="A12625" t="s">
        <v>37831</v>
      </c>
      <c r="B12625" t="s">
        <v>37832</v>
      </c>
      <c r="C12625" t="s">
        <v>37832</v>
      </c>
      <c r="D12625" t="str">
        <f>HYPERLINK("https://zfin.org/ZDB-GENE-060503-465")</f>
        <v>https://zfin.org/ZDB-GENE-060503-465</v>
      </c>
      <c r="E12625" t="s">
        <v>37833</v>
      </c>
    </row>
    <row r="12626" spans="1:5" x14ac:dyDescent="0.2">
      <c r="A12626" t="s">
        <v>37834</v>
      </c>
      <c r="B12626" t="s">
        <v>37835</v>
      </c>
      <c r="C12626" t="s">
        <v>37835</v>
      </c>
      <c r="D12626" t="str">
        <f>HYPERLINK("https://zfin.org/ZDB-GENE-000616-5")</f>
        <v>https://zfin.org/ZDB-GENE-000616-5</v>
      </c>
      <c r="E12626" t="s">
        <v>37836</v>
      </c>
    </row>
    <row r="12627" spans="1:5" x14ac:dyDescent="0.2">
      <c r="A12627" t="s">
        <v>37837</v>
      </c>
      <c r="B12627" t="s">
        <v>37838</v>
      </c>
      <c r="C12627" t="s">
        <v>37838</v>
      </c>
      <c r="D12627" t="str">
        <f>HYPERLINK("https://zfin.org/ZDB-GENE-060328-1")</f>
        <v>https://zfin.org/ZDB-GENE-060328-1</v>
      </c>
      <c r="E12627" t="s">
        <v>37839</v>
      </c>
    </row>
    <row r="12628" spans="1:5" x14ac:dyDescent="0.2">
      <c r="A12628" t="s">
        <v>37840</v>
      </c>
      <c r="B12628" t="s">
        <v>37841</v>
      </c>
      <c r="C12628" t="s">
        <v>37841</v>
      </c>
      <c r="D12628" t="str">
        <f>HYPERLINK("https://zfin.org/ZDB-GENE-070912-169")</f>
        <v>https://zfin.org/ZDB-GENE-070912-169</v>
      </c>
      <c r="E12628" t="s">
        <v>37842</v>
      </c>
    </row>
    <row r="12629" spans="1:5" x14ac:dyDescent="0.2">
      <c r="A12629" t="s">
        <v>37843</v>
      </c>
      <c r="B12629" t="s">
        <v>37844</v>
      </c>
      <c r="C12629" t="s">
        <v>37844</v>
      </c>
      <c r="D12629" t="str">
        <f>HYPERLINK("https://zfin.org/ZDB-GENE-030131-825")</f>
        <v>https://zfin.org/ZDB-GENE-030131-825</v>
      </c>
      <c r="E12629" t="s">
        <v>37845</v>
      </c>
    </row>
    <row r="12630" spans="1:5" x14ac:dyDescent="0.2">
      <c r="A12630" t="s">
        <v>37846</v>
      </c>
      <c r="B12630" t="s">
        <v>37847</v>
      </c>
      <c r="C12630" t="s">
        <v>37847</v>
      </c>
      <c r="D12630" t="str">
        <f>HYPERLINK("https://zfin.org/ZDB-GENE-070822-21")</f>
        <v>https://zfin.org/ZDB-GENE-070822-21</v>
      </c>
      <c r="E12630" t="s">
        <v>37848</v>
      </c>
    </row>
    <row r="12631" spans="1:5" x14ac:dyDescent="0.2">
      <c r="A12631" t="s">
        <v>37849</v>
      </c>
      <c r="B12631" t="s">
        <v>37850</v>
      </c>
      <c r="C12631" t="s">
        <v>37850</v>
      </c>
      <c r="D12631" t="str">
        <f>HYPERLINK("https://zfin.org/ZDB-GENE-050419-208")</f>
        <v>https://zfin.org/ZDB-GENE-050419-208</v>
      </c>
      <c r="E12631" t="s">
        <v>37851</v>
      </c>
    </row>
    <row r="12632" spans="1:5" x14ac:dyDescent="0.2">
      <c r="A12632" t="s">
        <v>37852</v>
      </c>
      <c r="B12632" t="s">
        <v>37853</v>
      </c>
      <c r="C12632" t="s">
        <v>37853</v>
      </c>
      <c r="D12632" t="str">
        <f>HYPERLINK("https://zfin.org/ZDB-GENE-040426-1104")</f>
        <v>https://zfin.org/ZDB-GENE-040426-1104</v>
      </c>
      <c r="E12632" t="s">
        <v>37854</v>
      </c>
    </row>
    <row r="12633" spans="1:5" x14ac:dyDescent="0.2">
      <c r="A12633" t="s">
        <v>37855</v>
      </c>
      <c r="B12633" t="s">
        <v>37856</v>
      </c>
      <c r="C12633" t="s">
        <v>37856</v>
      </c>
      <c r="D12633" t="str">
        <f>HYPERLINK("https://zfin.org/ZDB-GENE-040914-40")</f>
        <v>https://zfin.org/ZDB-GENE-040914-40</v>
      </c>
      <c r="E12633" t="s">
        <v>37857</v>
      </c>
    </row>
    <row r="12634" spans="1:5" x14ac:dyDescent="0.2">
      <c r="A12634" t="s">
        <v>37858</v>
      </c>
      <c r="B12634" t="s">
        <v>37859</v>
      </c>
      <c r="C12634" t="s">
        <v>37859</v>
      </c>
      <c r="D12634" t="str">
        <f>HYPERLINK("https://zfin.org/ZDB-GENE-030131-5142")</f>
        <v>https://zfin.org/ZDB-GENE-030131-5142</v>
      </c>
      <c r="E12634" t="s">
        <v>37860</v>
      </c>
    </row>
    <row r="12635" spans="1:5" x14ac:dyDescent="0.2">
      <c r="A12635" t="s">
        <v>37861</v>
      </c>
      <c r="B12635" t="s">
        <v>37862</v>
      </c>
      <c r="C12635" t="s">
        <v>37862</v>
      </c>
      <c r="D12635" t="str">
        <f>HYPERLINK("https://zfin.org/ZDB-GENE-091111-3")</f>
        <v>https://zfin.org/ZDB-GENE-091111-3</v>
      </c>
      <c r="E12635" t="s">
        <v>37863</v>
      </c>
    </row>
    <row r="12636" spans="1:5" x14ac:dyDescent="0.2">
      <c r="A12636" t="s">
        <v>37864</v>
      </c>
      <c r="B12636" t="s">
        <v>37865</v>
      </c>
      <c r="C12636" t="s">
        <v>37865</v>
      </c>
      <c r="D12636" t="str">
        <f>HYPERLINK("https://zfin.org/ZDB-GENE-040426-1778")</f>
        <v>https://zfin.org/ZDB-GENE-040426-1778</v>
      </c>
      <c r="E12636" t="s">
        <v>37866</v>
      </c>
    </row>
    <row r="12637" spans="1:5" x14ac:dyDescent="0.2">
      <c r="A12637" t="s">
        <v>37867</v>
      </c>
      <c r="B12637" t="s">
        <v>25440</v>
      </c>
      <c r="C12637" t="s">
        <v>37868</v>
      </c>
      <c r="D12637" t="str">
        <f>HYPERLINK("https://zfin.org/ZDB-GENE-040625-39")</f>
        <v>https://zfin.org/ZDB-GENE-040625-39</v>
      </c>
      <c r="E12637" t="s">
        <v>25441</v>
      </c>
    </row>
    <row r="12638" spans="1:5" x14ac:dyDescent="0.2">
      <c r="A12638" t="s">
        <v>37869</v>
      </c>
      <c r="B12638" t="s">
        <v>37870</v>
      </c>
      <c r="C12638" t="s">
        <v>37870</v>
      </c>
      <c r="D12638" t="str">
        <f>HYPERLINK("https://zfin.org/ZDB-GENE-030131-1024")</f>
        <v>https://zfin.org/ZDB-GENE-030131-1024</v>
      </c>
      <c r="E12638" t="s">
        <v>37871</v>
      </c>
    </row>
    <row r="12639" spans="1:5" x14ac:dyDescent="0.2">
      <c r="A12639" t="s">
        <v>37872</v>
      </c>
      <c r="B12639" t="s">
        <v>37873</v>
      </c>
      <c r="C12639" t="s">
        <v>37873</v>
      </c>
      <c r="D12639" t="str">
        <f>HYPERLINK("https://zfin.org/ZDB-GENE-030515-2")</f>
        <v>https://zfin.org/ZDB-GENE-030515-2</v>
      </c>
      <c r="E12639" t="s">
        <v>37874</v>
      </c>
    </row>
    <row r="12640" spans="1:5" x14ac:dyDescent="0.2">
      <c r="A12640" t="s">
        <v>37875</v>
      </c>
      <c r="B12640" t="s">
        <v>37876</v>
      </c>
      <c r="C12640" t="s">
        <v>37876</v>
      </c>
      <c r="D12640" t="str">
        <f>HYPERLINK("https://zfin.org/ZDB-GENE-030131-2348")</f>
        <v>https://zfin.org/ZDB-GENE-030131-2348</v>
      </c>
      <c r="E12640" t="s">
        <v>37877</v>
      </c>
    </row>
    <row r="12641" spans="1:5" x14ac:dyDescent="0.2">
      <c r="A12641" t="s">
        <v>37878</v>
      </c>
      <c r="B12641" t="s">
        <v>37879</v>
      </c>
      <c r="C12641" t="s">
        <v>37879</v>
      </c>
      <c r="D12641" t="str">
        <f>HYPERLINK("https://zfin.org/ZDB-GENE-030131-8226")</f>
        <v>https://zfin.org/ZDB-GENE-030131-8226</v>
      </c>
      <c r="E12641" t="s">
        <v>37880</v>
      </c>
    </row>
    <row r="12642" spans="1:5" x14ac:dyDescent="0.2">
      <c r="A12642" t="s">
        <v>37881</v>
      </c>
      <c r="B12642" t="s">
        <v>37882</v>
      </c>
      <c r="C12642" t="s">
        <v>37882</v>
      </c>
      <c r="D12642" t="str">
        <f>HYPERLINK("https://zfin.org/ZDB-GENE-050417-401")</f>
        <v>https://zfin.org/ZDB-GENE-050417-401</v>
      </c>
      <c r="E12642" t="s">
        <v>37883</v>
      </c>
    </row>
    <row r="12643" spans="1:5" x14ac:dyDescent="0.2">
      <c r="A12643" t="s">
        <v>37884</v>
      </c>
      <c r="B12643" t="s">
        <v>37885</v>
      </c>
      <c r="C12643" t="s">
        <v>37885</v>
      </c>
      <c r="D12643" t="str">
        <f>HYPERLINK("https://zfin.org/ZDB-GENE-090819-2")</f>
        <v>https://zfin.org/ZDB-GENE-090819-2</v>
      </c>
      <c r="E12643" t="s">
        <v>37886</v>
      </c>
    </row>
    <row r="12644" spans="1:5" x14ac:dyDescent="0.2">
      <c r="A12644" t="s">
        <v>37887</v>
      </c>
      <c r="B12644" t="s">
        <v>37888</v>
      </c>
      <c r="C12644" t="s">
        <v>37888</v>
      </c>
      <c r="D12644" t="str">
        <f>HYPERLINK("https://zfin.org/ZDB-GENE-050522-115")</f>
        <v>https://zfin.org/ZDB-GENE-050522-115</v>
      </c>
      <c r="E12644" t="s">
        <v>37889</v>
      </c>
    </row>
    <row r="12645" spans="1:5" x14ac:dyDescent="0.2">
      <c r="A12645" t="s">
        <v>37890</v>
      </c>
      <c r="B12645" t="s">
        <v>37891</v>
      </c>
      <c r="C12645" t="s">
        <v>37891</v>
      </c>
      <c r="D12645" t="str">
        <f>HYPERLINK("https://zfin.org/ZDB-GENE-070802-2")</f>
        <v>https://zfin.org/ZDB-GENE-070802-2</v>
      </c>
      <c r="E12645" t="s">
        <v>37892</v>
      </c>
    </row>
    <row r="12646" spans="1:5" x14ac:dyDescent="0.2">
      <c r="A12646" t="s">
        <v>37893</v>
      </c>
      <c r="B12646" t="s">
        <v>37894</v>
      </c>
      <c r="C12646" t="s">
        <v>37894</v>
      </c>
      <c r="D12646" t="str">
        <f>HYPERLINK("https://zfin.org/ZDB-GENE-040611-3")</f>
        <v>https://zfin.org/ZDB-GENE-040611-3</v>
      </c>
      <c r="E12646" t="s">
        <v>37895</v>
      </c>
    </row>
    <row r="12647" spans="1:5" x14ac:dyDescent="0.2">
      <c r="A12647" t="s">
        <v>37896</v>
      </c>
      <c r="B12647" t="s">
        <v>37897</v>
      </c>
      <c r="C12647" t="s">
        <v>37897</v>
      </c>
      <c r="D12647" t="str">
        <f>HYPERLINK("https://zfin.org/ZDB-GENE-080414-2")</f>
        <v>https://zfin.org/ZDB-GENE-080414-2</v>
      </c>
      <c r="E12647" t="s">
        <v>37898</v>
      </c>
    </row>
    <row r="12648" spans="1:5" x14ac:dyDescent="0.2">
      <c r="A12648" t="s">
        <v>37899</v>
      </c>
      <c r="B12648" t="s">
        <v>37900</v>
      </c>
      <c r="C12648" t="s">
        <v>37900</v>
      </c>
      <c r="D12648" t="str">
        <f>HYPERLINK("https://zfin.org/ZDB-GENE-030909-2")</f>
        <v>https://zfin.org/ZDB-GENE-030909-2</v>
      </c>
      <c r="E12648" t="s">
        <v>37901</v>
      </c>
    </row>
    <row r="12649" spans="1:5" x14ac:dyDescent="0.2">
      <c r="A12649" t="s">
        <v>37902</v>
      </c>
      <c r="B12649" t="s">
        <v>37903</v>
      </c>
      <c r="C12649" t="s">
        <v>37903</v>
      </c>
      <c r="D12649" t="str">
        <f>HYPERLINK("https://zfin.org/ZDB-GENE-081107-51")</f>
        <v>https://zfin.org/ZDB-GENE-081107-51</v>
      </c>
      <c r="E12649" t="s">
        <v>37904</v>
      </c>
    </row>
    <row r="12650" spans="1:5" x14ac:dyDescent="0.2">
      <c r="A12650" t="s">
        <v>37905</v>
      </c>
      <c r="B12650" t="s">
        <v>37906</v>
      </c>
      <c r="C12650" t="s">
        <v>37906</v>
      </c>
      <c r="D12650" t="str">
        <f>HYPERLINK("https://zfin.org/ZDB-GENE-040426-884")</f>
        <v>https://zfin.org/ZDB-GENE-040426-884</v>
      </c>
      <c r="E12650" t="s">
        <v>37907</v>
      </c>
    </row>
    <row r="12651" spans="1:5" x14ac:dyDescent="0.2">
      <c r="A12651" t="s">
        <v>37908</v>
      </c>
      <c r="B12651" t="s">
        <v>37909</v>
      </c>
      <c r="C12651" t="s">
        <v>37909</v>
      </c>
      <c r="D12651" t="str">
        <f>HYPERLINK("https://zfin.org/ZDB-GENE-030131-4172")</f>
        <v>https://zfin.org/ZDB-GENE-030131-4172</v>
      </c>
      <c r="E12651" t="s">
        <v>37910</v>
      </c>
    </row>
    <row r="12652" spans="1:5" x14ac:dyDescent="0.2">
      <c r="A12652" t="s">
        <v>37911</v>
      </c>
      <c r="B12652" t="s">
        <v>37912</v>
      </c>
      <c r="C12652" t="s">
        <v>37912</v>
      </c>
      <c r="D12652" t="str">
        <f>HYPERLINK("https://zfin.org/ZDB-GENE-030616-550")</f>
        <v>https://zfin.org/ZDB-GENE-030616-550</v>
      </c>
      <c r="E12652" t="s">
        <v>37913</v>
      </c>
    </row>
    <row r="12653" spans="1:5" x14ac:dyDescent="0.2">
      <c r="A12653" t="s">
        <v>37914</v>
      </c>
      <c r="B12653" t="s">
        <v>37915</v>
      </c>
      <c r="C12653" t="s">
        <v>37915</v>
      </c>
      <c r="D12653" t="str">
        <f>HYPERLINK("https://zfin.org/ZDB-GENE-030804-10")</f>
        <v>https://zfin.org/ZDB-GENE-030804-10</v>
      </c>
      <c r="E12653" t="s">
        <v>37916</v>
      </c>
    </row>
    <row r="12654" spans="1:5" x14ac:dyDescent="0.2">
      <c r="A12654" t="s">
        <v>37917</v>
      </c>
      <c r="B12654" t="s">
        <v>37918</v>
      </c>
      <c r="C12654" t="s">
        <v>37918</v>
      </c>
      <c r="D12654" t="str">
        <f>HYPERLINK("https://zfin.org/ZDB-GENE-041114-118")</f>
        <v>https://zfin.org/ZDB-GENE-041114-118</v>
      </c>
      <c r="E12654" t="s">
        <v>37919</v>
      </c>
    </row>
    <row r="12655" spans="1:5" x14ac:dyDescent="0.2">
      <c r="A12655" t="s">
        <v>37920</v>
      </c>
      <c r="B12655" t="s">
        <v>37921</v>
      </c>
      <c r="C12655" t="s">
        <v>37921</v>
      </c>
      <c r="D12655" t="str">
        <f>HYPERLINK("https://zfin.org/ZDB-GENE-090313-139")</f>
        <v>https://zfin.org/ZDB-GENE-090313-139</v>
      </c>
      <c r="E12655" t="s">
        <v>37922</v>
      </c>
    </row>
    <row r="12656" spans="1:5" x14ac:dyDescent="0.2">
      <c r="A12656" t="s">
        <v>37923</v>
      </c>
      <c r="B12656" t="s">
        <v>37924</v>
      </c>
      <c r="C12656" t="s">
        <v>37924</v>
      </c>
      <c r="D12656" t="str">
        <f>HYPERLINK("https://zfin.org/ZDB-GENE-040426-1016")</f>
        <v>https://zfin.org/ZDB-GENE-040426-1016</v>
      </c>
      <c r="E12656" t="s">
        <v>37925</v>
      </c>
    </row>
    <row r="12657" spans="1:5" x14ac:dyDescent="0.2">
      <c r="A12657" t="s">
        <v>37926</v>
      </c>
      <c r="B12657" t="s">
        <v>37927</v>
      </c>
      <c r="C12657" t="s">
        <v>37927</v>
      </c>
      <c r="D12657" t="str">
        <f>HYPERLINK("https://zfin.org/ZDB-GENE-030131-4218")</f>
        <v>https://zfin.org/ZDB-GENE-030131-4218</v>
      </c>
      <c r="E12657" t="s">
        <v>37928</v>
      </c>
    </row>
    <row r="12658" spans="1:5" x14ac:dyDescent="0.2">
      <c r="A12658" t="s">
        <v>37929</v>
      </c>
      <c r="B12658" t="s">
        <v>37930</v>
      </c>
      <c r="C12658" t="s">
        <v>37930</v>
      </c>
      <c r="D12658" t="str">
        <f>HYPERLINK("https://zfin.org/ZDB-GENE-030131-6986")</f>
        <v>https://zfin.org/ZDB-GENE-030131-6986</v>
      </c>
      <c r="E12658" t="s">
        <v>37931</v>
      </c>
    </row>
    <row r="12659" spans="1:5" x14ac:dyDescent="0.2">
      <c r="A12659" t="s">
        <v>37932</v>
      </c>
      <c r="B12659" t="s">
        <v>37933</v>
      </c>
      <c r="C12659" t="s">
        <v>37933</v>
      </c>
      <c r="D12659" t="str">
        <f>HYPERLINK("https://zfin.org/ZDB-GENE-100316-6")</f>
        <v>https://zfin.org/ZDB-GENE-100316-6</v>
      </c>
      <c r="E12659" t="s">
        <v>37934</v>
      </c>
    </row>
    <row r="12660" spans="1:5" x14ac:dyDescent="0.2">
      <c r="A12660" t="s">
        <v>37935</v>
      </c>
      <c r="B12660" t="s">
        <v>37936</v>
      </c>
      <c r="C12660" t="s">
        <v>37936</v>
      </c>
      <c r="D12660" t="str">
        <f>HYPERLINK("https://zfin.org/ZDB-GENE-060531-37")</f>
        <v>https://zfin.org/ZDB-GENE-060531-37</v>
      </c>
      <c r="E12660" t="s">
        <v>37937</v>
      </c>
    </row>
    <row r="12661" spans="1:5" x14ac:dyDescent="0.2">
      <c r="A12661" t="s">
        <v>37938</v>
      </c>
      <c r="B12661" t="s">
        <v>37939</v>
      </c>
      <c r="C12661" t="s">
        <v>37939</v>
      </c>
      <c r="D12661" t="str">
        <f>HYPERLINK("https://zfin.org/ZDB-GENE-060929-664")</f>
        <v>https://zfin.org/ZDB-GENE-060929-664</v>
      </c>
      <c r="E12661" t="s">
        <v>37940</v>
      </c>
    </row>
    <row r="12662" spans="1:5" x14ac:dyDescent="0.2">
      <c r="A12662" t="s">
        <v>37941</v>
      </c>
      <c r="B12662" t="s">
        <v>37942</v>
      </c>
      <c r="C12662" t="s">
        <v>37942</v>
      </c>
      <c r="D12662" t="str">
        <f>HYPERLINK("https://zfin.org/ZDB-GENE-111201-1")</f>
        <v>https://zfin.org/ZDB-GENE-111201-1</v>
      </c>
      <c r="E12662" t="s">
        <v>37943</v>
      </c>
    </row>
    <row r="12663" spans="1:5" x14ac:dyDescent="0.2">
      <c r="A12663" t="s">
        <v>37944</v>
      </c>
      <c r="B12663" t="s">
        <v>37945</v>
      </c>
      <c r="C12663" t="s">
        <v>37945</v>
      </c>
      <c r="D12663" t="str">
        <f>HYPERLINK("https://zfin.org/ZDB-GENE-040426-771")</f>
        <v>https://zfin.org/ZDB-GENE-040426-771</v>
      </c>
      <c r="E12663" t="s">
        <v>37946</v>
      </c>
    </row>
    <row r="12664" spans="1:5" x14ac:dyDescent="0.2">
      <c r="A12664" t="s">
        <v>37947</v>
      </c>
      <c r="B12664" t="s">
        <v>37948</v>
      </c>
      <c r="C12664" t="s">
        <v>37948</v>
      </c>
      <c r="D12664" t="str">
        <f>HYPERLINK("https://zfin.org/ZDB-GENE-141212-154")</f>
        <v>https://zfin.org/ZDB-GENE-141212-154</v>
      </c>
      <c r="E12664" t="s">
        <v>37949</v>
      </c>
    </row>
    <row r="12665" spans="1:5" x14ac:dyDescent="0.2">
      <c r="A12665" t="s">
        <v>37950</v>
      </c>
      <c r="B12665" t="s">
        <v>37951</v>
      </c>
      <c r="C12665" t="s">
        <v>37951</v>
      </c>
      <c r="D12665" t="str">
        <f>HYPERLINK("https://zfin.org/ZDB-GENE-980526-253")</f>
        <v>https://zfin.org/ZDB-GENE-980526-253</v>
      </c>
      <c r="E12665" t="s">
        <v>37952</v>
      </c>
    </row>
    <row r="12666" spans="1:5" x14ac:dyDescent="0.2">
      <c r="A12666" t="s">
        <v>37953</v>
      </c>
      <c r="B12666" t="s">
        <v>37954</v>
      </c>
      <c r="C12666" t="s">
        <v>37954</v>
      </c>
      <c r="D12666" t="str">
        <f>HYPERLINK("https://zfin.org/ZDB-GENE-030131-7859")</f>
        <v>https://zfin.org/ZDB-GENE-030131-7859</v>
      </c>
      <c r="E12666" t="s">
        <v>37955</v>
      </c>
    </row>
    <row r="12667" spans="1:5" x14ac:dyDescent="0.2">
      <c r="A12667" t="s">
        <v>37956</v>
      </c>
      <c r="B12667" t="s">
        <v>37957</v>
      </c>
      <c r="C12667" t="s">
        <v>37957</v>
      </c>
      <c r="D12667" t="str">
        <f>HYPERLINK("https://zfin.org/ZDB-GENE-060125-1")</f>
        <v>https://zfin.org/ZDB-GENE-060125-1</v>
      </c>
      <c r="E12667" t="s">
        <v>37958</v>
      </c>
    </row>
    <row r="12668" spans="1:5" x14ac:dyDescent="0.2">
      <c r="A12668" t="s">
        <v>37959</v>
      </c>
      <c r="B12668" t="s">
        <v>37960</v>
      </c>
      <c r="C12668" t="s">
        <v>37960</v>
      </c>
      <c r="D12668" t="str">
        <f>HYPERLINK("https://zfin.org/ZDB-GENE-131121-257")</f>
        <v>https://zfin.org/ZDB-GENE-131121-257</v>
      </c>
      <c r="E12668" t="s">
        <v>37961</v>
      </c>
    </row>
    <row r="12669" spans="1:5" x14ac:dyDescent="0.2">
      <c r="A12669" t="s">
        <v>37962</v>
      </c>
      <c r="B12669" t="s">
        <v>37963</v>
      </c>
      <c r="C12669" t="s">
        <v>37963</v>
      </c>
      <c r="D12669" t="str">
        <f>HYPERLINK("https://zfin.org/ZDB-GENE-050913-30")</f>
        <v>https://zfin.org/ZDB-GENE-050913-30</v>
      </c>
      <c r="E12669" t="s">
        <v>37964</v>
      </c>
    </row>
    <row r="12670" spans="1:5" x14ac:dyDescent="0.2">
      <c r="A12670" t="s">
        <v>37965</v>
      </c>
      <c r="B12670" t="s">
        <v>37966</v>
      </c>
      <c r="C12670" t="s">
        <v>37966</v>
      </c>
      <c r="D12670" t="str">
        <f>HYPERLINK("https://zfin.org/ZDB-GENE-991008-9")</f>
        <v>https://zfin.org/ZDB-GENE-991008-9</v>
      </c>
      <c r="E12670" t="s">
        <v>37967</v>
      </c>
    </row>
    <row r="12671" spans="1:5" x14ac:dyDescent="0.2">
      <c r="A12671" t="s">
        <v>37968</v>
      </c>
      <c r="B12671" t="s">
        <v>37969</v>
      </c>
      <c r="C12671" t="s">
        <v>37969</v>
      </c>
      <c r="D12671" t="str">
        <f>HYPERLINK("https://zfin.org/ZDB-GENE-030131-2785")</f>
        <v>https://zfin.org/ZDB-GENE-030131-2785</v>
      </c>
      <c r="E12671" t="s">
        <v>37970</v>
      </c>
    </row>
    <row r="12672" spans="1:5" x14ac:dyDescent="0.2">
      <c r="A12672" t="s">
        <v>37971</v>
      </c>
      <c r="B12672" t="s">
        <v>37972</v>
      </c>
      <c r="C12672" t="s">
        <v>37972</v>
      </c>
      <c r="D12672" t="str">
        <f>HYPERLINK("https://zfin.org/ZDB-GENE-040109-4")</f>
        <v>https://zfin.org/ZDB-GENE-040109-4</v>
      </c>
      <c r="E12672" t="s">
        <v>37973</v>
      </c>
    </row>
    <row r="12673" spans="1:5" x14ac:dyDescent="0.2">
      <c r="A12673" t="s">
        <v>37974</v>
      </c>
      <c r="B12673" t="s">
        <v>37975</v>
      </c>
      <c r="C12673" t="s">
        <v>37975</v>
      </c>
      <c r="D12673" t="str">
        <f>HYPERLINK("https://zfin.org/ZDB-GENE-060929-80")</f>
        <v>https://zfin.org/ZDB-GENE-060929-80</v>
      </c>
      <c r="E12673" t="s">
        <v>37976</v>
      </c>
    </row>
    <row r="12674" spans="1:5" x14ac:dyDescent="0.2">
      <c r="A12674" t="s">
        <v>37977</v>
      </c>
      <c r="B12674" t="s">
        <v>37978</v>
      </c>
      <c r="C12674" t="s">
        <v>37978</v>
      </c>
      <c r="D12674" t="str">
        <f>HYPERLINK("https://zfin.org/ZDB-GENE-041114-107")</f>
        <v>https://zfin.org/ZDB-GENE-041114-107</v>
      </c>
      <c r="E12674" t="s">
        <v>37979</v>
      </c>
    </row>
    <row r="12675" spans="1:5" x14ac:dyDescent="0.2">
      <c r="A12675" t="s">
        <v>37980</v>
      </c>
      <c r="B12675" t="s">
        <v>37981</v>
      </c>
      <c r="C12675" t="s">
        <v>37981</v>
      </c>
      <c r="D12675" t="str">
        <f>HYPERLINK("https://zfin.org/ZDB-GENE-041111-226")</f>
        <v>https://zfin.org/ZDB-GENE-041111-226</v>
      </c>
      <c r="E12675" t="s">
        <v>37982</v>
      </c>
    </row>
    <row r="12676" spans="1:5" x14ac:dyDescent="0.2">
      <c r="A12676" t="s">
        <v>37983</v>
      </c>
      <c r="B12676" t="s">
        <v>37984</v>
      </c>
      <c r="C12676" t="s">
        <v>37984</v>
      </c>
      <c r="D12676" t="str">
        <f>HYPERLINK("https://zfin.org/ZDB-GENE-100112-1")</f>
        <v>https://zfin.org/ZDB-GENE-100112-1</v>
      </c>
      <c r="E12676" t="s">
        <v>37985</v>
      </c>
    </row>
    <row r="12677" spans="1:5" x14ac:dyDescent="0.2">
      <c r="A12677" t="s">
        <v>37986</v>
      </c>
      <c r="B12677" t="s">
        <v>14513</v>
      </c>
      <c r="C12677" t="s">
        <v>37987</v>
      </c>
      <c r="D12677" t="str">
        <f>HYPERLINK("https://zfin.org/ZDB-GENE-091204-428")</f>
        <v>https://zfin.org/ZDB-GENE-091204-428</v>
      </c>
      <c r="E12677" t="s">
        <v>14514</v>
      </c>
    </row>
    <row r="12678" spans="1:5" x14ac:dyDescent="0.2">
      <c r="A12678" t="s">
        <v>37988</v>
      </c>
      <c r="B12678" t="s">
        <v>37989</v>
      </c>
      <c r="C12678" t="s">
        <v>37989</v>
      </c>
      <c r="D12678" t="str">
        <f>HYPERLINK("https://zfin.org/ZDB-GENE-040426-59")</f>
        <v>https://zfin.org/ZDB-GENE-040426-59</v>
      </c>
      <c r="E12678" t="s">
        <v>37990</v>
      </c>
    </row>
    <row r="12679" spans="1:5" x14ac:dyDescent="0.2">
      <c r="A12679" t="s">
        <v>37991</v>
      </c>
      <c r="B12679" t="s">
        <v>37992</v>
      </c>
      <c r="C12679" t="s">
        <v>37992</v>
      </c>
      <c r="D12679" t="str">
        <f>HYPERLINK("https://zfin.org/ZDB-GENE-050318-7")</f>
        <v>https://zfin.org/ZDB-GENE-050318-7</v>
      </c>
      <c r="E12679" t="s">
        <v>37993</v>
      </c>
    </row>
    <row r="12680" spans="1:5" x14ac:dyDescent="0.2">
      <c r="A12680" t="s">
        <v>37994</v>
      </c>
      <c r="B12680" t="s">
        <v>37995</v>
      </c>
      <c r="C12680" t="s">
        <v>37995</v>
      </c>
      <c r="D12680" t="str">
        <f>HYPERLINK("https://zfin.org/ZDB-GENE-021210-1")</f>
        <v>https://zfin.org/ZDB-GENE-021210-1</v>
      </c>
      <c r="E12680" t="s">
        <v>37996</v>
      </c>
    </row>
    <row r="12681" spans="1:5" x14ac:dyDescent="0.2">
      <c r="A12681" t="s">
        <v>37997</v>
      </c>
      <c r="B12681" t="s">
        <v>37998</v>
      </c>
      <c r="C12681" t="s">
        <v>37998</v>
      </c>
      <c r="D12681" t="str">
        <f>HYPERLINK("https://zfin.org/ZDB-GENE-011109-1")</f>
        <v>https://zfin.org/ZDB-GENE-011109-1</v>
      </c>
      <c r="E12681" t="s">
        <v>37999</v>
      </c>
    </row>
    <row r="12682" spans="1:5" x14ac:dyDescent="0.2">
      <c r="A12682" t="s">
        <v>38000</v>
      </c>
      <c r="B12682" t="s">
        <v>38001</v>
      </c>
      <c r="C12682" t="s">
        <v>38001</v>
      </c>
      <c r="D12682" t="str">
        <f>HYPERLINK("https://zfin.org/ZDB-GENE-020503-1")</f>
        <v>https://zfin.org/ZDB-GENE-020503-1</v>
      </c>
      <c r="E12682" t="s">
        <v>38002</v>
      </c>
    </row>
    <row r="12683" spans="1:5" x14ac:dyDescent="0.2">
      <c r="A12683" t="s">
        <v>38003</v>
      </c>
      <c r="B12683" t="s">
        <v>38004</v>
      </c>
      <c r="C12683" t="s">
        <v>38004</v>
      </c>
      <c r="D12683" t="str">
        <f>HYPERLINK("https://zfin.org/ZDB-GENE-140820-8")</f>
        <v>https://zfin.org/ZDB-GENE-140820-8</v>
      </c>
      <c r="E12683" t="s">
        <v>38005</v>
      </c>
    </row>
    <row r="12684" spans="1:5" x14ac:dyDescent="0.2">
      <c r="A12684" t="s">
        <v>38006</v>
      </c>
      <c r="B12684" t="s">
        <v>38007</v>
      </c>
      <c r="C12684" t="s">
        <v>38007</v>
      </c>
      <c r="D12684" t="str">
        <f>HYPERLINK("https://zfin.org/ZDB-GENE-041008-103")</f>
        <v>https://zfin.org/ZDB-GENE-041008-103</v>
      </c>
      <c r="E12684" t="s">
        <v>38008</v>
      </c>
    </row>
    <row r="12685" spans="1:5" x14ac:dyDescent="0.2">
      <c r="A12685" t="s">
        <v>38009</v>
      </c>
      <c r="B12685" t="s">
        <v>38010</v>
      </c>
      <c r="C12685" t="s">
        <v>38010</v>
      </c>
      <c r="D12685" t="str">
        <f>HYPERLINK("https://zfin.org/ZDB-GENE-040718-299")</f>
        <v>https://zfin.org/ZDB-GENE-040718-299</v>
      </c>
      <c r="E12685" t="s">
        <v>38011</v>
      </c>
    </row>
    <row r="12686" spans="1:5" x14ac:dyDescent="0.2">
      <c r="A12686" t="s">
        <v>38012</v>
      </c>
      <c r="B12686" t="s">
        <v>38013</v>
      </c>
      <c r="C12686" t="s">
        <v>38013</v>
      </c>
      <c r="D12686" t="str">
        <f>HYPERLINK("https://zfin.org/ZDB-GENE-130530-641")</f>
        <v>https://zfin.org/ZDB-GENE-130530-641</v>
      </c>
      <c r="E12686" t="s">
        <v>38014</v>
      </c>
    </row>
    <row r="12687" spans="1:5" x14ac:dyDescent="0.2">
      <c r="A12687" t="s">
        <v>38015</v>
      </c>
      <c r="B12687" t="s">
        <v>38016</v>
      </c>
      <c r="C12687" t="s">
        <v>38016</v>
      </c>
      <c r="D12687" t="str">
        <f>HYPERLINK("https://zfin.org/ZDB-GENE-031006-9")</f>
        <v>https://zfin.org/ZDB-GENE-031006-9</v>
      </c>
      <c r="E12687" t="s">
        <v>38017</v>
      </c>
    </row>
    <row r="12688" spans="1:5" x14ac:dyDescent="0.2">
      <c r="A12688" t="s">
        <v>38018</v>
      </c>
      <c r="B12688" t="s">
        <v>38019</v>
      </c>
      <c r="C12688" t="s">
        <v>38019</v>
      </c>
      <c r="D12688" t="str">
        <f>HYPERLINK("https://zfin.org/ZDB-GENE-990415-136")</f>
        <v>https://zfin.org/ZDB-GENE-990415-136</v>
      </c>
      <c r="E12688" t="s">
        <v>38020</v>
      </c>
    </row>
    <row r="12689" spans="1:5" x14ac:dyDescent="0.2">
      <c r="A12689" t="s">
        <v>38021</v>
      </c>
      <c r="B12689" t="s">
        <v>38022</v>
      </c>
      <c r="C12689" t="s">
        <v>38022</v>
      </c>
      <c r="D12689" t="str">
        <f>HYPERLINK("https://zfin.org/ZDB-GENE-030721-2")</f>
        <v>https://zfin.org/ZDB-GENE-030721-2</v>
      </c>
      <c r="E12689" t="s">
        <v>38023</v>
      </c>
    </row>
    <row r="12690" spans="1:5" x14ac:dyDescent="0.2">
      <c r="A12690" t="s">
        <v>38024</v>
      </c>
      <c r="B12690" t="s">
        <v>38025</v>
      </c>
      <c r="C12690" t="s">
        <v>38025</v>
      </c>
      <c r="D12690" t="str">
        <f>HYPERLINK("https://zfin.org/ZDB-GENE-060929-104")</f>
        <v>https://zfin.org/ZDB-GENE-060929-104</v>
      </c>
      <c r="E12690" t="s">
        <v>38026</v>
      </c>
    </row>
    <row r="12691" spans="1:5" x14ac:dyDescent="0.2">
      <c r="A12691" t="s">
        <v>38027</v>
      </c>
      <c r="B12691" t="s">
        <v>38028</v>
      </c>
      <c r="C12691" t="s">
        <v>38028</v>
      </c>
      <c r="D12691" t="str">
        <f>HYPERLINK("https://zfin.org/ZDB-GENE-100322-1")</f>
        <v>https://zfin.org/ZDB-GENE-100322-1</v>
      </c>
      <c r="E12691" t="s">
        <v>38029</v>
      </c>
    </row>
    <row r="12692" spans="1:5" x14ac:dyDescent="0.2">
      <c r="A12692" t="s">
        <v>38030</v>
      </c>
      <c r="B12692" t="s">
        <v>38031</v>
      </c>
      <c r="C12692" t="s">
        <v>38031</v>
      </c>
      <c r="D12692" t="str">
        <f>HYPERLINK("https://zfin.org/ZDB-GENE-060929-452")</f>
        <v>https://zfin.org/ZDB-GENE-060929-452</v>
      </c>
      <c r="E12692" t="s">
        <v>38032</v>
      </c>
    </row>
    <row r="12693" spans="1:5" x14ac:dyDescent="0.2">
      <c r="A12693" t="s">
        <v>38033</v>
      </c>
      <c r="B12693" t="s">
        <v>38034</v>
      </c>
      <c r="C12693" t="s">
        <v>38034</v>
      </c>
      <c r="D12693" t="str">
        <f>HYPERLINK("https://zfin.org/ZDB-GENE-040516-11")</f>
        <v>https://zfin.org/ZDB-GENE-040516-11</v>
      </c>
      <c r="E12693" t="s">
        <v>38035</v>
      </c>
    </row>
    <row r="12694" spans="1:5" x14ac:dyDescent="0.2">
      <c r="A12694" t="s">
        <v>38036</v>
      </c>
      <c r="B12694" t="s">
        <v>38037</v>
      </c>
      <c r="C12694" t="s">
        <v>38037</v>
      </c>
      <c r="D12694" t="str">
        <f>HYPERLINK("https://zfin.org/ZDB-GENE-120411-14")</f>
        <v>https://zfin.org/ZDB-GENE-120411-14</v>
      </c>
      <c r="E12694" t="s">
        <v>38038</v>
      </c>
    </row>
    <row r="12695" spans="1:5" x14ac:dyDescent="0.2">
      <c r="A12695" t="s">
        <v>38039</v>
      </c>
      <c r="B12695" t="s">
        <v>38040</v>
      </c>
      <c r="C12695" t="s">
        <v>38040</v>
      </c>
      <c r="D12695" t="str">
        <f>HYPERLINK("https://zfin.org/ZDB-GENE-060503-398")</f>
        <v>https://zfin.org/ZDB-GENE-060503-398</v>
      </c>
      <c r="E12695" t="s">
        <v>38041</v>
      </c>
    </row>
    <row r="12696" spans="1:5" x14ac:dyDescent="0.2">
      <c r="A12696" t="s">
        <v>38042</v>
      </c>
      <c r="B12696" t="s">
        <v>38043</v>
      </c>
      <c r="C12696" t="s">
        <v>38043</v>
      </c>
      <c r="D12696" t="str">
        <f>HYPERLINK("https://zfin.org/ZDB-GENE-060531-36")</f>
        <v>https://zfin.org/ZDB-GENE-060531-36</v>
      </c>
      <c r="E12696" t="s">
        <v>38044</v>
      </c>
    </row>
    <row r="12697" spans="1:5" x14ac:dyDescent="0.2">
      <c r="A12697" t="s">
        <v>38045</v>
      </c>
      <c r="B12697" t="s">
        <v>38046</v>
      </c>
      <c r="C12697" t="s">
        <v>38046</v>
      </c>
      <c r="D12697" t="str">
        <f>HYPERLINK("https://zfin.org/ZDB-GENE-040718-36")</f>
        <v>https://zfin.org/ZDB-GENE-040718-36</v>
      </c>
      <c r="E12697" t="s">
        <v>38047</v>
      </c>
    </row>
    <row r="12698" spans="1:5" x14ac:dyDescent="0.2">
      <c r="A12698" t="s">
        <v>38048</v>
      </c>
      <c r="B12698" t="s">
        <v>38049</v>
      </c>
      <c r="C12698" t="s">
        <v>38049</v>
      </c>
      <c r="D12698" t="str">
        <f>HYPERLINK("https://zfin.org/ZDB-GENE-090313-413")</f>
        <v>https://zfin.org/ZDB-GENE-090313-413</v>
      </c>
      <c r="E12698" t="s">
        <v>38050</v>
      </c>
    </row>
    <row r="12699" spans="1:5" x14ac:dyDescent="0.2">
      <c r="A12699" t="s">
        <v>38051</v>
      </c>
      <c r="B12699" t="s">
        <v>38052</v>
      </c>
      <c r="C12699" t="s">
        <v>38052</v>
      </c>
      <c r="D12699" t="str">
        <f>HYPERLINK("https://zfin.org/ZDB-GENE-020419-4")</f>
        <v>https://zfin.org/ZDB-GENE-020419-4</v>
      </c>
      <c r="E12699" t="s">
        <v>38053</v>
      </c>
    </row>
    <row r="12700" spans="1:5" x14ac:dyDescent="0.2">
      <c r="A12700" t="s">
        <v>38054</v>
      </c>
      <c r="B12700" t="s">
        <v>38055</v>
      </c>
      <c r="C12700" t="s">
        <v>38055</v>
      </c>
      <c r="D12700" t="str">
        <f>HYPERLINK("https://zfin.org/ZDB-GENE-041111-185")</f>
        <v>https://zfin.org/ZDB-GENE-041111-185</v>
      </c>
      <c r="E12700" t="s">
        <v>38056</v>
      </c>
    </row>
    <row r="12701" spans="1:5" x14ac:dyDescent="0.2">
      <c r="A12701" t="s">
        <v>38057</v>
      </c>
      <c r="B12701" t="s">
        <v>38058</v>
      </c>
      <c r="C12701" t="s">
        <v>38058</v>
      </c>
      <c r="D12701" t="str">
        <f>HYPERLINK("https://zfin.org/ZDB-GENE-120214-17")</f>
        <v>https://zfin.org/ZDB-GENE-120214-17</v>
      </c>
      <c r="E12701" t="s">
        <v>38059</v>
      </c>
    </row>
    <row r="12702" spans="1:5" x14ac:dyDescent="0.2">
      <c r="A12702" t="s">
        <v>38060</v>
      </c>
      <c r="B12702" t="s">
        <v>38061</v>
      </c>
      <c r="C12702" t="s">
        <v>38061</v>
      </c>
      <c r="D12702" t="str">
        <f>HYPERLINK("https://zfin.org/ZDB-GENE-041111-213")</f>
        <v>https://zfin.org/ZDB-GENE-041111-213</v>
      </c>
      <c r="E12702" t="s">
        <v>38062</v>
      </c>
    </row>
    <row r="12703" spans="1:5" x14ac:dyDescent="0.2">
      <c r="A12703" t="s">
        <v>38063</v>
      </c>
      <c r="B12703" t="s">
        <v>38064</v>
      </c>
      <c r="C12703" t="s">
        <v>38064</v>
      </c>
      <c r="D12703" t="str">
        <f>HYPERLINK("https://zfin.org/ZDB-GENE-030131-1007")</f>
        <v>https://zfin.org/ZDB-GENE-030131-1007</v>
      </c>
      <c r="E12703" t="s">
        <v>38065</v>
      </c>
    </row>
    <row r="12704" spans="1:5" x14ac:dyDescent="0.2">
      <c r="A12704" t="s">
        <v>38066</v>
      </c>
      <c r="B12704" t="s">
        <v>38067</v>
      </c>
      <c r="C12704" t="s">
        <v>38067</v>
      </c>
      <c r="D12704" t="str">
        <f>HYPERLINK("https://zfin.org/ZDB-GENE-000501-1")</f>
        <v>https://zfin.org/ZDB-GENE-000501-1</v>
      </c>
      <c r="E12704" t="s">
        <v>38068</v>
      </c>
    </row>
    <row r="12705" spans="1:5" x14ac:dyDescent="0.2">
      <c r="A12705" t="s">
        <v>38069</v>
      </c>
      <c r="B12705" t="s">
        <v>38070</v>
      </c>
      <c r="C12705" t="s">
        <v>38070</v>
      </c>
      <c r="D12705" t="str">
        <f>HYPERLINK("https://zfin.org/ZDB-GENE-040426-1341")</f>
        <v>https://zfin.org/ZDB-GENE-040426-1341</v>
      </c>
      <c r="E12705" t="s">
        <v>38071</v>
      </c>
    </row>
    <row r="12706" spans="1:5" x14ac:dyDescent="0.2">
      <c r="A12706" t="s">
        <v>38072</v>
      </c>
      <c r="B12706" t="s">
        <v>38073</v>
      </c>
      <c r="C12706" t="s">
        <v>38073</v>
      </c>
      <c r="D12706" t="str">
        <f>HYPERLINK("https://zfin.org/ZDB-GENE-010503-1")</f>
        <v>https://zfin.org/ZDB-GENE-010503-1</v>
      </c>
      <c r="E12706" t="s">
        <v>38074</v>
      </c>
    </row>
    <row r="12707" spans="1:5" x14ac:dyDescent="0.2">
      <c r="A12707" t="s">
        <v>38075</v>
      </c>
      <c r="B12707" t="s">
        <v>38076</v>
      </c>
      <c r="C12707" t="s">
        <v>38076</v>
      </c>
      <c r="D12707" t="str">
        <f>HYPERLINK("https://zfin.org/ZDB-GENE-030131-1421")</f>
        <v>https://zfin.org/ZDB-GENE-030131-1421</v>
      </c>
      <c r="E12707" t="s">
        <v>38077</v>
      </c>
    </row>
    <row r="12708" spans="1:5" x14ac:dyDescent="0.2">
      <c r="A12708" t="s">
        <v>38078</v>
      </c>
      <c r="B12708" t="s">
        <v>38079</v>
      </c>
      <c r="C12708" t="s">
        <v>38079</v>
      </c>
      <c r="D12708" t="str">
        <f>HYPERLINK("https://zfin.org/ZDB-GENE-080219-31")</f>
        <v>https://zfin.org/ZDB-GENE-080219-31</v>
      </c>
      <c r="E12708" t="s">
        <v>38080</v>
      </c>
    </row>
    <row r="12709" spans="1:5" x14ac:dyDescent="0.2">
      <c r="A12709" t="s">
        <v>38081</v>
      </c>
      <c r="B12709" t="s">
        <v>38082</v>
      </c>
      <c r="C12709" t="s">
        <v>38082</v>
      </c>
      <c r="D12709" t="str">
        <f>HYPERLINK("https://zfin.org/ZDB-GENE-041001-192")</f>
        <v>https://zfin.org/ZDB-GENE-041001-192</v>
      </c>
      <c r="E12709" t="s">
        <v>38083</v>
      </c>
    </row>
    <row r="12710" spans="1:5" x14ac:dyDescent="0.2">
      <c r="A12710" t="s">
        <v>38084</v>
      </c>
      <c r="B12710" t="s">
        <v>38085</v>
      </c>
      <c r="C12710" t="s">
        <v>38085</v>
      </c>
      <c r="D12710" t="str">
        <f>HYPERLINK("https://zfin.org/ZDB-GENE-060810-113")</f>
        <v>https://zfin.org/ZDB-GENE-060810-113</v>
      </c>
      <c r="E12710" t="s">
        <v>38086</v>
      </c>
    </row>
    <row r="12711" spans="1:5" x14ac:dyDescent="0.2">
      <c r="A12711" t="s">
        <v>38087</v>
      </c>
      <c r="B12711" t="s">
        <v>38088</v>
      </c>
      <c r="C12711" t="s">
        <v>38088</v>
      </c>
      <c r="D12711" t="str">
        <f>HYPERLINK("https://zfin.org/ZDB-GENE-100922-6")</f>
        <v>https://zfin.org/ZDB-GENE-100922-6</v>
      </c>
      <c r="E12711" t="s">
        <v>38089</v>
      </c>
    </row>
    <row r="12712" spans="1:5" x14ac:dyDescent="0.2">
      <c r="A12712" t="s">
        <v>38090</v>
      </c>
      <c r="B12712" t="s">
        <v>38091</v>
      </c>
      <c r="C12712" t="s">
        <v>38091</v>
      </c>
      <c r="D12712" t="str">
        <f>HYPERLINK("https://zfin.org/ZDB-GENE-040426-1483")</f>
        <v>https://zfin.org/ZDB-GENE-040426-1483</v>
      </c>
      <c r="E12712" t="s">
        <v>38092</v>
      </c>
    </row>
    <row r="12713" spans="1:5" x14ac:dyDescent="0.2">
      <c r="A12713" t="s">
        <v>38093</v>
      </c>
      <c r="B12713" t="s">
        <v>38094</v>
      </c>
      <c r="C12713" t="s">
        <v>38094</v>
      </c>
      <c r="D12713" t="str">
        <f>HYPERLINK("https://zfin.org/ZDB-GENE-091113-61")</f>
        <v>https://zfin.org/ZDB-GENE-091113-61</v>
      </c>
      <c r="E12713" t="s">
        <v>38095</v>
      </c>
    </row>
    <row r="12714" spans="1:5" x14ac:dyDescent="0.2">
      <c r="A12714" t="s">
        <v>38096</v>
      </c>
      <c r="B12714" t="s">
        <v>38097</v>
      </c>
      <c r="C12714" t="s">
        <v>38097</v>
      </c>
      <c r="D12714" t="str">
        <f>HYPERLINK("https://zfin.org/ZDB-GENE-140820-10")</f>
        <v>https://zfin.org/ZDB-GENE-140820-10</v>
      </c>
      <c r="E12714" t="s">
        <v>38098</v>
      </c>
    </row>
    <row r="12715" spans="1:5" x14ac:dyDescent="0.2">
      <c r="A12715" t="s">
        <v>38099</v>
      </c>
      <c r="B12715" t="s">
        <v>38100</v>
      </c>
      <c r="C12715" t="s">
        <v>38100</v>
      </c>
      <c r="D12715" t="str">
        <f>HYPERLINK("https://zfin.org/ZDB-GENE-030131-7382")</f>
        <v>https://zfin.org/ZDB-GENE-030131-7382</v>
      </c>
      <c r="E12715" t="s">
        <v>38101</v>
      </c>
    </row>
    <row r="12716" spans="1:5" x14ac:dyDescent="0.2">
      <c r="A12716" t="s">
        <v>38102</v>
      </c>
      <c r="B12716" t="s">
        <v>38103</v>
      </c>
      <c r="C12716" t="s">
        <v>38103</v>
      </c>
      <c r="D12716" t="str">
        <f>HYPERLINK("https://zfin.org/ZDB-GENE-041014-18")</f>
        <v>https://zfin.org/ZDB-GENE-041014-18</v>
      </c>
      <c r="E12716" t="s">
        <v>38104</v>
      </c>
    </row>
    <row r="12717" spans="1:5" x14ac:dyDescent="0.2">
      <c r="A12717" t="s">
        <v>38105</v>
      </c>
      <c r="B12717" t="s">
        <v>38106</v>
      </c>
      <c r="C12717" t="s">
        <v>38106</v>
      </c>
      <c r="D12717" t="str">
        <f>HYPERLINK("https://zfin.org/ZDB-GENE-020402-3")</f>
        <v>https://zfin.org/ZDB-GENE-020402-3</v>
      </c>
      <c r="E12717" t="s">
        <v>38107</v>
      </c>
    </row>
    <row r="12718" spans="1:5" x14ac:dyDescent="0.2">
      <c r="A12718" t="s">
        <v>38108</v>
      </c>
      <c r="B12718" t="s">
        <v>38109</v>
      </c>
      <c r="C12718" t="s">
        <v>38109</v>
      </c>
      <c r="D12718" t="str">
        <f>HYPERLINK("https://zfin.org/ZDB-GENE-060503-386")</f>
        <v>https://zfin.org/ZDB-GENE-060503-386</v>
      </c>
      <c r="E12718" t="s">
        <v>38110</v>
      </c>
    </row>
    <row r="12719" spans="1:5" x14ac:dyDescent="0.2">
      <c r="A12719" t="s">
        <v>38111</v>
      </c>
      <c r="B12719" t="s">
        <v>38112</v>
      </c>
      <c r="C12719" t="s">
        <v>38112</v>
      </c>
      <c r="D12719" t="str">
        <f>HYPERLINK("https://zfin.org/ZDB-GENE-050306-50")</f>
        <v>https://zfin.org/ZDB-GENE-050306-50</v>
      </c>
      <c r="E12719" t="s">
        <v>38113</v>
      </c>
    </row>
    <row r="12720" spans="1:5" x14ac:dyDescent="0.2">
      <c r="A12720" t="s">
        <v>38114</v>
      </c>
      <c r="B12720" t="s">
        <v>38115</v>
      </c>
      <c r="C12720" t="s">
        <v>38115</v>
      </c>
      <c r="D12720" t="str">
        <f>HYPERLINK("https://zfin.org/ZDB-GENE-040426-1588")</f>
        <v>https://zfin.org/ZDB-GENE-040426-1588</v>
      </c>
      <c r="E12720" t="s">
        <v>38116</v>
      </c>
    </row>
    <row r="12721" spans="1:5" x14ac:dyDescent="0.2">
      <c r="A12721" t="s">
        <v>38117</v>
      </c>
      <c r="B12721" t="s">
        <v>38118</v>
      </c>
      <c r="C12721" t="s">
        <v>38118</v>
      </c>
      <c r="D12721" t="str">
        <f>HYPERLINK("https://zfin.org/ZDB-GENE-090312-192")</f>
        <v>https://zfin.org/ZDB-GENE-090312-192</v>
      </c>
      <c r="E12721" t="s">
        <v>38119</v>
      </c>
    </row>
    <row r="12722" spans="1:5" x14ac:dyDescent="0.2">
      <c r="A12722" t="s">
        <v>38120</v>
      </c>
      <c r="B12722" t="s">
        <v>38121</v>
      </c>
      <c r="C12722" t="s">
        <v>38121</v>
      </c>
      <c r="D12722" t="str">
        <f>HYPERLINK("https://zfin.org/ZDB-GENE-040808-42")</f>
        <v>https://zfin.org/ZDB-GENE-040808-42</v>
      </c>
      <c r="E12722" t="s">
        <v>38122</v>
      </c>
    </row>
    <row r="12723" spans="1:5" x14ac:dyDescent="0.2">
      <c r="A12723" t="s">
        <v>38123</v>
      </c>
      <c r="B12723" t="s">
        <v>38124</v>
      </c>
      <c r="C12723" t="s">
        <v>38124</v>
      </c>
      <c r="D12723" t="str">
        <f>HYPERLINK("https://zfin.org/ZDB-GENE-070619-5")</f>
        <v>https://zfin.org/ZDB-GENE-070619-5</v>
      </c>
      <c r="E12723" t="s">
        <v>38125</v>
      </c>
    </row>
    <row r="12724" spans="1:5" x14ac:dyDescent="0.2">
      <c r="A12724" t="s">
        <v>38126</v>
      </c>
      <c r="B12724" t="s">
        <v>38127</v>
      </c>
      <c r="C12724" t="s">
        <v>38127</v>
      </c>
      <c r="D12724" t="str">
        <f>HYPERLINK("https://zfin.org/ZDB-GENE-120214-8")</f>
        <v>https://zfin.org/ZDB-GENE-120214-8</v>
      </c>
      <c r="E12724" t="s">
        <v>38128</v>
      </c>
    </row>
    <row r="12725" spans="1:5" x14ac:dyDescent="0.2">
      <c r="A12725" t="s">
        <v>38129</v>
      </c>
      <c r="B12725" t="s">
        <v>38130</v>
      </c>
      <c r="C12725" t="s">
        <v>38130</v>
      </c>
      <c r="D12725" t="str">
        <f>HYPERLINK("https://zfin.org/ZDB-GENE-080201-1")</f>
        <v>https://zfin.org/ZDB-GENE-080201-1</v>
      </c>
      <c r="E12725" t="s">
        <v>38131</v>
      </c>
    </row>
    <row r="12726" spans="1:5" x14ac:dyDescent="0.2">
      <c r="A12726" t="s">
        <v>38132</v>
      </c>
      <c r="B12726" t="s">
        <v>38133</v>
      </c>
      <c r="C12726" t="s">
        <v>38133</v>
      </c>
      <c r="D12726" t="str">
        <f>HYPERLINK("https://zfin.org/ZDB-GENE-060103-1")</f>
        <v>https://zfin.org/ZDB-GENE-060103-1</v>
      </c>
      <c r="E12726" t="s">
        <v>38134</v>
      </c>
    </row>
    <row r="12727" spans="1:5" x14ac:dyDescent="0.2">
      <c r="A12727" t="s">
        <v>38135</v>
      </c>
      <c r="B12727" t="s">
        <v>38136</v>
      </c>
      <c r="C12727" t="s">
        <v>38136</v>
      </c>
      <c r="D12727" t="str">
        <f>HYPERLINK("https://zfin.org/ZDB-GENE-070820-6")</f>
        <v>https://zfin.org/ZDB-GENE-070820-6</v>
      </c>
      <c r="E12727" t="s">
        <v>38137</v>
      </c>
    </row>
    <row r="12728" spans="1:5" x14ac:dyDescent="0.2">
      <c r="A12728" t="s">
        <v>38138</v>
      </c>
      <c r="B12728" t="s">
        <v>38139</v>
      </c>
      <c r="C12728" t="s">
        <v>38139</v>
      </c>
      <c r="D12728" t="str">
        <f>HYPERLINK("https://zfin.org/ZDB-GENE-060824-2")</f>
        <v>https://zfin.org/ZDB-GENE-060824-2</v>
      </c>
      <c r="E12728" t="s">
        <v>38140</v>
      </c>
    </row>
    <row r="12729" spans="1:5" x14ac:dyDescent="0.2">
      <c r="A12729" t="s">
        <v>38141</v>
      </c>
      <c r="B12729" t="s">
        <v>38142</v>
      </c>
      <c r="C12729" t="s">
        <v>38142</v>
      </c>
      <c r="D12729" t="str">
        <f>HYPERLINK("https://zfin.org/ZDB-GENE-100922-25")</f>
        <v>https://zfin.org/ZDB-GENE-100922-25</v>
      </c>
      <c r="E12729" t="s">
        <v>38143</v>
      </c>
    </row>
    <row r="12730" spans="1:5" x14ac:dyDescent="0.2">
      <c r="A12730" t="s">
        <v>38144</v>
      </c>
      <c r="B12730" t="s">
        <v>38145</v>
      </c>
      <c r="C12730" t="s">
        <v>38145</v>
      </c>
      <c r="D12730" t="str">
        <f>HYPERLINK("https://zfin.org/ZDB-GENE-100921-58")</f>
        <v>https://zfin.org/ZDB-GENE-100921-58</v>
      </c>
      <c r="E12730" t="s">
        <v>38146</v>
      </c>
    </row>
    <row r="12731" spans="1:5" x14ac:dyDescent="0.2">
      <c r="A12731" t="s">
        <v>38147</v>
      </c>
      <c r="B12731" t="s">
        <v>38148</v>
      </c>
      <c r="C12731" t="s">
        <v>38148</v>
      </c>
      <c r="D12731" t="str">
        <f>HYPERLINK("https://zfin.org/ZDB-GENE-121214-272")</f>
        <v>https://zfin.org/ZDB-GENE-121214-272</v>
      </c>
      <c r="E12731" t="s">
        <v>38149</v>
      </c>
    </row>
    <row r="12732" spans="1:5" x14ac:dyDescent="0.2">
      <c r="A12732" t="s">
        <v>38150</v>
      </c>
      <c r="B12732" t="s">
        <v>38151</v>
      </c>
      <c r="C12732" t="s">
        <v>38151</v>
      </c>
      <c r="D12732" t="str">
        <f>HYPERLINK("https://zfin.org/ZDB-GENE-050208-798")</f>
        <v>https://zfin.org/ZDB-GENE-050208-798</v>
      </c>
      <c r="E12732" t="s">
        <v>38152</v>
      </c>
    </row>
    <row r="12733" spans="1:5" x14ac:dyDescent="0.2">
      <c r="A12733" t="s">
        <v>38153</v>
      </c>
      <c r="B12733" t="s">
        <v>38154</v>
      </c>
      <c r="C12733" t="s">
        <v>38154</v>
      </c>
      <c r="D12733" t="str">
        <f>HYPERLINK("https://zfin.org/ZDB-GENE-040122-4")</f>
        <v>https://zfin.org/ZDB-GENE-040122-4</v>
      </c>
      <c r="E12733" t="s">
        <v>38155</v>
      </c>
    </row>
    <row r="12734" spans="1:5" x14ac:dyDescent="0.2">
      <c r="A12734" t="s">
        <v>38156</v>
      </c>
      <c r="B12734" t="s">
        <v>38157</v>
      </c>
      <c r="C12734" t="s">
        <v>38157</v>
      </c>
      <c r="D12734" t="str">
        <f>HYPERLINK("https://zfin.org/ZDB-GENE-030131-9632")</f>
        <v>https://zfin.org/ZDB-GENE-030131-9632</v>
      </c>
      <c r="E12734" t="s">
        <v>38158</v>
      </c>
    </row>
    <row r="12735" spans="1:5" x14ac:dyDescent="0.2">
      <c r="A12735" t="s">
        <v>38159</v>
      </c>
      <c r="B12735" t="s">
        <v>38160</v>
      </c>
      <c r="C12735" t="s">
        <v>38160</v>
      </c>
      <c r="D12735" t="str">
        <f>HYPERLINK("https://zfin.org/ZDB-GENE-091117-31")</f>
        <v>https://zfin.org/ZDB-GENE-091117-31</v>
      </c>
      <c r="E12735" t="s">
        <v>38161</v>
      </c>
    </row>
    <row r="12736" spans="1:5" x14ac:dyDescent="0.2">
      <c r="A12736" t="s">
        <v>38162</v>
      </c>
      <c r="B12736" t="s">
        <v>38163</v>
      </c>
      <c r="C12736" t="s">
        <v>38163</v>
      </c>
      <c r="D12736" t="str">
        <f>HYPERLINK("https://zfin.org/ZDB-GENE-030131-666")</f>
        <v>https://zfin.org/ZDB-GENE-030131-666</v>
      </c>
      <c r="E12736" t="s">
        <v>38164</v>
      </c>
    </row>
    <row r="12737" spans="1:5" x14ac:dyDescent="0.2">
      <c r="A12737" t="s">
        <v>38165</v>
      </c>
      <c r="B12737" t="s">
        <v>38166</v>
      </c>
      <c r="C12737" t="s">
        <v>38166</v>
      </c>
      <c r="D12737" t="str">
        <f>HYPERLINK("https://zfin.org/ZDB-GENE-070912-501")</f>
        <v>https://zfin.org/ZDB-GENE-070912-501</v>
      </c>
      <c r="E12737" t="s">
        <v>38167</v>
      </c>
    </row>
    <row r="12738" spans="1:5" x14ac:dyDescent="0.2">
      <c r="A12738" t="s">
        <v>38168</v>
      </c>
      <c r="B12738" t="s">
        <v>38169</v>
      </c>
      <c r="C12738" t="s">
        <v>38169</v>
      </c>
      <c r="D12738" t="str">
        <f>HYPERLINK("https://zfin.org/ZDB-GENE-070705-88")</f>
        <v>https://zfin.org/ZDB-GENE-070705-88</v>
      </c>
      <c r="E12738" t="s">
        <v>38170</v>
      </c>
    </row>
    <row r="12739" spans="1:5" x14ac:dyDescent="0.2">
      <c r="A12739" t="s">
        <v>38171</v>
      </c>
      <c r="B12739" t="s">
        <v>38172</v>
      </c>
      <c r="C12739" t="s">
        <v>38172</v>
      </c>
      <c r="D12739" t="str">
        <f>HYPERLINK("https://zfin.org/ZDB-GENE-120328-3")</f>
        <v>https://zfin.org/ZDB-GENE-120328-3</v>
      </c>
      <c r="E12739" t="s">
        <v>38173</v>
      </c>
    </row>
    <row r="12740" spans="1:5" x14ac:dyDescent="0.2">
      <c r="A12740" t="s">
        <v>38174</v>
      </c>
      <c r="B12740" t="s">
        <v>38175</v>
      </c>
      <c r="C12740" t="s">
        <v>38175</v>
      </c>
      <c r="D12740" t="str">
        <f>HYPERLINK("https://zfin.org/ZDB-GENE-041114-103")</f>
        <v>https://zfin.org/ZDB-GENE-041114-103</v>
      </c>
      <c r="E12740" t="s">
        <v>38176</v>
      </c>
    </row>
    <row r="12741" spans="1:5" x14ac:dyDescent="0.2">
      <c r="A12741" t="s">
        <v>38177</v>
      </c>
      <c r="B12741" t="s">
        <v>38178</v>
      </c>
      <c r="C12741" t="s">
        <v>38178</v>
      </c>
      <c r="D12741" t="str">
        <f>HYPERLINK("https://zfin.org/ZDB-GENE-080305-9")</f>
        <v>https://zfin.org/ZDB-GENE-080305-9</v>
      </c>
      <c r="E12741" t="s">
        <v>38179</v>
      </c>
    </row>
    <row r="12742" spans="1:5" x14ac:dyDescent="0.2">
      <c r="A12742" t="s">
        <v>38180</v>
      </c>
      <c r="B12742" t="s">
        <v>38181</v>
      </c>
      <c r="C12742" t="s">
        <v>38181</v>
      </c>
      <c r="D12742" t="str">
        <f>HYPERLINK("https://zfin.org/ZDB-GENE-001207-3")</f>
        <v>https://zfin.org/ZDB-GENE-001207-3</v>
      </c>
      <c r="E12742" t="s">
        <v>38182</v>
      </c>
    </row>
    <row r="12743" spans="1:5" x14ac:dyDescent="0.2">
      <c r="A12743" t="s">
        <v>38183</v>
      </c>
      <c r="B12743" t="s">
        <v>38184</v>
      </c>
      <c r="C12743" t="s">
        <v>38184</v>
      </c>
      <c r="D12743" t="str">
        <f>HYPERLINK("https://zfin.org/ZDB-GENE-050208-367")</f>
        <v>https://zfin.org/ZDB-GENE-050208-367</v>
      </c>
      <c r="E12743" t="s">
        <v>38185</v>
      </c>
    </row>
    <row r="12744" spans="1:5" x14ac:dyDescent="0.2">
      <c r="A12744" t="s">
        <v>38186</v>
      </c>
      <c r="B12744" t="s">
        <v>38187</v>
      </c>
      <c r="C12744" t="s">
        <v>38187</v>
      </c>
      <c r="D12744" t="str">
        <f>HYPERLINK("https://zfin.org/ZDB-GENE-030131-5533")</f>
        <v>https://zfin.org/ZDB-GENE-030131-5533</v>
      </c>
      <c r="E12744" t="s">
        <v>38188</v>
      </c>
    </row>
    <row r="12745" spans="1:5" x14ac:dyDescent="0.2">
      <c r="A12745" t="s">
        <v>38189</v>
      </c>
      <c r="B12745" t="s">
        <v>38190</v>
      </c>
      <c r="C12745" t="s">
        <v>38190</v>
      </c>
      <c r="D12745" t="str">
        <f>HYPERLINK("https://zfin.org/ZDB-GENE-000405-3")</f>
        <v>https://zfin.org/ZDB-GENE-000405-3</v>
      </c>
      <c r="E12745" t="s">
        <v>38191</v>
      </c>
    </row>
    <row r="12746" spans="1:5" x14ac:dyDescent="0.2">
      <c r="A12746" t="s">
        <v>38192</v>
      </c>
      <c r="B12746" t="s">
        <v>38193</v>
      </c>
      <c r="C12746" t="s">
        <v>38193</v>
      </c>
      <c r="D12746" t="str">
        <f>HYPERLINK("https://zfin.org/ZDB-GENE-030131-7479")</f>
        <v>https://zfin.org/ZDB-GENE-030131-7479</v>
      </c>
      <c r="E12746" t="s">
        <v>38194</v>
      </c>
    </row>
    <row r="12747" spans="1:5" x14ac:dyDescent="0.2">
      <c r="A12747" t="s">
        <v>38195</v>
      </c>
      <c r="B12747" t="s">
        <v>38196</v>
      </c>
      <c r="C12747" t="s">
        <v>38196</v>
      </c>
      <c r="D12747" t="str">
        <f>HYPERLINK("https://zfin.org/ZDB-GENE-110914-221")</f>
        <v>https://zfin.org/ZDB-GENE-110914-221</v>
      </c>
      <c r="E12747" t="s">
        <v>38197</v>
      </c>
    </row>
    <row r="12748" spans="1:5" x14ac:dyDescent="0.2">
      <c r="A12748" t="s">
        <v>38198</v>
      </c>
      <c r="B12748" t="s">
        <v>38199</v>
      </c>
      <c r="C12748" t="s">
        <v>38199</v>
      </c>
      <c r="D12748" t="str">
        <f>HYPERLINK("https://zfin.org/ZDB-GENE-081104-366")</f>
        <v>https://zfin.org/ZDB-GENE-081104-366</v>
      </c>
      <c r="E12748" t="s">
        <v>38200</v>
      </c>
    </row>
    <row r="12749" spans="1:5" x14ac:dyDescent="0.2">
      <c r="A12749" t="s">
        <v>38201</v>
      </c>
      <c r="B12749" t="s">
        <v>38202</v>
      </c>
      <c r="C12749" t="s">
        <v>38202</v>
      </c>
      <c r="D12749" t="str">
        <f>HYPERLINK("https://zfin.org/ZDB-GENE-060512-329")</f>
        <v>https://zfin.org/ZDB-GENE-060512-329</v>
      </c>
      <c r="E12749" t="s">
        <v>38203</v>
      </c>
    </row>
    <row r="12750" spans="1:5" x14ac:dyDescent="0.2">
      <c r="A12750" t="s">
        <v>38204</v>
      </c>
      <c r="B12750" t="s">
        <v>38205</v>
      </c>
      <c r="C12750" t="s">
        <v>38205</v>
      </c>
      <c r="D12750" t="str">
        <f>HYPERLINK("https://zfin.org/ZDB-GENE-080303-29")</f>
        <v>https://zfin.org/ZDB-GENE-080303-29</v>
      </c>
      <c r="E12750" t="s">
        <v>38206</v>
      </c>
    </row>
    <row r="12751" spans="1:5" x14ac:dyDescent="0.2">
      <c r="A12751" t="s">
        <v>38207</v>
      </c>
      <c r="B12751" t="s">
        <v>38208</v>
      </c>
      <c r="C12751" t="s">
        <v>38208</v>
      </c>
      <c r="D12751" t="str">
        <f>HYPERLINK("https://zfin.org/ZDB-GENE-040426-2329")</f>
        <v>https://zfin.org/ZDB-GENE-040426-2329</v>
      </c>
      <c r="E12751" t="s">
        <v>38209</v>
      </c>
    </row>
    <row r="12752" spans="1:5" x14ac:dyDescent="0.2">
      <c r="A12752" t="s">
        <v>38210</v>
      </c>
      <c r="B12752" t="s">
        <v>38211</v>
      </c>
      <c r="C12752" t="s">
        <v>38211</v>
      </c>
      <c r="D12752" t="str">
        <f>HYPERLINK("https://zfin.org/ZDB-GENE-050904-6")</f>
        <v>https://zfin.org/ZDB-GENE-050904-6</v>
      </c>
      <c r="E12752" t="s">
        <v>38212</v>
      </c>
    </row>
    <row r="12753" spans="1:5" x14ac:dyDescent="0.2">
      <c r="A12753" t="s">
        <v>38213</v>
      </c>
      <c r="B12753" t="s">
        <v>38214</v>
      </c>
      <c r="C12753" t="s">
        <v>38214</v>
      </c>
      <c r="D12753" t="str">
        <f>HYPERLINK("https://zfin.org/ZDB-GENE-070112-2092")</f>
        <v>https://zfin.org/ZDB-GENE-070112-2092</v>
      </c>
      <c r="E12753" t="s">
        <v>38215</v>
      </c>
    </row>
    <row r="12754" spans="1:5" x14ac:dyDescent="0.2">
      <c r="A12754" t="s">
        <v>38216</v>
      </c>
      <c r="B12754" t="s">
        <v>38217</v>
      </c>
      <c r="C12754" t="s">
        <v>38217</v>
      </c>
      <c r="D12754" t="str">
        <f>HYPERLINK("https://zfin.org/ZDB-GENE-040426-1932")</f>
        <v>https://zfin.org/ZDB-GENE-040426-1932</v>
      </c>
      <c r="E12754" t="s">
        <v>38218</v>
      </c>
    </row>
    <row r="12755" spans="1:5" x14ac:dyDescent="0.2">
      <c r="A12755" t="s">
        <v>38219</v>
      </c>
      <c r="B12755" t="s">
        <v>38220</v>
      </c>
      <c r="C12755" t="s">
        <v>38220</v>
      </c>
      <c r="D12755" t="str">
        <f>HYPERLINK("https://zfin.org/ZDB-GENE-030131-5931")</f>
        <v>https://zfin.org/ZDB-GENE-030131-5931</v>
      </c>
      <c r="E12755" t="s">
        <v>38221</v>
      </c>
    </row>
    <row r="12756" spans="1:5" x14ac:dyDescent="0.2">
      <c r="A12756" t="s">
        <v>38222</v>
      </c>
      <c r="B12756" t="s">
        <v>38223</v>
      </c>
      <c r="C12756" t="s">
        <v>38223</v>
      </c>
      <c r="D12756" t="str">
        <f>HYPERLINK("https://zfin.org/ZDB-GENE-110411-9")</f>
        <v>https://zfin.org/ZDB-GENE-110411-9</v>
      </c>
      <c r="E12756" t="s">
        <v>38224</v>
      </c>
    </row>
    <row r="12757" spans="1:5" x14ac:dyDescent="0.2">
      <c r="A12757" t="s">
        <v>38225</v>
      </c>
      <c r="B12757" t="s">
        <v>38226</v>
      </c>
      <c r="C12757" t="s">
        <v>38226</v>
      </c>
      <c r="D12757" t="str">
        <f>HYPERLINK("https://zfin.org/ZDB-GENE-050506-60")</f>
        <v>https://zfin.org/ZDB-GENE-050506-60</v>
      </c>
      <c r="E12757" t="s">
        <v>38227</v>
      </c>
    </row>
    <row r="12758" spans="1:5" x14ac:dyDescent="0.2">
      <c r="A12758" t="s">
        <v>38228</v>
      </c>
      <c r="B12758" t="s">
        <v>38229</v>
      </c>
      <c r="C12758" t="s">
        <v>38229</v>
      </c>
      <c r="D12758" t="str">
        <f>HYPERLINK("https://zfin.org/ZDB-GENE-061009-26")</f>
        <v>https://zfin.org/ZDB-GENE-061009-26</v>
      </c>
      <c r="E12758" t="s">
        <v>38230</v>
      </c>
    </row>
    <row r="12759" spans="1:5" x14ac:dyDescent="0.2">
      <c r="A12759" t="s">
        <v>38231</v>
      </c>
      <c r="B12759" t="s">
        <v>38232</v>
      </c>
      <c r="C12759" t="s">
        <v>38232</v>
      </c>
      <c r="D12759" t="str">
        <f>HYPERLINK("https://zfin.org/ZDB-GENE-050506-134")</f>
        <v>https://zfin.org/ZDB-GENE-050506-134</v>
      </c>
      <c r="E12759" t="s">
        <v>38233</v>
      </c>
    </row>
    <row r="12760" spans="1:5" x14ac:dyDescent="0.2">
      <c r="A12760" t="s">
        <v>38234</v>
      </c>
      <c r="B12760" t="s">
        <v>38235</v>
      </c>
      <c r="C12760" t="s">
        <v>38235</v>
      </c>
      <c r="D12760" t="str">
        <f>HYPERLINK("https://zfin.org/ZDB-GENE-020114-1")</f>
        <v>https://zfin.org/ZDB-GENE-020114-1</v>
      </c>
      <c r="E12760" t="s">
        <v>38236</v>
      </c>
    </row>
    <row r="12761" spans="1:5" x14ac:dyDescent="0.2">
      <c r="A12761" t="s">
        <v>38237</v>
      </c>
      <c r="B12761" t="s">
        <v>38238</v>
      </c>
      <c r="C12761" t="s">
        <v>38238</v>
      </c>
      <c r="D12761" t="str">
        <f>HYPERLINK("https://zfin.org/ZDB-GENE-110411-234")</f>
        <v>https://zfin.org/ZDB-GENE-110411-234</v>
      </c>
      <c r="E12761" t="s">
        <v>38239</v>
      </c>
    </row>
    <row r="12762" spans="1:5" x14ac:dyDescent="0.2">
      <c r="A12762" t="s">
        <v>38240</v>
      </c>
      <c r="B12762" t="s">
        <v>38241</v>
      </c>
      <c r="C12762" t="s">
        <v>38241</v>
      </c>
      <c r="D12762" t="str">
        <f>HYPERLINK("https://zfin.org/ZDB-GENE-040426-2137")</f>
        <v>https://zfin.org/ZDB-GENE-040426-2137</v>
      </c>
      <c r="E12762" t="s">
        <v>38242</v>
      </c>
    </row>
    <row r="12763" spans="1:5" x14ac:dyDescent="0.2">
      <c r="A12763" t="s">
        <v>38243</v>
      </c>
      <c r="B12763" t="s">
        <v>38244</v>
      </c>
      <c r="C12763" t="s">
        <v>38244</v>
      </c>
      <c r="D12763" t="str">
        <f>HYPERLINK("https://zfin.org/ZDB-GENE-140106-152")</f>
        <v>https://zfin.org/ZDB-GENE-140106-152</v>
      </c>
      <c r="E12763" t="s">
        <v>38245</v>
      </c>
    </row>
    <row r="12764" spans="1:5" x14ac:dyDescent="0.2">
      <c r="A12764" t="s">
        <v>38246</v>
      </c>
      <c r="B12764" t="s">
        <v>38247</v>
      </c>
      <c r="C12764" t="s">
        <v>38247</v>
      </c>
      <c r="D12764" t="str">
        <f>HYPERLINK("https://zfin.org/ZDB-GENE-141219-8")</f>
        <v>https://zfin.org/ZDB-GENE-141219-8</v>
      </c>
      <c r="E12764" t="s">
        <v>38248</v>
      </c>
    </row>
    <row r="12765" spans="1:5" x14ac:dyDescent="0.2">
      <c r="A12765" t="s">
        <v>38249</v>
      </c>
      <c r="B12765" t="s">
        <v>38250</v>
      </c>
      <c r="C12765" t="s">
        <v>38250</v>
      </c>
      <c r="D12765" t="str">
        <f>HYPERLINK("https://zfin.org/ZDB-GENE-040718-362")</f>
        <v>https://zfin.org/ZDB-GENE-040718-362</v>
      </c>
      <c r="E12765" t="s">
        <v>38251</v>
      </c>
    </row>
    <row r="12766" spans="1:5" x14ac:dyDescent="0.2">
      <c r="A12766" t="s">
        <v>38252</v>
      </c>
      <c r="B12766" t="s">
        <v>38253</v>
      </c>
      <c r="C12766" t="s">
        <v>38253</v>
      </c>
      <c r="D12766" t="str">
        <f>HYPERLINK("https://zfin.org/ZDB-GENE-070705-451")</f>
        <v>https://zfin.org/ZDB-GENE-070705-451</v>
      </c>
      <c r="E12766" t="s">
        <v>38254</v>
      </c>
    </row>
    <row r="12767" spans="1:5" x14ac:dyDescent="0.2">
      <c r="A12767" t="s">
        <v>38255</v>
      </c>
      <c r="B12767" t="s">
        <v>38256</v>
      </c>
      <c r="C12767" t="s">
        <v>38256</v>
      </c>
      <c r="D12767" t="str">
        <f>HYPERLINK("https://zfin.org/ZDB-GENE-030131-4347")</f>
        <v>https://zfin.org/ZDB-GENE-030131-4347</v>
      </c>
      <c r="E12767" t="s">
        <v>38257</v>
      </c>
    </row>
    <row r="12768" spans="1:5" x14ac:dyDescent="0.2">
      <c r="A12768" t="s">
        <v>38258</v>
      </c>
      <c r="B12768" t="s">
        <v>38259</v>
      </c>
      <c r="C12768" t="s">
        <v>38259</v>
      </c>
      <c r="D12768" t="str">
        <f>HYPERLINK("https://zfin.org/ZDB-GENE-030131-6301")</f>
        <v>https://zfin.org/ZDB-GENE-030131-6301</v>
      </c>
      <c r="E12768" t="s">
        <v>38260</v>
      </c>
    </row>
    <row r="12769" spans="1:5" x14ac:dyDescent="0.2">
      <c r="A12769" t="s">
        <v>38261</v>
      </c>
      <c r="B12769" t="s">
        <v>38262</v>
      </c>
      <c r="C12769" t="s">
        <v>38262</v>
      </c>
      <c r="D12769" t="str">
        <f>HYPERLINK("https://zfin.org/ZDB-GENE-030219-167")</f>
        <v>https://zfin.org/ZDB-GENE-030219-167</v>
      </c>
      <c r="E12769" t="s">
        <v>38263</v>
      </c>
    </row>
    <row r="12770" spans="1:5" x14ac:dyDescent="0.2">
      <c r="A12770" t="s">
        <v>38264</v>
      </c>
      <c r="B12770" t="s">
        <v>38265</v>
      </c>
      <c r="C12770" t="s">
        <v>38265</v>
      </c>
      <c r="D12770" t="str">
        <f>HYPERLINK("https://zfin.org/ZDB-GENE-030429-12")</f>
        <v>https://zfin.org/ZDB-GENE-030429-12</v>
      </c>
      <c r="E12770" t="s">
        <v>38266</v>
      </c>
    </row>
    <row r="12771" spans="1:5" x14ac:dyDescent="0.2">
      <c r="A12771" t="s">
        <v>38267</v>
      </c>
      <c r="B12771" t="s">
        <v>38268</v>
      </c>
      <c r="C12771" t="s">
        <v>38268</v>
      </c>
      <c r="D12771" t="str">
        <f>HYPERLINK("https://zfin.org/ZDB-GENE-141216-49")</f>
        <v>https://zfin.org/ZDB-GENE-141216-49</v>
      </c>
      <c r="E12771" t="s">
        <v>38269</v>
      </c>
    </row>
    <row r="12772" spans="1:5" x14ac:dyDescent="0.2">
      <c r="A12772" t="s">
        <v>38270</v>
      </c>
      <c r="B12772" t="s">
        <v>38271</v>
      </c>
      <c r="C12772" t="s">
        <v>38271</v>
      </c>
      <c r="D12772" t="str">
        <f>HYPERLINK("https://zfin.org/ZDB-GENE-041212-62")</f>
        <v>https://zfin.org/ZDB-GENE-041212-62</v>
      </c>
      <c r="E12772" t="s">
        <v>38272</v>
      </c>
    </row>
    <row r="12773" spans="1:5" x14ac:dyDescent="0.2">
      <c r="A12773" t="s">
        <v>38273</v>
      </c>
      <c r="B12773" t="s">
        <v>38274</v>
      </c>
      <c r="C12773" t="s">
        <v>38274</v>
      </c>
      <c r="D12773" t="str">
        <f>HYPERLINK("https://zfin.org/ZDB-GENE-050417-274")</f>
        <v>https://zfin.org/ZDB-GENE-050417-274</v>
      </c>
      <c r="E12773" t="s">
        <v>38275</v>
      </c>
    </row>
    <row r="12774" spans="1:5" x14ac:dyDescent="0.2">
      <c r="A12774" t="s">
        <v>38276</v>
      </c>
      <c r="B12774" t="s">
        <v>38277</v>
      </c>
      <c r="C12774" t="s">
        <v>38277</v>
      </c>
      <c r="D12774" t="str">
        <f>HYPERLINK("https://zfin.org/ZDB-GENE-051113-212")</f>
        <v>https://zfin.org/ZDB-GENE-051113-212</v>
      </c>
      <c r="E12774" t="s">
        <v>38278</v>
      </c>
    </row>
    <row r="12775" spans="1:5" x14ac:dyDescent="0.2">
      <c r="A12775" t="s">
        <v>38279</v>
      </c>
      <c r="B12775" t="s">
        <v>38280</v>
      </c>
      <c r="C12775" t="s">
        <v>38280</v>
      </c>
      <c r="D12775" t="str">
        <f>HYPERLINK("https://zfin.org/ZDB-GENE-030131-408")</f>
        <v>https://zfin.org/ZDB-GENE-030131-408</v>
      </c>
      <c r="E12775" t="s">
        <v>38281</v>
      </c>
    </row>
    <row r="12776" spans="1:5" x14ac:dyDescent="0.2">
      <c r="A12776" t="s">
        <v>38282</v>
      </c>
      <c r="B12776" t="s">
        <v>38283</v>
      </c>
      <c r="C12776" t="s">
        <v>38283</v>
      </c>
      <c r="D12776" t="str">
        <f>HYPERLINK("https://zfin.org/ZDB-GENE-060503-786")</f>
        <v>https://zfin.org/ZDB-GENE-060503-786</v>
      </c>
      <c r="E12776" t="s">
        <v>38284</v>
      </c>
    </row>
    <row r="12777" spans="1:5" x14ac:dyDescent="0.2">
      <c r="A12777" t="s">
        <v>38285</v>
      </c>
      <c r="B12777" t="s">
        <v>38286</v>
      </c>
      <c r="C12777" t="s">
        <v>38286</v>
      </c>
      <c r="D12777" t="str">
        <f>HYPERLINK("https://zfin.org/ZDB-GENE-050417-198")</f>
        <v>https://zfin.org/ZDB-GENE-050417-198</v>
      </c>
      <c r="E12777" t="s">
        <v>38287</v>
      </c>
    </row>
    <row r="12778" spans="1:5" x14ac:dyDescent="0.2">
      <c r="A12778" t="s">
        <v>38288</v>
      </c>
      <c r="B12778" t="s">
        <v>38289</v>
      </c>
      <c r="C12778" t="s">
        <v>38289</v>
      </c>
      <c r="D12778" t="str">
        <f>HYPERLINK("https://zfin.org/ZDB-GENE-061121-2")</f>
        <v>https://zfin.org/ZDB-GENE-061121-2</v>
      </c>
      <c r="E12778" t="s">
        <v>38290</v>
      </c>
    </row>
    <row r="12779" spans="1:5" x14ac:dyDescent="0.2">
      <c r="A12779" t="s">
        <v>38291</v>
      </c>
      <c r="B12779" t="s">
        <v>38292</v>
      </c>
      <c r="C12779" t="s">
        <v>38292</v>
      </c>
      <c r="D12779" t="str">
        <f>HYPERLINK("https://zfin.org/ZDB-GENE-980526-283")</f>
        <v>https://zfin.org/ZDB-GENE-980526-283</v>
      </c>
      <c r="E12779" t="s">
        <v>38293</v>
      </c>
    </row>
    <row r="12780" spans="1:5" x14ac:dyDescent="0.2">
      <c r="A12780" t="s">
        <v>38294</v>
      </c>
      <c r="B12780" t="s">
        <v>38295</v>
      </c>
      <c r="C12780" t="s">
        <v>38295</v>
      </c>
      <c r="D12780" t="str">
        <f>HYPERLINK("https://zfin.org/ZDB-GENE-070112-272")</f>
        <v>https://zfin.org/ZDB-GENE-070112-272</v>
      </c>
      <c r="E12780" t="s">
        <v>38296</v>
      </c>
    </row>
    <row r="12781" spans="1:5" x14ac:dyDescent="0.2">
      <c r="A12781" t="s">
        <v>38297</v>
      </c>
      <c r="B12781" t="s">
        <v>38298</v>
      </c>
      <c r="C12781" t="s">
        <v>38298</v>
      </c>
      <c r="D12781" t="str">
        <f>HYPERLINK("https://zfin.org/ZDB-GENE-040426-2542")</f>
        <v>https://zfin.org/ZDB-GENE-040426-2542</v>
      </c>
      <c r="E12781" t="s">
        <v>38299</v>
      </c>
    </row>
    <row r="12782" spans="1:5" x14ac:dyDescent="0.2">
      <c r="A12782" t="s">
        <v>38300</v>
      </c>
      <c r="B12782" t="s">
        <v>38301</v>
      </c>
      <c r="C12782" t="s">
        <v>38301</v>
      </c>
      <c r="D12782" t="str">
        <f>HYPERLINK("https://zfin.org/ZDB-GENE-041010-70")</f>
        <v>https://zfin.org/ZDB-GENE-041010-70</v>
      </c>
      <c r="E12782" t="s">
        <v>38302</v>
      </c>
    </row>
    <row r="12783" spans="1:5" x14ac:dyDescent="0.2">
      <c r="A12783" t="s">
        <v>38303</v>
      </c>
      <c r="B12783" t="s">
        <v>38304</v>
      </c>
      <c r="C12783" t="s">
        <v>38304</v>
      </c>
      <c r="D12783" t="str">
        <f>HYPERLINK("https://zfin.org/ZDB-GENE-060616-182")</f>
        <v>https://zfin.org/ZDB-GENE-060616-182</v>
      </c>
      <c r="E12783" t="s">
        <v>38305</v>
      </c>
    </row>
    <row r="12784" spans="1:5" x14ac:dyDescent="0.2">
      <c r="A12784" t="s">
        <v>38306</v>
      </c>
      <c r="B12784" t="s">
        <v>38307</v>
      </c>
      <c r="C12784" t="s">
        <v>38307</v>
      </c>
      <c r="D12784" t="str">
        <f>HYPERLINK("https://zfin.org/ZDB-GENE-060503-609")</f>
        <v>https://zfin.org/ZDB-GENE-060503-609</v>
      </c>
      <c r="E12784" t="s">
        <v>38308</v>
      </c>
    </row>
    <row r="12785" spans="1:5" x14ac:dyDescent="0.2">
      <c r="A12785" t="s">
        <v>38309</v>
      </c>
      <c r="B12785" t="s">
        <v>38310</v>
      </c>
      <c r="C12785" t="s">
        <v>38310</v>
      </c>
      <c r="D12785" t="str">
        <f>HYPERLINK("https://zfin.org/ZDB-GENE-030404-2")</f>
        <v>https://zfin.org/ZDB-GENE-030404-2</v>
      </c>
      <c r="E12785" t="s">
        <v>38311</v>
      </c>
    </row>
    <row r="12786" spans="1:5" x14ac:dyDescent="0.2">
      <c r="A12786" t="s">
        <v>38312</v>
      </c>
      <c r="B12786" t="s">
        <v>38313</v>
      </c>
      <c r="C12786" t="s">
        <v>38313</v>
      </c>
      <c r="D12786" t="str">
        <f>HYPERLINK("https://zfin.org/ZDB-GENE-030219-89")</f>
        <v>https://zfin.org/ZDB-GENE-030219-89</v>
      </c>
      <c r="E12786" t="s">
        <v>38314</v>
      </c>
    </row>
    <row r="12787" spans="1:5" x14ac:dyDescent="0.2">
      <c r="A12787" t="s">
        <v>38315</v>
      </c>
      <c r="B12787" t="s">
        <v>38316</v>
      </c>
      <c r="C12787" t="s">
        <v>38316</v>
      </c>
      <c r="D12787" t="str">
        <f>HYPERLINK("https://zfin.org/ZDB-GENE-060503-115")</f>
        <v>https://zfin.org/ZDB-GENE-060503-115</v>
      </c>
      <c r="E12787" t="s">
        <v>38317</v>
      </c>
    </row>
    <row r="12788" spans="1:5" x14ac:dyDescent="0.2">
      <c r="A12788" t="s">
        <v>38318</v>
      </c>
      <c r="B12788" t="s">
        <v>38319</v>
      </c>
      <c r="C12788" t="s">
        <v>38319</v>
      </c>
      <c r="D12788" t="str">
        <f>HYPERLINK("https://zfin.org/ZDB-GENE-100921-56")</f>
        <v>https://zfin.org/ZDB-GENE-100921-56</v>
      </c>
      <c r="E12788" t="s">
        <v>38320</v>
      </c>
    </row>
    <row r="12789" spans="1:5" x14ac:dyDescent="0.2">
      <c r="A12789" t="s">
        <v>38321</v>
      </c>
      <c r="B12789" t="s">
        <v>38322</v>
      </c>
      <c r="C12789" t="s">
        <v>38322</v>
      </c>
      <c r="D12789" t="str">
        <f>HYPERLINK("https://zfin.org/ZDB-GENE-041010-114")</f>
        <v>https://zfin.org/ZDB-GENE-041010-114</v>
      </c>
      <c r="E12789" t="s">
        <v>38323</v>
      </c>
    </row>
    <row r="12790" spans="1:5" x14ac:dyDescent="0.2">
      <c r="A12790" t="s">
        <v>38324</v>
      </c>
      <c r="B12790" t="s">
        <v>38325</v>
      </c>
      <c r="C12790" t="s">
        <v>38325</v>
      </c>
      <c r="D12790" t="str">
        <f>HYPERLINK("https://zfin.org/ZDB-GENE-020419-26")</f>
        <v>https://zfin.org/ZDB-GENE-020419-26</v>
      </c>
      <c r="E12790" t="s">
        <v>38326</v>
      </c>
    </row>
    <row r="12791" spans="1:5" x14ac:dyDescent="0.2">
      <c r="A12791" t="s">
        <v>38327</v>
      </c>
      <c r="B12791" t="s">
        <v>38328</v>
      </c>
      <c r="C12791" t="s">
        <v>38328</v>
      </c>
      <c r="D12791" t="str">
        <f>HYPERLINK("https://zfin.org/ZDB-GENE-030131-3715")</f>
        <v>https://zfin.org/ZDB-GENE-030131-3715</v>
      </c>
      <c r="E12791" t="s">
        <v>38329</v>
      </c>
    </row>
    <row r="12792" spans="1:5" x14ac:dyDescent="0.2">
      <c r="A12792" t="s">
        <v>38330</v>
      </c>
      <c r="B12792" t="s">
        <v>38331</v>
      </c>
      <c r="C12792" t="s">
        <v>38331</v>
      </c>
      <c r="D12792" t="str">
        <f>HYPERLINK("https://zfin.org/ZDB-GENE-041210-122")</f>
        <v>https://zfin.org/ZDB-GENE-041210-122</v>
      </c>
      <c r="E12792" t="s">
        <v>38332</v>
      </c>
    </row>
    <row r="12793" spans="1:5" x14ac:dyDescent="0.2">
      <c r="A12793" t="s">
        <v>38333</v>
      </c>
      <c r="B12793" t="s">
        <v>38334</v>
      </c>
      <c r="C12793" t="s">
        <v>38334</v>
      </c>
      <c r="D12793" t="str">
        <f>HYPERLINK("https://zfin.org/ZDB-GENE-030131-6729")</f>
        <v>https://zfin.org/ZDB-GENE-030131-6729</v>
      </c>
      <c r="E12793" t="s">
        <v>38335</v>
      </c>
    </row>
    <row r="12794" spans="1:5" x14ac:dyDescent="0.2">
      <c r="A12794" t="s">
        <v>38336</v>
      </c>
      <c r="B12794" t="s">
        <v>38337</v>
      </c>
      <c r="C12794" t="s">
        <v>38337</v>
      </c>
      <c r="D12794" t="str">
        <f>HYPERLINK("https://zfin.org/ZDB-GENE-011220-1")</f>
        <v>https://zfin.org/ZDB-GENE-011220-1</v>
      </c>
      <c r="E12794" t="s">
        <v>38338</v>
      </c>
    </row>
    <row r="12795" spans="1:5" x14ac:dyDescent="0.2">
      <c r="A12795" t="s">
        <v>38339</v>
      </c>
      <c r="B12795" t="s">
        <v>38340</v>
      </c>
      <c r="C12795" t="s">
        <v>38340</v>
      </c>
      <c r="D12795" t="str">
        <f>HYPERLINK("https://zfin.org/ZDB-GENE-030131-275")</f>
        <v>https://zfin.org/ZDB-GENE-030131-275</v>
      </c>
      <c r="E12795" t="s">
        <v>38341</v>
      </c>
    </row>
    <row r="12796" spans="1:5" x14ac:dyDescent="0.2">
      <c r="A12796" t="s">
        <v>38342</v>
      </c>
      <c r="B12796" t="s">
        <v>38343</v>
      </c>
      <c r="C12796" t="s">
        <v>38343</v>
      </c>
      <c r="D12796" t="str">
        <f>HYPERLINK("https://zfin.org/ZDB-GENE-030131-3275")</f>
        <v>https://zfin.org/ZDB-GENE-030131-3275</v>
      </c>
      <c r="E12796" t="s">
        <v>38344</v>
      </c>
    </row>
    <row r="12797" spans="1:5" x14ac:dyDescent="0.2">
      <c r="A12797" t="s">
        <v>38345</v>
      </c>
      <c r="B12797" t="s">
        <v>38346</v>
      </c>
      <c r="C12797" t="s">
        <v>38346</v>
      </c>
      <c r="D12797" t="str">
        <f>HYPERLINK("https://zfin.org/ZDB-GENE-060503-203")</f>
        <v>https://zfin.org/ZDB-GENE-060503-203</v>
      </c>
      <c r="E12797" t="s">
        <v>38347</v>
      </c>
    </row>
    <row r="12798" spans="1:5" x14ac:dyDescent="0.2">
      <c r="A12798" t="s">
        <v>38348</v>
      </c>
      <c r="B12798" t="s">
        <v>38349</v>
      </c>
      <c r="C12798" t="s">
        <v>38349</v>
      </c>
      <c r="D12798" t="str">
        <f>HYPERLINK("https://zfin.org/ZDB-GENE-040525-1")</f>
        <v>https://zfin.org/ZDB-GENE-040525-1</v>
      </c>
      <c r="E12798" t="s">
        <v>38350</v>
      </c>
    </row>
    <row r="12799" spans="1:5" x14ac:dyDescent="0.2">
      <c r="A12799" t="s">
        <v>38351</v>
      </c>
      <c r="B12799" t="s">
        <v>38352</v>
      </c>
      <c r="C12799" t="s">
        <v>38352</v>
      </c>
      <c r="D12799" t="str">
        <f>HYPERLINK("https://zfin.org/ZDB-GENE-020419-1")</f>
        <v>https://zfin.org/ZDB-GENE-020419-1</v>
      </c>
      <c r="E12799" t="s">
        <v>38353</v>
      </c>
    </row>
    <row r="12800" spans="1:5" x14ac:dyDescent="0.2">
      <c r="A12800" t="s">
        <v>38354</v>
      </c>
      <c r="B12800" t="s">
        <v>38355</v>
      </c>
      <c r="C12800" t="s">
        <v>38355</v>
      </c>
      <c r="D12800" t="str">
        <f>HYPERLINK("https://zfin.org/ZDB-GENE-050913-98")</f>
        <v>https://zfin.org/ZDB-GENE-050913-98</v>
      </c>
      <c r="E12800" t="s">
        <v>38356</v>
      </c>
    </row>
    <row r="12801" spans="1:5" x14ac:dyDescent="0.2">
      <c r="A12801" t="s">
        <v>38357</v>
      </c>
      <c r="B12801" t="s">
        <v>38358</v>
      </c>
      <c r="C12801" t="s">
        <v>38358</v>
      </c>
      <c r="D12801" t="str">
        <f>HYPERLINK("https://zfin.org/ZDB-GENE-090313-191")</f>
        <v>https://zfin.org/ZDB-GENE-090313-191</v>
      </c>
      <c r="E12801" t="s">
        <v>38359</v>
      </c>
    </row>
    <row r="12802" spans="1:5" x14ac:dyDescent="0.2">
      <c r="A12802" t="s">
        <v>38360</v>
      </c>
      <c r="B12802" t="s">
        <v>38361</v>
      </c>
      <c r="C12802" t="s">
        <v>38361</v>
      </c>
      <c r="D12802" t="str">
        <f>HYPERLINK("https://zfin.org/ZDB-GENE-040718-357")</f>
        <v>https://zfin.org/ZDB-GENE-040718-357</v>
      </c>
      <c r="E12802" t="s">
        <v>38362</v>
      </c>
    </row>
    <row r="12803" spans="1:5" x14ac:dyDescent="0.2">
      <c r="A12803" t="s">
        <v>38363</v>
      </c>
      <c r="B12803" t="s">
        <v>38364</v>
      </c>
      <c r="C12803" t="s">
        <v>38364</v>
      </c>
      <c r="D12803" t="str">
        <f>HYPERLINK("https://zfin.org/ZDB-GENE-030131-3189")</f>
        <v>https://zfin.org/ZDB-GENE-030131-3189</v>
      </c>
      <c r="E12803" t="s">
        <v>38365</v>
      </c>
    </row>
    <row r="12804" spans="1:5" x14ac:dyDescent="0.2">
      <c r="A12804" t="s">
        <v>38366</v>
      </c>
      <c r="B12804" t="s">
        <v>38367</v>
      </c>
      <c r="C12804" t="s">
        <v>38367</v>
      </c>
      <c r="D12804" t="str">
        <f>HYPERLINK("https://zfin.org/ZDB-GENE-030131-9652")</f>
        <v>https://zfin.org/ZDB-GENE-030131-9652</v>
      </c>
      <c r="E12804" t="s">
        <v>38368</v>
      </c>
    </row>
    <row r="12805" spans="1:5" x14ac:dyDescent="0.2">
      <c r="A12805" t="s">
        <v>38369</v>
      </c>
      <c r="B12805" t="s">
        <v>38370</v>
      </c>
      <c r="C12805" t="s">
        <v>38370</v>
      </c>
      <c r="D12805" t="str">
        <f>HYPERLINK("https://zfin.org/ZDB-GENE-030131-6137")</f>
        <v>https://zfin.org/ZDB-GENE-030131-6137</v>
      </c>
      <c r="E12805" t="s">
        <v>38371</v>
      </c>
    </row>
    <row r="12806" spans="1:5" x14ac:dyDescent="0.2">
      <c r="A12806" t="s">
        <v>38372</v>
      </c>
      <c r="B12806" t="s">
        <v>38373</v>
      </c>
      <c r="C12806" t="s">
        <v>38373</v>
      </c>
      <c r="D12806" t="str">
        <f>HYPERLINK("https://zfin.org/ZDB-GENE-090313-117")</f>
        <v>https://zfin.org/ZDB-GENE-090313-117</v>
      </c>
      <c r="E12806" t="s">
        <v>38374</v>
      </c>
    </row>
    <row r="12807" spans="1:5" x14ac:dyDescent="0.2">
      <c r="A12807" t="s">
        <v>38375</v>
      </c>
      <c r="B12807" t="s">
        <v>38376</v>
      </c>
      <c r="C12807" t="s">
        <v>38376</v>
      </c>
      <c r="D12807" t="str">
        <f>HYPERLINK("https://zfin.org/ZDB-GENE-030131-6003")</f>
        <v>https://zfin.org/ZDB-GENE-030131-6003</v>
      </c>
      <c r="E12807" t="s">
        <v>38377</v>
      </c>
    </row>
    <row r="12808" spans="1:5" x14ac:dyDescent="0.2">
      <c r="A12808" t="s">
        <v>38378</v>
      </c>
      <c r="B12808" t="s">
        <v>38379</v>
      </c>
      <c r="C12808" t="s">
        <v>38379</v>
      </c>
      <c r="D12808" t="str">
        <f>HYPERLINK("https://zfin.org/ZDB-GENE-030131-6244")</f>
        <v>https://zfin.org/ZDB-GENE-030131-6244</v>
      </c>
      <c r="E12808" t="s">
        <v>38380</v>
      </c>
    </row>
    <row r="12809" spans="1:5" x14ac:dyDescent="0.2">
      <c r="A12809" t="s">
        <v>38381</v>
      </c>
      <c r="B12809" t="s">
        <v>38382</v>
      </c>
      <c r="C12809" t="s">
        <v>38382</v>
      </c>
      <c r="D12809" t="str">
        <f>HYPERLINK("https://zfin.org/ZDB-GENE-050309-23")</f>
        <v>https://zfin.org/ZDB-GENE-050309-23</v>
      </c>
      <c r="E12809" t="s">
        <v>38383</v>
      </c>
    </row>
    <row r="12810" spans="1:5" x14ac:dyDescent="0.2">
      <c r="A12810" t="s">
        <v>38384</v>
      </c>
      <c r="B12810" t="s">
        <v>38385</v>
      </c>
      <c r="C12810" t="s">
        <v>38385</v>
      </c>
      <c r="D12810" t="str">
        <f>HYPERLINK("https://zfin.org/ZDB-GENE-070705-445")</f>
        <v>https://zfin.org/ZDB-GENE-070705-445</v>
      </c>
      <c r="E12810" t="s">
        <v>38386</v>
      </c>
    </row>
    <row r="12811" spans="1:5" x14ac:dyDescent="0.2">
      <c r="A12811" t="s">
        <v>38387</v>
      </c>
      <c r="B12811" t="s">
        <v>38388</v>
      </c>
      <c r="C12811" t="s">
        <v>38388</v>
      </c>
      <c r="D12811" t="str">
        <f>HYPERLINK("https://zfin.org/ZDB-GENE-060503-421")</f>
        <v>https://zfin.org/ZDB-GENE-060503-421</v>
      </c>
      <c r="E12811" t="s">
        <v>38389</v>
      </c>
    </row>
    <row r="12812" spans="1:5" x14ac:dyDescent="0.2">
      <c r="A12812" t="s">
        <v>38390</v>
      </c>
      <c r="B12812" t="s">
        <v>38391</v>
      </c>
      <c r="C12812" t="s">
        <v>38391</v>
      </c>
      <c r="D12812" t="str">
        <f>HYPERLINK("https://zfin.org/ZDB-GENE-050517-2")</f>
        <v>https://zfin.org/ZDB-GENE-050517-2</v>
      </c>
      <c r="E12812" t="s">
        <v>38392</v>
      </c>
    </row>
    <row r="12813" spans="1:5" x14ac:dyDescent="0.2">
      <c r="A12813" t="s">
        <v>38393</v>
      </c>
      <c r="B12813" t="s">
        <v>37850</v>
      </c>
      <c r="C12813" t="s">
        <v>38394</v>
      </c>
      <c r="D12813" t="str">
        <f>HYPERLINK("https://zfin.org/ZDB-GENE-050419-208")</f>
        <v>https://zfin.org/ZDB-GENE-050419-208</v>
      </c>
      <c r="E12813" t="s">
        <v>37851</v>
      </c>
    </row>
    <row r="12814" spans="1:5" x14ac:dyDescent="0.2">
      <c r="A12814" t="s">
        <v>38395</v>
      </c>
      <c r="B12814" t="s">
        <v>38396</v>
      </c>
      <c r="C12814" t="s">
        <v>38396</v>
      </c>
      <c r="D12814" t="str">
        <f>HYPERLINK("https://zfin.org/ZDB-GENE-040629-4")</f>
        <v>https://zfin.org/ZDB-GENE-040629-4</v>
      </c>
      <c r="E12814" t="s">
        <v>38397</v>
      </c>
    </row>
    <row r="12815" spans="1:5" x14ac:dyDescent="0.2">
      <c r="A12815" t="s">
        <v>38398</v>
      </c>
      <c r="B12815" t="s">
        <v>38399</v>
      </c>
      <c r="C12815" t="s">
        <v>38399</v>
      </c>
      <c r="D12815" t="str">
        <f>HYPERLINK("https://zfin.org/ZDB-GENE-141212-386")</f>
        <v>https://zfin.org/ZDB-GENE-141212-386</v>
      </c>
      <c r="E12815" t="s">
        <v>38400</v>
      </c>
    </row>
    <row r="12816" spans="1:5" x14ac:dyDescent="0.2">
      <c r="A12816" t="s">
        <v>38401</v>
      </c>
      <c r="B12816" t="s">
        <v>38402</v>
      </c>
      <c r="C12816" t="s">
        <v>38402</v>
      </c>
      <c r="D12816" t="str">
        <f>HYPERLINK("https://zfin.org/ZDB-GENE-050306-26")</f>
        <v>https://zfin.org/ZDB-GENE-050306-26</v>
      </c>
      <c r="E12816" t="s">
        <v>38403</v>
      </c>
    </row>
    <row r="12817" spans="1:5" x14ac:dyDescent="0.2">
      <c r="A12817" t="s">
        <v>38404</v>
      </c>
      <c r="B12817" t="s">
        <v>38405</v>
      </c>
      <c r="C12817" t="s">
        <v>38405</v>
      </c>
      <c r="D12817" t="str">
        <f>HYPERLINK("https://zfin.org/ZDB-GENE-000330-3")</f>
        <v>https://zfin.org/ZDB-GENE-000330-3</v>
      </c>
      <c r="E12817" t="s">
        <v>38406</v>
      </c>
    </row>
    <row r="12818" spans="1:5" x14ac:dyDescent="0.2">
      <c r="A12818" t="s">
        <v>38407</v>
      </c>
      <c r="B12818" t="s">
        <v>38408</v>
      </c>
      <c r="C12818" t="s">
        <v>38408</v>
      </c>
      <c r="D12818" t="str">
        <f>HYPERLINK("https://zfin.org/ZDB-GENE-061215-114")</f>
        <v>https://zfin.org/ZDB-GENE-061215-114</v>
      </c>
      <c r="E12818" t="s">
        <v>38409</v>
      </c>
    </row>
    <row r="12819" spans="1:5" x14ac:dyDescent="0.2">
      <c r="A12819" t="s">
        <v>38410</v>
      </c>
      <c r="B12819" t="s">
        <v>38411</v>
      </c>
      <c r="C12819" t="s">
        <v>38411</v>
      </c>
      <c r="D12819" t="str">
        <f>HYPERLINK("https://zfin.org/ZDB-GENE-041111-200")</f>
        <v>https://zfin.org/ZDB-GENE-041111-200</v>
      </c>
      <c r="E12819" t="s">
        <v>38412</v>
      </c>
    </row>
    <row r="12820" spans="1:5" x14ac:dyDescent="0.2">
      <c r="A12820" t="s">
        <v>38413</v>
      </c>
      <c r="B12820" t="s">
        <v>38414</v>
      </c>
      <c r="C12820" t="s">
        <v>38414</v>
      </c>
      <c r="D12820" t="str">
        <f>HYPERLINK("https://zfin.org/ZDB-GENE-041008-213")</f>
        <v>https://zfin.org/ZDB-GENE-041008-213</v>
      </c>
      <c r="E12820" t="s">
        <v>38415</v>
      </c>
    </row>
    <row r="12821" spans="1:5" x14ac:dyDescent="0.2">
      <c r="A12821" t="s">
        <v>38416</v>
      </c>
      <c r="B12821" t="s">
        <v>38417</v>
      </c>
      <c r="C12821" t="s">
        <v>38417</v>
      </c>
      <c r="D12821" t="str">
        <f>HYPERLINK("https://zfin.org/ZDB-GENE-030131-686")</f>
        <v>https://zfin.org/ZDB-GENE-030131-686</v>
      </c>
      <c r="E12821" t="s">
        <v>38418</v>
      </c>
    </row>
    <row r="12822" spans="1:5" x14ac:dyDescent="0.2">
      <c r="A12822" t="s">
        <v>38419</v>
      </c>
      <c r="B12822" t="s">
        <v>38420</v>
      </c>
      <c r="C12822" t="s">
        <v>38420</v>
      </c>
      <c r="D12822" t="str">
        <f>HYPERLINK("https://zfin.org/ZDB-GENE-060518-5")</f>
        <v>https://zfin.org/ZDB-GENE-060518-5</v>
      </c>
      <c r="E12822" t="s">
        <v>38421</v>
      </c>
    </row>
    <row r="12823" spans="1:5" x14ac:dyDescent="0.2">
      <c r="A12823" t="s">
        <v>38422</v>
      </c>
      <c r="B12823" t="s">
        <v>38423</v>
      </c>
      <c r="C12823" t="s">
        <v>38423</v>
      </c>
      <c r="D12823" t="str">
        <f>HYPERLINK("https://zfin.org/ZDB-GENE-040801-140")</f>
        <v>https://zfin.org/ZDB-GENE-040801-140</v>
      </c>
      <c r="E12823" t="s">
        <v>38424</v>
      </c>
    </row>
    <row r="12824" spans="1:5" x14ac:dyDescent="0.2">
      <c r="A12824" t="s">
        <v>38425</v>
      </c>
      <c r="B12824" t="s">
        <v>38426</v>
      </c>
      <c r="C12824" t="s">
        <v>38426</v>
      </c>
      <c r="D12824" t="str">
        <f>HYPERLINK("https://zfin.org/ZDB-GENE-041010-173")</f>
        <v>https://zfin.org/ZDB-GENE-041010-173</v>
      </c>
      <c r="E12824" t="s">
        <v>38427</v>
      </c>
    </row>
    <row r="12825" spans="1:5" x14ac:dyDescent="0.2">
      <c r="A12825" t="s">
        <v>38428</v>
      </c>
      <c r="B12825" t="s">
        <v>38429</v>
      </c>
      <c r="C12825" t="s">
        <v>38429</v>
      </c>
      <c r="D12825" t="str">
        <f>HYPERLINK("https://zfin.org/ZDB-GENE-040426-2804")</f>
        <v>https://zfin.org/ZDB-GENE-040426-2804</v>
      </c>
      <c r="E12825" t="s">
        <v>38430</v>
      </c>
    </row>
    <row r="12826" spans="1:5" x14ac:dyDescent="0.2">
      <c r="A12826" t="s">
        <v>38431</v>
      </c>
      <c r="B12826" t="s">
        <v>38432</v>
      </c>
      <c r="C12826" t="s">
        <v>38432</v>
      </c>
      <c r="D12826" t="str">
        <f>HYPERLINK("https://zfin.org/ZDB-GENE-060825-166")</f>
        <v>https://zfin.org/ZDB-GENE-060825-166</v>
      </c>
      <c r="E12826" t="s">
        <v>38433</v>
      </c>
    </row>
    <row r="12827" spans="1:5" x14ac:dyDescent="0.2">
      <c r="A12827" t="s">
        <v>38434</v>
      </c>
      <c r="B12827" t="s">
        <v>38435</v>
      </c>
      <c r="C12827" t="s">
        <v>38435</v>
      </c>
      <c r="D12827" t="str">
        <f>HYPERLINK("https://zfin.org/ZDB-GENE-081105-4")</f>
        <v>https://zfin.org/ZDB-GENE-081105-4</v>
      </c>
      <c r="E12827" t="s">
        <v>38436</v>
      </c>
    </row>
    <row r="12828" spans="1:5" x14ac:dyDescent="0.2">
      <c r="A12828" t="s">
        <v>38437</v>
      </c>
      <c r="B12828" t="s">
        <v>38438</v>
      </c>
      <c r="C12828" t="s">
        <v>38438</v>
      </c>
      <c r="D12828" t="str">
        <f>HYPERLINK("https://zfin.org/ZDB-GENE-030131-8283")</f>
        <v>https://zfin.org/ZDB-GENE-030131-8283</v>
      </c>
      <c r="E12828" t="s">
        <v>38439</v>
      </c>
    </row>
    <row r="12829" spans="1:5" x14ac:dyDescent="0.2">
      <c r="A12829" t="s">
        <v>38440</v>
      </c>
      <c r="B12829" t="s">
        <v>38441</v>
      </c>
      <c r="C12829" t="s">
        <v>38441</v>
      </c>
      <c r="D12829" t="str">
        <f>HYPERLINK("https://zfin.org/ZDB-GENE-041001-196")</f>
        <v>https://zfin.org/ZDB-GENE-041001-196</v>
      </c>
      <c r="E12829" t="s">
        <v>38442</v>
      </c>
    </row>
    <row r="12830" spans="1:5" x14ac:dyDescent="0.2">
      <c r="A12830" t="s">
        <v>38443</v>
      </c>
      <c r="B12830" t="s">
        <v>38444</v>
      </c>
      <c r="C12830" t="s">
        <v>38444</v>
      </c>
      <c r="D12830" t="str">
        <f>HYPERLINK("https://zfin.org/ZDB-GENE-090313-276")</f>
        <v>https://zfin.org/ZDB-GENE-090313-276</v>
      </c>
      <c r="E12830" t="s">
        <v>38445</v>
      </c>
    </row>
    <row r="12831" spans="1:5" x14ac:dyDescent="0.2">
      <c r="A12831" t="s">
        <v>38446</v>
      </c>
      <c r="B12831" t="s">
        <v>38447</v>
      </c>
      <c r="C12831" t="s">
        <v>38447</v>
      </c>
      <c r="D12831" t="str">
        <f>HYPERLINK("https://zfin.org/ZDB-GENE-030131-7787")</f>
        <v>https://zfin.org/ZDB-GENE-030131-7787</v>
      </c>
      <c r="E12831" t="s">
        <v>38448</v>
      </c>
    </row>
    <row r="12832" spans="1:5" x14ac:dyDescent="0.2">
      <c r="A12832" t="s">
        <v>38449</v>
      </c>
      <c r="B12832" t="s">
        <v>38450</v>
      </c>
      <c r="C12832" t="s">
        <v>38450</v>
      </c>
      <c r="D12832" t="str">
        <f>HYPERLINK("https://zfin.org/ZDB-GENE-040426-2712")</f>
        <v>https://zfin.org/ZDB-GENE-040426-2712</v>
      </c>
      <c r="E12832" t="s">
        <v>38451</v>
      </c>
    </row>
    <row r="12833" spans="1:5" x14ac:dyDescent="0.2">
      <c r="A12833" t="s">
        <v>38452</v>
      </c>
      <c r="B12833" t="s">
        <v>38453</v>
      </c>
      <c r="C12833" t="s">
        <v>38453</v>
      </c>
      <c r="D12833" t="str">
        <f>HYPERLINK("https://zfin.org/ZDB-GENE-050913-37")</f>
        <v>https://zfin.org/ZDB-GENE-050913-37</v>
      </c>
      <c r="E12833" t="s">
        <v>38454</v>
      </c>
    </row>
    <row r="12834" spans="1:5" x14ac:dyDescent="0.2">
      <c r="A12834" t="s">
        <v>38455</v>
      </c>
      <c r="B12834" t="s">
        <v>38456</v>
      </c>
      <c r="C12834" t="s">
        <v>38456</v>
      </c>
      <c r="D12834" t="str">
        <f>HYPERLINK("https://zfin.org/ZDB-GENE-131127-449")</f>
        <v>https://zfin.org/ZDB-GENE-131127-449</v>
      </c>
      <c r="E12834" t="s">
        <v>38457</v>
      </c>
    </row>
    <row r="12835" spans="1:5" x14ac:dyDescent="0.2">
      <c r="A12835" t="s">
        <v>38458</v>
      </c>
      <c r="B12835" t="s">
        <v>38459</v>
      </c>
      <c r="C12835" t="s">
        <v>38459</v>
      </c>
      <c r="D12835" t="str">
        <f>HYPERLINK("https://zfin.org/ZDB-GENE-070613-1")</f>
        <v>https://zfin.org/ZDB-GENE-070613-1</v>
      </c>
      <c r="E12835" t="s">
        <v>38460</v>
      </c>
    </row>
    <row r="12836" spans="1:5" x14ac:dyDescent="0.2">
      <c r="A12836" t="s">
        <v>38461</v>
      </c>
      <c r="B12836" t="s">
        <v>38462</v>
      </c>
      <c r="C12836" t="s">
        <v>38462</v>
      </c>
      <c r="D12836" t="str">
        <f>HYPERLINK("https://zfin.org/ZDB-GENE-041212-54")</f>
        <v>https://zfin.org/ZDB-GENE-041212-54</v>
      </c>
      <c r="E12836" t="s">
        <v>38463</v>
      </c>
    </row>
    <row r="12837" spans="1:5" x14ac:dyDescent="0.2">
      <c r="A12837" t="s">
        <v>38464</v>
      </c>
      <c r="B12837" t="s">
        <v>38465</v>
      </c>
      <c r="C12837" t="s">
        <v>38465</v>
      </c>
      <c r="D12837" t="str">
        <f>HYPERLINK("https://zfin.org/ZDB-GENE-020415-1")</f>
        <v>https://zfin.org/ZDB-GENE-020415-1</v>
      </c>
      <c r="E12837" t="s">
        <v>38466</v>
      </c>
    </row>
    <row r="12838" spans="1:5" x14ac:dyDescent="0.2">
      <c r="A12838" t="s">
        <v>38467</v>
      </c>
      <c r="B12838" t="s">
        <v>38468</v>
      </c>
      <c r="C12838" t="s">
        <v>38468</v>
      </c>
      <c r="D12838" t="str">
        <f>HYPERLINK("https://zfin.org/ZDB-GENE-040426-1241")</f>
        <v>https://zfin.org/ZDB-GENE-040426-1241</v>
      </c>
      <c r="E12838" t="s">
        <v>38469</v>
      </c>
    </row>
    <row r="12839" spans="1:5" x14ac:dyDescent="0.2">
      <c r="A12839" t="s">
        <v>38470</v>
      </c>
      <c r="B12839" t="s">
        <v>38471</v>
      </c>
      <c r="C12839" t="s">
        <v>38471</v>
      </c>
      <c r="D12839" t="str">
        <f>HYPERLINK("https://zfin.org/ZDB-GENE-060503-110")</f>
        <v>https://zfin.org/ZDB-GENE-060503-110</v>
      </c>
      <c r="E12839" t="s">
        <v>38472</v>
      </c>
    </row>
    <row r="12840" spans="1:5" x14ac:dyDescent="0.2">
      <c r="A12840" t="s">
        <v>38473</v>
      </c>
      <c r="B12840" t="s">
        <v>38474</v>
      </c>
      <c r="C12840" t="s">
        <v>38474</v>
      </c>
      <c r="D12840" t="str">
        <f>HYPERLINK("https://zfin.org/ZDB-GENE-050417-304")</f>
        <v>https://zfin.org/ZDB-GENE-050417-304</v>
      </c>
      <c r="E12840" t="s">
        <v>38475</v>
      </c>
    </row>
    <row r="12841" spans="1:5" x14ac:dyDescent="0.2">
      <c r="A12841" t="s">
        <v>38476</v>
      </c>
      <c r="B12841" t="s">
        <v>38477</v>
      </c>
      <c r="C12841" t="s">
        <v>38477</v>
      </c>
      <c r="D12841" t="str">
        <f>HYPERLINK("https://zfin.org/ZDB-GENE-030326-3")</f>
        <v>https://zfin.org/ZDB-GENE-030326-3</v>
      </c>
      <c r="E12841" t="s">
        <v>38478</v>
      </c>
    </row>
    <row r="12842" spans="1:5" x14ac:dyDescent="0.2">
      <c r="A12842" t="s">
        <v>38479</v>
      </c>
      <c r="B12842" t="s">
        <v>38480</v>
      </c>
      <c r="C12842" t="s">
        <v>38480</v>
      </c>
      <c r="D12842" t="str">
        <f>HYPERLINK("https://zfin.org/ZDB-GENE-030710-1")</f>
        <v>https://zfin.org/ZDB-GENE-030710-1</v>
      </c>
      <c r="E12842" t="s">
        <v>38481</v>
      </c>
    </row>
    <row r="12843" spans="1:5" x14ac:dyDescent="0.2">
      <c r="A12843" t="s">
        <v>38482</v>
      </c>
      <c r="B12843" t="s">
        <v>38483</v>
      </c>
      <c r="C12843" t="s">
        <v>38483</v>
      </c>
      <c r="D12843" t="str">
        <f>HYPERLINK("https://zfin.org/ZDB-GENE-060503-229")</f>
        <v>https://zfin.org/ZDB-GENE-060503-229</v>
      </c>
      <c r="E12843" t="s">
        <v>38484</v>
      </c>
    </row>
    <row r="12844" spans="1:5" x14ac:dyDescent="0.2">
      <c r="A12844" t="s">
        <v>38485</v>
      </c>
      <c r="B12844" t="s">
        <v>38486</v>
      </c>
      <c r="C12844" t="s">
        <v>38486</v>
      </c>
      <c r="D12844" t="str">
        <f>HYPERLINK("https://zfin.org/ZDB-GENE-130603-106")</f>
        <v>https://zfin.org/ZDB-GENE-130603-106</v>
      </c>
      <c r="E12844" t="s">
        <v>38487</v>
      </c>
    </row>
    <row r="12845" spans="1:5" x14ac:dyDescent="0.2">
      <c r="A12845" t="s">
        <v>38488</v>
      </c>
      <c r="B12845" t="s">
        <v>38489</v>
      </c>
      <c r="C12845" t="s">
        <v>38489</v>
      </c>
      <c r="D12845" t="str">
        <f>HYPERLINK("https://zfin.org/ZDB-GENE-020419-3")</f>
        <v>https://zfin.org/ZDB-GENE-020419-3</v>
      </c>
      <c r="E12845" t="s">
        <v>38490</v>
      </c>
    </row>
    <row r="12846" spans="1:5" x14ac:dyDescent="0.2">
      <c r="A12846" t="s">
        <v>38491</v>
      </c>
      <c r="B12846" t="s">
        <v>38465</v>
      </c>
      <c r="C12846" t="s">
        <v>38492</v>
      </c>
      <c r="D12846" t="str">
        <f>HYPERLINK("https://zfin.org/ZDB-GENE-020415-1")</f>
        <v>https://zfin.org/ZDB-GENE-020415-1</v>
      </c>
      <c r="E12846" t="s">
        <v>38466</v>
      </c>
    </row>
    <row r="12847" spans="1:5" x14ac:dyDescent="0.2">
      <c r="A12847" t="s">
        <v>38493</v>
      </c>
      <c r="B12847" t="s">
        <v>38494</v>
      </c>
      <c r="C12847" t="s">
        <v>38494</v>
      </c>
      <c r="D12847" t="str">
        <f>HYPERLINK("https://zfin.org/ZDB-GENE-130531-36")</f>
        <v>https://zfin.org/ZDB-GENE-130531-36</v>
      </c>
      <c r="E12847" t="s">
        <v>38495</v>
      </c>
    </row>
    <row r="12848" spans="1:5" x14ac:dyDescent="0.2">
      <c r="A12848" t="s">
        <v>38496</v>
      </c>
      <c r="B12848" t="s">
        <v>38497</v>
      </c>
      <c r="C12848" t="s">
        <v>38497</v>
      </c>
      <c r="D12848" t="str">
        <f>HYPERLINK("https://zfin.org/ZDB-GENE-041210-197")</f>
        <v>https://zfin.org/ZDB-GENE-041210-197</v>
      </c>
      <c r="E12848" t="s">
        <v>38498</v>
      </c>
    </row>
    <row r="12849" spans="1:5" x14ac:dyDescent="0.2">
      <c r="A12849" t="s">
        <v>38499</v>
      </c>
      <c r="B12849" t="s">
        <v>38500</v>
      </c>
      <c r="C12849" t="s">
        <v>38500</v>
      </c>
      <c r="D12849" t="str">
        <f>HYPERLINK("https://zfin.org/ZDB-GENE-990714-13")</f>
        <v>https://zfin.org/ZDB-GENE-990714-13</v>
      </c>
      <c r="E12849" t="s">
        <v>38501</v>
      </c>
    </row>
    <row r="12850" spans="1:5" x14ac:dyDescent="0.2">
      <c r="A12850" t="s">
        <v>38502</v>
      </c>
      <c r="B12850" t="s">
        <v>38503</v>
      </c>
      <c r="C12850" t="s">
        <v>38503</v>
      </c>
      <c r="D12850" t="str">
        <f>HYPERLINK("https://zfin.org/ZDB-GENE-030131-614")</f>
        <v>https://zfin.org/ZDB-GENE-030131-614</v>
      </c>
      <c r="E12850" t="s">
        <v>38504</v>
      </c>
    </row>
    <row r="12851" spans="1:5" x14ac:dyDescent="0.2">
      <c r="A12851" t="s">
        <v>38505</v>
      </c>
      <c r="B12851" t="s">
        <v>38506</v>
      </c>
      <c r="C12851" t="s">
        <v>38506</v>
      </c>
      <c r="D12851" t="str">
        <f>HYPERLINK("https://zfin.org/ZDB-GENE-090313-341")</f>
        <v>https://zfin.org/ZDB-GENE-090313-341</v>
      </c>
      <c r="E12851" t="s">
        <v>38507</v>
      </c>
    </row>
    <row r="12852" spans="1:5" x14ac:dyDescent="0.2">
      <c r="A12852" t="s">
        <v>38508</v>
      </c>
      <c r="B12852" t="s">
        <v>38509</v>
      </c>
      <c r="C12852" t="s">
        <v>38509</v>
      </c>
      <c r="D12852" t="str">
        <f>HYPERLINK("https://zfin.org/ZDB-GENE-110914-201")</f>
        <v>https://zfin.org/ZDB-GENE-110914-201</v>
      </c>
      <c r="E12852" t="s">
        <v>38510</v>
      </c>
    </row>
    <row r="12853" spans="1:5" x14ac:dyDescent="0.2">
      <c r="A12853" t="s">
        <v>38511</v>
      </c>
      <c r="B12853" t="s">
        <v>38512</v>
      </c>
      <c r="C12853" t="s">
        <v>38512</v>
      </c>
      <c r="D12853" t="str">
        <f>HYPERLINK("https://zfin.org/ZDB-GENE-091113-54")</f>
        <v>https://zfin.org/ZDB-GENE-091113-54</v>
      </c>
      <c r="E12853" t="s">
        <v>38513</v>
      </c>
    </row>
    <row r="12854" spans="1:5" x14ac:dyDescent="0.2">
      <c r="A12854" t="s">
        <v>38514</v>
      </c>
      <c r="B12854" t="s">
        <v>38515</v>
      </c>
      <c r="C12854" t="s">
        <v>38515</v>
      </c>
      <c r="D12854" t="str">
        <f>HYPERLINK("https://zfin.org/ZDB-GENE-070705-267")</f>
        <v>https://zfin.org/ZDB-GENE-070705-267</v>
      </c>
      <c r="E12854" t="s">
        <v>38516</v>
      </c>
    </row>
    <row r="12855" spans="1:5" x14ac:dyDescent="0.2">
      <c r="A12855" t="s">
        <v>38517</v>
      </c>
      <c r="B12855" t="s">
        <v>38518</v>
      </c>
      <c r="C12855" t="s">
        <v>38518</v>
      </c>
      <c r="D12855" t="str">
        <f>HYPERLINK("https://zfin.org/ZDB-GENE-040912-30")</f>
        <v>https://zfin.org/ZDB-GENE-040912-30</v>
      </c>
      <c r="E12855" t="s">
        <v>38519</v>
      </c>
    </row>
    <row r="12856" spans="1:5" x14ac:dyDescent="0.2">
      <c r="A12856" t="s">
        <v>38520</v>
      </c>
      <c r="B12856" t="s">
        <v>38521</v>
      </c>
      <c r="C12856" t="s">
        <v>38521</v>
      </c>
      <c r="D12856" t="str">
        <f>HYPERLINK("https://zfin.org/ZDB-GENE-030131-199")</f>
        <v>https://zfin.org/ZDB-GENE-030131-199</v>
      </c>
      <c r="E12856" t="s">
        <v>38522</v>
      </c>
    </row>
    <row r="12857" spans="1:5" x14ac:dyDescent="0.2">
      <c r="A12857" t="s">
        <v>38523</v>
      </c>
      <c r="B12857" t="s">
        <v>38524</v>
      </c>
      <c r="C12857" t="s">
        <v>38524</v>
      </c>
      <c r="D12857" t="str">
        <f>HYPERLINK("https://zfin.org/ZDB-GENE-010430-3")</f>
        <v>https://zfin.org/ZDB-GENE-010430-3</v>
      </c>
      <c r="E12857" t="s">
        <v>38525</v>
      </c>
    </row>
    <row r="12858" spans="1:5" x14ac:dyDescent="0.2">
      <c r="A12858" t="s">
        <v>38526</v>
      </c>
      <c r="B12858" t="s">
        <v>38527</v>
      </c>
      <c r="C12858" t="s">
        <v>38527</v>
      </c>
      <c r="D12858" t="str">
        <f>HYPERLINK("https://zfin.org/ZDB-GENE-030131-3656")</f>
        <v>https://zfin.org/ZDB-GENE-030131-3656</v>
      </c>
      <c r="E12858" t="s">
        <v>38528</v>
      </c>
    </row>
    <row r="12859" spans="1:5" x14ac:dyDescent="0.2">
      <c r="A12859" t="s">
        <v>38529</v>
      </c>
      <c r="B12859" t="s">
        <v>38530</v>
      </c>
      <c r="C12859" t="s">
        <v>38530</v>
      </c>
      <c r="D12859" t="str">
        <f>HYPERLINK("https://zfin.org/ZDB-GENE-131121-430")</f>
        <v>https://zfin.org/ZDB-GENE-131121-430</v>
      </c>
      <c r="E12859" t="s">
        <v>38531</v>
      </c>
    </row>
    <row r="12860" spans="1:5" x14ac:dyDescent="0.2">
      <c r="A12860" t="s">
        <v>38532</v>
      </c>
      <c r="B12860" t="s">
        <v>38533</v>
      </c>
      <c r="C12860" t="s">
        <v>38533</v>
      </c>
      <c r="D12860" t="str">
        <f>HYPERLINK("https://zfin.org/ZDB-GENE-030318-2")</f>
        <v>https://zfin.org/ZDB-GENE-030318-2</v>
      </c>
      <c r="E12860" t="s">
        <v>38534</v>
      </c>
    </row>
    <row r="12861" spans="1:5" x14ac:dyDescent="0.2">
      <c r="A12861" t="s">
        <v>38535</v>
      </c>
      <c r="B12861" t="s">
        <v>38536</v>
      </c>
      <c r="C12861" t="s">
        <v>38536</v>
      </c>
      <c r="D12861" t="str">
        <f>HYPERLINK("https://zfin.org/ZDB-GENE-041014-84")</f>
        <v>https://zfin.org/ZDB-GENE-041014-84</v>
      </c>
      <c r="E12861" t="s">
        <v>38537</v>
      </c>
    </row>
    <row r="12862" spans="1:5" x14ac:dyDescent="0.2">
      <c r="A12862" t="s">
        <v>38538</v>
      </c>
      <c r="B12862" t="s">
        <v>38539</v>
      </c>
      <c r="C12862" t="s">
        <v>38539</v>
      </c>
      <c r="D12862" t="str">
        <f>HYPERLINK("https://zfin.org/ZDB-GENE-080220-31")</f>
        <v>https://zfin.org/ZDB-GENE-080220-31</v>
      </c>
      <c r="E12862" t="s">
        <v>38540</v>
      </c>
    </row>
    <row r="12863" spans="1:5" x14ac:dyDescent="0.2">
      <c r="A12863" t="s">
        <v>38541</v>
      </c>
      <c r="B12863" t="s">
        <v>38542</v>
      </c>
      <c r="C12863" t="s">
        <v>38542</v>
      </c>
      <c r="D12863" t="str">
        <f>HYPERLINK("https://zfin.org/ZDB-GENE-060503-270")</f>
        <v>https://zfin.org/ZDB-GENE-060503-270</v>
      </c>
      <c r="E12863" t="s">
        <v>38543</v>
      </c>
    </row>
    <row r="12864" spans="1:5" x14ac:dyDescent="0.2">
      <c r="A12864" t="s">
        <v>38544</v>
      </c>
      <c r="B12864" t="s">
        <v>38545</v>
      </c>
      <c r="C12864" t="s">
        <v>38545</v>
      </c>
      <c r="D12864" t="str">
        <f>HYPERLINK("https://zfin.org/ZDB-GENE-070912-290")</f>
        <v>https://zfin.org/ZDB-GENE-070912-290</v>
      </c>
      <c r="E12864" t="s">
        <v>38546</v>
      </c>
    </row>
    <row r="12865" spans="1:5" x14ac:dyDescent="0.2">
      <c r="A12865" t="s">
        <v>38547</v>
      </c>
      <c r="B12865" t="s">
        <v>38548</v>
      </c>
      <c r="C12865" t="s">
        <v>38548</v>
      </c>
      <c r="D12865" t="str">
        <f>HYPERLINK("https://zfin.org/ZDB-GENE-050522-532")</f>
        <v>https://zfin.org/ZDB-GENE-050522-532</v>
      </c>
      <c r="E12865" t="s">
        <v>38549</v>
      </c>
    </row>
    <row r="12866" spans="1:5" x14ac:dyDescent="0.2">
      <c r="A12866" t="s">
        <v>38550</v>
      </c>
      <c r="B12866" t="s">
        <v>38551</v>
      </c>
      <c r="C12866" t="s">
        <v>38551</v>
      </c>
      <c r="D12866" t="str">
        <f>HYPERLINK("https://zfin.org/ZDB-GENE-980526-468")</f>
        <v>https://zfin.org/ZDB-GENE-980526-468</v>
      </c>
      <c r="E12866" t="s">
        <v>38552</v>
      </c>
    </row>
    <row r="12867" spans="1:5" x14ac:dyDescent="0.2">
      <c r="A12867" t="s">
        <v>38553</v>
      </c>
      <c r="B12867" t="s">
        <v>38554</v>
      </c>
      <c r="C12867" t="s">
        <v>38554</v>
      </c>
      <c r="D12867" t="str">
        <f>HYPERLINK("https://zfin.org/ZDB-GENE-100922-237")</f>
        <v>https://zfin.org/ZDB-GENE-100922-237</v>
      </c>
      <c r="E12867" t="s">
        <v>38555</v>
      </c>
    </row>
    <row r="12868" spans="1:5" x14ac:dyDescent="0.2">
      <c r="A12868" t="s">
        <v>38556</v>
      </c>
      <c r="B12868" t="s">
        <v>38557</v>
      </c>
      <c r="C12868" t="s">
        <v>38557</v>
      </c>
      <c r="D12868" t="str">
        <f>HYPERLINK("https://zfin.org/ZDB-GENE-040426-1772")</f>
        <v>https://zfin.org/ZDB-GENE-040426-1772</v>
      </c>
      <c r="E12868" t="s">
        <v>38558</v>
      </c>
    </row>
    <row r="12869" spans="1:5" x14ac:dyDescent="0.2">
      <c r="A12869" t="s">
        <v>38559</v>
      </c>
      <c r="B12869" t="s">
        <v>38560</v>
      </c>
      <c r="C12869" t="s">
        <v>38560</v>
      </c>
      <c r="D12869" t="str">
        <f>HYPERLINK("https://zfin.org/ZDB-GENE-120709-87")</f>
        <v>https://zfin.org/ZDB-GENE-120709-87</v>
      </c>
      <c r="E12869" t="s">
        <v>38561</v>
      </c>
    </row>
    <row r="12870" spans="1:5" x14ac:dyDescent="0.2">
      <c r="A12870" t="s">
        <v>38562</v>
      </c>
      <c r="B12870" t="s">
        <v>38563</v>
      </c>
      <c r="C12870" t="s">
        <v>38563</v>
      </c>
      <c r="D12870" t="str">
        <f>HYPERLINK("https://zfin.org/ZDB-GENE-020117-2")</f>
        <v>https://zfin.org/ZDB-GENE-020117-2</v>
      </c>
      <c r="E12870" t="s">
        <v>38564</v>
      </c>
    </row>
    <row r="12871" spans="1:5" x14ac:dyDescent="0.2">
      <c r="A12871" t="s">
        <v>38565</v>
      </c>
      <c r="B12871" t="s">
        <v>38566</v>
      </c>
      <c r="C12871" t="s">
        <v>38566</v>
      </c>
      <c r="D12871" t="str">
        <f>HYPERLINK("https://zfin.org/ZDB-GENE-090313-7")</f>
        <v>https://zfin.org/ZDB-GENE-090313-7</v>
      </c>
      <c r="E12871" t="s">
        <v>38567</v>
      </c>
    </row>
    <row r="12872" spans="1:5" x14ac:dyDescent="0.2">
      <c r="A12872" t="s">
        <v>38568</v>
      </c>
      <c r="B12872" t="s">
        <v>38569</v>
      </c>
      <c r="C12872" t="s">
        <v>38569</v>
      </c>
      <c r="D12872" t="str">
        <f>HYPERLINK("https://zfin.org/ZDB-GENE-040827-1")</f>
        <v>https://zfin.org/ZDB-GENE-040827-1</v>
      </c>
      <c r="E12872" t="s">
        <v>38570</v>
      </c>
    </row>
    <row r="12873" spans="1:5" x14ac:dyDescent="0.2">
      <c r="A12873" t="s">
        <v>38571</v>
      </c>
      <c r="B12873" t="s">
        <v>38572</v>
      </c>
      <c r="C12873" t="s">
        <v>38572</v>
      </c>
      <c r="D12873" t="str">
        <f>HYPERLINK("https://zfin.org/ZDB-GENE-030131-6459")</f>
        <v>https://zfin.org/ZDB-GENE-030131-6459</v>
      </c>
      <c r="E12873" t="s">
        <v>38573</v>
      </c>
    </row>
    <row r="12874" spans="1:5" x14ac:dyDescent="0.2">
      <c r="A12874" t="s">
        <v>38574</v>
      </c>
      <c r="B12874" t="s">
        <v>38575</v>
      </c>
      <c r="C12874" t="s">
        <v>38575</v>
      </c>
      <c r="D12874" t="str">
        <f>HYPERLINK("https://zfin.org/ZDB-GENE-050309-133")</f>
        <v>https://zfin.org/ZDB-GENE-050309-133</v>
      </c>
      <c r="E12874" t="s">
        <v>38576</v>
      </c>
    </row>
    <row r="12875" spans="1:5" x14ac:dyDescent="0.2">
      <c r="A12875" t="s">
        <v>38577</v>
      </c>
      <c r="B12875" t="s">
        <v>38578</v>
      </c>
      <c r="C12875" t="s">
        <v>38578</v>
      </c>
      <c r="D12875" t="str">
        <f>HYPERLINK("https://zfin.org/ZDB-GENE-100922-233")</f>
        <v>https://zfin.org/ZDB-GENE-100922-233</v>
      </c>
      <c r="E12875" t="s">
        <v>38579</v>
      </c>
    </row>
    <row r="12876" spans="1:5" x14ac:dyDescent="0.2">
      <c r="A12876" t="s">
        <v>38580</v>
      </c>
      <c r="B12876" t="s">
        <v>38581</v>
      </c>
      <c r="C12876" t="s">
        <v>38581</v>
      </c>
      <c r="D12876" t="str">
        <f>HYPERLINK("https://zfin.org/ZDB-GENE-050417-177")</f>
        <v>https://zfin.org/ZDB-GENE-050417-177</v>
      </c>
      <c r="E12876" t="s">
        <v>38582</v>
      </c>
    </row>
    <row r="12877" spans="1:5" x14ac:dyDescent="0.2">
      <c r="A12877" t="s">
        <v>38583</v>
      </c>
      <c r="B12877" t="s">
        <v>38584</v>
      </c>
      <c r="C12877" t="s">
        <v>38584</v>
      </c>
      <c r="D12877" t="str">
        <f>HYPERLINK("https://zfin.org/ZDB-GENE-980526-335")</f>
        <v>https://zfin.org/ZDB-GENE-980526-335</v>
      </c>
      <c r="E12877" t="s">
        <v>38585</v>
      </c>
    </row>
    <row r="12878" spans="1:5" x14ac:dyDescent="0.2">
      <c r="A12878" t="s">
        <v>38586</v>
      </c>
      <c r="B12878" t="s">
        <v>38587</v>
      </c>
      <c r="C12878" t="s">
        <v>38587</v>
      </c>
      <c r="D12878" t="str">
        <f>HYPERLINK("https://zfin.org/ZDB-GENE-050522-325")</f>
        <v>https://zfin.org/ZDB-GENE-050522-325</v>
      </c>
      <c r="E12878" t="s">
        <v>38588</v>
      </c>
    </row>
    <row r="12879" spans="1:5" x14ac:dyDescent="0.2">
      <c r="A12879" t="s">
        <v>38589</v>
      </c>
      <c r="B12879" t="s">
        <v>38590</v>
      </c>
      <c r="C12879" t="s">
        <v>38590</v>
      </c>
      <c r="D12879" t="str">
        <f>HYPERLINK("https://zfin.org/ZDB-GENE-050417-438")</f>
        <v>https://zfin.org/ZDB-GENE-050417-438</v>
      </c>
      <c r="E12879" t="s">
        <v>38591</v>
      </c>
    </row>
    <row r="12880" spans="1:5" x14ac:dyDescent="0.2">
      <c r="A12880" t="s">
        <v>38592</v>
      </c>
      <c r="B12880" t="s">
        <v>38593</v>
      </c>
      <c r="C12880" t="s">
        <v>38593</v>
      </c>
      <c r="D12880" t="str">
        <f>HYPERLINK("https://zfin.org/ZDB-GENE-050522-152")</f>
        <v>https://zfin.org/ZDB-GENE-050522-152</v>
      </c>
      <c r="E12880" t="s">
        <v>38594</v>
      </c>
    </row>
    <row r="12881" spans="1:5" x14ac:dyDescent="0.2">
      <c r="A12881" t="s">
        <v>38595</v>
      </c>
      <c r="B12881" t="s">
        <v>38596</v>
      </c>
      <c r="C12881" t="s">
        <v>38596</v>
      </c>
      <c r="D12881" t="str">
        <f>HYPERLINK("https://zfin.org/ZDB-GENE-040724-122")</f>
        <v>https://zfin.org/ZDB-GENE-040724-122</v>
      </c>
      <c r="E12881" t="s">
        <v>38597</v>
      </c>
    </row>
    <row r="12882" spans="1:5" x14ac:dyDescent="0.2">
      <c r="A12882" t="s">
        <v>38598</v>
      </c>
      <c r="B12882" t="s">
        <v>38599</v>
      </c>
      <c r="C12882" t="s">
        <v>38599</v>
      </c>
      <c r="D12882" t="str">
        <f>HYPERLINK("https://zfin.org/ZDB-GENE-030616-400")</f>
        <v>https://zfin.org/ZDB-GENE-030616-400</v>
      </c>
      <c r="E12882" t="s">
        <v>38600</v>
      </c>
    </row>
    <row r="12883" spans="1:5" x14ac:dyDescent="0.2">
      <c r="A12883" t="s">
        <v>38601</v>
      </c>
      <c r="B12883" t="s">
        <v>38602</v>
      </c>
      <c r="C12883" t="s">
        <v>38602</v>
      </c>
      <c r="D12883" t="str">
        <f>HYPERLINK("https://zfin.org/ZDB-GENE-040426-2139")</f>
        <v>https://zfin.org/ZDB-GENE-040426-2139</v>
      </c>
      <c r="E12883" t="s">
        <v>38603</v>
      </c>
    </row>
    <row r="12884" spans="1:5" x14ac:dyDescent="0.2">
      <c r="A12884" t="s">
        <v>38604</v>
      </c>
      <c r="B12884" t="s">
        <v>38605</v>
      </c>
      <c r="C12884" t="s">
        <v>38605</v>
      </c>
      <c r="D12884" t="str">
        <f>HYPERLINK("https://zfin.org/ZDB-GENE-030131-261")</f>
        <v>https://zfin.org/ZDB-GENE-030131-261</v>
      </c>
      <c r="E12884" t="s">
        <v>38606</v>
      </c>
    </row>
    <row r="12885" spans="1:5" x14ac:dyDescent="0.2">
      <c r="A12885" t="s">
        <v>38607</v>
      </c>
      <c r="B12885" t="s">
        <v>38608</v>
      </c>
      <c r="C12885" t="s">
        <v>38608</v>
      </c>
      <c r="D12885" t="str">
        <f>HYPERLINK("https://zfin.org/ZDB-GENE-030131-3389")</f>
        <v>https://zfin.org/ZDB-GENE-030131-3389</v>
      </c>
      <c r="E12885" t="s">
        <v>38609</v>
      </c>
    </row>
    <row r="12886" spans="1:5" x14ac:dyDescent="0.2">
      <c r="A12886" t="s">
        <v>38610</v>
      </c>
      <c r="B12886" t="s">
        <v>38611</v>
      </c>
      <c r="C12886" t="s">
        <v>38611</v>
      </c>
      <c r="D12886" t="str">
        <f>HYPERLINK("https://zfin.org/ZDB-GENE-040426-2374")</f>
        <v>https://zfin.org/ZDB-GENE-040426-2374</v>
      </c>
      <c r="E12886" t="s">
        <v>38612</v>
      </c>
    </row>
    <row r="12887" spans="1:5" x14ac:dyDescent="0.2">
      <c r="A12887" t="s">
        <v>38613</v>
      </c>
      <c r="B12887" t="s">
        <v>38614</v>
      </c>
      <c r="C12887" t="s">
        <v>38614</v>
      </c>
      <c r="D12887" t="str">
        <f>HYPERLINK("https://zfin.org/ZDB-GENE-050417-109")</f>
        <v>https://zfin.org/ZDB-GENE-050417-109</v>
      </c>
      <c r="E12887" t="s">
        <v>38615</v>
      </c>
    </row>
    <row r="12888" spans="1:5" x14ac:dyDescent="0.2">
      <c r="A12888" t="s">
        <v>38616</v>
      </c>
      <c r="B12888" t="s">
        <v>38617</v>
      </c>
      <c r="C12888" t="s">
        <v>38617</v>
      </c>
      <c r="D12888" t="str">
        <f>HYPERLINK("https://zfin.org/ZDB-GENE-060322-1")</f>
        <v>https://zfin.org/ZDB-GENE-060322-1</v>
      </c>
      <c r="E12888" t="s">
        <v>38618</v>
      </c>
    </row>
    <row r="12889" spans="1:5" x14ac:dyDescent="0.2">
      <c r="A12889" t="s">
        <v>38619</v>
      </c>
      <c r="B12889" t="s">
        <v>38620</v>
      </c>
      <c r="C12889" t="s">
        <v>38620</v>
      </c>
      <c r="D12889" t="str">
        <f>HYPERLINK("https://zfin.org/ZDB-GENE-061013-134")</f>
        <v>https://zfin.org/ZDB-GENE-061013-134</v>
      </c>
      <c r="E12889" t="s">
        <v>38621</v>
      </c>
    </row>
    <row r="12890" spans="1:5" x14ac:dyDescent="0.2">
      <c r="A12890" t="s">
        <v>38622</v>
      </c>
      <c r="B12890" t="s">
        <v>38623</v>
      </c>
      <c r="C12890" t="s">
        <v>38623</v>
      </c>
      <c r="D12890" t="str">
        <f>HYPERLINK("https://zfin.org/ZDB-GENE-050417-397")</f>
        <v>https://zfin.org/ZDB-GENE-050417-397</v>
      </c>
      <c r="E12890" t="s">
        <v>38624</v>
      </c>
    </row>
    <row r="12891" spans="1:5" x14ac:dyDescent="0.2">
      <c r="A12891" t="s">
        <v>38625</v>
      </c>
      <c r="B12891" t="s">
        <v>38626</v>
      </c>
      <c r="C12891" t="s">
        <v>38626</v>
      </c>
      <c r="D12891" t="str">
        <f>HYPERLINK("https://zfin.org/ZDB-GENE-030826-30")</f>
        <v>https://zfin.org/ZDB-GENE-030826-30</v>
      </c>
      <c r="E12891" t="s">
        <v>38627</v>
      </c>
    </row>
    <row r="12892" spans="1:5" x14ac:dyDescent="0.2">
      <c r="A12892" t="s">
        <v>38628</v>
      </c>
      <c r="B12892" t="s">
        <v>38629</v>
      </c>
      <c r="C12892" t="s">
        <v>38629</v>
      </c>
      <c r="D12892" t="str">
        <f>HYPERLINK("https://zfin.org/ZDB-GENE-040426-1735")</f>
        <v>https://zfin.org/ZDB-GENE-040426-1735</v>
      </c>
      <c r="E12892" t="s">
        <v>38630</v>
      </c>
    </row>
    <row r="12893" spans="1:5" x14ac:dyDescent="0.2">
      <c r="A12893" t="s">
        <v>38631</v>
      </c>
      <c r="B12893" t="s">
        <v>38632</v>
      </c>
      <c r="C12893" t="s">
        <v>38632</v>
      </c>
      <c r="D12893" t="str">
        <f>HYPERLINK("https://zfin.org/ZDB-GENE-030131-4362")</f>
        <v>https://zfin.org/ZDB-GENE-030131-4362</v>
      </c>
      <c r="E12893" t="s">
        <v>38633</v>
      </c>
    </row>
    <row r="12894" spans="1:5" x14ac:dyDescent="0.2">
      <c r="A12894" t="s">
        <v>38634</v>
      </c>
      <c r="B12894" t="s">
        <v>38635</v>
      </c>
      <c r="C12894" t="s">
        <v>38635</v>
      </c>
      <c r="D12894" t="str">
        <f>HYPERLINK("https://zfin.org/ZDB-GENE-081104-64")</f>
        <v>https://zfin.org/ZDB-GENE-081104-64</v>
      </c>
      <c r="E12894" t="s">
        <v>38636</v>
      </c>
    </row>
    <row r="12895" spans="1:5" x14ac:dyDescent="0.2">
      <c r="A12895" t="s">
        <v>38637</v>
      </c>
      <c r="B12895" t="s">
        <v>38638</v>
      </c>
      <c r="C12895" t="s">
        <v>38638</v>
      </c>
      <c r="D12895" t="str">
        <f>HYPERLINK("https://zfin.org/ZDB-GENE-041010-176")</f>
        <v>https://zfin.org/ZDB-GENE-041010-176</v>
      </c>
      <c r="E12895" t="s">
        <v>38639</v>
      </c>
    </row>
    <row r="12896" spans="1:5" x14ac:dyDescent="0.2">
      <c r="A12896" t="s">
        <v>38640</v>
      </c>
      <c r="B12896" t="s">
        <v>38641</v>
      </c>
      <c r="C12896" t="s">
        <v>38641</v>
      </c>
      <c r="D12896" t="str">
        <f>HYPERLINK("https://zfin.org/ZDB-GENE-030131-8561")</f>
        <v>https://zfin.org/ZDB-GENE-030131-8561</v>
      </c>
      <c r="E12896" t="s">
        <v>38642</v>
      </c>
    </row>
    <row r="12897" spans="1:5" x14ac:dyDescent="0.2">
      <c r="A12897" t="s">
        <v>38643</v>
      </c>
      <c r="B12897" t="s">
        <v>38644</v>
      </c>
      <c r="C12897" t="s">
        <v>38644</v>
      </c>
      <c r="D12897" t="str">
        <f>HYPERLINK("https://zfin.org/ZDB-GENE-040718-251")</f>
        <v>https://zfin.org/ZDB-GENE-040718-251</v>
      </c>
      <c r="E12897" t="s">
        <v>38645</v>
      </c>
    </row>
    <row r="12898" spans="1:5" x14ac:dyDescent="0.2">
      <c r="A12898" t="s">
        <v>38646</v>
      </c>
      <c r="B12898" t="s">
        <v>38647</v>
      </c>
      <c r="C12898" t="s">
        <v>38647</v>
      </c>
      <c r="D12898" t="str">
        <f>HYPERLINK("https://zfin.org/ZDB-GENE-040718-117")</f>
        <v>https://zfin.org/ZDB-GENE-040718-117</v>
      </c>
      <c r="E12898" t="s">
        <v>38648</v>
      </c>
    </row>
    <row r="12899" spans="1:5" x14ac:dyDescent="0.2">
      <c r="A12899" t="s">
        <v>38649</v>
      </c>
      <c r="B12899" t="s">
        <v>38650</v>
      </c>
      <c r="C12899" t="s">
        <v>38650</v>
      </c>
      <c r="D12899" t="str">
        <f>HYPERLINK("https://zfin.org/ZDB-GENE-070209-229")</f>
        <v>https://zfin.org/ZDB-GENE-070209-229</v>
      </c>
      <c r="E12899" t="s">
        <v>38651</v>
      </c>
    </row>
    <row r="12900" spans="1:5" x14ac:dyDescent="0.2">
      <c r="A12900" t="s">
        <v>38652</v>
      </c>
      <c r="B12900" t="s">
        <v>38653</v>
      </c>
      <c r="C12900" t="s">
        <v>38653</v>
      </c>
      <c r="D12900" t="str">
        <f>HYPERLINK("https://zfin.org/ZDB-GENE-060825-321")</f>
        <v>https://zfin.org/ZDB-GENE-060825-321</v>
      </c>
      <c r="E12900" t="s">
        <v>38654</v>
      </c>
    </row>
    <row r="12901" spans="1:5" x14ac:dyDescent="0.2">
      <c r="A12901" t="s">
        <v>38655</v>
      </c>
      <c r="B12901" t="s">
        <v>38656</v>
      </c>
      <c r="C12901" t="s">
        <v>38656</v>
      </c>
      <c r="D12901" t="str">
        <f>HYPERLINK("https://zfin.org/ZDB-GENE-060629-1")</f>
        <v>https://zfin.org/ZDB-GENE-060629-1</v>
      </c>
      <c r="E12901" t="s">
        <v>38657</v>
      </c>
    </row>
    <row r="12902" spans="1:5" x14ac:dyDescent="0.2">
      <c r="A12902" t="s">
        <v>38658</v>
      </c>
      <c r="B12902" t="s">
        <v>38659</v>
      </c>
      <c r="C12902" t="s">
        <v>38659</v>
      </c>
      <c r="D12902" t="str">
        <f>HYPERLINK("https://zfin.org/ZDB-GENE-030131-5154")</f>
        <v>https://zfin.org/ZDB-GENE-030131-5154</v>
      </c>
      <c r="E12902" t="s">
        <v>38660</v>
      </c>
    </row>
    <row r="12903" spans="1:5" x14ac:dyDescent="0.2">
      <c r="A12903" t="s">
        <v>38661</v>
      </c>
      <c r="B12903" t="s">
        <v>38662</v>
      </c>
      <c r="C12903" t="s">
        <v>38662</v>
      </c>
      <c r="D12903" t="str">
        <f>HYPERLINK("https://zfin.org/ZDB-GENE-041212-69")</f>
        <v>https://zfin.org/ZDB-GENE-041212-69</v>
      </c>
      <c r="E12903" t="s">
        <v>38663</v>
      </c>
    </row>
    <row r="12904" spans="1:5" x14ac:dyDescent="0.2">
      <c r="A12904" t="s">
        <v>38664</v>
      </c>
      <c r="B12904" t="s">
        <v>38665</v>
      </c>
      <c r="C12904" t="s">
        <v>38665</v>
      </c>
      <c r="D12904" t="str">
        <f>HYPERLINK("https://zfin.org/ZDB-GENE-040718-203")</f>
        <v>https://zfin.org/ZDB-GENE-040718-203</v>
      </c>
      <c r="E12904" t="s">
        <v>38666</v>
      </c>
    </row>
    <row r="12905" spans="1:5" x14ac:dyDescent="0.2">
      <c r="A12905" t="s">
        <v>38667</v>
      </c>
      <c r="B12905" t="s">
        <v>38668</v>
      </c>
      <c r="C12905" t="s">
        <v>38668</v>
      </c>
      <c r="D12905" t="str">
        <f>HYPERLINK("https://zfin.org/ZDB-GENE-050309-232")</f>
        <v>https://zfin.org/ZDB-GENE-050309-232</v>
      </c>
      <c r="E12905" t="s">
        <v>38669</v>
      </c>
    </row>
    <row r="12906" spans="1:5" x14ac:dyDescent="0.2">
      <c r="A12906" t="s">
        <v>38670</v>
      </c>
      <c r="B12906" t="s">
        <v>38671</v>
      </c>
      <c r="C12906" t="s">
        <v>38671</v>
      </c>
      <c r="D12906" t="str">
        <f>HYPERLINK("https://zfin.org/ZDB-GENE-030131-409")</f>
        <v>https://zfin.org/ZDB-GENE-030131-409</v>
      </c>
      <c r="E12906" t="s">
        <v>38672</v>
      </c>
    </row>
    <row r="12907" spans="1:5" x14ac:dyDescent="0.2">
      <c r="A12907" t="s">
        <v>38673</v>
      </c>
      <c r="B12907" t="s">
        <v>38674</v>
      </c>
      <c r="C12907" t="s">
        <v>38674</v>
      </c>
      <c r="D12907" t="str">
        <f>HYPERLINK("https://zfin.org/ZDB-GENE-040718-191")</f>
        <v>https://zfin.org/ZDB-GENE-040718-191</v>
      </c>
      <c r="E12907" t="s">
        <v>38675</v>
      </c>
    </row>
    <row r="12908" spans="1:5" x14ac:dyDescent="0.2">
      <c r="A12908" t="s">
        <v>38676</v>
      </c>
      <c r="B12908" t="s">
        <v>38677</v>
      </c>
      <c r="C12908" t="s">
        <v>38677</v>
      </c>
      <c r="D12908" t="str">
        <f>HYPERLINK("https://zfin.org/ZDB-GENE-050913-90")</f>
        <v>https://zfin.org/ZDB-GENE-050913-90</v>
      </c>
      <c r="E12908" t="s">
        <v>38678</v>
      </c>
    </row>
    <row r="12909" spans="1:5" x14ac:dyDescent="0.2">
      <c r="A12909" t="s">
        <v>38679</v>
      </c>
      <c r="B12909" t="s">
        <v>38680</v>
      </c>
      <c r="C12909" t="s">
        <v>38680</v>
      </c>
      <c r="D12909" t="str">
        <f>HYPERLINK("https://zfin.org/ZDB-GENE-040912-182")</f>
        <v>https://zfin.org/ZDB-GENE-040912-182</v>
      </c>
      <c r="E12909" t="s">
        <v>38681</v>
      </c>
    </row>
    <row r="12910" spans="1:5" x14ac:dyDescent="0.2">
      <c r="A12910" t="s">
        <v>38682</v>
      </c>
      <c r="B12910" t="s">
        <v>38683</v>
      </c>
      <c r="C12910" t="s">
        <v>38683</v>
      </c>
      <c r="D12910" t="str">
        <f>HYPERLINK("https://zfin.org/ZDB-GENE-061103-52")</f>
        <v>https://zfin.org/ZDB-GENE-061103-52</v>
      </c>
      <c r="E12910" t="s">
        <v>38684</v>
      </c>
    </row>
    <row r="12911" spans="1:5" x14ac:dyDescent="0.2">
      <c r="A12911" t="s">
        <v>38685</v>
      </c>
      <c r="B12911" t="s">
        <v>38686</v>
      </c>
      <c r="C12911" t="s">
        <v>38686</v>
      </c>
      <c r="D12911" t="str">
        <f>HYPERLINK("https://zfin.org/ZDB-GENE-041210-204")</f>
        <v>https://zfin.org/ZDB-GENE-041210-204</v>
      </c>
      <c r="E12911" t="s">
        <v>38687</v>
      </c>
    </row>
    <row r="12912" spans="1:5" x14ac:dyDescent="0.2">
      <c r="A12912" t="s">
        <v>38688</v>
      </c>
      <c r="B12912" t="s">
        <v>38689</v>
      </c>
      <c r="C12912" t="s">
        <v>38689</v>
      </c>
      <c r="D12912" t="str">
        <f>HYPERLINK("https://zfin.org/ZDB-GENE-040426-1785")</f>
        <v>https://zfin.org/ZDB-GENE-040426-1785</v>
      </c>
      <c r="E12912" t="s">
        <v>38690</v>
      </c>
    </row>
    <row r="12913" spans="1:5" x14ac:dyDescent="0.2">
      <c r="A12913" t="s">
        <v>38691</v>
      </c>
      <c r="B12913" t="s">
        <v>38692</v>
      </c>
      <c r="C12913" t="s">
        <v>38692</v>
      </c>
      <c r="D12913" t="str">
        <f>HYPERLINK("https://zfin.org/ZDB-GENE-071116-7")</f>
        <v>https://zfin.org/ZDB-GENE-071116-7</v>
      </c>
      <c r="E12913" t="s">
        <v>38693</v>
      </c>
    </row>
    <row r="12914" spans="1:5" x14ac:dyDescent="0.2">
      <c r="A12914" t="s">
        <v>38694</v>
      </c>
      <c r="B12914" t="s">
        <v>38695</v>
      </c>
      <c r="C12914" t="s">
        <v>38695</v>
      </c>
      <c r="D12914" t="str">
        <f>HYPERLINK("https://zfin.org/ZDB-GENE-040426-755")</f>
        <v>https://zfin.org/ZDB-GENE-040426-755</v>
      </c>
      <c r="E12914" t="s">
        <v>38696</v>
      </c>
    </row>
    <row r="12915" spans="1:5" x14ac:dyDescent="0.2">
      <c r="A12915" t="s">
        <v>38697</v>
      </c>
      <c r="B12915" t="s">
        <v>38698</v>
      </c>
      <c r="C12915" t="s">
        <v>38698</v>
      </c>
      <c r="D12915" t="str">
        <f>HYPERLINK("https://zfin.org/ZDB-GENE-000201-18")</f>
        <v>https://zfin.org/ZDB-GENE-000201-18</v>
      </c>
      <c r="E12915" t="s">
        <v>38699</v>
      </c>
    </row>
    <row r="12916" spans="1:5" x14ac:dyDescent="0.2">
      <c r="A12916" t="s">
        <v>38700</v>
      </c>
      <c r="B12916" t="s">
        <v>38701</v>
      </c>
      <c r="C12916" t="s">
        <v>38701</v>
      </c>
      <c r="D12916" t="str">
        <f>HYPERLINK("https://zfin.org/ZDB-GENE-040426-714")</f>
        <v>https://zfin.org/ZDB-GENE-040426-714</v>
      </c>
      <c r="E12916" t="s">
        <v>38702</v>
      </c>
    </row>
    <row r="12917" spans="1:5" x14ac:dyDescent="0.2">
      <c r="A12917" t="s">
        <v>38703</v>
      </c>
      <c r="B12917" t="s">
        <v>38704</v>
      </c>
      <c r="C12917" t="s">
        <v>38704</v>
      </c>
      <c r="D12917" t="str">
        <f>HYPERLINK("https://zfin.org/ZDB-GENE-100922-145")</f>
        <v>https://zfin.org/ZDB-GENE-100922-145</v>
      </c>
      <c r="E12917" t="s">
        <v>38705</v>
      </c>
    </row>
    <row r="12918" spans="1:5" x14ac:dyDescent="0.2">
      <c r="A12918" t="s">
        <v>38706</v>
      </c>
      <c r="B12918" t="s">
        <v>38707</v>
      </c>
      <c r="C12918" t="s">
        <v>38707</v>
      </c>
      <c r="D12918" t="str">
        <f>HYPERLINK("https://zfin.org/ZDB-GENE-091116-41")</f>
        <v>https://zfin.org/ZDB-GENE-091116-41</v>
      </c>
      <c r="E12918" t="s">
        <v>38708</v>
      </c>
    </row>
    <row r="12919" spans="1:5" x14ac:dyDescent="0.2">
      <c r="A12919" t="s">
        <v>38709</v>
      </c>
      <c r="B12919" t="s">
        <v>38710</v>
      </c>
      <c r="C12919" t="s">
        <v>38710</v>
      </c>
      <c r="D12919" t="str">
        <f>HYPERLINK("https://zfin.org/ZDB-GENE-040912-28")</f>
        <v>https://zfin.org/ZDB-GENE-040912-28</v>
      </c>
      <c r="E12919" t="s">
        <v>38711</v>
      </c>
    </row>
    <row r="12920" spans="1:5" x14ac:dyDescent="0.2">
      <c r="A12920" t="s">
        <v>38712</v>
      </c>
      <c r="B12920" t="s">
        <v>38713</v>
      </c>
      <c r="C12920" t="s">
        <v>38713</v>
      </c>
      <c r="D12920" t="str">
        <f>HYPERLINK("https://zfin.org/ZDB-GENE-030131-7880")</f>
        <v>https://zfin.org/ZDB-GENE-030131-7880</v>
      </c>
      <c r="E12920" t="s">
        <v>38714</v>
      </c>
    </row>
    <row r="12921" spans="1:5" x14ac:dyDescent="0.2">
      <c r="A12921" t="s">
        <v>38715</v>
      </c>
      <c r="B12921" t="s">
        <v>38716</v>
      </c>
      <c r="C12921" t="s">
        <v>38716</v>
      </c>
      <c r="D12921" t="str">
        <f>HYPERLINK("https://zfin.org/ZDB-GENE-060929-120")</f>
        <v>https://zfin.org/ZDB-GENE-060929-120</v>
      </c>
      <c r="E12921" t="s">
        <v>38717</v>
      </c>
    </row>
    <row r="12922" spans="1:5" x14ac:dyDescent="0.2">
      <c r="A12922" t="s">
        <v>38718</v>
      </c>
      <c r="B12922" t="s">
        <v>38719</v>
      </c>
      <c r="C12922" t="s">
        <v>38719</v>
      </c>
      <c r="D12922" t="str">
        <f>HYPERLINK("https://zfin.org/ZDB-GENE-121214-344")</f>
        <v>https://zfin.org/ZDB-GENE-121214-344</v>
      </c>
      <c r="E12922" t="s">
        <v>38720</v>
      </c>
    </row>
    <row r="12923" spans="1:5" x14ac:dyDescent="0.2">
      <c r="A12923" t="s">
        <v>38721</v>
      </c>
      <c r="B12923" t="s">
        <v>38722</v>
      </c>
      <c r="C12923" t="s">
        <v>38722</v>
      </c>
      <c r="D12923" t="str">
        <f>HYPERLINK("https://zfin.org/ZDB-GENE-040108-10")</f>
        <v>https://zfin.org/ZDB-GENE-040108-10</v>
      </c>
      <c r="E12923" t="s">
        <v>38723</v>
      </c>
    </row>
    <row r="12924" spans="1:5" x14ac:dyDescent="0.2">
      <c r="A12924" t="s">
        <v>38724</v>
      </c>
      <c r="B12924" t="s">
        <v>38725</v>
      </c>
      <c r="C12924" t="s">
        <v>38725</v>
      </c>
      <c r="D12924" t="str">
        <f>HYPERLINK("https://zfin.org/ZDB-GENE-080515-3")</f>
        <v>https://zfin.org/ZDB-GENE-080515-3</v>
      </c>
      <c r="E12924" t="s">
        <v>38726</v>
      </c>
    </row>
    <row r="12925" spans="1:5" x14ac:dyDescent="0.2">
      <c r="A12925" t="s">
        <v>38727</v>
      </c>
      <c r="B12925" t="s">
        <v>38728</v>
      </c>
      <c r="C12925" t="s">
        <v>38728</v>
      </c>
      <c r="D12925" t="str">
        <f>HYPERLINK("https://zfin.org/ZDB-GENE-030131-7188")</f>
        <v>https://zfin.org/ZDB-GENE-030131-7188</v>
      </c>
      <c r="E12925" t="s">
        <v>38729</v>
      </c>
    </row>
    <row r="12926" spans="1:5" x14ac:dyDescent="0.2">
      <c r="A12926" t="s">
        <v>38730</v>
      </c>
      <c r="B12926" t="s">
        <v>38731</v>
      </c>
      <c r="C12926" t="s">
        <v>38731</v>
      </c>
      <c r="D12926" t="str">
        <f>HYPERLINK("https://zfin.org/ZDB-GENE-050522-112")</f>
        <v>https://zfin.org/ZDB-GENE-050522-112</v>
      </c>
      <c r="E12926" t="s">
        <v>38732</v>
      </c>
    </row>
    <row r="12927" spans="1:5" x14ac:dyDescent="0.2">
      <c r="A12927" t="s">
        <v>38733</v>
      </c>
      <c r="B12927" t="s">
        <v>38734</v>
      </c>
      <c r="C12927" t="s">
        <v>38734</v>
      </c>
      <c r="D12927" t="str">
        <f>HYPERLINK("https://zfin.org/ZDB-GENE-040426-2653")</f>
        <v>https://zfin.org/ZDB-GENE-040426-2653</v>
      </c>
      <c r="E12927" t="s">
        <v>38735</v>
      </c>
    </row>
    <row r="12928" spans="1:5" x14ac:dyDescent="0.2">
      <c r="A12928" t="s">
        <v>38736</v>
      </c>
      <c r="B12928" t="s">
        <v>38737</v>
      </c>
      <c r="C12928" t="s">
        <v>38737</v>
      </c>
      <c r="D12928" t="str">
        <f>HYPERLINK("https://zfin.org/ZDB-GENE-101001-4")</f>
        <v>https://zfin.org/ZDB-GENE-101001-4</v>
      </c>
      <c r="E12928" t="s">
        <v>38738</v>
      </c>
    </row>
    <row r="12929" spans="1:5" x14ac:dyDescent="0.2">
      <c r="A12929" t="s">
        <v>38739</v>
      </c>
      <c r="B12929" t="s">
        <v>38740</v>
      </c>
      <c r="C12929" t="s">
        <v>38740</v>
      </c>
      <c r="D12929" t="str">
        <f>HYPERLINK("https://zfin.org/ZDB-GENE-040625-96")</f>
        <v>https://zfin.org/ZDB-GENE-040625-96</v>
      </c>
      <c r="E12929" t="s">
        <v>38741</v>
      </c>
    </row>
    <row r="12930" spans="1:5" x14ac:dyDescent="0.2">
      <c r="A12930" t="s">
        <v>38742</v>
      </c>
      <c r="B12930" t="s">
        <v>38743</v>
      </c>
      <c r="C12930" t="s">
        <v>38743</v>
      </c>
      <c r="D12930" t="str">
        <f>HYPERLINK("https://zfin.org/ZDB-GENE-050410-5")</f>
        <v>https://zfin.org/ZDB-GENE-050410-5</v>
      </c>
      <c r="E12930" t="s">
        <v>38744</v>
      </c>
    </row>
    <row r="12931" spans="1:5" x14ac:dyDescent="0.2">
      <c r="A12931" t="s">
        <v>38745</v>
      </c>
      <c r="B12931" t="s">
        <v>38746</v>
      </c>
      <c r="C12931" t="s">
        <v>38746</v>
      </c>
      <c r="D12931" t="str">
        <f>HYPERLINK("https://zfin.org/ZDB-GENE-040912-149")</f>
        <v>https://zfin.org/ZDB-GENE-040912-149</v>
      </c>
      <c r="E12931" t="s">
        <v>38747</v>
      </c>
    </row>
    <row r="12932" spans="1:5" x14ac:dyDescent="0.2">
      <c r="A12932" t="s">
        <v>38748</v>
      </c>
      <c r="B12932" t="s">
        <v>38749</v>
      </c>
      <c r="C12932" t="s">
        <v>38749</v>
      </c>
      <c r="D12932" t="str">
        <f>HYPERLINK("https://zfin.org/ZDB-GENE-060421-3674")</f>
        <v>https://zfin.org/ZDB-GENE-060421-3674</v>
      </c>
      <c r="E12932" t="s">
        <v>38750</v>
      </c>
    </row>
    <row r="12933" spans="1:5" x14ac:dyDescent="0.2">
      <c r="A12933" t="s">
        <v>38751</v>
      </c>
      <c r="B12933" t="s">
        <v>38752</v>
      </c>
      <c r="C12933" t="s">
        <v>38752</v>
      </c>
      <c r="D12933" t="str">
        <f>HYPERLINK("https://zfin.org/ZDB-GENE-101001-3")</f>
        <v>https://zfin.org/ZDB-GENE-101001-3</v>
      </c>
      <c r="E12933" t="s">
        <v>38753</v>
      </c>
    </row>
    <row r="12934" spans="1:5" x14ac:dyDescent="0.2">
      <c r="A12934" t="s">
        <v>38754</v>
      </c>
      <c r="B12934" t="s">
        <v>38755</v>
      </c>
      <c r="C12934" t="s">
        <v>38755</v>
      </c>
      <c r="D12934" t="str">
        <f>HYPERLINK("https://zfin.org/ZDB-GENE-030131-7036")</f>
        <v>https://zfin.org/ZDB-GENE-030131-7036</v>
      </c>
      <c r="E12934" t="s">
        <v>38756</v>
      </c>
    </row>
    <row r="12935" spans="1:5" x14ac:dyDescent="0.2">
      <c r="A12935" t="s">
        <v>38757</v>
      </c>
      <c r="B12935" t="s">
        <v>38758</v>
      </c>
      <c r="C12935" t="s">
        <v>38758</v>
      </c>
      <c r="D12935" t="str">
        <f>HYPERLINK("https://zfin.org/ZDB-GENE-990603-11")</f>
        <v>https://zfin.org/ZDB-GENE-990603-11</v>
      </c>
      <c r="E12935" t="s">
        <v>38759</v>
      </c>
    </row>
    <row r="12936" spans="1:5" x14ac:dyDescent="0.2">
      <c r="A12936" t="s">
        <v>38760</v>
      </c>
      <c r="B12936" t="s">
        <v>38761</v>
      </c>
      <c r="C12936" t="s">
        <v>38761</v>
      </c>
      <c r="D12936" t="str">
        <f>HYPERLINK("https://zfin.org/ZDB-GENE-080204-30")</f>
        <v>https://zfin.org/ZDB-GENE-080204-30</v>
      </c>
      <c r="E12936" t="s">
        <v>38762</v>
      </c>
    </row>
    <row r="12937" spans="1:5" x14ac:dyDescent="0.2">
      <c r="A12937" t="s">
        <v>38763</v>
      </c>
      <c r="B12937" t="s">
        <v>38764</v>
      </c>
      <c r="C12937" t="s">
        <v>38764</v>
      </c>
      <c r="D12937" t="str">
        <f>HYPERLINK("https://zfin.org/ZDB-GENE-030131-2258")</f>
        <v>https://zfin.org/ZDB-GENE-030131-2258</v>
      </c>
      <c r="E12937" t="s">
        <v>38765</v>
      </c>
    </row>
    <row r="12938" spans="1:5" x14ac:dyDescent="0.2">
      <c r="A12938" t="s">
        <v>38766</v>
      </c>
      <c r="B12938" t="s">
        <v>38767</v>
      </c>
      <c r="C12938" t="s">
        <v>38767</v>
      </c>
      <c r="D12938" t="str">
        <f>HYPERLINK("https://zfin.org/ZDB-GENE-131127-489")</f>
        <v>https://zfin.org/ZDB-GENE-131127-489</v>
      </c>
      <c r="E12938" t="s">
        <v>38768</v>
      </c>
    </row>
    <row r="12939" spans="1:5" x14ac:dyDescent="0.2">
      <c r="A12939" t="s">
        <v>38769</v>
      </c>
      <c r="B12939" t="s">
        <v>38770</v>
      </c>
      <c r="C12939" t="s">
        <v>38770</v>
      </c>
      <c r="D12939" t="str">
        <f>HYPERLINK("https://zfin.org/ZDB-GENE-030616-593")</f>
        <v>https://zfin.org/ZDB-GENE-030616-593</v>
      </c>
      <c r="E12939" t="s">
        <v>38771</v>
      </c>
    </row>
    <row r="12940" spans="1:5" x14ac:dyDescent="0.2">
      <c r="A12940" t="s">
        <v>38772</v>
      </c>
      <c r="B12940" t="s">
        <v>38773</v>
      </c>
      <c r="C12940" t="s">
        <v>38773</v>
      </c>
      <c r="D12940" t="str">
        <f>HYPERLINK("https://zfin.org/ZDB-GENE-110914-160")</f>
        <v>https://zfin.org/ZDB-GENE-110914-160</v>
      </c>
      <c r="E12940" t="s">
        <v>38774</v>
      </c>
    </row>
    <row r="12941" spans="1:5" x14ac:dyDescent="0.2">
      <c r="A12941" t="s">
        <v>38775</v>
      </c>
      <c r="B12941" t="s">
        <v>38776</v>
      </c>
      <c r="C12941" t="s">
        <v>38776</v>
      </c>
      <c r="D12941" t="str">
        <f>HYPERLINK("https://zfin.org/ZDB-GENE-070410-122")</f>
        <v>https://zfin.org/ZDB-GENE-070410-122</v>
      </c>
      <c r="E12941" t="s">
        <v>38777</v>
      </c>
    </row>
    <row r="12942" spans="1:5" x14ac:dyDescent="0.2">
      <c r="A12942" t="s">
        <v>38778</v>
      </c>
      <c r="B12942" t="s">
        <v>38779</v>
      </c>
      <c r="C12942" t="s">
        <v>38779</v>
      </c>
      <c r="D12942" t="str">
        <f>HYPERLINK("https://zfin.org/ZDB-GENE-040822-6")</f>
        <v>https://zfin.org/ZDB-GENE-040822-6</v>
      </c>
      <c r="E12942" t="s">
        <v>38780</v>
      </c>
    </row>
    <row r="12943" spans="1:5" x14ac:dyDescent="0.2">
      <c r="A12943" t="s">
        <v>38781</v>
      </c>
      <c r="B12943" t="s">
        <v>38782</v>
      </c>
      <c r="C12943" t="s">
        <v>38782</v>
      </c>
      <c r="D12943" t="str">
        <f>HYPERLINK("https://zfin.org/ZDB-GENE-040917-3")</f>
        <v>https://zfin.org/ZDB-GENE-040917-3</v>
      </c>
      <c r="E12943" t="s">
        <v>38783</v>
      </c>
    </row>
    <row r="12944" spans="1:5" x14ac:dyDescent="0.2">
      <c r="A12944" t="s">
        <v>38784</v>
      </c>
      <c r="B12944" t="s">
        <v>38785</v>
      </c>
      <c r="C12944" t="s">
        <v>38785</v>
      </c>
      <c r="D12944" t="str">
        <f>HYPERLINK("https://zfin.org/ZDB-GENE-060503-135")</f>
        <v>https://zfin.org/ZDB-GENE-060503-135</v>
      </c>
      <c r="E12944" t="s">
        <v>38786</v>
      </c>
    </row>
    <row r="12945" spans="1:5" x14ac:dyDescent="0.2">
      <c r="A12945" t="s">
        <v>38787</v>
      </c>
      <c r="B12945" t="s">
        <v>38788</v>
      </c>
      <c r="C12945" t="s">
        <v>38788</v>
      </c>
      <c r="D12945" t="str">
        <f>HYPERLINK("https://zfin.org/ZDB-GENE-131121-184")</f>
        <v>https://zfin.org/ZDB-GENE-131121-184</v>
      </c>
      <c r="E12945" t="s">
        <v>38789</v>
      </c>
    </row>
    <row r="12946" spans="1:5" x14ac:dyDescent="0.2">
      <c r="A12946" t="s">
        <v>38790</v>
      </c>
      <c r="B12946" t="s">
        <v>38791</v>
      </c>
      <c r="C12946" t="s">
        <v>38791</v>
      </c>
      <c r="D12946" t="str">
        <f>HYPERLINK("https://zfin.org/ZDB-GENE-990415-257")</f>
        <v>https://zfin.org/ZDB-GENE-990415-257</v>
      </c>
      <c r="E12946" t="s">
        <v>38792</v>
      </c>
    </row>
    <row r="12947" spans="1:5" x14ac:dyDescent="0.2">
      <c r="A12947" t="s">
        <v>38793</v>
      </c>
      <c r="B12947" t="s">
        <v>38794</v>
      </c>
      <c r="C12947" t="s">
        <v>38794</v>
      </c>
      <c r="D12947" t="str">
        <f>HYPERLINK("https://zfin.org/ZDB-GENE-110321-1")</f>
        <v>https://zfin.org/ZDB-GENE-110321-1</v>
      </c>
      <c r="E12947" t="s">
        <v>38795</v>
      </c>
    </row>
    <row r="12948" spans="1:5" x14ac:dyDescent="0.2">
      <c r="A12948" t="s">
        <v>38796</v>
      </c>
      <c r="B12948" t="s">
        <v>38797</v>
      </c>
      <c r="C12948" t="s">
        <v>38797</v>
      </c>
      <c r="D12948" t="str">
        <f>HYPERLINK("https://zfin.org/ZDB-GENE-050320-107")</f>
        <v>https://zfin.org/ZDB-GENE-050320-107</v>
      </c>
      <c r="E12948" t="s">
        <v>38798</v>
      </c>
    </row>
    <row r="12949" spans="1:5" x14ac:dyDescent="0.2">
      <c r="A12949" t="s">
        <v>38799</v>
      </c>
      <c r="B12949" t="s">
        <v>38800</v>
      </c>
      <c r="C12949" t="s">
        <v>38800</v>
      </c>
      <c r="D12949" t="str">
        <f>HYPERLINK("https://zfin.org/ZDB-GENE-131126-44")</f>
        <v>https://zfin.org/ZDB-GENE-131126-44</v>
      </c>
      <c r="E12949" t="s">
        <v>38801</v>
      </c>
    </row>
    <row r="12950" spans="1:5" x14ac:dyDescent="0.2">
      <c r="A12950" t="s">
        <v>38802</v>
      </c>
      <c r="B12950" t="s">
        <v>38803</v>
      </c>
      <c r="C12950" t="s">
        <v>38803</v>
      </c>
      <c r="D12950" t="str">
        <f>HYPERLINK("https://zfin.org/ZDB-GENE-041010-211")</f>
        <v>https://zfin.org/ZDB-GENE-041010-211</v>
      </c>
      <c r="E12950" t="s">
        <v>38804</v>
      </c>
    </row>
    <row r="12951" spans="1:5" x14ac:dyDescent="0.2">
      <c r="A12951" t="s">
        <v>38805</v>
      </c>
      <c r="B12951" t="s">
        <v>38806</v>
      </c>
      <c r="C12951" t="s">
        <v>38806</v>
      </c>
      <c r="D12951" t="str">
        <f>HYPERLINK("https://zfin.org/ZDB-GENE-980526-109")</f>
        <v>https://zfin.org/ZDB-GENE-980526-109</v>
      </c>
      <c r="E12951" t="s">
        <v>38807</v>
      </c>
    </row>
    <row r="12952" spans="1:5" x14ac:dyDescent="0.2">
      <c r="A12952" t="s">
        <v>38808</v>
      </c>
      <c r="B12952" t="s">
        <v>38809</v>
      </c>
      <c r="C12952" t="s">
        <v>38809</v>
      </c>
      <c r="D12952" t="str">
        <f>HYPERLINK("https://zfin.org/ZDB-GENE-030131-3982")</f>
        <v>https://zfin.org/ZDB-GENE-030131-3982</v>
      </c>
      <c r="E12952" t="s">
        <v>38810</v>
      </c>
    </row>
    <row r="12953" spans="1:5" x14ac:dyDescent="0.2">
      <c r="A12953" t="s">
        <v>38811</v>
      </c>
      <c r="B12953" t="s">
        <v>38812</v>
      </c>
      <c r="C12953" t="s">
        <v>38812</v>
      </c>
      <c r="D12953" t="str">
        <f>HYPERLINK("https://zfin.org/ZDB-GENE-030219-158")</f>
        <v>https://zfin.org/ZDB-GENE-030219-158</v>
      </c>
      <c r="E12953" t="s">
        <v>38813</v>
      </c>
    </row>
    <row r="12954" spans="1:5" x14ac:dyDescent="0.2">
      <c r="A12954" t="s">
        <v>38814</v>
      </c>
      <c r="B12954" t="s">
        <v>38815</v>
      </c>
      <c r="C12954" t="s">
        <v>38815</v>
      </c>
      <c r="D12954" t="str">
        <f>HYPERLINK("https://zfin.org/ZDB-GENE-980526-529")</f>
        <v>https://zfin.org/ZDB-GENE-980526-529</v>
      </c>
      <c r="E12954" t="s">
        <v>38816</v>
      </c>
    </row>
    <row r="12955" spans="1:5" x14ac:dyDescent="0.2">
      <c r="A12955" t="s">
        <v>38817</v>
      </c>
      <c r="B12955" t="s">
        <v>38818</v>
      </c>
      <c r="C12955" t="s">
        <v>38818</v>
      </c>
      <c r="D12955" t="str">
        <f>HYPERLINK("https://zfin.org/ZDB-GENE-091117-10")</f>
        <v>https://zfin.org/ZDB-GENE-091117-10</v>
      </c>
      <c r="E12955" t="s">
        <v>38819</v>
      </c>
    </row>
    <row r="12956" spans="1:5" x14ac:dyDescent="0.2">
      <c r="A12956" t="s">
        <v>38820</v>
      </c>
      <c r="B12956" t="s">
        <v>38821</v>
      </c>
      <c r="C12956" t="s">
        <v>38821</v>
      </c>
      <c r="D12956" t="str">
        <f>HYPERLINK("https://zfin.org/ZDB-GENE-060503-182")</f>
        <v>https://zfin.org/ZDB-GENE-060503-182</v>
      </c>
      <c r="E12956" t="s">
        <v>38822</v>
      </c>
    </row>
    <row r="12957" spans="1:5" x14ac:dyDescent="0.2">
      <c r="A12957" t="s">
        <v>38823</v>
      </c>
      <c r="B12957" t="s">
        <v>38824</v>
      </c>
      <c r="C12957" t="s">
        <v>38824</v>
      </c>
      <c r="D12957" t="str">
        <f>HYPERLINK("https://zfin.org/ZDB-GENE-040924-7")</f>
        <v>https://zfin.org/ZDB-GENE-040924-7</v>
      </c>
      <c r="E12957" t="s">
        <v>38825</v>
      </c>
    </row>
    <row r="12958" spans="1:5" x14ac:dyDescent="0.2">
      <c r="A12958" t="s">
        <v>38826</v>
      </c>
      <c r="B12958" t="s">
        <v>38827</v>
      </c>
      <c r="C12958" t="s">
        <v>38827</v>
      </c>
      <c r="D12958" t="str">
        <f>HYPERLINK("https://zfin.org/ZDB-GENE-090313-382")</f>
        <v>https://zfin.org/ZDB-GENE-090313-382</v>
      </c>
      <c r="E12958" t="s">
        <v>38828</v>
      </c>
    </row>
    <row r="12959" spans="1:5" x14ac:dyDescent="0.2">
      <c r="A12959" t="s">
        <v>38829</v>
      </c>
      <c r="B12959" t="s">
        <v>38830</v>
      </c>
      <c r="C12959" t="s">
        <v>38830</v>
      </c>
      <c r="D12959" t="str">
        <f>HYPERLINK("https://zfin.org/ZDB-GENE-100922-39")</f>
        <v>https://zfin.org/ZDB-GENE-100922-39</v>
      </c>
      <c r="E12959" t="s">
        <v>38831</v>
      </c>
    </row>
    <row r="12960" spans="1:5" x14ac:dyDescent="0.2">
      <c r="A12960" t="s">
        <v>38832</v>
      </c>
      <c r="B12960" t="s">
        <v>38833</v>
      </c>
      <c r="C12960" t="s">
        <v>38833</v>
      </c>
      <c r="D12960" t="str">
        <f>HYPERLINK("https://zfin.org/ZDB-GENE-040801-202")</f>
        <v>https://zfin.org/ZDB-GENE-040801-202</v>
      </c>
      <c r="E12960" t="s">
        <v>38834</v>
      </c>
    </row>
    <row r="12961" spans="1:5" x14ac:dyDescent="0.2">
      <c r="A12961" t="s">
        <v>38835</v>
      </c>
      <c r="B12961" t="s">
        <v>38836</v>
      </c>
      <c r="C12961" t="s">
        <v>38836</v>
      </c>
      <c r="D12961" t="str">
        <f>HYPERLINK("https://zfin.org/ZDB-GENE-030912-2")</f>
        <v>https://zfin.org/ZDB-GENE-030912-2</v>
      </c>
      <c r="E12961" t="s">
        <v>38837</v>
      </c>
    </row>
    <row r="12962" spans="1:5" x14ac:dyDescent="0.2">
      <c r="A12962" t="s">
        <v>38838</v>
      </c>
      <c r="B12962" t="s">
        <v>38839</v>
      </c>
      <c r="C12962" t="s">
        <v>38839</v>
      </c>
      <c r="D12962" t="str">
        <f>HYPERLINK("https://zfin.org/ZDB-GENE-100913-3")</f>
        <v>https://zfin.org/ZDB-GENE-100913-3</v>
      </c>
      <c r="E12962" t="s">
        <v>38840</v>
      </c>
    </row>
    <row r="12963" spans="1:5" x14ac:dyDescent="0.2">
      <c r="A12963" t="s">
        <v>38841</v>
      </c>
      <c r="B12963" t="s">
        <v>38842</v>
      </c>
      <c r="C12963" t="s">
        <v>38842</v>
      </c>
      <c r="D12963" t="str">
        <f>HYPERLINK("https://zfin.org/ZDB-GENE-040426-1084")</f>
        <v>https://zfin.org/ZDB-GENE-040426-1084</v>
      </c>
      <c r="E12963" t="s">
        <v>38843</v>
      </c>
    </row>
    <row r="12964" spans="1:5" x14ac:dyDescent="0.2">
      <c r="A12964" t="s">
        <v>38844</v>
      </c>
      <c r="B12964" t="s">
        <v>38845</v>
      </c>
      <c r="C12964" t="s">
        <v>38845</v>
      </c>
      <c r="D12964" t="str">
        <f>HYPERLINK("https://zfin.org/ZDB-GENE-131121-277")</f>
        <v>https://zfin.org/ZDB-GENE-131121-277</v>
      </c>
      <c r="E12964" t="s">
        <v>38846</v>
      </c>
    </row>
    <row r="12965" spans="1:5" x14ac:dyDescent="0.2">
      <c r="A12965" t="s">
        <v>38847</v>
      </c>
      <c r="B12965" t="s">
        <v>38848</v>
      </c>
      <c r="C12965" t="s">
        <v>38848</v>
      </c>
      <c r="D12965" t="str">
        <f>HYPERLINK("https://zfin.org/ZDB-GENE-060503-325")</f>
        <v>https://zfin.org/ZDB-GENE-060503-325</v>
      </c>
      <c r="E12965" t="s">
        <v>38849</v>
      </c>
    </row>
    <row r="12966" spans="1:5" x14ac:dyDescent="0.2">
      <c r="A12966" t="s">
        <v>38850</v>
      </c>
      <c r="B12966" t="s">
        <v>38851</v>
      </c>
      <c r="C12966" t="s">
        <v>38851</v>
      </c>
      <c r="D12966" t="str">
        <f>HYPERLINK("https://zfin.org/ZDB-GENE-121214-9")</f>
        <v>https://zfin.org/ZDB-GENE-121214-9</v>
      </c>
      <c r="E12966" t="s">
        <v>38852</v>
      </c>
    </row>
    <row r="12967" spans="1:5" x14ac:dyDescent="0.2">
      <c r="A12967" t="s">
        <v>38853</v>
      </c>
      <c r="B12967" t="s">
        <v>38854</v>
      </c>
      <c r="C12967" t="s">
        <v>38854</v>
      </c>
      <c r="D12967" t="str">
        <f>HYPERLINK("https://zfin.org/ZDB-GENE-110921-5")</f>
        <v>https://zfin.org/ZDB-GENE-110921-5</v>
      </c>
      <c r="E12967" t="s">
        <v>38855</v>
      </c>
    </row>
    <row r="12968" spans="1:5" x14ac:dyDescent="0.2">
      <c r="A12968" t="s">
        <v>38856</v>
      </c>
      <c r="B12968" t="s">
        <v>38857</v>
      </c>
      <c r="C12968" t="s">
        <v>38857</v>
      </c>
      <c r="D12968" t="str">
        <f>HYPERLINK("https://zfin.org/ZDB-GENE-050309-191")</f>
        <v>https://zfin.org/ZDB-GENE-050309-191</v>
      </c>
      <c r="E12968" t="s">
        <v>38858</v>
      </c>
    </row>
    <row r="12969" spans="1:5" x14ac:dyDescent="0.2">
      <c r="A12969" t="s">
        <v>38859</v>
      </c>
      <c r="B12969" t="s">
        <v>38860</v>
      </c>
      <c r="C12969" t="s">
        <v>38860</v>
      </c>
      <c r="D12969" t="str">
        <f>HYPERLINK("https://zfin.org/ZDB-GENE-040801-97")</f>
        <v>https://zfin.org/ZDB-GENE-040801-97</v>
      </c>
      <c r="E12969" t="s">
        <v>38861</v>
      </c>
    </row>
    <row r="12970" spans="1:5" x14ac:dyDescent="0.2">
      <c r="A12970" t="s">
        <v>38862</v>
      </c>
      <c r="B12970" t="s">
        <v>38863</v>
      </c>
      <c r="C12970" t="s">
        <v>38863</v>
      </c>
      <c r="D12970" t="str">
        <f>HYPERLINK("https://zfin.org/")</f>
        <v>https://zfin.org/</v>
      </c>
    </row>
    <row r="12971" spans="1:5" x14ac:dyDescent="0.2">
      <c r="A12971" t="s">
        <v>38864</v>
      </c>
      <c r="B12971" t="s">
        <v>38865</v>
      </c>
      <c r="C12971" t="s">
        <v>38865</v>
      </c>
      <c r="D12971" t="str">
        <f>HYPERLINK("https://zfin.org/ZDB-GENE-041014-344")</f>
        <v>https://zfin.org/ZDB-GENE-041014-344</v>
      </c>
      <c r="E12971" t="s">
        <v>38866</v>
      </c>
    </row>
    <row r="12972" spans="1:5" x14ac:dyDescent="0.2">
      <c r="A12972" t="s">
        <v>38867</v>
      </c>
      <c r="B12972" t="s">
        <v>38868</v>
      </c>
      <c r="C12972" t="s">
        <v>38868</v>
      </c>
      <c r="D12972" t="str">
        <f>HYPERLINK("https://zfin.org/ZDB-GENE-050816-1")</f>
        <v>https://zfin.org/ZDB-GENE-050816-1</v>
      </c>
      <c r="E12972" t="s">
        <v>38869</v>
      </c>
    </row>
    <row r="12973" spans="1:5" x14ac:dyDescent="0.2">
      <c r="A12973" t="s">
        <v>38870</v>
      </c>
      <c r="B12973" t="s">
        <v>38871</v>
      </c>
      <c r="C12973" t="s">
        <v>38871</v>
      </c>
      <c r="D12973" t="str">
        <f>HYPERLINK("https://zfin.org/ZDB-GENE-040426-1159")</f>
        <v>https://zfin.org/ZDB-GENE-040426-1159</v>
      </c>
      <c r="E12973" t="s">
        <v>38872</v>
      </c>
    </row>
    <row r="12974" spans="1:5" x14ac:dyDescent="0.2">
      <c r="A12974" t="s">
        <v>38873</v>
      </c>
      <c r="B12974" t="s">
        <v>38874</v>
      </c>
      <c r="C12974" t="s">
        <v>38874</v>
      </c>
      <c r="D12974" t="str">
        <f>HYPERLINK("https://zfin.org/ZDB-GENE-141216-71")</f>
        <v>https://zfin.org/ZDB-GENE-141216-71</v>
      </c>
      <c r="E12974" t="s">
        <v>38875</v>
      </c>
    </row>
    <row r="12975" spans="1:5" x14ac:dyDescent="0.2">
      <c r="A12975" t="s">
        <v>38876</v>
      </c>
      <c r="B12975" t="s">
        <v>38877</v>
      </c>
      <c r="C12975" t="s">
        <v>38877</v>
      </c>
      <c r="D12975" t="str">
        <f>HYPERLINK("https://zfin.org/ZDB-GENE-040426-1679")</f>
        <v>https://zfin.org/ZDB-GENE-040426-1679</v>
      </c>
      <c r="E12975" t="s">
        <v>38878</v>
      </c>
    </row>
    <row r="12976" spans="1:5" x14ac:dyDescent="0.2">
      <c r="A12976" t="s">
        <v>38879</v>
      </c>
      <c r="B12976" t="s">
        <v>38880</v>
      </c>
      <c r="C12976" t="s">
        <v>38880</v>
      </c>
      <c r="D12976" t="str">
        <f>HYPERLINK("https://zfin.org/ZDB-GENE-130530-597")</f>
        <v>https://zfin.org/ZDB-GENE-130530-597</v>
      </c>
      <c r="E12976" t="s">
        <v>38881</v>
      </c>
    </row>
    <row r="12977" spans="1:5" x14ac:dyDescent="0.2">
      <c r="A12977" t="s">
        <v>38882</v>
      </c>
      <c r="B12977" t="s">
        <v>38883</v>
      </c>
      <c r="C12977" t="s">
        <v>38883</v>
      </c>
      <c r="D12977" t="str">
        <f>HYPERLINK("https://zfin.org/ZDB-GENE-040426-689")</f>
        <v>https://zfin.org/ZDB-GENE-040426-689</v>
      </c>
      <c r="E12977" t="s">
        <v>38884</v>
      </c>
    </row>
    <row r="12978" spans="1:5" x14ac:dyDescent="0.2">
      <c r="A12978" t="s">
        <v>38885</v>
      </c>
      <c r="B12978" t="s">
        <v>38886</v>
      </c>
      <c r="C12978" t="s">
        <v>38886</v>
      </c>
      <c r="D12978" t="str">
        <f>HYPERLINK("https://zfin.org/ZDB-GENE-030131-2934")</f>
        <v>https://zfin.org/ZDB-GENE-030131-2934</v>
      </c>
      <c r="E12978" t="s">
        <v>38887</v>
      </c>
    </row>
    <row r="12979" spans="1:5" x14ac:dyDescent="0.2">
      <c r="A12979" t="s">
        <v>38888</v>
      </c>
      <c r="B12979" t="s">
        <v>38889</v>
      </c>
      <c r="C12979" t="s">
        <v>38889</v>
      </c>
      <c r="D12979" t="str">
        <f>HYPERLINK("https://zfin.org/ZDB-GENE-041121-11")</f>
        <v>https://zfin.org/ZDB-GENE-041121-11</v>
      </c>
      <c r="E12979" t="s">
        <v>38890</v>
      </c>
    </row>
    <row r="12980" spans="1:5" x14ac:dyDescent="0.2">
      <c r="A12980" t="s">
        <v>38891</v>
      </c>
      <c r="B12980" t="s">
        <v>38892</v>
      </c>
      <c r="C12980" t="s">
        <v>38892</v>
      </c>
      <c r="D12980" t="str">
        <f>HYPERLINK("https://zfin.org/ZDB-GENE-040426-1047")</f>
        <v>https://zfin.org/ZDB-GENE-040426-1047</v>
      </c>
      <c r="E12980" t="s">
        <v>38893</v>
      </c>
    </row>
    <row r="12981" spans="1:5" x14ac:dyDescent="0.2">
      <c r="A12981" t="s">
        <v>38894</v>
      </c>
      <c r="B12981" t="s">
        <v>38895</v>
      </c>
      <c r="C12981" t="s">
        <v>38895</v>
      </c>
      <c r="D12981" t="str">
        <f>HYPERLINK("https://zfin.org/ZDB-GENE-080721-19")</f>
        <v>https://zfin.org/ZDB-GENE-080721-19</v>
      </c>
      <c r="E12981" t="s">
        <v>38896</v>
      </c>
    </row>
    <row r="12982" spans="1:5" x14ac:dyDescent="0.2">
      <c r="A12982" t="s">
        <v>38897</v>
      </c>
      <c r="B12982" t="s">
        <v>38898</v>
      </c>
      <c r="C12982" t="s">
        <v>38898</v>
      </c>
      <c r="D12982" t="str">
        <f>HYPERLINK("https://zfin.org/ZDB-GENE-030131-2854")</f>
        <v>https://zfin.org/ZDB-GENE-030131-2854</v>
      </c>
      <c r="E12982" t="s">
        <v>38899</v>
      </c>
    </row>
    <row r="12983" spans="1:5" x14ac:dyDescent="0.2">
      <c r="A12983" t="s">
        <v>38900</v>
      </c>
      <c r="B12983" t="s">
        <v>38901</v>
      </c>
      <c r="C12983" t="s">
        <v>38901</v>
      </c>
      <c r="D12983" t="str">
        <f>HYPERLINK("https://zfin.org/ZDB-GENE-040426-2551")</f>
        <v>https://zfin.org/ZDB-GENE-040426-2551</v>
      </c>
      <c r="E12983" t="s">
        <v>38902</v>
      </c>
    </row>
    <row r="12984" spans="1:5" x14ac:dyDescent="0.2">
      <c r="A12984" t="s">
        <v>38903</v>
      </c>
      <c r="B12984" t="s">
        <v>38904</v>
      </c>
      <c r="C12984" t="s">
        <v>38904</v>
      </c>
      <c r="D12984" t="str">
        <f>HYPERLINK("https://zfin.org/ZDB-GENE-071008-1")</f>
        <v>https://zfin.org/ZDB-GENE-071008-1</v>
      </c>
      <c r="E12984" t="s">
        <v>38905</v>
      </c>
    </row>
    <row r="12985" spans="1:5" x14ac:dyDescent="0.2">
      <c r="A12985" t="s">
        <v>38906</v>
      </c>
      <c r="B12985" t="s">
        <v>38907</v>
      </c>
      <c r="C12985" t="s">
        <v>38907</v>
      </c>
      <c r="D12985" t="str">
        <f>HYPERLINK("https://zfin.org/ZDB-GENE-090313-269")</f>
        <v>https://zfin.org/ZDB-GENE-090313-269</v>
      </c>
      <c r="E12985" t="s">
        <v>38908</v>
      </c>
    </row>
    <row r="12986" spans="1:5" x14ac:dyDescent="0.2">
      <c r="A12986" t="s">
        <v>38909</v>
      </c>
      <c r="B12986" t="s">
        <v>38910</v>
      </c>
      <c r="C12986" t="s">
        <v>38910</v>
      </c>
      <c r="D12986" t="str">
        <f>HYPERLINK("https://zfin.org/ZDB-GENE-030131-2956")</f>
        <v>https://zfin.org/ZDB-GENE-030131-2956</v>
      </c>
      <c r="E12986" t="s">
        <v>38911</v>
      </c>
    </row>
    <row r="12987" spans="1:5" x14ac:dyDescent="0.2">
      <c r="A12987" t="s">
        <v>38912</v>
      </c>
      <c r="B12987" t="s">
        <v>38913</v>
      </c>
      <c r="C12987" t="s">
        <v>38913</v>
      </c>
      <c r="D12987" t="str">
        <f>HYPERLINK("https://zfin.org/ZDB-GENE-050208-680")</f>
        <v>https://zfin.org/ZDB-GENE-050208-680</v>
      </c>
      <c r="E12987" t="s">
        <v>38914</v>
      </c>
    </row>
    <row r="12988" spans="1:5" x14ac:dyDescent="0.2">
      <c r="A12988" t="s">
        <v>38915</v>
      </c>
      <c r="B12988" t="s">
        <v>38916</v>
      </c>
      <c r="C12988" t="s">
        <v>38916</v>
      </c>
      <c r="D12988" t="str">
        <f>HYPERLINK("https://zfin.org/ZDB-GENE-091211-1")</f>
        <v>https://zfin.org/ZDB-GENE-091211-1</v>
      </c>
      <c r="E12988" t="s">
        <v>38917</v>
      </c>
    </row>
    <row r="12989" spans="1:5" x14ac:dyDescent="0.2">
      <c r="A12989" t="s">
        <v>38918</v>
      </c>
      <c r="B12989" t="s">
        <v>38919</v>
      </c>
      <c r="C12989" t="s">
        <v>38919</v>
      </c>
      <c r="D12989" t="str">
        <f>HYPERLINK("https://zfin.org/ZDB-GENE-060503-437")</f>
        <v>https://zfin.org/ZDB-GENE-060503-437</v>
      </c>
      <c r="E12989" t="s">
        <v>38920</v>
      </c>
    </row>
    <row r="12990" spans="1:5" x14ac:dyDescent="0.2">
      <c r="A12990" t="s">
        <v>38921</v>
      </c>
      <c r="B12990" t="s">
        <v>38922</v>
      </c>
      <c r="C12990" t="s">
        <v>38922</v>
      </c>
      <c r="D12990" t="str">
        <f>HYPERLINK("https://zfin.org/ZDB-GENE-081105-169")</f>
        <v>https://zfin.org/ZDB-GENE-081105-169</v>
      </c>
      <c r="E12990" t="s">
        <v>38923</v>
      </c>
    </row>
    <row r="12991" spans="1:5" x14ac:dyDescent="0.2">
      <c r="A12991" t="s">
        <v>38924</v>
      </c>
      <c r="B12991" t="s">
        <v>38925</v>
      </c>
      <c r="C12991" t="s">
        <v>38925</v>
      </c>
      <c r="D12991" t="str">
        <f>HYPERLINK("https://zfin.org/ZDB-GENE-071008-1")</f>
        <v>https://zfin.org/ZDB-GENE-071008-1</v>
      </c>
      <c r="E12991" t="s">
        <v>38926</v>
      </c>
    </row>
    <row r="12992" spans="1:5" x14ac:dyDescent="0.2">
      <c r="A12992" t="s">
        <v>38927</v>
      </c>
      <c r="B12992" t="s">
        <v>38928</v>
      </c>
      <c r="C12992" t="s">
        <v>38928</v>
      </c>
      <c r="D12992" t="str">
        <f>HYPERLINK("https://zfin.org/ZDB-GENE-040426-1528")</f>
        <v>https://zfin.org/ZDB-GENE-040426-1528</v>
      </c>
      <c r="E12992" t="s">
        <v>38929</v>
      </c>
    </row>
    <row r="12993" spans="1:5" x14ac:dyDescent="0.2">
      <c r="A12993" t="s">
        <v>38930</v>
      </c>
      <c r="B12993" t="s">
        <v>38931</v>
      </c>
      <c r="C12993" t="s">
        <v>38931</v>
      </c>
      <c r="D12993" t="str">
        <f>HYPERLINK("https://zfin.org/ZDB-GENE-060526-144")</f>
        <v>https://zfin.org/ZDB-GENE-060526-144</v>
      </c>
      <c r="E12993" t="s">
        <v>38932</v>
      </c>
    </row>
    <row r="12994" spans="1:5" x14ac:dyDescent="0.2">
      <c r="A12994" t="s">
        <v>38933</v>
      </c>
      <c r="B12994" t="s">
        <v>38934</v>
      </c>
      <c r="C12994" t="s">
        <v>38934</v>
      </c>
      <c r="D12994" t="str">
        <f>HYPERLINK("https://zfin.org/ZDB-GENE-090312-181")</f>
        <v>https://zfin.org/ZDB-GENE-090312-181</v>
      </c>
      <c r="E12994" t="s">
        <v>38935</v>
      </c>
    </row>
    <row r="12995" spans="1:5" x14ac:dyDescent="0.2">
      <c r="A12995" t="s">
        <v>38936</v>
      </c>
      <c r="B12995" t="s">
        <v>38937</v>
      </c>
      <c r="C12995" t="s">
        <v>38937</v>
      </c>
      <c r="D12995" t="str">
        <f>HYPERLINK("https://zfin.org/ZDB-GENE-030131-3062")</f>
        <v>https://zfin.org/ZDB-GENE-030131-3062</v>
      </c>
      <c r="E12995" t="s">
        <v>38938</v>
      </c>
    </row>
    <row r="12996" spans="1:5" x14ac:dyDescent="0.2">
      <c r="A12996" t="s">
        <v>38939</v>
      </c>
      <c r="B12996" t="s">
        <v>38940</v>
      </c>
      <c r="C12996" t="s">
        <v>38940</v>
      </c>
      <c r="D12996" t="str">
        <f>HYPERLINK("https://zfin.org/ZDB-GENE-081105-78")</f>
        <v>https://zfin.org/ZDB-GENE-081105-78</v>
      </c>
      <c r="E12996" t="s">
        <v>38941</v>
      </c>
    </row>
    <row r="12997" spans="1:5" x14ac:dyDescent="0.2">
      <c r="A12997" t="s">
        <v>38942</v>
      </c>
      <c r="B12997" t="s">
        <v>38943</v>
      </c>
      <c r="C12997" t="s">
        <v>38943</v>
      </c>
      <c r="D12997" t="str">
        <f>HYPERLINK("https://zfin.org/ZDB-GENE-030131-2912")</f>
        <v>https://zfin.org/ZDB-GENE-030131-2912</v>
      </c>
      <c r="E12997" t="s">
        <v>38944</v>
      </c>
    </row>
    <row r="12998" spans="1:5" x14ac:dyDescent="0.2">
      <c r="A12998" t="s">
        <v>38945</v>
      </c>
      <c r="B12998" t="s">
        <v>38946</v>
      </c>
      <c r="C12998" t="s">
        <v>38946</v>
      </c>
      <c r="D12998" t="str">
        <f>HYPERLINK("https://zfin.org/ZDB-GENE-040115-3")</f>
        <v>https://zfin.org/ZDB-GENE-040115-3</v>
      </c>
      <c r="E12998" t="s">
        <v>38947</v>
      </c>
    </row>
    <row r="12999" spans="1:5" x14ac:dyDescent="0.2">
      <c r="A12999" t="s">
        <v>38948</v>
      </c>
      <c r="B12999" t="s">
        <v>38949</v>
      </c>
      <c r="C12999" t="s">
        <v>38949</v>
      </c>
      <c r="D12999" t="str">
        <f>HYPERLINK("https://zfin.org/ZDB-GENE-070801-4")</f>
        <v>https://zfin.org/ZDB-GENE-070801-4</v>
      </c>
      <c r="E12999" t="s">
        <v>38950</v>
      </c>
    </row>
    <row r="13000" spans="1:5" x14ac:dyDescent="0.2">
      <c r="A13000" t="s">
        <v>38951</v>
      </c>
      <c r="B13000" t="s">
        <v>38952</v>
      </c>
      <c r="C13000" t="s">
        <v>38952</v>
      </c>
      <c r="D13000" t="str">
        <f>HYPERLINK("https://zfin.org/ZDB-GENE-110411-210")</f>
        <v>https://zfin.org/ZDB-GENE-110411-210</v>
      </c>
      <c r="E13000" t="s">
        <v>38953</v>
      </c>
    </row>
    <row r="13001" spans="1:5" x14ac:dyDescent="0.2">
      <c r="A13001" t="s">
        <v>38954</v>
      </c>
      <c r="B13001" t="s">
        <v>38955</v>
      </c>
      <c r="C13001" t="s">
        <v>38955</v>
      </c>
      <c r="D13001" t="str">
        <f>HYPERLINK("https://zfin.org/ZDB-GENE-030131-574")</f>
        <v>https://zfin.org/ZDB-GENE-030131-574</v>
      </c>
      <c r="E13001" t="s">
        <v>38956</v>
      </c>
    </row>
    <row r="13002" spans="1:5" x14ac:dyDescent="0.2">
      <c r="A13002" t="s">
        <v>38957</v>
      </c>
      <c r="B13002" t="s">
        <v>38958</v>
      </c>
      <c r="C13002" t="s">
        <v>38958</v>
      </c>
      <c r="D13002" t="str">
        <f>HYPERLINK("https://zfin.org/ZDB-GENE-060929-168")</f>
        <v>https://zfin.org/ZDB-GENE-060929-168</v>
      </c>
      <c r="E13002" t="s">
        <v>38959</v>
      </c>
    </row>
    <row r="13003" spans="1:5" x14ac:dyDescent="0.2">
      <c r="A13003" t="s">
        <v>38960</v>
      </c>
      <c r="B13003" t="s">
        <v>38961</v>
      </c>
      <c r="C13003" t="s">
        <v>38961</v>
      </c>
      <c r="D13003" t="str">
        <f>HYPERLINK("https://zfin.org/ZDB-GENE-101103-4")</f>
        <v>https://zfin.org/ZDB-GENE-101103-4</v>
      </c>
      <c r="E13003" t="s">
        <v>38962</v>
      </c>
    </row>
    <row r="13004" spans="1:5" x14ac:dyDescent="0.2">
      <c r="A13004" t="s">
        <v>38963</v>
      </c>
      <c r="B13004" t="s">
        <v>38964</v>
      </c>
      <c r="C13004" t="s">
        <v>38964</v>
      </c>
      <c r="D13004" t="str">
        <f>HYPERLINK("https://zfin.org/ZDB-GENE-041001-189")</f>
        <v>https://zfin.org/ZDB-GENE-041001-189</v>
      </c>
      <c r="E13004" t="s">
        <v>38965</v>
      </c>
    </row>
    <row r="13005" spans="1:5" x14ac:dyDescent="0.2">
      <c r="A13005" t="s">
        <v>38966</v>
      </c>
      <c r="B13005" t="s">
        <v>38967</v>
      </c>
      <c r="C13005" t="s">
        <v>38967</v>
      </c>
      <c r="D13005" t="str">
        <f>HYPERLINK("https://zfin.org/ZDB-GENE-020419-22")</f>
        <v>https://zfin.org/ZDB-GENE-020419-22</v>
      </c>
      <c r="E13005" t="s">
        <v>38968</v>
      </c>
    </row>
    <row r="13006" spans="1:5" x14ac:dyDescent="0.2">
      <c r="A13006" t="s">
        <v>38969</v>
      </c>
      <c r="B13006" t="s">
        <v>38970</v>
      </c>
      <c r="C13006" t="s">
        <v>38970</v>
      </c>
      <c r="D13006" t="str">
        <f>HYPERLINK("https://zfin.org/ZDB-GENE-041010-37")</f>
        <v>https://zfin.org/ZDB-GENE-041010-37</v>
      </c>
      <c r="E13006" t="s">
        <v>38971</v>
      </c>
    </row>
    <row r="13007" spans="1:5" x14ac:dyDescent="0.2">
      <c r="A13007" t="s">
        <v>38972</v>
      </c>
      <c r="B13007" t="s">
        <v>38973</v>
      </c>
      <c r="C13007" t="s">
        <v>38973</v>
      </c>
      <c r="D13007" t="str">
        <f>HYPERLINK("https://zfin.org/ZDB-GENE-030131-9774")</f>
        <v>https://zfin.org/ZDB-GENE-030131-9774</v>
      </c>
      <c r="E13007" t="s">
        <v>38974</v>
      </c>
    </row>
    <row r="13008" spans="1:5" x14ac:dyDescent="0.2">
      <c r="A13008" t="s">
        <v>38975</v>
      </c>
      <c r="B13008" t="s">
        <v>38976</v>
      </c>
      <c r="C13008" t="s">
        <v>38976</v>
      </c>
      <c r="D13008" t="str">
        <f>HYPERLINK("https://zfin.org/ZDB-GENE-030131-8767")</f>
        <v>https://zfin.org/ZDB-GENE-030131-8767</v>
      </c>
      <c r="E13008" t="s">
        <v>38977</v>
      </c>
    </row>
    <row r="13009" spans="1:5" x14ac:dyDescent="0.2">
      <c r="A13009" t="s">
        <v>38978</v>
      </c>
      <c r="B13009" t="s">
        <v>38979</v>
      </c>
      <c r="C13009" t="s">
        <v>38979</v>
      </c>
      <c r="D13009" t="str">
        <f>HYPERLINK("https://zfin.org/ZDB-GENE-100922-139")</f>
        <v>https://zfin.org/ZDB-GENE-100922-139</v>
      </c>
      <c r="E13009" t="s">
        <v>38980</v>
      </c>
    </row>
    <row r="13010" spans="1:5" x14ac:dyDescent="0.2">
      <c r="A13010" t="s">
        <v>38981</v>
      </c>
      <c r="B13010" t="s">
        <v>38982</v>
      </c>
      <c r="C13010" t="s">
        <v>38982</v>
      </c>
      <c r="D13010" t="str">
        <f>HYPERLINK("https://zfin.org/ZDB-GENE-030131-2408")</f>
        <v>https://zfin.org/ZDB-GENE-030131-2408</v>
      </c>
      <c r="E13010" t="s">
        <v>38983</v>
      </c>
    </row>
    <row r="13011" spans="1:5" x14ac:dyDescent="0.2">
      <c r="A13011" t="s">
        <v>38984</v>
      </c>
      <c r="B13011" t="s">
        <v>38985</v>
      </c>
      <c r="C13011" t="s">
        <v>38985</v>
      </c>
      <c r="D13011" t="str">
        <f>HYPERLINK("https://zfin.org/ZDB-GENE-050522-304")</f>
        <v>https://zfin.org/ZDB-GENE-050522-304</v>
      </c>
      <c r="E13011" t="s">
        <v>38986</v>
      </c>
    </row>
    <row r="13012" spans="1:5" x14ac:dyDescent="0.2">
      <c r="A13012" t="s">
        <v>38987</v>
      </c>
      <c r="B13012" t="s">
        <v>38988</v>
      </c>
      <c r="C13012" t="s">
        <v>38988</v>
      </c>
      <c r="D13012" t="str">
        <f>HYPERLINK("https://zfin.org/ZDB-GENE-030131-5540")</f>
        <v>https://zfin.org/ZDB-GENE-030131-5540</v>
      </c>
      <c r="E13012" t="s">
        <v>38989</v>
      </c>
    </row>
    <row r="13013" spans="1:5" x14ac:dyDescent="0.2">
      <c r="A13013" t="s">
        <v>38990</v>
      </c>
      <c r="B13013" t="s">
        <v>38991</v>
      </c>
      <c r="C13013" t="s">
        <v>38991</v>
      </c>
      <c r="D13013" t="str">
        <f>HYPERLINK("https://zfin.org/ZDB-GENE-050208-335")</f>
        <v>https://zfin.org/ZDB-GENE-050208-335</v>
      </c>
      <c r="E13013" t="s">
        <v>38992</v>
      </c>
    </row>
    <row r="13014" spans="1:5" x14ac:dyDescent="0.2">
      <c r="A13014" t="s">
        <v>38993</v>
      </c>
      <c r="B13014" t="s">
        <v>38994</v>
      </c>
      <c r="C13014" t="s">
        <v>38994</v>
      </c>
      <c r="D13014" t="str">
        <f>HYPERLINK("https://zfin.org/ZDB-GENE-040426-1314")</f>
        <v>https://zfin.org/ZDB-GENE-040426-1314</v>
      </c>
      <c r="E13014" t="s">
        <v>38995</v>
      </c>
    </row>
    <row r="13015" spans="1:5" x14ac:dyDescent="0.2">
      <c r="A13015" t="s">
        <v>38996</v>
      </c>
      <c r="B13015" t="s">
        <v>38997</v>
      </c>
      <c r="C13015" t="s">
        <v>38997</v>
      </c>
      <c r="D13015" t="str">
        <f>HYPERLINK("https://zfin.org/ZDB-GENE-050419-173")</f>
        <v>https://zfin.org/ZDB-GENE-050419-173</v>
      </c>
      <c r="E13015" t="s">
        <v>38998</v>
      </c>
    </row>
    <row r="13016" spans="1:5" x14ac:dyDescent="0.2">
      <c r="A13016" t="s">
        <v>38999</v>
      </c>
      <c r="B13016" t="s">
        <v>39000</v>
      </c>
      <c r="C13016" t="s">
        <v>39000</v>
      </c>
      <c r="D13016" t="str">
        <f>HYPERLINK("https://zfin.org/ZDB-GENE-030131-2997")</f>
        <v>https://zfin.org/ZDB-GENE-030131-2997</v>
      </c>
      <c r="E13016" t="s">
        <v>39001</v>
      </c>
    </row>
    <row r="13017" spans="1:5" x14ac:dyDescent="0.2">
      <c r="A13017" t="s">
        <v>39002</v>
      </c>
      <c r="B13017" t="s">
        <v>39003</v>
      </c>
      <c r="C13017" t="s">
        <v>39003</v>
      </c>
      <c r="D13017" t="str">
        <f>HYPERLINK("https://zfin.org/ZDB-GENE-031006-14")</f>
        <v>https://zfin.org/ZDB-GENE-031006-14</v>
      </c>
      <c r="E13017" t="s">
        <v>39004</v>
      </c>
    </row>
    <row r="13018" spans="1:5" x14ac:dyDescent="0.2">
      <c r="A13018" t="s">
        <v>39005</v>
      </c>
      <c r="B13018" t="s">
        <v>39006</v>
      </c>
      <c r="C13018" t="s">
        <v>39006</v>
      </c>
      <c r="D13018" t="str">
        <f>HYPERLINK("https://zfin.org/ZDB-GENE-030131-6192")</f>
        <v>https://zfin.org/ZDB-GENE-030131-6192</v>
      </c>
      <c r="E13018" t="s">
        <v>39007</v>
      </c>
    </row>
    <row r="13019" spans="1:5" x14ac:dyDescent="0.2">
      <c r="A13019" t="s">
        <v>39008</v>
      </c>
      <c r="B13019" t="s">
        <v>39009</v>
      </c>
      <c r="C13019" t="s">
        <v>39009</v>
      </c>
      <c r="D13019" t="str">
        <f>HYPERLINK("https://zfin.org/ZDB-GENE-041008-100")</f>
        <v>https://zfin.org/ZDB-GENE-041008-100</v>
      </c>
      <c r="E13019" t="s">
        <v>39010</v>
      </c>
    </row>
    <row r="13020" spans="1:5" x14ac:dyDescent="0.2">
      <c r="A13020" t="s">
        <v>39011</v>
      </c>
      <c r="B13020" t="s">
        <v>39012</v>
      </c>
      <c r="C13020" t="s">
        <v>39012</v>
      </c>
      <c r="D13020" t="str">
        <f>HYPERLINK("https://zfin.org/ZDB-GENE-030131-719")</f>
        <v>https://zfin.org/ZDB-GENE-030131-719</v>
      </c>
      <c r="E13020" t="s">
        <v>39013</v>
      </c>
    </row>
    <row r="13021" spans="1:5" x14ac:dyDescent="0.2">
      <c r="A13021" t="s">
        <v>39014</v>
      </c>
      <c r="B13021" t="s">
        <v>39015</v>
      </c>
      <c r="C13021" t="s">
        <v>39015</v>
      </c>
      <c r="D13021" t="str">
        <f>HYPERLINK("https://zfin.org/ZDB-GENE-040426-730")</f>
        <v>https://zfin.org/ZDB-GENE-040426-730</v>
      </c>
      <c r="E13021" t="s">
        <v>39016</v>
      </c>
    </row>
    <row r="13022" spans="1:5" x14ac:dyDescent="0.2">
      <c r="A13022" t="s">
        <v>39017</v>
      </c>
      <c r="B13022" t="s">
        <v>39018</v>
      </c>
      <c r="C13022" t="s">
        <v>39018</v>
      </c>
      <c r="D13022" t="str">
        <f>HYPERLINK("https://zfin.org/ZDB-GENE-081104-488")</f>
        <v>https://zfin.org/ZDB-GENE-081104-488</v>
      </c>
      <c r="E13022" t="s">
        <v>39019</v>
      </c>
    </row>
    <row r="13023" spans="1:5" x14ac:dyDescent="0.2">
      <c r="A13023" t="s">
        <v>39020</v>
      </c>
      <c r="B13023" t="s">
        <v>39021</v>
      </c>
      <c r="C13023" t="s">
        <v>39021</v>
      </c>
      <c r="D13023" t="str">
        <f>HYPERLINK("https://zfin.org/ZDB-GENE-050208-450")</f>
        <v>https://zfin.org/ZDB-GENE-050208-450</v>
      </c>
      <c r="E13023" t="s">
        <v>39022</v>
      </c>
    </row>
    <row r="13024" spans="1:5" x14ac:dyDescent="0.2">
      <c r="A13024" t="s">
        <v>39023</v>
      </c>
      <c r="B13024" t="s">
        <v>39024</v>
      </c>
      <c r="C13024" t="s">
        <v>39024</v>
      </c>
      <c r="D13024" t="str">
        <f>HYPERLINK("https://zfin.org/ZDB-GENE-030918-2")</f>
        <v>https://zfin.org/ZDB-GENE-030918-2</v>
      </c>
      <c r="E13024" t="s">
        <v>39025</v>
      </c>
    </row>
    <row r="13025" spans="1:5" x14ac:dyDescent="0.2">
      <c r="A13025" t="s">
        <v>39026</v>
      </c>
      <c r="B13025" t="s">
        <v>39027</v>
      </c>
      <c r="C13025" t="s">
        <v>39027</v>
      </c>
      <c r="D13025" t="str">
        <f>HYPERLINK("https://zfin.org/ZDB-GENE-040801-55")</f>
        <v>https://zfin.org/ZDB-GENE-040801-55</v>
      </c>
      <c r="E13025" t="s">
        <v>39028</v>
      </c>
    </row>
    <row r="13026" spans="1:5" x14ac:dyDescent="0.2">
      <c r="A13026" t="s">
        <v>39029</v>
      </c>
      <c r="B13026" t="s">
        <v>39030</v>
      </c>
      <c r="C13026" t="s">
        <v>39030</v>
      </c>
      <c r="D13026" t="str">
        <f>HYPERLINK("https://zfin.org/ZDB-GENE-040426-1078")</f>
        <v>https://zfin.org/ZDB-GENE-040426-1078</v>
      </c>
      <c r="E13026" t="s">
        <v>39031</v>
      </c>
    </row>
    <row r="13027" spans="1:5" x14ac:dyDescent="0.2">
      <c r="A13027" t="s">
        <v>39032</v>
      </c>
      <c r="B13027" t="s">
        <v>39033</v>
      </c>
      <c r="C13027" t="s">
        <v>39033</v>
      </c>
      <c r="D13027" t="str">
        <f>HYPERLINK("https://zfin.org/ZDB-GENE-131119-97")</f>
        <v>https://zfin.org/ZDB-GENE-131119-97</v>
      </c>
      <c r="E13027" t="s">
        <v>39034</v>
      </c>
    </row>
    <row r="13028" spans="1:5" x14ac:dyDescent="0.2">
      <c r="A13028" t="s">
        <v>39035</v>
      </c>
      <c r="B13028" t="s">
        <v>39036</v>
      </c>
      <c r="C13028" t="s">
        <v>39036</v>
      </c>
      <c r="D13028" t="str">
        <f>HYPERLINK("https://zfin.org/ZDB-GENE-040912-91")</f>
        <v>https://zfin.org/ZDB-GENE-040912-91</v>
      </c>
      <c r="E13028" t="s">
        <v>39037</v>
      </c>
    </row>
    <row r="13029" spans="1:5" x14ac:dyDescent="0.2">
      <c r="A13029" t="s">
        <v>39038</v>
      </c>
      <c r="B13029" t="s">
        <v>39039</v>
      </c>
      <c r="C13029" t="s">
        <v>39039</v>
      </c>
      <c r="D13029" t="str">
        <f>HYPERLINK("https://zfin.org/ZDB-GENE-030603-1")</f>
        <v>https://zfin.org/ZDB-GENE-030603-1</v>
      </c>
      <c r="E13029" t="s">
        <v>39040</v>
      </c>
    </row>
    <row r="13030" spans="1:5" x14ac:dyDescent="0.2">
      <c r="A13030" t="s">
        <v>39041</v>
      </c>
      <c r="B13030" t="s">
        <v>39042</v>
      </c>
      <c r="C13030" t="s">
        <v>39042</v>
      </c>
      <c r="D13030" t="str">
        <f>HYPERLINK("https://zfin.org/ZDB-GENE-030131-9216")</f>
        <v>https://zfin.org/ZDB-GENE-030131-9216</v>
      </c>
      <c r="E13030" t="s">
        <v>39043</v>
      </c>
    </row>
    <row r="13031" spans="1:5" x14ac:dyDescent="0.2">
      <c r="A13031" t="s">
        <v>39044</v>
      </c>
      <c r="B13031" t="s">
        <v>39045</v>
      </c>
      <c r="C13031" t="s">
        <v>39045</v>
      </c>
      <c r="D13031" t="str">
        <f>HYPERLINK("https://zfin.org/ZDB-GENE-060810-7")</f>
        <v>https://zfin.org/ZDB-GENE-060810-7</v>
      </c>
      <c r="E13031" t="s">
        <v>39046</v>
      </c>
    </row>
    <row r="13032" spans="1:5" x14ac:dyDescent="0.2">
      <c r="A13032" t="s">
        <v>39047</v>
      </c>
      <c r="B13032" t="s">
        <v>39048</v>
      </c>
      <c r="C13032" t="s">
        <v>39048</v>
      </c>
      <c r="D13032" t="str">
        <f>HYPERLINK("https://zfin.org/ZDB-GENE-041114-22")</f>
        <v>https://zfin.org/ZDB-GENE-041114-22</v>
      </c>
      <c r="E13032" t="s">
        <v>39049</v>
      </c>
    </row>
    <row r="13033" spans="1:5" x14ac:dyDescent="0.2">
      <c r="A13033" t="s">
        <v>39050</v>
      </c>
      <c r="B13033" t="s">
        <v>39051</v>
      </c>
      <c r="C13033" t="s">
        <v>39051</v>
      </c>
      <c r="D13033" t="str">
        <f>HYPERLINK("https://zfin.org/ZDB-GENE-040718-8")</f>
        <v>https://zfin.org/ZDB-GENE-040718-8</v>
      </c>
      <c r="E13033" t="s">
        <v>39052</v>
      </c>
    </row>
    <row r="13034" spans="1:5" x14ac:dyDescent="0.2">
      <c r="A13034" t="s">
        <v>39053</v>
      </c>
      <c r="B13034" t="s">
        <v>39054</v>
      </c>
      <c r="C13034" t="s">
        <v>39054</v>
      </c>
      <c r="D13034" t="str">
        <f>HYPERLINK("https://zfin.org/ZDB-GENE-050208-496")</f>
        <v>https://zfin.org/ZDB-GENE-050208-496</v>
      </c>
      <c r="E13034" t="s">
        <v>39055</v>
      </c>
    </row>
    <row r="13035" spans="1:5" x14ac:dyDescent="0.2">
      <c r="A13035" t="s">
        <v>39056</v>
      </c>
      <c r="B13035" t="s">
        <v>39057</v>
      </c>
      <c r="C13035" t="s">
        <v>39057</v>
      </c>
      <c r="D13035" t="str">
        <f>HYPERLINK("https://zfin.org/ZDB-GENE-041001-188")</f>
        <v>https://zfin.org/ZDB-GENE-041001-188</v>
      </c>
      <c r="E13035" t="s">
        <v>39058</v>
      </c>
    </row>
    <row r="13036" spans="1:5" x14ac:dyDescent="0.2">
      <c r="A13036" t="s">
        <v>39059</v>
      </c>
      <c r="B13036" t="s">
        <v>39060</v>
      </c>
      <c r="C13036" t="s">
        <v>39060</v>
      </c>
      <c r="D13036" t="str">
        <f>HYPERLINK("https://zfin.org/ZDB-GENE-040426-802")</f>
        <v>https://zfin.org/ZDB-GENE-040426-802</v>
      </c>
      <c r="E13036" t="s">
        <v>39061</v>
      </c>
    </row>
    <row r="13037" spans="1:5" x14ac:dyDescent="0.2">
      <c r="A13037" t="s">
        <v>39062</v>
      </c>
      <c r="B13037" t="s">
        <v>39063</v>
      </c>
      <c r="C13037" t="s">
        <v>39063</v>
      </c>
      <c r="D13037" t="str">
        <f>HYPERLINK("https://zfin.org/ZDB-GENE-081105-168")</f>
        <v>https://zfin.org/ZDB-GENE-081105-168</v>
      </c>
      <c r="E13037" t="s">
        <v>39064</v>
      </c>
    </row>
    <row r="13038" spans="1:5" x14ac:dyDescent="0.2">
      <c r="A13038" t="s">
        <v>39065</v>
      </c>
      <c r="B13038" t="s">
        <v>39066</v>
      </c>
      <c r="C13038" t="s">
        <v>39066</v>
      </c>
      <c r="D13038" t="str">
        <f>HYPERLINK("https://zfin.org/ZDB-GENE-061103-481")</f>
        <v>https://zfin.org/ZDB-GENE-061103-481</v>
      </c>
      <c r="E13038" t="s">
        <v>39067</v>
      </c>
    </row>
    <row r="13039" spans="1:5" x14ac:dyDescent="0.2">
      <c r="A13039" t="s">
        <v>39068</v>
      </c>
      <c r="B13039" t="s">
        <v>39069</v>
      </c>
      <c r="C13039" t="s">
        <v>39069</v>
      </c>
      <c r="D13039" t="str">
        <f>HYPERLINK("https://zfin.org/ZDB-GENE-040426-2810")</f>
        <v>https://zfin.org/ZDB-GENE-040426-2810</v>
      </c>
      <c r="E13039" t="s">
        <v>39070</v>
      </c>
    </row>
    <row r="13040" spans="1:5" x14ac:dyDescent="0.2">
      <c r="A13040" t="s">
        <v>39071</v>
      </c>
      <c r="B13040" t="s">
        <v>39072</v>
      </c>
      <c r="C13040" t="s">
        <v>39072</v>
      </c>
      <c r="D13040" t="str">
        <f>HYPERLINK("https://zfin.org/ZDB-GENE-050417-220")</f>
        <v>https://zfin.org/ZDB-GENE-050417-220</v>
      </c>
      <c r="E13040" t="s">
        <v>39073</v>
      </c>
    </row>
    <row r="13041" spans="1:5" x14ac:dyDescent="0.2">
      <c r="A13041" t="s">
        <v>39074</v>
      </c>
      <c r="B13041" t="s">
        <v>39075</v>
      </c>
      <c r="C13041" t="s">
        <v>39075</v>
      </c>
      <c r="D13041" t="str">
        <f>HYPERLINK("https://zfin.org/ZDB-GENE-121129-3")</f>
        <v>https://zfin.org/ZDB-GENE-121129-3</v>
      </c>
      <c r="E13041" t="s">
        <v>39076</v>
      </c>
    </row>
    <row r="13042" spans="1:5" x14ac:dyDescent="0.2">
      <c r="A13042" t="s">
        <v>39077</v>
      </c>
      <c r="B13042" t="s">
        <v>39078</v>
      </c>
      <c r="C13042" t="s">
        <v>39078</v>
      </c>
      <c r="D13042" t="str">
        <f>HYPERLINK("https://zfin.org/ZDB-GENE-050119-6")</f>
        <v>https://zfin.org/ZDB-GENE-050119-6</v>
      </c>
      <c r="E13042" t="s">
        <v>39079</v>
      </c>
    </row>
    <row r="13043" spans="1:5" x14ac:dyDescent="0.2">
      <c r="A13043" t="s">
        <v>39080</v>
      </c>
      <c r="B13043" t="s">
        <v>39081</v>
      </c>
      <c r="C13043" t="s">
        <v>39081</v>
      </c>
      <c r="D13043" t="str">
        <f>HYPERLINK("https://zfin.org/ZDB-GENE-040426-2796")</f>
        <v>https://zfin.org/ZDB-GENE-040426-2796</v>
      </c>
      <c r="E13043" t="s">
        <v>39082</v>
      </c>
    </row>
    <row r="13044" spans="1:5" x14ac:dyDescent="0.2">
      <c r="A13044" t="s">
        <v>39083</v>
      </c>
      <c r="B13044" t="s">
        <v>39084</v>
      </c>
      <c r="C13044" t="s">
        <v>39084</v>
      </c>
      <c r="D13044" t="str">
        <f>HYPERLINK("https://zfin.org/ZDB-GENE-070912-55")</f>
        <v>https://zfin.org/ZDB-GENE-070912-55</v>
      </c>
      <c r="E13044" t="s">
        <v>39085</v>
      </c>
    </row>
    <row r="13045" spans="1:5" x14ac:dyDescent="0.2">
      <c r="A13045" t="s">
        <v>39086</v>
      </c>
      <c r="B13045" t="s">
        <v>39087</v>
      </c>
      <c r="C13045" t="s">
        <v>39087</v>
      </c>
      <c r="D13045" t="str">
        <f>HYPERLINK("https://zfin.org/ZDB-GENE-020419-18")</f>
        <v>https://zfin.org/ZDB-GENE-020419-18</v>
      </c>
      <c r="E13045" t="s">
        <v>39088</v>
      </c>
    </row>
    <row r="13046" spans="1:5" x14ac:dyDescent="0.2">
      <c r="A13046" t="s">
        <v>39089</v>
      </c>
      <c r="B13046" t="s">
        <v>39090</v>
      </c>
      <c r="C13046" t="s">
        <v>39090</v>
      </c>
      <c r="D13046" t="str">
        <f>HYPERLINK("https://zfin.org/ZDB-GENE-050522-276")</f>
        <v>https://zfin.org/ZDB-GENE-050522-276</v>
      </c>
      <c r="E13046" t="s">
        <v>39091</v>
      </c>
    </row>
    <row r="13047" spans="1:5" x14ac:dyDescent="0.2">
      <c r="A13047" t="s">
        <v>39092</v>
      </c>
      <c r="B13047" t="s">
        <v>39093</v>
      </c>
      <c r="C13047" t="s">
        <v>39093</v>
      </c>
      <c r="D13047" t="str">
        <f>HYPERLINK("https://zfin.org/ZDB-GENE-060503-664")</f>
        <v>https://zfin.org/ZDB-GENE-060503-664</v>
      </c>
      <c r="E13047" t="s">
        <v>39094</v>
      </c>
    </row>
    <row r="13048" spans="1:5" x14ac:dyDescent="0.2">
      <c r="A13048" t="s">
        <v>39095</v>
      </c>
      <c r="B13048" t="s">
        <v>39096</v>
      </c>
      <c r="C13048" t="s">
        <v>39096</v>
      </c>
      <c r="D13048" t="str">
        <f>HYPERLINK("https://zfin.org/ZDB-GENE-060929-1098")</f>
        <v>https://zfin.org/ZDB-GENE-060929-1098</v>
      </c>
      <c r="E13048" t="s">
        <v>39097</v>
      </c>
    </row>
    <row r="13049" spans="1:5" x14ac:dyDescent="0.2">
      <c r="A13049" t="s">
        <v>39098</v>
      </c>
      <c r="B13049" t="s">
        <v>39099</v>
      </c>
      <c r="C13049" t="s">
        <v>39099</v>
      </c>
      <c r="D13049" t="str">
        <f>HYPERLINK("https://zfin.org/ZDB-GENE-030103-2")</f>
        <v>https://zfin.org/ZDB-GENE-030103-2</v>
      </c>
      <c r="E13049" t="s">
        <v>39100</v>
      </c>
    </row>
    <row r="13050" spans="1:5" x14ac:dyDescent="0.2">
      <c r="A13050" t="s">
        <v>39101</v>
      </c>
      <c r="B13050" t="s">
        <v>39102</v>
      </c>
      <c r="C13050" t="s">
        <v>39102</v>
      </c>
      <c r="D13050" t="str">
        <f>HYPERLINK("https://zfin.org/ZDB-GENE-060526-21")</f>
        <v>https://zfin.org/ZDB-GENE-060526-21</v>
      </c>
      <c r="E13050" t="s">
        <v>39103</v>
      </c>
    </row>
    <row r="13051" spans="1:5" x14ac:dyDescent="0.2">
      <c r="A13051" t="s">
        <v>39104</v>
      </c>
      <c r="B13051" t="s">
        <v>39105</v>
      </c>
      <c r="C13051" t="s">
        <v>39105</v>
      </c>
      <c r="D13051" t="str">
        <f>HYPERLINK("https://zfin.org/ZDB-GENE-040718-412")</f>
        <v>https://zfin.org/ZDB-GENE-040718-412</v>
      </c>
      <c r="E13051" t="s">
        <v>39106</v>
      </c>
    </row>
    <row r="13052" spans="1:5" x14ac:dyDescent="0.2">
      <c r="A13052" t="s">
        <v>39107</v>
      </c>
      <c r="B13052" t="s">
        <v>39108</v>
      </c>
      <c r="C13052" t="s">
        <v>39108</v>
      </c>
      <c r="D13052" t="str">
        <f>HYPERLINK("https://zfin.org/ZDB-GENE-040808-64")</f>
        <v>https://zfin.org/ZDB-GENE-040808-64</v>
      </c>
      <c r="E13052" t="s">
        <v>39109</v>
      </c>
    </row>
    <row r="13053" spans="1:5" x14ac:dyDescent="0.2">
      <c r="A13053" t="s">
        <v>39110</v>
      </c>
      <c r="B13053" t="s">
        <v>39111</v>
      </c>
      <c r="C13053" t="s">
        <v>39111</v>
      </c>
      <c r="D13053" t="str">
        <f>HYPERLINK("https://zfin.org/ZDB-GENE-070705-193")</f>
        <v>https://zfin.org/ZDB-GENE-070705-193</v>
      </c>
      <c r="E13053" t="s">
        <v>39112</v>
      </c>
    </row>
    <row r="13054" spans="1:5" x14ac:dyDescent="0.2">
      <c r="A13054" t="s">
        <v>39113</v>
      </c>
      <c r="B13054" t="s">
        <v>39114</v>
      </c>
      <c r="C13054" t="s">
        <v>39114</v>
      </c>
      <c r="D13054" t="str">
        <f>HYPERLINK("https://zfin.org/ZDB-GENE-030429-30")</f>
        <v>https://zfin.org/ZDB-GENE-030429-30</v>
      </c>
      <c r="E13054" t="s">
        <v>39115</v>
      </c>
    </row>
    <row r="13055" spans="1:5" x14ac:dyDescent="0.2">
      <c r="A13055" t="s">
        <v>39116</v>
      </c>
      <c r="B13055" t="s">
        <v>39117</v>
      </c>
      <c r="C13055" t="s">
        <v>39117</v>
      </c>
      <c r="D13055" t="str">
        <f>HYPERLINK("https://zfin.org/ZDB-GENE-081105-97")</f>
        <v>https://zfin.org/ZDB-GENE-081105-97</v>
      </c>
      <c r="E13055" t="s">
        <v>39118</v>
      </c>
    </row>
    <row r="13056" spans="1:5" x14ac:dyDescent="0.2">
      <c r="A13056" t="s">
        <v>39119</v>
      </c>
      <c r="B13056" t="s">
        <v>39120</v>
      </c>
      <c r="C13056" t="s">
        <v>39120</v>
      </c>
      <c r="D13056" t="str">
        <f>HYPERLINK("https://zfin.org/ZDB-GENE-040718-54")</f>
        <v>https://zfin.org/ZDB-GENE-040718-54</v>
      </c>
      <c r="E13056" t="s">
        <v>39121</v>
      </c>
    </row>
    <row r="13057" spans="1:5" x14ac:dyDescent="0.2">
      <c r="A13057" t="s">
        <v>39122</v>
      </c>
      <c r="B13057" t="s">
        <v>39123</v>
      </c>
      <c r="C13057" t="s">
        <v>39123</v>
      </c>
      <c r="D13057" t="str">
        <f>HYPERLINK("https://zfin.org/ZDB-GENE-060312-15")</f>
        <v>https://zfin.org/ZDB-GENE-060312-15</v>
      </c>
      <c r="E13057" t="s">
        <v>39124</v>
      </c>
    </row>
    <row r="13058" spans="1:5" x14ac:dyDescent="0.2">
      <c r="A13058" t="s">
        <v>39125</v>
      </c>
      <c r="B13058" t="s">
        <v>39126</v>
      </c>
      <c r="C13058" t="s">
        <v>39126</v>
      </c>
      <c r="D13058" t="str">
        <f>HYPERLINK("https://zfin.org/ZDB-GENE-990415-44")</f>
        <v>https://zfin.org/ZDB-GENE-990415-44</v>
      </c>
      <c r="E13058" t="s">
        <v>39127</v>
      </c>
    </row>
    <row r="13059" spans="1:5" x14ac:dyDescent="0.2">
      <c r="A13059" t="s">
        <v>39128</v>
      </c>
      <c r="B13059" t="s">
        <v>39129</v>
      </c>
      <c r="C13059" t="s">
        <v>39129</v>
      </c>
      <c r="D13059" t="str">
        <f>HYPERLINK("https://zfin.org/ZDB-GENE-040426-1434")</f>
        <v>https://zfin.org/ZDB-GENE-040426-1434</v>
      </c>
      <c r="E13059" t="s">
        <v>39130</v>
      </c>
    </row>
    <row r="13060" spans="1:5" x14ac:dyDescent="0.2">
      <c r="A13060" t="s">
        <v>39131</v>
      </c>
      <c r="B13060" t="s">
        <v>39132</v>
      </c>
      <c r="C13060" t="s">
        <v>39132</v>
      </c>
      <c r="D13060" t="str">
        <f>HYPERLINK("https://zfin.org/ZDB-GENE-090312-164")</f>
        <v>https://zfin.org/ZDB-GENE-090312-164</v>
      </c>
      <c r="E13060" t="s">
        <v>39133</v>
      </c>
    </row>
    <row r="13061" spans="1:5" x14ac:dyDescent="0.2">
      <c r="A13061" t="s">
        <v>39134</v>
      </c>
      <c r="B13061" t="s">
        <v>39135</v>
      </c>
      <c r="C13061" t="s">
        <v>39135</v>
      </c>
      <c r="D13061" t="str">
        <f>HYPERLINK("https://zfin.org/ZDB-GENE-041014-339")</f>
        <v>https://zfin.org/ZDB-GENE-041014-339</v>
      </c>
      <c r="E13061" t="s">
        <v>39136</v>
      </c>
    </row>
    <row r="13062" spans="1:5" x14ac:dyDescent="0.2">
      <c r="A13062" t="s">
        <v>39137</v>
      </c>
      <c r="B13062" t="s">
        <v>39138</v>
      </c>
      <c r="C13062" t="s">
        <v>39138</v>
      </c>
      <c r="D13062" t="str">
        <f>HYPERLINK("https://zfin.org/ZDB-GENE-040801-18")</f>
        <v>https://zfin.org/ZDB-GENE-040801-18</v>
      </c>
      <c r="E13062" t="s">
        <v>39139</v>
      </c>
    </row>
    <row r="13063" spans="1:5" x14ac:dyDescent="0.2">
      <c r="A13063" t="s">
        <v>39140</v>
      </c>
      <c r="B13063" t="s">
        <v>39141</v>
      </c>
      <c r="C13063" t="s">
        <v>39141</v>
      </c>
      <c r="D13063" t="str">
        <f>HYPERLINK("https://zfin.org/ZDB-GENE-030131-8811")</f>
        <v>https://zfin.org/ZDB-GENE-030131-8811</v>
      </c>
      <c r="E13063" t="s">
        <v>39142</v>
      </c>
    </row>
    <row r="13064" spans="1:5" x14ac:dyDescent="0.2">
      <c r="A13064" t="s">
        <v>39143</v>
      </c>
      <c r="B13064" t="s">
        <v>39144</v>
      </c>
      <c r="C13064" t="s">
        <v>39144</v>
      </c>
      <c r="D13064" t="str">
        <f>HYPERLINK("https://zfin.org/ZDB-GENE-050809-9")</f>
        <v>https://zfin.org/ZDB-GENE-050809-9</v>
      </c>
      <c r="E13064" t="s">
        <v>39145</v>
      </c>
    </row>
    <row r="13065" spans="1:5" x14ac:dyDescent="0.2">
      <c r="A13065" t="s">
        <v>39146</v>
      </c>
      <c r="B13065" t="s">
        <v>39147</v>
      </c>
      <c r="C13065" t="s">
        <v>39147</v>
      </c>
      <c r="D13065" t="str">
        <f>HYPERLINK("https://zfin.org/ZDB-GENE-030131-8454")</f>
        <v>https://zfin.org/ZDB-GENE-030131-8454</v>
      </c>
      <c r="E13065" t="s">
        <v>39148</v>
      </c>
    </row>
    <row r="13066" spans="1:5" x14ac:dyDescent="0.2">
      <c r="A13066" t="s">
        <v>39149</v>
      </c>
      <c r="B13066" t="s">
        <v>39150</v>
      </c>
      <c r="C13066" t="s">
        <v>39150</v>
      </c>
      <c r="D13066" t="str">
        <f>HYPERLINK("https://zfin.org/ZDB-GENE-120709-12")</f>
        <v>https://zfin.org/ZDB-GENE-120709-12</v>
      </c>
      <c r="E13066" t="s">
        <v>39151</v>
      </c>
    </row>
    <row r="13067" spans="1:5" x14ac:dyDescent="0.2">
      <c r="A13067" t="s">
        <v>39152</v>
      </c>
      <c r="B13067" t="s">
        <v>39153</v>
      </c>
      <c r="C13067" t="s">
        <v>39153</v>
      </c>
      <c r="D13067" t="str">
        <f>HYPERLINK("https://zfin.org/ZDB-GENE-030131-1811")</f>
        <v>https://zfin.org/ZDB-GENE-030131-1811</v>
      </c>
      <c r="E13067" t="s">
        <v>39154</v>
      </c>
    </row>
    <row r="13068" spans="1:5" x14ac:dyDescent="0.2">
      <c r="A13068" t="s">
        <v>39155</v>
      </c>
      <c r="B13068" t="s">
        <v>39156</v>
      </c>
      <c r="C13068" t="s">
        <v>39156</v>
      </c>
      <c r="D13068" t="str">
        <f>HYPERLINK("https://zfin.org/ZDB-GENE-091006-2")</f>
        <v>https://zfin.org/ZDB-GENE-091006-2</v>
      </c>
      <c r="E13068" t="s">
        <v>39157</v>
      </c>
    </row>
    <row r="13069" spans="1:5" x14ac:dyDescent="0.2">
      <c r="A13069" t="s">
        <v>39158</v>
      </c>
      <c r="B13069" t="s">
        <v>39159</v>
      </c>
      <c r="C13069" t="s">
        <v>39159</v>
      </c>
      <c r="D13069" t="str">
        <f>HYPERLINK("https://zfin.org/ZDB-GENE-070112-2142")</f>
        <v>https://zfin.org/ZDB-GENE-070112-2142</v>
      </c>
      <c r="E13069" t="s">
        <v>39160</v>
      </c>
    </row>
    <row r="13070" spans="1:5" x14ac:dyDescent="0.2">
      <c r="A13070" t="s">
        <v>39161</v>
      </c>
      <c r="B13070" t="s">
        <v>39162</v>
      </c>
      <c r="C13070" t="s">
        <v>39163</v>
      </c>
      <c r="D13070" t="str">
        <f>HYPERLINK("https://zfin.org/ZDB-GENE-081028-41")</f>
        <v>https://zfin.org/ZDB-GENE-081028-41</v>
      </c>
      <c r="E13070" t="s">
        <v>39164</v>
      </c>
    </row>
    <row r="13071" spans="1:5" x14ac:dyDescent="0.2">
      <c r="A13071" t="s">
        <v>39165</v>
      </c>
      <c r="B13071" t="s">
        <v>39166</v>
      </c>
      <c r="C13071" t="s">
        <v>39166</v>
      </c>
      <c r="D13071" t="str">
        <f>HYPERLINK("https://zfin.org/ZDB-GENE-081104-139")</f>
        <v>https://zfin.org/ZDB-GENE-081104-139</v>
      </c>
      <c r="E13071" t="s">
        <v>39167</v>
      </c>
    </row>
    <row r="13072" spans="1:5" x14ac:dyDescent="0.2">
      <c r="A13072" t="s">
        <v>39168</v>
      </c>
      <c r="B13072" t="s">
        <v>39169</v>
      </c>
      <c r="C13072" t="s">
        <v>39169</v>
      </c>
      <c r="D13072" t="str">
        <f>HYPERLINK("https://zfin.org/ZDB-GENE-051205-1")</f>
        <v>https://zfin.org/ZDB-GENE-051205-1</v>
      </c>
      <c r="E13072" t="s">
        <v>39170</v>
      </c>
    </row>
    <row r="13073" spans="1:5" x14ac:dyDescent="0.2">
      <c r="A13073" t="s">
        <v>39171</v>
      </c>
      <c r="B13073" t="s">
        <v>39172</v>
      </c>
      <c r="C13073" t="s">
        <v>39172</v>
      </c>
      <c r="D13073" t="str">
        <f>HYPERLINK("https://zfin.org/ZDB-GENE-041210-216")</f>
        <v>https://zfin.org/ZDB-GENE-041210-216</v>
      </c>
      <c r="E13073" t="s">
        <v>39173</v>
      </c>
    </row>
    <row r="13074" spans="1:5" x14ac:dyDescent="0.2">
      <c r="A13074" t="s">
        <v>39174</v>
      </c>
      <c r="B13074" t="s">
        <v>39175</v>
      </c>
      <c r="C13074" t="s">
        <v>39175</v>
      </c>
      <c r="D13074" t="str">
        <f>HYPERLINK("https://zfin.org/ZDB-GENE-120207-1")</f>
        <v>https://zfin.org/ZDB-GENE-120207-1</v>
      </c>
      <c r="E13074" t="s">
        <v>39176</v>
      </c>
    </row>
    <row r="13075" spans="1:5" x14ac:dyDescent="0.2">
      <c r="A13075" t="s">
        <v>39177</v>
      </c>
      <c r="B13075" t="s">
        <v>39178</v>
      </c>
      <c r="C13075" t="s">
        <v>39178</v>
      </c>
      <c r="D13075" t="str">
        <f>HYPERLINK("https://zfin.org/ZDB-GENE-060929-1066")</f>
        <v>https://zfin.org/ZDB-GENE-060929-1066</v>
      </c>
      <c r="E13075" t="s">
        <v>39179</v>
      </c>
    </row>
    <row r="13076" spans="1:5" x14ac:dyDescent="0.2">
      <c r="A13076" t="s">
        <v>39180</v>
      </c>
      <c r="B13076" t="s">
        <v>39181</v>
      </c>
      <c r="C13076" t="s">
        <v>39181</v>
      </c>
      <c r="D13076" t="str">
        <f>HYPERLINK("https://zfin.org/ZDB-GENE-060503-472")</f>
        <v>https://zfin.org/ZDB-GENE-060503-472</v>
      </c>
      <c r="E13076" t="s">
        <v>39182</v>
      </c>
    </row>
    <row r="13077" spans="1:5" x14ac:dyDescent="0.2">
      <c r="A13077" t="s">
        <v>39183</v>
      </c>
      <c r="B13077" t="s">
        <v>39184</v>
      </c>
      <c r="C13077" t="s">
        <v>39184</v>
      </c>
      <c r="D13077" t="str">
        <f>HYPERLINK("https://zfin.org/ZDB-GENE-030131-9506")</f>
        <v>https://zfin.org/ZDB-GENE-030131-9506</v>
      </c>
      <c r="E13077" t="s">
        <v>39185</v>
      </c>
    </row>
    <row r="13078" spans="1:5" x14ac:dyDescent="0.2">
      <c r="A13078" t="s">
        <v>39186</v>
      </c>
      <c r="B13078" t="s">
        <v>39187</v>
      </c>
      <c r="C13078" t="s">
        <v>39187</v>
      </c>
      <c r="D13078" t="str">
        <f>HYPERLINK("https://zfin.org/ZDB-GENE-000426-1")</f>
        <v>https://zfin.org/ZDB-GENE-000426-1</v>
      </c>
      <c r="E13078" t="s">
        <v>39188</v>
      </c>
    </row>
    <row r="13079" spans="1:5" x14ac:dyDescent="0.2">
      <c r="A13079" t="s">
        <v>39189</v>
      </c>
      <c r="B13079" t="s">
        <v>39190</v>
      </c>
      <c r="C13079" t="s">
        <v>39190</v>
      </c>
      <c r="D13079" t="str">
        <f>HYPERLINK("https://zfin.org/ZDB-GENE-070725-1")</f>
        <v>https://zfin.org/ZDB-GENE-070725-1</v>
      </c>
      <c r="E13079" t="s">
        <v>39191</v>
      </c>
    </row>
    <row r="13080" spans="1:5" x14ac:dyDescent="0.2">
      <c r="A13080" t="s">
        <v>39192</v>
      </c>
      <c r="B13080" t="s">
        <v>39193</v>
      </c>
      <c r="C13080" t="s">
        <v>39193</v>
      </c>
      <c r="D13080" t="str">
        <f>HYPERLINK("https://zfin.org/ZDB-GENE-091113-25")</f>
        <v>https://zfin.org/ZDB-GENE-091113-25</v>
      </c>
      <c r="E13080" t="s">
        <v>39194</v>
      </c>
    </row>
    <row r="13081" spans="1:5" x14ac:dyDescent="0.2">
      <c r="A13081" t="s">
        <v>39195</v>
      </c>
      <c r="B13081" t="s">
        <v>39196</v>
      </c>
      <c r="C13081" t="s">
        <v>39196</v>
      </c>
      <c r="D13081" t="str">
        <f>HYPERLINK("https://zfin.org/ZDB-GENE-131122-78")</f>
        <v>https://zfin.org/ZDB-GENE-131122-78</v>
      </c>
      <c r="E13081" t="s">
        <v>39197</v>
      </c>
    </row>
    <row r="13082" spans="1:5" x14ac:dyDescent="0.2">
      <c r="A13082" t="s">
        <v>39198</v>
      </c>
      <c r="B13082" t="s">
        <v>39199</v>
      </c>
      <c r="C13082" t="s">
        <v>39199</v>
      </c>
      <c r="D13082" t="str">
        <f>HYPERLINK("https://zfin.org/ZDB-GENE-040426-2269")</f>
        <v>https://zfin.org/ZDB-GENE-040426-2269</v>
      </c>
      <c r="E13082" t="s">
        <v>39200</v>
      </c>
    </row>
    <row r="13083" spans="1:5" x14ac:dyDescent="0.2">
      <c r="A13083" t="s">
        <v>39201</v>
      </c>
      <c r="B13083" t="s">
        <v>39202</v>
      </c>
      <c r="C13083" t="s">
        <v>39202</v>
      </c>
      <c r="D13083" t="str">
        <f>HYPERLINK("https://zfin.org/ZDB-GENE-030131-9536")</f>
        <v>https://zfin.org/ZDB-GENE-030131-9536</v>
      </c>
      <c r="E13083" t="s">
        <v>39203</v>
      </c>
    </row>
    <row r="13084" spans="1:5" x14ac:dyDescent="0.2">
      <c r="A13084" t="s">
        <v>39204</v>
      </c>
      <c r="B13084" t="s">
        <v>39205</v>
      </c>
      <c r="C13084" t="s">
        <v>39205</v>
      </c>
      <c r="D13084" t="str">
        <f>HYPERLINK("https://zfin.org/ZDB-GENE-070424-95")</f>
        <v>https://zfin.org/ZDB-GENE-070424-95</v>
      </c>
      <c r="E13084" t="s">
        <v>39206</v>
      </c>
    </row>
    <row r="13085" spans="1:5" x14ac:dyDescent="0.2">
      <c r="A13085" t="s">
        <v>39207</v>
      </c>
      <c r="B13085" t="s">
        <v>39208</v>
      </c>
      <c r="C13085" t="s">
        <v>39208</v>
      </c>
      <c r="D13085" t="str">
        <f>HYPERLINK("https://zfin.org/ZDB-GENE-131119-50")</f>
        <v>https://zfin.org/ZDB-GENE-131119-50</v>
      </c>
      <c r="E13085" t="s">
        <v>39209</v>
      </c>
    </row>
    <row r="13086" spans="1:5" x14ac:dyDescent="0.2">
      <c r="A13086" t="s">
        <v>39210</v>
      </c>
      <c r="B13086" t="s">
        <v>39211</v>
      </c>
      <c r="C13086" t="s">
        <v>39211</v>
      </c>
      <c r="D13086" t="str">
        <f>HYPERLINK("https://zfin.org/ZDB-GENE-040718-43")</f>
        <v>https://zfin.org/ZDB-GENE-040718-43</v>
      </c>
      <c r="E13086" t="s">
        <v>39212</v>
      </c>
    </row>
    <row r="13087" spans="1:5" x14ac:dyDescent="0.2">
      <c r="A13087" t="s">
        <v>39213</v>
      </c>
      <c r="B13087" t="s">
        <v>39214</v>
      </c>
      <c r="C13087" t="s">
        <v>39214</v>
      </c>
      <c r="D13087" t="str">
        <f>HYPERLINK("https://zfin.org/ZDB-GENE-041212-76")</f>
        <v>https://zfin.org/ZDB-GENE-041212-76</v>
      </c>
      <c r="E13087" t="s">
        <v>39215</v>
      </c>
    </row>
    <row r="13088" spans="1:5" x14ac:dyDescent="0.2">
      <c r="A13088" t="s">
        <v>39216</v>
      </c>
      <c r="B13088" t="s">
        <v>39217</v>
      </c>
      <c r="C13088" t="s">
        <v>39217</v>
      </c>
      <c r="D13088" t="str">
        <f>HYPERLINK("https://zfin.org/ZDB-GENE-050706-62")</f>
        <v>https://zfin.org/ZDB-GENE-050706-62</v>
      </c>
      <c r="E13088" t="s">
        <v>39218</v>
      </c>
    </row>
    <row r="13089" spans="1:5" x14ac:dyDescent="0.2">
      <c r="A13089" t="s">
        <v>39219</v>
      </c>
      <c r="B13089" t="s">
        <v>39220</v>
      </c>
      <c r="C13089" t="s">
        <v>39220</v>
      </c>
      <c r="D13089" t="str">
        <f>HYPERLINK("https://zfin.org/ZDB-GENE-040426-1196")</f>
        <v>https://zfin.org/ZDB-GENE-040426-1196</v>
      </c>
      <c r="E13089" t="s">
        <v>39221</v>
      </c>
    </row>
    <row r="13090" spans="1:5" x14ac:dyDescent="0.2">
      <c r="A13090" t="s">
        <v>39222</v>
      </c>
      <c r="B13090" t="s">
        <v>39223</v>
      </c>
      <c r="C13090" t="s">
        <v>39223</v>
      </c>
      <c r="D13090" t="str">
        <f>HYPERLINK("https://zfin.org/ZDB-GENE-990415-267")</f>
        <v>https://zfin.org/ZDB-GENE-990415-267</v>
      </c>
      <c r="E13090" t="s">
        <v>39224</v>
      </c>
    </row>
    <row r="13091" spans="1:5" x14ac:dyDescent="0.2">
      <c r="A13091" t="s">
        <v>39225</v>
      </c>
      <c r="B13091" t="s">
        <v>39226</v>
      </c>
      <c r="C13091" t="s">
        <v>39226</v>
      </c>
      <c r="D13091" t="str">
        <f>HYPERLINK("https://zfin.org/ZDB-GENE-060503-367")</f>
        <v>https://zfin.org/ZDB-GENE-060503-367</v>
      </c>
      <c r="E13091" t="s">
        <v>39227</v>
      </c>
    </row>
    <row r="13092" spans="1:5" x14ac:dyDescent="0.2">
      <c r="A13092" t="s">
        <v>39228</v>
      </c>
      <c r="B13092" t="s">
        <v>39229</v>
      </c>
      <c r="C13092" t="s">
        <v>39229</v>
      </c>
      <c r="D13092" t="str">
        <f>HYPERLINK("https://zfin.org/ZDB-GENE-030131-5733")</f>
        <v>https://zfin.org/ZDB-GENE-030131-5733</v>
      </c>
      <c r="E13092" t="s">
        <v>39230</v>
      </c>
    </row>
    <row r="13093" spans="1:5" x14ac:dyDescent="0.2">
      <c r="A13093" t="s">
        <v>39231</v>
      </c>
      <c r="B13093" t="s">
        <v>39232</v>
      </c>
      <c r="C13093" t="s">
        <v>39232</v>
      </c>
      <c r="D13093" t="str">
        <f>HYPERLINK("https://zfin.org/ZDB-GENE-040912-20")</f>
        <v>https://zfin.org/ZDB-GENE-040912-20</v>
      </c>
      <c r="E13093" t="s">
        <v>39233</v>
      </c>
    </row>
    <row r="13094" spans="1:5" x14ac:dyDescent="0.2">
      <c r="A13094" t="s">
        <v>39234</v>
      </c>
      <c r="B13094" t="s">
        <v>39235</v>
      </c>
      <c r="C13094" t="s">
        <v>39235</v>
      </c>
      <c r="D13094" t="str">
        <f>HYPERLINK("https://zfin.org/ZDB-GENE-130103-2")</f>
        <v>https://zfin.org/ZDB-GENE-130103-2</v>
      </c>
      <c r="E13094" t="s">
        <v>39236</v>
      </c>
    </row>
    <row r="13095" spans="1:5" x14ac:dyDescent="0.2">
      <c r="A13095" t="s">
        <v>39237</v>
      </c>
      <c r="B13095" t="s">
        <v>39238</v>
      </c>
      <c r="C13095" t="s">
        <v>39238</v>
      </c>
      <c r="D13095" t="str">
        <f>HYPERLINK("https://zfin.org/ZDB-GENE-030919-2")</f>
        <v>https://zfin.org/ZDB-GENE-030919-2</v>
      </c>
      <c r="E13095" t="s">
        <v>39239</v>
      </c>
    </row>
    <row r="13096" spans="1:5" x14ac:dyDescent="0.2">
      <c r="A13096" t="s">
        <v>39240</v>
      </c>
      <c r="B13096" t="s">
        <v>39241</v>
      </c>
      <c r="C13096" t="s">
        <v>39241</v>
      </c>
      <c r="D13096" t="str">
        <f>HYPERLINK("https://zfin.org/ZDB-GENE-100426-4")</f>
        <v>https://zfin.org/ZDB-GENE-100426-4</v>
      </c>
      <c r="E13096" t="s">
        <v>39242</v>
      </c>
    </row>
    <row r="13097" spans="1:5" x14ac:dyDescent="0.2">
      <c r="A13097" t="s">
        <v>39243</v>
      </c>
      <c r="B13097" t="s">
        <v>39244</v>
      </c>
      <c r="C13097" t="s">
        <v>39244</v>
      </c>
      <c r="D13097" t="str">
        <f>HYPERLINK("https://zfin.org/ZDB-GENE-141216-196")</f>
        <v>https://zfin.org/ZDB-GENE-141216-196</v>
      </c>
      <c r="E13097" t="s">
        <v>39245</v>
      </c>
    </row>
    <row r="13098" spans="1:5" x14ac:dyDescent="0.2">
      <c r="A13098" t="s">
        <v>39246</v>
      </c>
      <c r="B13098" t="s">
        <v>39247</v>
      </c>
      <c r="C13098" t="s">
        <v>39247</v>
      </c>
      <c r="D13098" t="str">
        <f>HYPERLINK("https://zfin.org/ZDB-GENE-040426-2557")</f>
        <v>https://zfin.org/ZDB-GENE-040426-2557</v>
      </c>
      <c r="E13098" t="s">
        <v>39248</v>
      </c>
    </row>
    <row r="13099" spans="1:5" x14ac:dyDescent="0.2">
      <c r="A13099" t="s">
        <v>39249</v>
      </c>
      <c r="B13099" t="s">
        <v>39250</v>
      </c>
      <c r="C13099" t="s">
        <v>39250</v>
      </c>
      <c r="D13099" t="str">
        <f>HYPERLINK("https://zfin.org/ZDB-GENE-051023-15")</f>
        <v>https://zfin.org/ZDB-GENE-051023-15</v>
      </c>
      <c r="E13099" t="s">
        <v>39251</v>
      </c>
    </row>
    <row r="13100" spans="1:5" x14ac:dyDescent="0.2">
      <c r="A13100" t="s">
        <v>39252</v>
      </c>
      <c r="B13100" t="s">
        <v>39253</v>
      </c>
      <c r="C13100" t="s">
        <v>39253</v>
      </c>
      <c r="D13100" t="str">
        <f>HYPERLINK("https://zfin.org/ZDB-GENE-060228-1")</f>
        <v>https://zfin.org/ZDB-GENE-060228-1</v>
      </c>
      <c r="E13100" t="s">
        <v>39254</v>
      </c>
    </row>
    <row r="13101" spans="1:5" x14ac:dyDescent="0.2">
      <c r="A13101" t="s">
        <v>39255</v>
      </c>
      <c r="B13101" t="s">
        <v>39256</v>
      </c>
      <c r="C13101" t="s">
        <v>39256</v>
      </c>
      <c r="D13101" t="str">
        <f>HYPERLINK("https://zfin.org/ZDB-GENE-050913-112")</f>
        <v>https://zfin.org/ZDB-GENE-050913-112</v>
      </c>
      <c r="E13101" t="s">
        <v>39257</v>
      </c>
    </row>
    <row r="13102" spans="1:5" x14ac:dyDescent="0.2">
      <c r="A13102" t="s">
        <v>39258</v>
      </c>
      <c r="B13102" t="s">
        <v>39259</v>
      </c>
      <c r="C13102" t="s">
        <v>39259</v>
      </c>
      <c r="D13102" t="str">
        <f>HYPERLINK("https://zfin.org/ZDB-GENE-040426-2210")</f>
        <v>https://zfin.org/ZDB-GENE-040426-2210</v>
      </c>
      <c r="E13102" t="s">
        <v>39260</v>
      </c>
    </row>
    <row r="13103" spans="1:5" x14ac:dyDescent="0.2">
      <c r="A13103" t="s">
        <v>39261</v>
      </c>
      <c r="B13103" t="s">
        <v>39262</v>
      </c>
      <c r="C13103" t="s">
        <v>39262</v>
      </c>
      <c r="D13103" t="str">
        <f>HYPERLINK("https://zfin.org/ZDB-GENE-121214-307")</f>
        <v>https://zfin.org/ZDB-GENE-121214-307</v>
      </c>
      <c r="E13103" t="s">
        <v>39263</v>
      </c>
    </row>
    <row r="13104" spans="1:5" x14ac:dyDescent="0.2">
      <c r="A13104" t="s">
        <v>39264</v>
      </c>
      <c r="B13104" t="s">
        <v>39265</v>
      </c>
      <c r="C13104" t="s">
        <v>39265</v>
      </c>
      <c r="D13104" t="str">
        <f>HYPERLINK("https://zfin.org/ZDB-GENE-130531-65")</f>
        <v>https://zfin.org/ZDB-GENE-130531-65</v>
      </c>
      <c r="E13104" t="s">
        <v>39266</v>
      </c>
    </row>
    <row r="13105" spans="1:5" x14ac:dyDescent="0.2">
      <c r="A13105" t="s">
        <v>39267</v>
      </c>
      <c r="B13105" t="s">
        <v>39268</v>
      </c>
      <c r="C13105" t="s">
        <v>39268</v>
      </c>
      <c r="D13105" t="str">
        <f>HYPERLINK("https://zfin.org/ZDB-GENE-070912-703")</f>
        <v>https://zfin.org/ZDB-GENE-070912-703</v>
      </c>
      <c r="E13105" t="s">
        <v>39269</v>
      </c>
    </row>
    <row r="13106" spans="1:5" x14ac:dyDescent="0.2">
      <c r="A13106" t="s">
        <v>39270</v>
      </c>
      <c r="B13106" t="s">
        <v>39271</v>
      </c>
      <c r="C13106" t="s">
        <v>39271</v>
      </c>
      <c r="D13106" t="str">
        <f>HYPERLINK("https://zfin.org/ZDB-GENE-050208-149")</f>
        <v>https://zfin.org/ZDB-GENE-050208-149</v>
      </c>
      <c r="E13106" t="s">
        <v>39272</v>
      </c>
    </row>
    <row r="13107" spans="1:5" x14ac:dyDescent="0.2">
      <c r="A13107" t="s">
        <v>39273</v>
      </c>
      <c r="B13107" t="s">
        <v>39274</v>
      </c>
      <c r="C13107" t="s">
        <v>39274</v>
      </c>
      <c r="D13107" t="str">
        <f>HYPERLINK("https://zfin.org/ZDB-GENE-041111-205")</f>
        <v>https://zfin.org/ZDB-GENE-041111-205</v>
      </c>
      <c r="E13107" t="s">
        <v>39275</v>
      </c>
    </row>
    <row r="13108" spans="1:5" x14ac:dyDescent="0.2">
      <c r="A13108" t="s">
        <v>39276</v>
      </c>
      <c r="B13108" t="s">
        <v>39277</v>
      </c>
      <c r="C13108" t="s">
        <v>39277</v>
      </c>
      <c r="D13108" t="str">
        <f>HYPERLINK("https://zfin.org/ZDB-GENE-090312-138")</f>
        <v>https://zfin.org/ZDB-GENE-090312-138</v>
      </c>
      <c r="E13108" t="s">
        <v>39278</v>
      </c>
    </row>
    <row r="13109" spans="1:5" x14ac:dyDescent="0.2">
      <c r="A13109" t="s">
        <v>39279</v>
      </c>
      <c r="B13109" t="s">
        <v>39280</v>
      </c>
      <c r="C13109" t="s">
        <v>39280</v>
      </c>
      <c r="D13109" t="str">
        <f>HYPERLINK("https://zfin.org/ZDB-GENE-041114-133")</f>
        <v>https://zfin.org/ZDB-GENE-041114-133</v>
      </c>
      <c r="E13109" t="s">
        <v>39281</v>
      </c>
    </row>
    <row r="13110" spans="1:5" x14ac:dyDescent="0.2">
      <c r="A13110" t="s">
        <v>39282</v>
      </c>
      <c r="B13110" t="s">
        <v>39283</v>
      </c>
      <c r="C13110" t="s">
        <v>39283</v>
      </c>
      <c r="D13110" t="str">
        <f>HYPERLINK("https://zfin.org/ZDB-GENE-090311-15")</f>
        <v>https://zfin.org/ZDB-GENE-090311-15</v>
      </c>
      <c r="E13110" t="s">
        <v>39284</v>
      </c>
    </row>
    <row r="13111" spans="1:5" x14ac:dyDescent="0.2">
      <c r="A13111" t="s">
        <v>39285</v>
      </c>
      <c r="B13111" t="s">
        <v>39286</v>
      </c>
      <c r="C13111" t="s">
        <v>39286</v>
      </c>
      <c r="D13111" t="str">
        <f>HYPERLINK("https://zfin.org/ZDB-GENE-050522-252")</f>
        <v>https://zfin.org/ZDB-GENE-050522-252</v>
      </c>
      <c r="E13111" t="s">
        <v>39287</v>
      </c>
    </row>
    <row r="13112" spans="1:5" x14ac:dyDescent="0.2">
      <c r="A13112" t="s">
        <v>39288</v>
      </c>
      <c r="B13112" t="s">
        <v>39289</v>
      </c>
      <c r="C13112" t="s">
        <v>39289</v>
      </c>
      <c r="D13112" t="str">
        <f>HYPERLINK("https://zfin.org/ZDB-GENE-040426-1715")</f>
        <v>https://zfin.org/ZDB-GENE-040426-1715</v>
      </c>
      <c r="E13112" t="s">
        <v>39290</v>
      </c>
    </row>
    <row r="13113" spans="1:5" x14ac:dyDescent="0.2">
      <c r="A13113" t="s">
        <v>39291</v>
      </c>
      <c r="B13113" t="s">
        <v>39292</v>
      </c>
      <c r="C13113" t="s">
        <v>39292</v>
      </c>
      <c r="D13113" t="str">
        <f>HYPERLINK("https://zfin.org/ZDB-GENE-110920-8")</f>
        <v>https://zfin.org/ZDB-GENE-110920-8</v>
      </c>
      <c r="E13113" t="s">
        <v>39293</v>
      </c>
    </row>
    <row r="13114" spans="1:5" x14ac:dyDescent="0.2">
      <c r="A13114" t="s">
        <v>39294</v>
      </c>
      <c r="B13114" t="s">
        <v>39295</v>
      </c>
      <c r="C13114" t="s">
        <v>39295</v>
      </c>
      <c r="D13114" t="str">
        <f>HYPERLINK("https://zfin.org/ZDB-GENE-131126-12")</f>
        <v>https://zfin.org/ZDB-GENE-131126-12</v>
      </c>
      <c r="E13114" t="s">
        <v>39296</v>
      </c>
    </row>
    <row r="13115" spans="1:5" x14ac:dyDescent="0.2">
      <c r="A13115" t="s">
        <v>39297</v>
      </c>
      <c r="B13115" t="s">
        <v>39298</v>
      </c>
      <c r="C13115" t="s">
        <v>39298</v>
      </c>
      <c r="D13115" t="str">
        <f>HYPERLINK("https://zfin.org/ZDB-GENE-141216-1")</f>
        <v>https://zfin.org/ZDB-GENE-141216-1</v>
      </c>
      <c r="E13115" t="s">
        <v>39299</v>
      </c>
    </row>
    <row r="13116" spans="1:5" x14ac:dyDescent="0.2">
      <c r="A13116" t="s">
        <v>39300</v>
      </c>
      <c r="B13116" t="s">
        <v>39301</v>
      </c>
      <c r="C13116" t="s">
        <v>39301</v>
      </c>
      <c r="D13116" t="str">
        <f>HYPERLINK("https://zfin.org/ZDB-GENE-090313-313")</f>
        <v>https://zfin.org/ZDB-GENE-090313-313</v>
      </c>
      <c r="E13116" t="s">
        <v>39302</v>
      </c>
    </row>
    <row r="13117" spans="1:5" x14ac:dyDescent="0.2">
      <c r="A13117" t="s">
        <v>39303</v>
      </c>
      <c r="B13117" t="s">
        <v>39304</v>
      </c>
      <c r="C13117" t="s">
        <v>39304</v>
      </c>
      <c r="D13117" t="str">
        <f>HYPERLINK("https://zfin.org/ZDB-GENE-040426-866")</f>
        <v>https://zfin.org/ZDB-GENE-040426-866</v>
      </c>
      <c r="E13117" t="s">
        <v>39305</v>
      </c>
    </row>
    <row r="13118" spans="1:5" x14ac:dyDescent="0.2">
      <c r="A13118" t="s">
        <v>39306</v>
      </c>
      <c r="B13118" t="s">
        <v>39307</v>
      </c>
      <c r="C13118" t="s">
        <v>39307</v>
      </c>
      <c r="D13118" t="str">
        <f>HYPERLINK("https://zfin.org/ZDB-GENE-050107-1")</f>
        <v>https://zfin.org/ZDB-GENE-050107-1</v>
      </c>
      <c r="E13118" t="s">
        <v>39308</v>
      </c>
    </row>
    <row r="13119" spans="1:5" x14ac:dyDescent="0.2">
      <c r="A13119" t="s">
        <v>39309</v>
      </c>
      <c r="B13119" t="s">
        <v>39310</v>
      </c>
      <c r="C13119" t="s">
        <v>39310</v>
      </c>
      <c r="D13119" t="str">
        <f>HYPERLINK("https://zfin.org/ZDB-GENE-040625-3")</f>
        <v>https://zfin.org/ZDB-GENE-040625-3</v>
      </c>
      <c r="E13119" t="s">
        <v>39311</v>
      </c>
    </row>
    <row r="13120" spans="1:5" x14ac:dyDescent="0.2">
      <c r="A13120" t="s">
        <v>39312</v>
      </c>
      <c r="B13120" t="s">
        <v>39313</v>
      </c>
      <c r="C13120" t="s">
        <v>39313</v>
      </c>
      <c r="D13120" t="str">
        <f>HYPERLINK("https://zfin.org/ZDB-GENE-040912-40")</f>
        <v>https://zfin.org/ZDB-GENE-040912-40</v>
      </c>
      <c r="E13120" t="s">
        <v>39314</v>
      </c>
    </row>
    <row r="13121" spans="1:5" x14ac:dyDescent="0.2">
      <c r="A13121" t="s">
        <v>39315</v>
      </c>
      <c r="B13121" t="s">
        <v>39316</v>
      </c>
      <c r="C13121" t="s">
        <v>39316</v>
      </c>
      <c r="D13121" t="str">
        <f>HYPERLINK("https://zfin.org/ZDB-GENE-040426-766")</f>
        <v>https://zfin.org/ZDB-GENE-040426-766</v>
      </c>
      <c r="E13121" t="s">
        <v>39317</v>
      </c>
    </row>
    <row r="13122" spans="1:5" x14ac:dyDescent="0.2">
      <c r="A13122" t="s">
        <v>39318</v>
      </c>
      <c r="B13122" t="s">
        <v>39319</v>
      </c>
      <c r="C13122" t="s">
        <v>39319</v>
      </c>
      <c r="D13122" t="str">
        <f>HYPERLINK("https://zfin.org/ZDB-GENE-131119-59")</f>
        <v>https://zfin.org/ZDB-GENE-131119-59</v>
      </c>
      <c r="E13122" t="s">
        <v>39320</v>
      </c>
    </row>
    <row r="13123" spans="1:5" x14ac:dyDescent="0.2">
      <c r="A13123" t="s">
        <v>39321</v>
      </c>
      <c r="B13123" t="s">
        <v>39322</v>
      </c>
      <c r="C13123" t="s">
        <v>39322</v>
      </c>
      <c r="D13123" t="str">
        <f>HYPERLINK("https://zfin.org/ZDB-GENE-030515-5")</f>
        <v>https://zfin.org/ZDB-GENE-030515-5</v>
      </c>
      <c r="E13123" t="s">
        <v>39323</v>
      </c>
    </row>
    <row r="13124" spans="1:5" x14ac:dyDescent="0.2">
      <c r="A13124" t="s">
        <v>39324</v>
      </c>
      <c r="B13124" t="s">
        <v>39325</v>
      </c>
      <c r="C13124" t="s">
        <v>39325</v>
      </c>
      <c r="D13124" t="str">
        <f>HYPERLINK("https://zfin.org/ZDB-GENE-030131-6422")</f>
        <v>https://zfin.org/ZDB-GENE-030131-6422</v>
      </c>
      <c r="E13124" t="s">
        <v>39326</v>
      </c>
    </row>
    <row r="13125" spans="1:5" x14ac:dyDescent="0.2">
      <c r="A13125" t="s">
        <v>39327</v>
      </c>
      <c r="B13125" t="s">
        <v>39328</v>
      </c>
      <c r="C13125" t="s">
        <v>39328</v>
      </c>
      <c r="D13125" t="str">
        <f>HYPERLINK("https://zfin.org/ZDB-GENE-030131-2310")</f>
        <v>https://zfin.org/ZDB-GENE-030131-2310</v>
      </c>
      <c r="E13125" t="s">
        <v>39329</v>
      </c>
    </row>
    <row r="13126" spans="1:5" x14ac:dyDescent="0.2">
      <c r="A13126" t="s">
        <v>39330</v>
      </c>
      <c r="B13126" t="s">
        <v>39331</v>
      </c>
      <c r="C13126" t="s">
        <v>39331</v>
      </c>
      <c r="D13126" t="str">
        <f>HYPERLINK("https://zfin.org/ZDB-GENE-000210-13")</f>
        <v>https://zfin.org/ZDB-GENE-000210-13</v>
      </c>
      <c r="E13126" t="s">
        <v>39332</v>
      </c>
    </row>
    <row r="13127" spans="1:5" x14ac:dyDescent="0.2">
      <c r="A13127" t="s">
        <v>39333</v>
      </c>
      <c r="B13127" t="s">
        <v>39334</v>
      </c>
      <c r="C13127" t="s">
        <v>39334</v>
      </c>
      <c r="D13127" t="str">
        <f>HYPERLINK("https://zfin.org/ZDB-GENE-040426-1886")</f>
        <v>https://zfin.org/ZDB-GENE-040426-1886</v>
      </c>
      <c r="E13127" t="s">
        <v>39335</v>
      </c>
    </row>
    <row r="13128" spans="1:5" x14ac:dyDescent="0.2">
      <c r="A13128" t="s">
        <v>39336</v>
      </c>
      <c r="B13128" t="s">
        <v>39337</v>
      </c>
      <c r="C13128" t="s">
        <v>39337</v>
      </c>
      <c r="D13128" t="str">
        <f>HYPERLINK("https://zfin.org/ZDB-GENE-030616-155")</f>
        <v>https://zfin.org/ZDB-GENE-030616-155</v>
      </c>
      <c r="E13128" t="s">
        <v>39338</v>
      </c>
    </row>
    <row r="13129" spans="1:5" x14ac:dyDescent="0.2">
      <c r="A13129" t="s">
        <v>39339</v>
      </c>
      <c r="B13129" t="s">
        <v>39340</v>
      </c>
      <c r="C13129" t="s">
        <v>39340</v>
      </c>
      <c r="D13129" t="str">
        <f>HYPERLINK("https://zfin.org/ZDB-GENE-050208-36")</f>
        <v>https://zfin.org/ZDB-GENE-050208-36</v>
      </c>
      <c r="E13129" t="s">
        <v>39341</v>
      </c>
    </row>
    <row r="13130" spans="1:5" x14ac:dyDescent="0.2">
      <c r="A13130" t="s">
        <v>39342</v>
      </c>
      <c r="B13130" t="s">
        <v>39343</v>
      </c>
      <c r="C13130" t="s">
        <v>39343</v>
      </c>
      <c r="D13130" t="str">
        <f>HYPERLINK("https://zfin.org/ZDB-GENE-141215-33")</f>
        <v>https://zfin.org/ZDB-GENE-141215-33</v>
      </c>
      <c r="E13130" t="s">
        <v>39344</v>
      </c>
    </row>
    <row r="13131" spans="1:5" x14ac:dyDescent="0.2">
      <c r="A13131" t="s">
        <v>39345</v>
      </c>
      <c r="B13131" t="s">
        <v>39346</v>
      </c>
      <c r="C13131" t="s">
        <v>39346</v>
      </c>
      <c r="D13131" t="str">
        <f>HYPERLINK("https://zfin.org/ZDB-GENE-041006-1")</f>
        <v>https://zfin.org/ZDB-GENE-041006-1</v>
      </c>
      <c r="E13131" t="s">
        <v>39347</v>
      </c>
    </row>
    <row r="13132" spans="1:5" x14ac:dyDescent="0.2">
      <c r="A13132" t="s">
        <v>39348</v>
      </c>
      <c r="B13132" t="s">
        <v>39349</v>
      </c>
      <c r="C13132" t="s">
        <v>39349</v>
      </c>
      <c r="D13132" t="str">
        <f>HYPERLINK("https://zfin.org/ZDB-GENE-070705-268")</f>
        <v>https://zfin.org/ZDB-GENE-070705-268</v>
      </c>
      <c r="E13132" t="s">
        <v>39350</v>
      </c>
    </row>
    <row r="13133" spans="1:5" x14ac:dyDescent="0.2">
      <c r="A13133" t="s">
        <v>39351</v>
      </c>
      <c r="B13133" t="s">
        <v>39352</v>
      </c>
      <c r="C13133" t="s">
        <v>39352</v>
      </c>
      <c r="D13133" t="str">
        <f>HYPERLINK("https://zfin.org/ZDB-GENE-050828-1")</f>
        <v>https://zfin.org/ZDB-GENE-050828-1</v>
      </c>
      <c r="E13133" t="s">
        <v>39353</v>
      </c>
    </row>
    <row r="13134" spans="1:5" x14ac:dyDescent="0.2">
      <c r="A13134" t="s">
        <v>39354</v>
      </c>
      <c r="B13134" t="s">
        <v>39355</v>
      </c>
      <c r="C13134" t="s">
        <v>39355</v>
      </c>
      <c r="D13134" t="str">
        <f>HYPERLINK("https://zfin.org/ZDB-GENE-130531-63")</f>
        <v>https://zfin.org/ZDB-GENE-130531-63</v>
      </c>
      <c r="E13134" t="s">
        <v>39356</v>
      </c>
    </row>
    <row r="13135" spans="1:5" x14ac:dyDescent="0.2">
      <c r="A13135" t="s">
        <v>39357</v>
      </c>
      <c r="B13135" t="s">
        <v>39358</v>
      </c>
      <c r="C13135" t="s">
        <v>39358</v>
      </c>
      <c r="D13135" t="str">
        <f>HYPERLINK("https://zfin.org/ZDB-GENE-041210-198")</f>
        <v>https://zfin.org/ZDB-GENE-041210-198</v>
      </c>
      <c r="E13135" t="s">
        <v>39359</v>
      </c>
    </row>
    <row r="13136" spans="1:5" x14ac:dyDescent="0.2">
      <c r="A13136" t="s">
        <v>39360</v>
      </c>
      <c r="B13136" t="s">
        <v>39361</v>
      </c>
      <c r="C13136" t="s">
        <v>39361</v>
      </c>
      <c r="D13136" t="str">
        <f>HYPERLINK("https://zfin.org/ZDB-GENE-051120-141")</f>
        <v>https://zfin.org/ZDB-GENE-051120-141</v>
      </c>
      <c r="E13136" t="s">
        <v>39362</v>
      </c>
    </row>
    <row r="13137" spans="1:5" x14ac:dyDescent="0.2">
      <c r="A13137" t="s">
        <v>39363</v>
      </c>
      <c r="B13137" t="s">
        <v>39364</v>
      </c>
      <c r="C13137" t="s">
        <v>39364</v>
      </c>
      <c r="D13137" t="str">
        <f>HYPERLINK("https://zfin.org/ZDB-GENE-131121-439")</f>
        <v>https://zfin.org/ZDB-GENE-131121-439</v>
      </c>
      <c r="E13137" t="s">
        <v>39365</v>
      </c>
    </row>
    <row r="13138" spans="1:5" x14ac:dyDescent="0.2">
      <c r="A13138" t="s">
        <v>39366</v>
      </c>
      <c r="B13138" t="s">
        <v>39367</v>
      </c>
      <c r="C13138" t="s">
        <v>39367</v>
      </c>
      <c r="D13138" t="str">
        <f>HYPERLINK("https://zfin.org/ZDB-GENE-031007-6")</f>
        <v>https://zfin.org/ZDB-GENE-031007-6</v>
      </c>
      <c r="E13138" t="s">
        <v>39368</v>
      </c>
    </row>
    <row r="13139" spans="1:5" x14ac:dyDescent="0.2">
      <c r="A13139" t="s">
        <v>39369</v>
      </c>
      <c r="B13139" t="s">
        <v>39370</v>
      </c>
      <c r="C13139" t="s">
        <v>39370</v>
      </c>
      <c r="D13139" t="str">
        <f>HYPERLINK("https://zfin.org/ZDB-GENE-040426-1110")</f>
        <v>https://zfin.org/ZDB-GENE-040426-1110</v>
      </c>
      <c r="E13139" t="s">
        <v>39371</v>
      </c>
    </row>
    <row r="13140" spans="1:5" x14ac:dyDescent="0.2">
      <c r="A13140" t="s">
        <v>39372</v>
      </c>
      <c r="B13140" t="s">
        <v>39373</v>
      </c>
      <c r="C13140" t="s">
        <v>39373</v>
      </c>
      <c r="D13140" t="str">
        <f>HYPERLINK("https://zfin.org/ZDB-GENE-070705-534")</f>
        <v>https://zfin.org/ZDB-GENE-070705-534</v>
      </c>
      <c r="E13140" t="s">
        <v>39374</v>
      </c>
    </row>
    <row r="13141" spans="1:5" x14ac:dyDescent="0.2">
      <c r="A13141" t="s">
        <v>39375</v>
      </c>
      <c r="B13141" t="s">
        <v>39376</v>
      </c>
      <c r="C13141" t="s">
        <v>39376</v>
      </c>
      <c r="D13141" t="str">
        <f>HYPERLINK("https://zfin.org/ZDB-GENE-070410-80")</f>
        <v>https://zfin.org/ZDB-GENE-070410-80</v>
      </c>
      <c r="E13141" t="s">
        <v>39377</v>
      </c>
    </row>
    <row r="13142" spans="1:5" x14ac:dyDescent="0.2">
      <c r="A13142" t="s">
        <v>39378</v>
      </c>
      <c r="B13142" t="s">
        <v>39379</v>
      </c>
      <c r="C13142" t="s">
        <v>39379</v>
      </c>
      <c r="D13142" t="str">
        <f>HYPERLINK("https://zfin.org/ZDB-GENE-131121-26")</f>
        <v>https://zfin.org/ZDB-GENE-131121-26</v>
      </c>
      <c r="E13142" t="s">
        <v>39380</v>
      </c>
    </row>
    <row r="13143" spans="1:5" x14ac:dyDescent="0.2">
      <c r="A13143" t="s">
        <v>39381</v>
      </c>
      <c r="B13143" t="s">
        <v>39382</v>
      </c>
      <c r="C13143" t="s">
        <v>39382</v>
      </c>
      <c r="D13143" t="str">
        <f>HYPERLINK("https://zfin.org/ZDB-GENE-030616-156")</f>
        <v>https://zfin.org/ZDB-GENE-030616-156</v>
      </c>
      <c r="E13143" t="s">
        <v>39383</v>
      </c>
    </row>
    <row r="13144" spans="1:5" x14ac:dyDescent="0.2">
      <c r="A13144" t="s">
        <v>39384</v>
      </c>
      <c r="B13144" t="s">
        <v>39385</v>
      </c>
      <c r="C13144" t="s">
        <v>39385</v>
      </c>
      <c r="D13144" t="str">
        <f>HYPERLINK("https://zfin.org/ZDB-GENE-040826-5")</f>
        <v>https://zfin.org/ZDB-GENE-040826-5</v>
      </c>
      <c r="E13144" t="s">
        <v>39386</v>
      </c>
    </row>
    <row r="13145" spans="1:5" x14ac:dyDescent="0.2">
      <c r="A13145" t="s">
        <v>39387</v>
      </c>
      <c r="B13145" t="s">
        <v>39388</v>
      </c>
      <c r="C13145" t="s">
        <v>39388</v>
      </c>
      <c r="D13145" t="str">
        <f>HYPERLINK("https://zfin.org/ZDB-GENE-030131-8415")</f>
        <v>https://zfin.org/ZDB-GENE-030131-8415</v>
      </c>
      <c r="E13145" t="s">
        <v>39389</v>
      </c>
    </row>
    <row r="13146" spans="1:5" x14ac:dyDescent="0.2">
      <c r="A13146" t="s">
        <v>39390</v>
      </c>
      <c r="B13146" t="s">
        <v>39391</v>
      </c>
      <c r="C13146" t="s">
        <v>39391</v>
      </c>
      <c r="D13146" t="str">
        <f>HYPERLINK("https://zfin.org/ZDB-GENE-011022-1")</f>
        <v>https://zfin.org/ZDB-GENE-011022-1</v>
      </c>
      <c r="E13146" t="s">
        <v>39392</v>
      </c>
    </row>
    <row r="13147" spans="1:5" x14ac:dyDescent="0.2">
      <c r="A13147" t="s">
        <v>39393</v>
      </c>
      <c r="B13147" t="s">
        <v>39394</v>
      </c>
      <c r="C13147" t="s">
        <v>39394</v>
      </c>
      <c r="D13147" t="str">
        <f>HYPERLINK("https://zfin.org/ZDB-GENE-040801-156")</f>
        <v>https://zfin.org/ZDB-GENE-040801-156</v>
      </c>
      <c r="E13147" t="s">
        <v>39395</v>
      </c>
    </row>
    <row r="13148" spans="1:5" x14ac:dyDescent="0.2">
      <c r="A13148" t="s">
        <v>39396</v>
      </c>
      <c r="B13148" t="s">
        <v>39397</v>
      </c>
      <c r="C13148" t="s">
        <v>39397</v>
      </c>
      <c r="D13148" t="str">
        <f>HYPERLINK("https://zfin.org/ZDB-GENE-050419-83")</f>
        <v>https://zfin.org/ZDB-GENE-050419-83</v>
      </c>
      <c r="E13148" t="s">
        <v>39398</v>
      </c>
    </row>
    <row r="13149" spans="1:5" x14ac:dyDescent="0.2">
      <c r="A13149" t="s">
        <v>39399</v>
      </c>
      <c r="B13149" t="s">
        <v>39400</v>
      </c>
      <c r="C13149" t="s">
        <v>39400</v>
      </c>
      <c r="D13149" t="str">
        <f>HYPERLINK("https://zfin.org/ZDB-GENE-980526-227")</f>
        <v>https://zfin.org/ZDB-GENE-980526-227</v>
      </c>
      <c r="E13149" t="s">
        <v>39401</v>
      </c>
    </row>
    <row r="13150" spans="1:5" x14ac:dyDescent="0.2">
      <c r="A13150" t="s">
        <v>39402</v>
      </c>
      <c r="B13150" t="s">
        <v>39403</v>
      </c>
      <c r="C13150" t="s">
        <v>39403</v>
      </c>
      <c r="D13150" t="str">
        <f>HYPERLINK("https://zfin.org/ZDB-GENE-150227-1")</f>
        <v>https://zfin.org/ZDB-GENE-150227-1</v>
      </c>
      <c r="E13150" t="s">
        <v>39404</v>
      </c>
    </row>
    <row r="13151" spans="1:5" x14ac:dyDescent="0.2">
      <c r="A13151" t="s">
        <v>39405</v>
      </c>
      <c r="B13151" t="s">
        <v>39406</v>
      </c>
      <c r="C13151" t="s">
        <v>39406</v>
      </c>
      <c r="D13151" t="str">
        <f>HYPERLINK("https://zfin.org/ZDB-GENE-040426-1087")</f>
        <v>https://zfin.org/ZDB-GENE-040426-1087</v>
      </c>
      <c r="E13151" t="s">
        <v>39407</v>
      </c>
    </row>
    <row r="13152" spans="1:5" x14ac:dyDescent="0.2">
      <c r="A13152" t="s">
        <v>39408</v>
      </c>
      <c r="B13152" t="s">
        <v>39409</v>
      </c>
      <c r="C13152" t="s">
        <v>39409</v>
      </c>
      <c r="D13152" t="str">
        <f>HYPERLINK("https://zfin.org/ZDB-GENE-000607-70")</f>
        <v>https://zfin.org/ZDB-GENE-000607-70</v>
      </c>
      <c r="E13152" t="s">
        <v>39410</v>
      </c>
    </row>
    <row r="13153" spans="1:5" x14ac:dyDescent="0.2">
      <c r="A13153" t="s">
        <v>39411</v>
      </c>
      <c r="B13153" t="s">
        <v>39412</v>
      </c>
      <c r="C13153" t="s">
        <v>39412</v>
      </c>
      <c r="D13153" t="str">
        <f>HYPERLINK("https://zfin.org/ZDB-GENE-030131-3264")</f>
        <v>https://zfin.org/ZDB-GENE-030131-3264</v>
      </c>
      <c r="E13153" t="s">
        <v>39413</v>
      </c>
    </row>
    <row r="13154" spans="1:5" x14ac:dyDescent="0.2">
      <c r="A13154" t="s">
        <v>39414</v>
      </c>
      <c r="B13154" t="s">
        <v>39415</v>
      </c>
      <c r="C13154" t="s">
        <v>39415</v>
      </c>
      <c r="D13154" t="str">
        <f>HYPERLINK("https://zfin.org/ZDB-GENE-130603-25")</f>
        <v>https://zfin.org/ZDB-GENE-130603-25</v>
      </c>
      <c r="E13154" t="s">
        <v>39416</v>
      </c>
    </row>
    <row r="13155" spans="1:5" x14ac:dyDescent="0.2">
      <c r="A13155" t="s">
        <v>39417</v>
      </c>
      <c r="B13155" t="s">
        <v>39418</v>
      </c>
      <c r="C13155" t="s">
        <v>39418</v>
      </c>
      <c r="D13155" t="str">
        <f>HYPERLINK("https://zfin.org/ZDB-GENE-050411-7")</f>
        <v>https://zfin.org/ZDB-GENE-050411-7</v>
      </c>
      <c r="E13155" t="s">
        <v>39419</v>
      </c>
    </row>
    <row r="13156" spans="1:5" x14ac:dyDescent="0.2">
      <c r="A13156" t="s">
        <v>39420</v>
      </c>
      <c r="B13156" t="s">
        <v>39421</v>
      </c>
      <c r="C13156" t="s">
        <v>39421</v>
      </c>
      <c r="D13156" t="str">
        <f>HYPERLINK("https://zfin.org/ZDB-GENE-030131-6443")</f>
        <v>https://zfin.org/ZDB-GENE-030131-6443</v>
      </c>
      <c r="E13156" t="s">
        <v>39422</v>
      </c>
    </row>
    <row r="13157" spans="1:5" x14ac:dyDescent="0.2">
      <c r="A13157" t="s">
        <v>39423</v>
      </c>
      <c r="B13157" t="s">
        <v>39424</v>
      </c>
      <c r="C13157" t="s">
        <v>39424</v>
      </c>
      <c r="D13157" t="str">
        <f>HYPERLINK("https://zfin.org/ZDB-GENE-070705-539")</f>
        <v>https://zfin.org/ZDB-GENE-070705-539</v>
      </c>
      <c r="E13157" t="s">
        <v>39425</v>
      </c>
    </row>
    <row r="13158" spans="1:5" x14ac:dyDescent="0.2">
      <c r="A13158" t="s">
        <v>39426</v>
      </c>
      <c r="B13158" t="s">
        <v>39427</v>
      </c>
      <c r="C13158" t="s">
        <v>39427</v>
      </c>
      <c r="D13158" t="str">
        <f>HYPERLINK("https://zfin.org/ZDB-GENE-030429-10")</f>
        <v>https://zfin.org/ZDB-GENE-030429-10</v>
      </c>
      <c r="E13158" t="s">
        <v>39428</v>
      </c>
    </row>
    <row r="13159" spans="1:5" x14ac:dyDescent="0.2">
      <c r="A13159" t="s">
        <v>39429</v>
      </c>
      <c r="B13159" t="s">
        <v>39430</v>
      </c>
      <c r="C13159" t="s">
        <v>39430</v>
      </c>
      <c r="D13159" t="str">
        <f>HYPERLINK("https://zfin.org/ZDB-GENE-070112-1732")</f>
        <v>https://zfin.org/ZDB-GENE-070112-1732</v>
      </c>
      <c r="E13159" t="s">
        <v>39431</v>
      </c>
    </row>
    <row r="13160" spans="1:5" x14ac:dyDescent="0.2">
      <c r="A13160" t="s">
        <v>39432</v>
      </c>
      <c r="B13160" t="s">
        <v>39433</v>
      </c>
      <c r="C13160" t="s">
        <v>39433</v>
      </c>
      <c r="D13160" t="str">
        <f>HYPERLINK("https://zfin.org/ZDB-GENE-040426-1021")</f>
        <v>https://zfin.org/ZDB-GENE-040426-1021</v>
      </c>
      <c r="E13160" t="s">
        <v>39434</v>
      </c>
    </row>
    <row r="13161" spans="1:5" x14ac:dyDescent="0.2">
      <c r="A13161" t="s">
        <v>39435</v>
      </c>
      <c r="B13161" t="s">
        <v>39436</v>
      </c>
      <c r="C13161" t="s">
        <v>39436</v>
      </c>
      <c r="D13161" t="str">
        <f>HYPERLINK("https://zfin.org/ZDB-GENE-980526-474")</f>
        <v>https://zfin.org/ZDB-GENE-980526-474</v>
      </c>
      <c r="E13161" t="s">
        <v>39437</v>
      </c>
    </row>
    <row r="13162" spans="1:5" x14ac:dyDescent="0.2">
      <c r="A13162" t="s">
        <v>39438</v>
      </c>
      <c r="B13162" t="s">
        <v>39439</v>
      </c>
      <c r="C13162" t="s">
        <v>39439</v>
      </c>
      <c r="D13162" t="str">
        <f>HYPERLINK("https://zfin.org/ZDB-GENE-040426-2511")</f>
        <v>https://zfin.org/ZDB-GENE-040426-2511</v>
      </c>
      <c r="E13162" t="s">
        <v>39440</v>
      </c>
    </row>
    <row r="13163" spans="1:5" x14ac:dyDescent="0.2">
      <c r="A13163" t="s">
        <v>39441</v>
      </c>
      <c r="B13163" t="s">
        <v>39442</v>
      </c>
      <c r="C13163" t="s">
        <v>39442</v>
      </c>
      <c r="D13163" t="str">
        <f>HYPERLINK("https://zfin.org/ZDB-GENE-120420-1")</f>
        <v>https://zfin.org/ZDB-GENE-120420-1</v>
      </c>
      <c r="E13163" t="s">
        <v>39443</v>
      </c>
    </row>
    <row r="13164" spans="1:5" x14ac:dyDescent="0.2">
      <c r="A13164" t="s">
        <v>39444</v>
      </c>
      <c r="B13164" t="s">
        <v>39295</v>
      </c>
      <c r="C13164" t="s">
        <v>39445</v>
      </c>
      <c r="D13164" t="str">
        <f>HYPERLINK("https://zfin.org/ZDB-GENE-131126-12")</f>
        <v>https://zfin.org/ZDB-GENE-131126-12</v>
      </c>
      <c r="E13164" t="s">
        <v>39296</v>
      </c>
    </row>
    <row r="13165" spans="1:5" x14ac:dyDescent="0.2">
      <c r="A13165" t="s">
        <v>39446</v>
      </c>
      <c r="B13165" t="s">
        <v>39447</v>
      </c>
      <c r="C13165" t="s">
        <v>39447</v>
      </c>
      <c r="D13165" t="str">
        <f>HYPERLINK("https://zfin.org/ZDB-GENE-060825-83")</f>
        <v>https://zfin.org/ZDB-GENE-060825-83</v>
      </c>
      <c r="E13165" t="s">
        <v>39448</v>
      </c>
    </row>
    <row r="13166" spans="1:5" x14ac:dyDescent="0.2">
      <c r="A13166" t="s">
        <v>39449</v>
      </c>
      <c r="B13166" t="s">
        <v>39450</v>
      </c>
      <c r="C13166" t="s">
        <v>39450</v>
      </c>
      <c r="D13166" t="str">
        <f>HYPERLINK("https://zfin.org/ZDB-GENE-041014-372")</f>
        <v>https://zfin.org/ZDB-GENE-041014-372</v>
      </c>
      <c r="E13166" t="s">
        <v>39451</v>
      </c>
    </row>
    <row r="13167" spans="1:5" x14ac:dyDescent="0.2">
      <c r="A13167" t="s">
        <v>39452</v>
      </c>
      <c r="B13167" t="s">
        <v>39453</v>
      </c>
      <c r="C13167" t="s">
        <v>39453</v>
      </c>
      <c r="D13167" t="str">
        <f>HYPERLINK("https://zfin.org/ZDB-GENE-030616-157")</f>
        <v>https://zfin.org/ZDB-GENE-030616-157</v>
      </c>
      <c r="E13167" t="s">
        <v>39454</v>
      </c>
    </row>
    <row r="13168" spans="1:5" x14ac:dyDescent="0.2">
      <c r="A13168" t="s">
        <v>39455</v>
      </c>
      <c r="B13168" t="s">
        <v>39456</v>
      </c>
      <c r="C13168" t="s">
        <v>39456</v>
      </c>
      <c r="D13168" t="str">
        <f>HYPERLINK("https://zfin.org/ZDB-GENE-131120-87")</f>
        <v>https://zfin.org/ZDB-GENE-131120-87</v>
      </c>
      <c r="E13168" t="s">
        <v>39457</v>
      </c>
    </row>
    <row r="13169" spans="1:5" x14ac:dyDescent="0.2">
      <c r="A13169" t="s">
        <v>39458</v>
      </c>
      <c r="B13169" t="s">
        <v>39459</v>
      </c>
      <c r="C13169" t="s">
        <v>39459</v>
      </c>
      <c r="D13169" t="str">
        <f>HYPERLINK("https://zfin.org/ZDB-GENE-030131-180")</f>
        <v>https://zfin.org/ZDB-GENE-030131-180</v>
      </c>
      <c r="E13169" t="s">
        <v>39460</v>
      </c>
    </row>
    <row r="13170" spans="1:5" x14ac:dyDescent="0.2">
      <c r="A13170" t="s">
        <v>39461</v>
      </c>
      <c r="B13170" t="s">
        <v>39462</v>
      </c>
      <c r="C13170" t="s">
        <v>39462</v>
      </c>
      <c r="D13170" t="str">
        <f>HYPERLINK("https://zfin.org/ZDB-GENE-030131-3566")</f>
        <v>https://zfin.org/ZDB-GENE-030131-3566</v>
      </c>
      <c r="E13170" t="s">
        <v>39463</v>
      </c>
    </row>
    <row r="13171" spans="1:5" x14ac:dyDescent="0.2">
      <c r="A13171" t="s">
        <v>39464</v>
      </c>
      <c r="B13171" t="s">
        <v>39465</v>
      </c>
      <c r="C13171" t="s">
        <v>39465</v>
      </c>
      <c r="D13171" t="str">
        <f>HYPERLINK("https://zfin.org/ZDB-GENE-040426-1632")</f>
        <v>https://zfin.org/ZDB-GENE-040426-1632</v>
      </c>
      <c r="E13171" t="s">
        <v>39466</v>
      </c>
    </row>
    <row r="13172" spans="1:5" x14ac:dyDescent="0.2">
      <c r="A13172" t="s">
        <v>39467</v>
      </c>
      <c r="B13172" t="s">
        <v>39468</v>
      </c>
      <c r="C13172" t="s">
        <v>39468</v>
      </c>
      <c r="D13172" t="str">
        <f>HYPERLINK("https://zfin.org/ZDB-GENE-041210-142")</f>
        <v>https://zfin.org/ZDB-GENE-041210-142</v>
      </c>
      <c r="E13172" t="s">
        <v>39469</v>
      </c>
    </row>
    <row r="13173" spans="1:5" x14ac:dyDescent="0.2">
      <c r="A13173" t="s">
        <v>39470</v>
      </c>
      <c r="B13173" t="s">
        <v>39471</v>
      </c>
      <c r="C13173" t="s">
        <v>39471</v>
      </c>
      <c r="D13173" t="str">
        <f>HYPERLINK("https://zfin.org/ZDB-GENE-080723-8")</f>
        <v>https://zfin.org/ZDB-GENE-080723-8</v>
      </c>
      <c r="E13173" t="s">
        <v>39472</v>
      </c>
    </row>
    <row r="13174" spans="1:5" x14ac:dyDescent="0.2">
      <c r="A13174" t="s">
        <v>39473</v>
      </c>
      <c r="B13174" t="s">
        <v>39474</v>
      </c>
      <c r="C13174" t="s">
        <v>39474</v>
      </c>
      <c r="D13174" t="str">
        <f>HYPERLINK("https://zfin.org/ZDB-GENE-030131-4605")</f>
        <v>https://zfin.org/ZDB-GENE-030131-4605</v>
      </c>
      <c r="E13174" t="s">
        <v>39475</v>
      </c>
    </row>
    <row r="13175" spans="1:5" x14ac:dyDescent="0.2">
      <c r="A13175" t="s">
        <v>39476</v>
      </c>
      <c r="B13175" t="s">
        <v>39477</v>
      </c>
      <c r="C13175" t="s">
        <v>39477</v>
      </c>
      <c r="D13175" t="str">
        <f>HYPERLINK("https://zfin.org/ZDB-GENE-131121-294")</f>
        <v>https://zfin.org/ZDB-GENE-131121-294</v>
      </c>
      <c r="E13175" t="s">
        <v>39478</v>
      </c>
    </row>
    <row r="13176" spans="1:5" x14ac:dyDescent="0.2">
      <c r="A13176" t="s">
        <v>39479</v>
      </c>
      <c r="B13176" t="s">
        <v>39480</v>
      </c>
      <c r="C13176" t="s">
        <v>39480</v>
      </c>
      <c r="D13176" t="str">
        <f>HYPERLINK("https://zfin.org/ZDB-GENE-040426-1774")</f>
        <v>https://zfin.org/ZDB-GENE-040426-1774</v>
      </c>
      <c r="E13176" t="s">
        <v>39481</v>
      </c>
    </row>
    <row r="13177" spans="1:5" x14ac:dyDescent="0.2">
      <c r="A13177" t="s">
        <v>39482</v>
      </c>
      <c r="B13177" t="s">
        <v>39483</v>
      </c>
      <c r="C13177" t="s">
        <v>39483</v>
      </c>
      <c r="D13177" t="str">
        <f>HYPERLINK("https://zfin.org/ZDB-GENE-040426-2786")</f>
        <v>https://zfin.org/ZDB-GENE-040426-2786</v>
      </c>
      <c r="E13177" t="s">
        <v>39484</v>
      </c>
    </row>
    <row r="13178" spans="1:5" x14ac:dyDescent="0.2">
      <c r="A13178" t="s">
        <v>39485</v>
      </c>
      <c r="B13178" t="s">
        <v>39486</v>
      </c>
      <c r="C13178" t="s">
        <v>39486</v>
      </c>
      <c r="D13178" t="str">
        <f>HYPERLINK("https://zfin.org/ZDB-GENE-030616-607")</f>
        <v>https://zfin.org/ZDB-GENE-030616-607</v>
      </c>
      <c r="E13178" t="s">
        <v>39487</v>
      </c>
    </row>
    <row r="13179" spans="1:5" x14ac:dyDescent="0.2">
      <c r="A13179" t="s">
        <v>39488</v>
      </c>
      <c r="B13179" t="s">
        <v>39489</v>
      </c>
      <c r="C13179" t="s">
        <v>39489</v>
      </c>
      <c r="D13179" t="str">
        <f>HYPERLINK("https://zfin.org/ZDB-GENE-041210-86")</f>
        <v>https://zfin.org/ZDB-GENE-041210-86</v>
      </c>
      <c r="E13179" t="s">
        <v>39490</v>
      </c>
    </row>
    <row r="13180" spans="1:5" x14ac:dyDescent="0.2">
      <c r="A13180" t="s">
        <v>39491</v>
      </c>
      <c r="B13180" t="s">
        <v>39492</v>
      </c>
      <c r="C13180" t="s">
        <v>39492</v>
      </c>
      <c r="D13180" t="str">
        <f>HYPERLINK("https://zfin.org/ZDB-GENE-030328-21")</f>
        <v>https://zfin.org/ZDB-GENE-030328-21</v>
      </c>
      <c r="E13180" t="s">
        <v>39493</v>
      </c>
    </row>
    <row r="13181" spans="1:5" x14ac:dyDescent="0.2">
      <c r="A13181" t="s">
        <v>39494</v>
      </c>
      <c r="B13181" t="s">
        <v>39495</v>
      </c>
      <c r="C13181" t="s">
        <v>39495</v>
      </c>
      <c r="D13181" t="str">
        <f>HYPERLINK("https://zfin.org/ZDB-GENE-041210-147")</f>
        <v>https://zfin.org/ZDB-GENE-041210-147</v>
      </c>
      <c r="E13181" t="s">
        <v>39496</v>
      </c>
    </row>
    <row r="13182" spans="1:5" x14ac:dyDescent="0.2">
      <c r="A13182" t="s">
        <v>39497</v>
      </c>
      <c r="B13182" t="s">
        <v>39498</v>
      </c>
      <c r="C13182" t="s">
        <v>39498</v>
      </c>
      <c r="D13182" t="str">
        <f>HYPERLINK("https://zfin.org/ZDB-GENE-060503-156")</f>
        <v>https://zfin.org/ZDB-GENE-060503-156</v>
      </c>
      <c r="E13182" t="s">
        <v>39499</v>
      </c>
    </row>
    <row r="13183" spans="1:5" x14ac:dyDescent="0.2">
      <c r="A13183" t="s">
        <v>39500</v>
      </c>
      <c r="B13183" t="s">
        <v>21773</v>
      </c>
      <c r="C13183" t="s">
        <v>39501</v>
      </c>
      <c r="D13183" t="str">
        <f>HYPERLINK("https://zfin.org/ZDB-GENE-131120-52")</f>
        <v>https://zfin.org/ZDB-GENE-131120-52</v>
      </c>
      <c r="E13183" t="s">
        <v>21774</v>
      </c>
    </row>
    <row r="13184" spans="1:5" x14ac:dyDescent="0.2">
      <c r="A13184" t="s">
        <v>39502</v>
      </c>
      <c r="B13184" t="s">
        <v>39503</v>
      </c>
      <c r="C13184" t="s">
        <v>39503</v>
      </c>
      <c r="D13184" t="str">
        <f>HYPERLINK("https://zfin.org/ZDB-GENE-051120-129")</f>
        <v>https://zfin.org/ZDB-GENE-051120-129</v>
      </c>
      <c r="E13184" t="s">
        <v>39504</v>
      </c>
    </row>
    <row r="13185" spans="1:5" x14ac:dyDescent="0.2">
      <c r="A13185" t="s">
        <v>39505</v>
      </c>
      <c r="B13185" t="s">
        <v>39506</v>
      </c>
      <c r="C13185" t="s">
        <v>39506</v>
      </c>
      <c r="D13185" t="str">
        <f>HYPERLINK("https://zfin.org/ZDB-GENE-081105-89")</f>
        <v>https://zfin.org/ZDB-GENE-081105-89</v>
      </c>
      <c r="E13185" t="s">
        <v>39507</v>
      </c>
    </row>
    <row r="13186" spans="1:5" x14ac:dyDescent="0.2">
      <c r="A13186" t="s">
        <v>39508</v>
      </c>
      <c r="B13186" t="s">
        <v>39509</v>
      </c>
      <c r="C13186" t="s">
        <v>39509</v>
      </c>
      <c r="D13186" t="str">
        <f>HYPERLINK("https://zfin.org/ZDB-GENE-041210-109")</f>
        <v>https://zfin.org/ZDB-GENE-041210-109</v>
      </c>
      <c r="E13186" t="s">
        <v>39510</v>
      </c>
    </row>
    <row r="13187" spans="1:5" x14ac:dyDescent="0.2">
      <c r="A13187" t="s">
        <v>39511</v>
      </c>
      <c r="B13187" t="s">
        <v>39512</v>
      </c>
      <c r="C13187" t="s">
        <v>39512</v>
      </c>
      <c r="D13187" t="str">
        <f>HYPERLINK("https://zfin.org/ZDB-GENE-040704-24")</f>
        <v>https://zfin.org/ZDB-GENE-040704-24</v>
      </c>
      <c r="E13187" t="s">
        <v>39513</v>
      </c>
    </row>
    <row r="13188" spans="1:5" x14ac:dyDescent="0.2">
      <c r="A13188" t="s">
        <v>39514</v>
      </c>
      <c r="B13188" t="s">
        <v>39515</v>
      </c>
      <c r="C13188" t="s">
        <v>39515</v>
      </c>
      <c r="D13188" t="str">
        <f>HYPERLINK("https://zfin.org/ZDB-GENE-081104-387")</f>
        <v>https://zfin.org/ZDB-GENE-081104-387</v>
      </c>
      <c r="E13188" t="s">
        <v>39516</v>
      </c>
    </row>
    <row r="13189" spans="1:5" x14ac:dyDescent="0.2">
      <c r="A13189" t="s">
        <v>39517</v>
      </c>
      <c r="B13189" t="s">
        <v>39518</v>
      </c>
      <c r="C13189" t="s">
        <v>39518</v>
      </c>
      <c r="D13189" t="str">
        <f>HYPERLINK("https://zfin.org/ZDB-GENE-030131-2182")</f>
        <v>https://zfin.org/ZDB-GENE-030131-2182</v>
      </c>
      <c r="E13189" t="s">
        <v>39519</v>
      </c>
    </row>
    <row r="13190" spans="1:5" x14ac:dyDescent="0.2">
      <c r="A13190" t="s">
        <v>39520</v>
      </c>
      <c r="B13190" t="s">
        <v>39521</v>
      </c>
      <c r="C13190" t="s">
        <v>39521</v>
      </c>
      <c r="D13190" t="str">
        <f>HYPERLINK("https://zfin.org/ZDB-GENE-030131-3904")</f>
        <v>https://zfin.org/ZDB-GENE-030131-3904</v>
      </c>
      <c r="E13190" t="s">
        <v>39522</v>
      </c>
    </row>
    <row r="13191" spans="1:5" x14ac:dyDescent="0.2">
      <c r="A13191" t="s">
        <v>39523</v>
      </c>
      <c r="B13191" t="s">
        <v>39524</v>
      </c>
      <c r="C13191" t="s">
        <v>39524</v>
      </c>
      <c r="D13191" t="str">
        <f>HYPERLINK("https://zfin.org/ZDB-GENE-030131-6598")</f>
        <v>https://zfin.org/ZDB-GENE-030131-6598</v>
      </c>
      <c r="E13191" t="s">
        <v>39525</v>
      </c>
    </row>
    <row r="13192" spans="1:5" x14ac:dyDescent="0.2">
      <c r="A13192" t="s">
        <v>39526</v>
      </c>
      <c r="B13192" t="s">
        <v>39527</v>
      </c>
      <c r="C13192" t="s">
        <v>39527</v>
      </c>
      <c r="D13192" t="str">
        <f>HYPERLINK("https://zfin.org/ZDB-GENE-050306-34")</f>
        <v>https://zfin.org/ZDB-GENE-050306-34</v>
      </c>
      <c r="E13192" t="s">
        <v>39528</v>
      </c>
    </row>
    <row r="13193" spans="1:5" x14ac:dyDescent="0.2">
      <c r="A13193" t="s">
        <v>39529</v>
      </c>
      <c r="B13193" t="s">
        <v>39530</v>
      </c>
      <c r="C13193" t="s">
        <v>39530</v>
      </c>
      <c r="D13193" t="str">
        <f>HYPERLINK("https://zfin.org/ZDB-GENE-041014-185")</f>
        <v>https://zfin.org/ZDB-GENE-041014-185</v>
      </c>
      <c r="E13193" t="s">
        <v>39531</v>
      </c>
    </row>
    <row r="13194" spans="1:5" x14ac:dyDescent="0.2">
      <c r="A13194" t="s">
        <v>39532</v>
      </c>
      <c r="B13194" t="s">
        <v>39533</v>
      </c>
      <c r="C13194" t="s">
        <v>39533</v>
      </c>
      <c r="D13194" t="str">
        <f>HYPERLINK("https://zfin.org/ZDB-GENE-040718-144")</f>
        <v>https://zfin.org/ZDB-GENE-040718-144</v>
      </c>
      <c r="E13194" t="s">
        <v>39534</v>
      </c>
    </row>
    <row r="13195" spans="1:5" x14ac:dyDescent="0.2">
      <c r="A13195" t="s">
        <v>39535</v>
      </c>
      <c r="B13195" t="s">
        <v>39536</v>
      </c>
      <c r="C13195" t="s">
        <v>39536</v>
      </c>
      <c r="D13195" t="str">
        <f>HYPERLINK("https://zfin.org/ZDB-GENE-051030-36")</f>
        <v>https://zfin.org/ZDB-GENE-051030-36</v>
      </c>
      <c r="E13195" t="s">
        <v>39537</v>
      </c>
    </row>
    <row r="13196" spans="1:5" x14ac:dyDescent="0.2">
      <c r="A13196" t="s">
        <v>39538</v>
      </c>
      <c r="B13196" t="s">
        <v>39539</v>
      </c>
      <c r="C13196" t="s">
        <v>39539</v>
      </c>
      <c r="D13196" t="str">
        <f>HYPERLINK("https://zfin.org/ZDB-GENE-041210-358")</f>
        <v>https://zfin.org/ZDB-GENE-041210-358</v>
      </c>
      <c r="E13196" t="s">
        <v>39540</v>
      </c>
    </row>
    <row r="13197" spans="1:5" x14ac:dyDescent="0.2">
      <c r="A13197" t="s">
        <v>39541</v>
      </c>
      <c r="B13197" t="s">
        <v>39542</v>
      </c>
      <c r="C13197" t="s">
        <v>39542</v>
      </c>
      <c r="D13197" t="str">
        <f>HYPERLINK("https://zfin.org/ZDB-GENE-041010-204")</f>
        <v>https://zfin.org/ZDB-GENE-041010-204</v>
      </c>
      <c r="E13197" t="s">
        <v>39543</v>
      </c>
    </row>
    <row r="13198" spans="1:5" x14ac:dyDescent="0.2">
      <c r="A13198" t="s">
        <v>39544</v>
      </c>
      <c r="B13198" t="s">
        <v>39545</v>
      </c>
      <c r="C13198" t="s">
        <v>39545</v>
      </c>
      <c r="D13198" t="str">
        <f>HYPERLINK("https://zfin.org/ZDB-GENE-041014-63")</f>
        <v>https://zfin.org/ZDB-GENE-041014-63</v>
      </c>
      <c r="E13198" t="s">
        <v>39546</v>
      </c>
    </row>
    <row r="13199" spans="1:5" x14ac:dyDescent="0.2">
      <c r="A13199" t="s">
        <v>39547</v>
      </c>
      <c r="B13199" t="s">
        <v>39548</v>
      </c>
      <c r="C13199" t="s">
        <v>39548</v>
      </c>
      <c r="D13199" t="str">
        <f>HYPERLINK("https://zfin.org/ZDB-GENE-091204-14")</f>
        <v>https://zfin.org/ZDB-GENE-091204-14</v>
      </c>
      <c r="E13199" t="s">
        <v>39549</v>
      </c>
    </row>
    <row r="13200" spans="1:5" x14ac:dyDescent="0.2">
      <c r="A13200" t="s">
        <v>39550</v>
      </c>
      <c r="B13200" t="s">
        <v>39551</v>
      </c>
      <c r="C13200" t="s">
        <v>39551</v>
      </c>
      <c r="D13200" t="str">
        <f>HYPERLINK("https://zfin.org/ZDB-GENE-030131-2022")</f>
        <v>https://zfin.org/ZDB-GENE-030131-2022</v>
      </c>
      <c r="E13200" t="s">
        <v>39552</v>
      </c>
    </row>
    <row r="13201" spans="1:5" x14ac:dyDescent="0.2">
      <c r="A13201" t="s">
        <v>39553</v>
      </c>
      <c r="B13201" t="s">
        <v>39554</v>
      </c>
      <c r="C13201" t="s">
        <v>39554</v>
      </c>
      <c r="D13201" t="str">
        <f>HYPERLINK("https://zfin.org/ZDB-GENE-111118-2")</f>
        <v>https://zfin.org/ZDB-GENE-111118-2</v>
      </c>
      <c r="E13201" t="s">
        <v>39555</v>
      </c>
    </row>
    <row r="13202" spans="1:5" x14ac:dyDescent="0.2">
      <c r="A13202" t="s">
        <v>39556</v>
      </c>
      <c r="B13202" t="s">
        <v>39557</v>
      </c>
      <c r="C13202" t="s">
        <v>39557</v>
      </c>
      <c r="D13202" t="str">
        <f>HYPERLINK("https://zfin.org/ZDB-GENE-040426-2703")</f>
        <v>https://zfin.org/ZDB-GENE-040426-2703</v>
      </c>
      <c r="E13202" t="s">
        <v>39558</v>
      </c>
    </row>
    <row r="13203" spans="1:5" x14ac:dyDescent="0.2">
      <c r="A13203" t="s">
        <v>39559</v>
      </c>
      <c r="B13203" t="s">
        <v>39560</v>
      </c>
      <c r="C13203" t="s">
        <v>39560</v>
      </c>
      <c r="D13203" t="str">
        <f>HYPERLINK("https://zfin.org/ZDB-GENE-050629-1")</f>
        <v>https://zfin.org/ZDB-GENE-050629-1</v>
      </c>
      <c r="E13203" t="s">
        <v>39561</v>
      </c>
    </row>
    <row r="13204" spans="1:5" x14ac:dyDescent="0.2">
      <c r="A13204" t="s">
        <v>39562</v>
      </c>
      <c r="B13204" t="s">
        <v>39563</v>
      </c>
      <c r="C13204" t="s">
        <v>39563</v>
      </c>
      <c r="D13204" t="str">
        <f>HYPERLINK("https://zfin.org/ZDB-GENE-050116-1")</f>
        <v>https://zfin.org/ZDB-GENE-050116-1</v>
      </c>
      <c r="E13204" t="s">
        <v>39564</v>
      </c>
    </row>
    <row r="13205" spans="1:5" x14ac:dyDescent="0.2">
      <c r="A13205" t="s">
        <v>39565</v>
      </c>
      <c r="B13205" t="s">
        <v>39566</v>
      </c>
      <c r="C13205" t="s">
        <v>39566</v>
      </c>
      <c r="D13205" t="str">
        <f>HYPERLINK("https://zfin.org/ZDB-GENE-131121-313")</f>
        <v>https://zfin.org/ZDB-GENE-131121-313</v>
      </c>
      <c r="E13205" t="s">
        <v>39567</v>
      </c>
    </row>
    <row r="13206" spans="1:5" x14ac:dyDescent="0.2">
      <c r="A13206" t="s">
        <v>39568</v>
      </c>
      <c r="B13206" t="s">
        <v>39569</v>
      </c>
      <c r="C13206" t="s">
        <v>39569</v>
      </c>
      <c r="D13206" t="str">
        <f>HYPERLINK("https://zfin.org/ZDB-GENE-081031-13")</f>
        <v>https://zfin.org/ZDB-GENE-081031-13</v>
      </c>
      <c r="E13206" t="s">
        <v>39570</v>
      </c>
    </row>
    <row r="13207" spans="1:5" x14ac:dyDescent="0.2">
      <c r="A13207" t="s">
        <v>39571</v>
      </c>
      <c r="B13207" t="s">
        <v>39572</v>
      </c>
      <c r="C13207" t="s">
        <v>39572</v>
      </c>
      <c r="D13207" t="str">
        <f>HYPERLINK("https://zfin.org/ZDB-GENE-040426-2761")</f>
        <v>https://zfin.org/ZDB-GENE-040426-2761</v>
      </c>
      <c r="E13207" t="s">
        <v>39573</v>
      </c>
    </row>
    <row r="13208" spans="1:5" x14ac:dyDescent="0.2">
      <c r="A13208" t="s">
        <v>39574</v>
      </c>
      <c r="B13208" t="s">
        <v>39575</v>
      </c>
      <c r="C13208" t="s">
        <v>39575</v>
      </c>
      <c r="D13208" t="str">
        <f>HYPERLINK("https://zfin.org/ZDB-GENE-050506-143")</f>
        <v>https://zfin.org/ZDB-GENE-050506-143</v>
      </c>
      <c r="E13208" t="s">
        <v>39576</v>
      </c>
    </row>
    <row r="13209" spans="1:5" x14ac:dyDescent="0.2">
      <c r="A13209" t="s">
        <v>39577</v>
      </c>
      <c r="B13209" t="s">
        <v>39578</v>
      </c>
      <c r="C13209" t="s">
        <v>39578</v>
      </c>
      <c r="D13209" t="str">
        <f>HYPERLINK("https://zfin.org/ZDB-GENE-070912-56")</f>
        <v>https://zfin.org/ZDB-GENE-070912-56</v>
      </c>
      <c r="E13209" t="s">
        <v>39579</v>
      </c>
    </row>
    <row r="13210" spans="1:5" x14ac:dyDescent="0.2">
      <c r="A13210" t="s">
        <v>39580</v>
      </c>
      <c r="B13210" t="s">
        <v>39581</v>
      </c>
      <c r="C13210" t="s">
        <v>39581</v>
      </c>
      <c r="D13210" t="str">
        <f>HYPERLINK("https://zfin.org/ZDB-GENE-030616-158")</f>
        <v>https://zfin.org/ZDB-GENE-030616-158</v>
      </c>
      <c r="E13210" t="s">
        <v>39582</v>
      </c>
    </row>
    <row r="13211" spans="1:5" x14ac:dyDescent="0.2">
      <c r="A13211" t="s">
        <v>39583</v>
      </c>
      <c r="B13211" t="s">
        <v>39584</v>
      </c>
      <c r="C13211" t="s">
        <v>39584</v>
      </c>
      <c r="D13211" t="str">
        <f>HYPERLINK("https://zfin.org/ZDB-GENE-030115-3")</f>
        <v>https://zfin.org/ZDB-GENE-030115-3</v>
      </c>
      <c r="E13211" t="s">
        <v>39585</v>
      </c>
    </row>
    <row r="13212" spans="1:5" x14ac:dyDescent="0.2">
      <c r="A13212" t="s">
        <v>39586</v>
      </c>
      <c r="B13212" t="s">
        <v>39587</v>
      </c>
      <c r="C13212" t="s">
        <v>39587</v>
      </c>
      <c r="D13212" t="str">
        <f>HYPERLINK("https://zfin.org/ZDB-GENE-050320-133")</f>
        <v>https://zfin.org/ZDB-GENE-050320-133</v>
      </c>
      <c r="E13212" t="s">
        <v>39588</v>
      </c>
    </row>
    <row r="13213" spans="1:5" x14ac:dyDescent="0.2">
      <c r="A13213" t="s">
        <v>39589</v>
      </c>
      <c r="B13213" t="s">
        <v>39590</v>
      </c>
      <c r="C13213" t="s">
        <v>39590</v>
      </c>
      <c r="D13213" t="str">
        <f>HYPERLINK("https://zfin.org/ZDB-GENE-980605-9")</f>
        <v>https://zfin.org/ZDB-GENE-980605-9</v>
      </c>
      <c r="E13213" t="s">
        <v>39591</v>
      </c>
    </row>
    <row r="13214" spans="1:5" x14ac:dyDescent="0.2">
      <c r="A13214" t="s">
        <v>39592</v>
      </c>
      <c r="B13214" t="s">
        <v>39593</v>
      </c>
      <c r="C13214" t="s">
        <v>39593</v>
      </c>
      <c r="D13214" t="str">
        <f>HYPERLINK("https://zfin.org/ZDB-GENE-040426-22")</f>
        <v>https://zfin.org/ZDB-GENE-040426-22</v>
      </c>
      <c r="E13214" t="s">
        <v>39594</v>
      </c>
    </row>
    <row r="13215" spans="1:5" x14ac:dyDescent="0.2">
      <c r="A13215" t="s">
        <v>39595</v>
      </c>
      <c r="B13215" t="s">
        <v>39596</v>
      </c>
      <c r="C13215" t="s">
        <v>39596</v>
      </c>
      <c r="D13215" t="str">
        <f>HYPERLINK("https://zfin.org/ZDB-GENE-041014-317")</f>
        <v>https://zfin.org/ZDB-GENE-041014-317</v>
      </c>
      <c r="E13215" t="s">
        <v>39597</v>
      </c>
    </row>
    <row r="13216" spans="1:5" x14ac:dyDescent="0.2">
      <c r="A13216" t="s">
        <v>39598</v>
      </c>
      <c r="B13216" t="s">
        <v>39599</v>
      </c>
      <c r="C13216" t="s">
        <v>39599</v>
      </c>
      <c r="D13216" t="str">
        <f>HYPERLINK("https://zfin.org/ZDB-GENE-041210-359")</f>
        <v>https://zfin.org/ZDB-GENE-041210-359</v>
      </c>
      <c r="E13216" t="s">
        <v>39600</v>
      </c>
    </row>
    <row r="13217" spans="1:5" x14ac:dyDescent="0.2">
      <c r="A13217" t="s">
        <v>39601</v>
      </c>
      <c r="B13217" t="s">
        <v>39602</v>
      </c>
      <c r="C13217" t="s">
        <v>39602</v>
      </c>
      <c r="D13217" t="str">
        <f>HYPERLINK("https://zfin.org/ZDB-GENE-050320-126")</f>
        <v>https://zfin.org/ZDB-GENE-050320-126</v>
      </c>
      <c r="E13217" t="s">
        <v>39603</v>
      </c>
    </row>
    <row r="13218" spans="1:5" x14ac:dyDescent="0.2">
      <c r="A13218" t="s">
        <v>39604</v>
      </c>
      <c r="B13218" t="s">
        <v>39605</v>
      </c>
      <c r="C13218" t="s">
        <v>39605</v>
      </c>
      <c r="D13218" t="str">
        <f>HYPERLINK("https://zfin.org/ZDB-GENE-040426-2039")</f>
        <v>https://zfin.org/ZDB-GENE-040426-2039</v>
      </c>
      <c r="E13218" t="s">
        <v>39606</v>
      </c>
    </row>
    <row r="13219" spans="1:5" x14ac:dyDescent="0.2">
      <c r="A13219" t="s">
        <v>39607</v>
      </c>
      <c r="B13219" t="s">
        <v>39608</v>
      </c>
      <c r="C13219" t="s">
        <v>39608</v>
      </c>
      <c r="D13219" t="str">
        <f>HYPERLINK("https://zfin.org/ZDB-GENE-160114-80")</f>
        <v>https://zfin.org/ZDB-GENE-160114-80</v>
      </c>
      <c r="E13219" t="s">
        <v>39609</v>
      </c>
    </row>
    <row r="13220" spans="1:5" x14ac:dyDescent="0.2">
      <c r="A13220" t="s">
        <v>39610</v>
      </c>
      <c r="B13220" t="s">
        <v>39611</v>
      </c>
      <c r="C13220" t="s">
        <v>39611</v>
      </c>
      <c r="D13220" t="str">
        <f>HYPERLINK("https://zfin.org/ZDB-GENE-030131-969")</f>
        <v>https://zfin.org/ZDB-GENE-030131-969</v>
      </c>
      <c r="E13220" t="s">
        <v>39612</v>
      </c>
    </row>
    <row r="13221" spans="1:5" x14ac:dyDescent="0.2">
      <c r="A13221" t="s">
        <v>39613</v>
      </c>
      <c r="B13221" t="s">
        <v>39614</v>
      </c>
      <c r="C13221" t="s">
        <v>39614</v>
      </c>
      <c r="D13221" t="str">
        <f>HYPERLINK("https://zfin.org/ZDB-GENE-070705-487")</f>
        <v>https://zfin.org/ZDB-GENE-070705-487</v>
      </c>
      <c r="E13221" t="s">
        <v>39615</v>
      </c>
    </row>
    <row r="13222" spans="1:5" x14ac:dyDescent="0.2">
      <c r="A13222" t="s">
        <v>39616</v>
      </c>
      <c r="B13222" t="s">
        <v>39617</v>
      </c>
      <c r="C13222" t="s">
        <v>39617</v>
      </c>
      <c r="D13222" t="str">
        <f>HYPERLINK("https://zfin.org/ZDB-GENE-030912-9")</f>
        <v>https://zfin.org/ZDB-GENE-030912-9</v>
      </c>
      <c r="E13222" t="s">
        <v>39618</v>
      </c>
    </row>
    <row r="13223" spans="1:5" x14ac:dyDescent="0.2">
      <c r="A13223" t="s">
        <v>39619</v>
      </c>
      <c r="B13223" t="s">
        <v>39620</v>
      </c>
      <c r="C13223" t="s">
        <v>39620</v>
      </c>
      <c r="D13223" t="str">
        <f>HYPERLINK("https://zfin.org/ZDB-GENE-130103-3")</f>
        <v>https://zfin.org/ZDB-GENE-130103-3</v>
      </c>
      <c r="E13223" t="s">
        <v>39621</v>
      </c>
    </row>
    <row r="13224" spans="1:5" x14ac:dyDescent="0.2">
      <c r="A13224" t="s">
        <v>39622</v>
      </c>
      <c r="B13224" t="s">
        <v>39623</v>
      </c>
      <c r="C13224" t="s">
        <v>39623</v>
      </c>
      <c r="D13224" t="str">
        <f>HYPERLINK("https://zfin.org/ZDB-GENE-050420-314")</f>
        <v>https://zfin.org/ZDB-GENE-050420-314</v>
      </c>
      <c r="E13224" t="s">
        <v>39624</v>
      </c>
    </row>
    <row r="13225" spans="1:5" x14ac:dyDescent="0.2">
      <c r="A13225" t="s">
        <v>39625</v>
      </c>
      <c r="B13225" t="s">
        <v>39626</v>
      </c>
      <c r="C13225" t="s">
        <v>39626</v>
      </c>
      <c r="D13225" t="str">
        <f>HYPERLINK("https://zfin.org/ZDB-GENE-061103-196")</f>
        <v>https://zfin.org/ZDB-GENE-061103-196</v>
      </c>
      <c r="E13225" t="s">
        <v>39627</v>
      </c>
    </row>
    <row r="13226" spans="1:5" x14ac:dyDescent="0.2">
      <c r="A13226" t="s">
        <v>39628</v>
      </c>
      <c r="B13226" t="s">
        <v>39629</v>
      </c>
      <c r="C13226" t="s">
        <v>39629</v>
      </c>
      <c r="D13226" t="str">
        <f>HYPERLINK("https://zfin.org/ZDB-GENE-040625-79")</f>
        <v>https://zfin.org/ZDB-GENE-040625-79</v>
      </c>
      <c r="E13226" t="s">
        <v>39630</v>
      </c>
    </row>
    <row r="13227" spans="1:5" x14ac:dyDescent="0.2">
      <c r="A13227" t="s">
        <v>39631</v>
      </c>
      <c r="B13227" t="s">
        <v>39632</v>
      </c>
      <c r="C13227" t="s">
        <v>39632</v>
      </c>
      <c r="D13227" t="str">
        <f>HYPERLINK("https://zfin.org/ZDB-GENE-050417-86")</f>
        <v>https://zfin.org/ZDB-GENE-050417-86</v>
      </c>
      <c r="E13227" t="s">
        <v>39633</v>
      </c>
    </row>
    <row r="13228" spans="1:5" x14ac:dyDescent="0.2">
      <c r="A13228" t="s">
        <v>39634</v>
      </c>
      <c r="B13228" t="s">
        <v>39635</v>
      </c>
      <c r="C13228" t="s">
        <v>39635</v>
      </c>
      <c r="D13228" t="str">
        <f>HYPERLINK("https://zfin.org/ZDB-GENE-070717-2")</f>
        <v>https://zfin.org/ZDB-GENE-070717-2</v>
      </c>
      <c r="E13228" t="s">
        <v>39636</v>
      </c>
    </row>
    <row r="13229" spans="1:5" x14ac:dyDescent="0.2">
      <c r="A13229" t="s">
        <v>39637</v>
      </c>
      <c r="B13229" t="s">
        <v>39638</v>
      </c>
      <c r="C13229" t="s">
        <v>39638</v>
      </c>
      <c r="D13229" t="str">
        <f>HYPERLINK("https://zfin.org/ZDB-GENE-030616-159")</f>
        <v>https://zfin.org/ZDB-GENE-030616-159</v>
      </c>
      <c r="E13229" t="s">
        <v>39639</v>
      </c>
    </row>
    <row r="13230" spans="1:5" x14ac:dyDescent="0.2">
      <c r="A13230" t="s">
        <v>39640</v>
      </c>
      <c r="B13230" t="s">
        <v>39641</v>
      </c>
      <c r="C13230" t="s">
        <v>39641</v>
      </c>
      <c r="D13230" t="str">
        <f>HYPERLINK("https://zfin.org/ZDB-GENE-030131-10018")</f>
        <v>https://zfin.org/ZDB-GENE-030131-10018</v>
      </c>
      <c r="E13230" t="s">
        <v>39642</v>
      </c>
    </row>
    <row r="13231" spans="1:5" x14ac:dyDescent="0.2">
      <c r="A13231" t="s">
        <v>39643</v>
      </c>
      <c r="B13231" t="s">
        <v>39644</v>
      </c>
      <c r="C13231" t="s">
        <v>39644</v>
      </c>
      <c r="D13231" t="str">
        <f>HYPERLINK("https://zfin.org/ZDB-GENE-040426-1389")</f>
        <v>https://zfin.org/ZDB-GENE-040426-1389</v>
      </c>
      <c r="E13231" t="s">
        <v>39645</v>
      </c>
    </row>
    <row r="13232" spans="1:5" x14ac:dyDescent="0.2">
      <c r="A13232" t="s">
        <v>39646</v>
      </c>
      <c r="B13232" t="s">
        <v>39647</v>
      </c>
      <c r="C13232" t="s">
        <v>39647</v>
      </c>
      <c r="D13232" t="str">
        <f>HYPERLINK("https://zfin.org/ZDB-GENE-040718-311")</f>
        <v>https://zfin.org/ZDB-GENE-040718-311</v>
      </c>
      <c r="E13232" t="s">
        <v>39648</v>
      </c>
    </row>
    <row r="13233" spans="1:5" x14ac:dyDescent="0.2">
      <c r="A13233" t="s">
        <v>39649</v>
      </c>
      <c r="B13233" t="s">
        <v>39650</v>
      </c>
      <c r="C13233" t="s">
        <v>39650</v>
      </c>
      <c r="D13233" t="str">
        <f>HYPERLINK("https://zfin.org/ZDB-GENE-141222-55")</f>
        <v>https://zfin.org/ZDB-GENE-141222-55</v>
      </c>
      <c r="E13233" t="s">
        <v>39651</v>
      </c>
    </row>
    <row r="13234" spans="1:5" x14ac:dyDescent="0.2">
      <c r="A13234" t="s">
        <v>39652</v>
      </c>
      <c r="B13234" t="s">
        <v>39653</v>
      </c>
      <c r="C13234" t="s">
        <v>39653</v>
      </c>
      <c r="D13234" t="str">
        <f>HYPERLINK("https://zfin.org/ZDB-GENE-040718-68")</f>
        <v>https://zfin.org/ZDB-GENE-040718-68</v>
      </c>
      <c r="E13234" t="s">
        <v>39654</v>
      </c>
    </row>
    <row r="13235" spans="1:5" x14ac:dyDescent="0.2">
      <c r="A13235" t="s">
        <v>39655</v>
      </c>
      <c r="B13235" t="s">
        <v>39656</v>
      </c>
      <c r="C13235" t="s">
        <v>39656</v>
      </c>
      <c r="D13235" t="str">
        <f>HYPERLINK("https://zfin.org/ZDB-GENE-110408-36")</f>
        <v>https://zfin.org/ZDB-GENE-110408-36</v>
      </c>
      <c r="E13235" t="s">
        <v>39657</v>
      </c>
    </row>
    <row r="13236" spans="1:5" x14ac:dyDescent="0.2">
      <c r="A13236" t="s">
        <v>39658</v>
      </c>
      <c r="B13236" t="s">
        <v>39659</v>
      </c>
      <c r="C13236" t="s">
        <v>39659</v>
      </c>
      <c r="D13236" t="str">
        <f>HYPERLINK("https://zfin.org/ZDB-GENE-030909-1")</f>
        <v>https://zfin.org/ZDB-GENE-030909-1</v>
      </c>
      <c r="E13236" t="s">
        <v>39660</v>
      </c>
    </row>
    <row r="13237" spans="1:5" x14ac:dyDescent="0.2">
      <c r="A13237" t="s">
        <v>39661</v>
      </c>
      <c r="B13237" t="s">
        <v>39662</v>
      </c>
      <c r="C13237" t="s">
        <v>39662</v>
      </c>
      <c r="D13237" t="str">
        <f>HYPERLINK("https://zfin.org/ZDB-GENE-030131-260")</f>
        <v>https://zfin.org/ZDB-GENE-030131-260</v>
      </c>
      <c r="E13237" t="s">
        <v>39663</v>
      </c>
    </row>
    <row r="13238" spans="1:5" x14ac:dyDescent="0.2">
      <c r="A13238" t="s">
        <v>39664</v>
      </c>
      <c r="B13238" t="s">
        <v>39665</v>
      </c>
      <c r="C13238" t="s">
        <v>39665</v>
      </c>
      <c r="D13238" t="str">
        <f>HYPERLINK("https://zfin.org/ZDB-GENE-080724-2")</f>
        <v>https://zfin.org/ZDB-GENE-080724-2</v>
      </c>
      <c r="E13238" t="s">
        <v>39666</v>
      </c>
    </row>
    <row r="13239" spans="1:5" x14ac:dyDescent="0.2">
      <c r="A13239" t="s">
        <v>39667</v>
      </c>
      <c r="B13239" t="s">
        <v>39668</v>
      </c>
      <c r="C13239" t="s">
        <v>39668</v>
      </c>
      <c r="D13239" t="str">
        <f>HYPERLINK("https://zfin.org/ZDB-GENE-081107-47")</f>
        <v>https://zfin.org/ZDB-GENE-081107-47</v>
      </c>
      <c r="E13239" t="s">
        <v>39669</v>
      </c>
    </row>
    <row r="13240" spans="1:5" x14ac:dyDescent="0.2">
      <c r="A13240" t="s">
        <v>39670</v>
      </c>
      <c r="B13240" t="s">
        <v>39671</v>
      </c>
      <c r="C13240" t="s">
        <v>39671</v>
      </c>
      <c r="D13240" t="str">
        <f>HYPERLINK("https://zfin.org/ZDB-GENE-030131-9089")</f>
        <v>https://zfin.org/ZDB-GENE-030131-9089</v>
      </c>
      <c r="E13240" t="s">
        <v>39672</v>
      </c>
    </row>
    <row r="13241" spans="1:5" x14ac:dyDescent="0.2">
      <c r="A13241" t="s">
        <v>39673</v>
      </c>
      <c r="B13241" t="s">
        <v>39674</v>
      </c>
      <c r="C13241" t="s">
        <v>39674</v>
      </c>
      <c r="D13241" t="str">
        <f>HYPERLINK("https://zfin.org/ZDB-GENE-050417-171")</f>
        <v>https://zfin.org/ZDB-GENE-050417-171</v>
      </c>
      <c r="E13241" t="s">
        <v>39675</v>
      </c>
    </row>
    <row r="13242" spans="1:5" x14ac:dyDescent="0.2">
      <c r="A13242" t="s">
        <v>39676</v>
      </c>
      <c r="B13242" t="s">
        <v>39677</v>
      </c>
      <c r="C13242" t="s">
        <v>39677</v>
      </c>
      <c r="D13242" t="str">
        <f>HYPERLINK("https://zfin.org/ZDB-GENE-070912-492")</f>
        <v>https://zfin.org/ZDB-GENE-070912-492</v>
      </c>
      <c r="E13242" t="s">
        <v>39678</v>
      </c>
    </row>
    <row r="13243" spans="1:5" x14ac:dyDescent="0.2">
      <c r="A13243" t="s">
        <v>39679</v>
      </c>
      <c r="B13243" t="s">
        <v>39680</v>
      </c>
      <c r="C13243" t="s">
        <v>39680</v>
      </c>
      <c r="D13243" t="str">
        <f>HYPERLINK("https://zfin.org/ZDB-GENE-040426-1730")</f>
        <v>https://zfin.org/ZDB-GENE-040426-1730</v>
      </c>
      <c r="E13243" t="s">
        <v>39681</v>
      </c>
    </row>
    <row r="13244" spans="1:5" x14ac:dyDescent="0.2">
      <c r="A13244" t="s">
        <v>39682</v>
      </c>
      <c r="B13244" t="s">
        <v>39683</v>
      </c>
      <c r="C13244" t="s">
        <v>39683</v>
      </c>
      <c r="D13244" t="str">
        <f>HYPERLINK("https://zfin.org/ZDB-GENE-030131-5277")</f>
        <v>https://zfin.org/ZDB-GENE-030131-5277</v>
      </c>
      <c r="E13244" t="s">
        <v>39684</v>
      </c>
    </row>
    <row r="13245" spans="1:5" x14ac:dyDescent="0.2">
      <c r="A13245" t="s">
        <v>39685</v>
      </c>
      <c r="B13245" t="s">
        <v>39686</v>
      </c>
      <c r="C13245" t="s">
        <v>39686</v>
      </c>
      <c r="D13245" t="str">
        <f>HYPERLINK("https://zfin.org/ZDB-GENE-030616-610")</f>
        <v>https://zfin.org/ZDB-GENE-030616-610</v>
      </c>
      <c r="E13245" t="s">
        <v>39687</v>
      </c>
    </row>
    <row r="13246" spans="1:5" x14ac:dyDescent="0.2">
      <c r="A13246" t="s">
        <v>39688</v>
      </c>
      <c r="B13246" t="s">
        <v>39689</v>
      </c>
      <c r="C13246" t="s">
        <v>39689</v>
      </c>
      <c r="D13246" t="str">
        <f>HYPERLINK("https://zfin.org/ZDB-GENE-101028-1")</f>
        <v>https://zfin.org/ZDB-GENE-101028-1</v>
      </c>
      <c r="E13246" t="s">
        <v>39690</v>
      </c>
    </row>
    <row r="13247" spans="1:5" x14ac:dyDescent="0.2">
      <c r="A13247" t="s">
        <v>39691</v>
      </c>
      <c r="B13247" t="s">
        <v>39692</v>
      </c>
      <c r="C13247" t="s">
        <v>39692</v>
      </c>
      <c r="D13247" t="str">
        <f>HYPERLINK("https://zfin.org/ZDB-GENE-050913-156")</f>
        <v>https://zfin.org/ZDB-GENE-050913-156</v>
      </c>
      <c r="E13247" t="s">
        <v>39693</v>
      </c>
    </row>
    <row r="13248" spans="1:5" x14ac:dyDescent="0.2">
      <c r="A13248" t="s">
        <v>39694</v>
      </c>
      <c r="B13248" t="s">
        <v>39695</v>
      </c>
      <c r="C13248" t="s">
        <v>39695</v>
      </c>
      <c r="D13248" t="str">
        <f>HYPERLINK("https://zfin.org/ZDB-GENE-040702-1")</f>
        <v>https://zfin.org/ZDB-GENE-040702-1</v>
      </c>
      <c r="E13248" t="s">
        <v>39696</v>
      </c>
    </row>
    <row r="13249" spans="1:5" x14ac:dyDescent="0.2">
      <c r="A13249" t="s">
        <v>39697</v>
      </c>
      <c r="B13249" t="s">
        <v>39698</v>
      </c>
      <c r="C13249" t="s">
        <v>39698</v>
      </c>
      <c r="D13249" t="str">
        <f>HYPERLINK("https://zfin.org/ZDB-GENE-100208-1")</f>
        <v>https://zfin.org/ZDB-GENE-100208-1</v>
      </c>
      <c r="E13249" t="s">
        <v>39699</v>
      </c>
    </row>
    <row r="13250" spans="1:5" x14ac:dyDescent="0.2">
      <c r="A13250" t="s">
        <v>39700</v>
      </c>
      <c r="B13250" t="s">
        <v>39701</v>
      </c>
      <c r="C13250" t="s">
        <v>39701</v>
      </c>
      <c r="D13250" t="str">
        <f>HYPERLINK("https://zfin.org/ZDB-GENE-030131-3522")</f>
        <v>https://zfin.org/ZDB-GENE-030131-3522</v>
      </c>
      <c r="E13250" t="s">
        <v>39702</v>
      </c>
    </row>
    <row r="13251" spans="1:5" x14ac:dyDescent="0.2">
      <c r="A13251" t="s">
        <v>39703</v>
      </c>
      <c r="B13251" t="s">
        <v>39704</v>
      </c>
      <c r="C13251" t="s">
        <v>39704</v>
      </c>
      <c r="D13251" t="str">
        <f>HYPERLINK("https://zfin.org/ZDB-GENE-031030-5")</f>
        <v>https://zfin.org/ZDB-GENE-031030-5</v>
      </c>
      <c r="E13251" t="s">
        <v>39705</v>
      </c>
    </row>
    <row r="13252" spans="1:5" x14ac:dyDescent="0.2">
      <c r="A13252" t="s">
        <v>39706</v>
      </c>
      <c r="B13252" t="s">
        <v>39707</v>
      </c>
      <c r="C13252" t="s">
        <v>39707</v>
      </c>
      <c r="D13252" t="str">
        <f>HYPERLINK("https://zfin.org/ZDB-GENE-030616-608")</f>
        <v>https://zfin.org/ZDB-GENE-030616-608</v>
      </c>
      <c r="E13252" t="s">
        <v>39708</v>
      </c>
    </row>
    <row r="13253" spans="1:5" x14ac:dyDescent="0.2">
      <c r="A13253" t="s">
        <v>39709</v>
      </c>
      <c r="B13253" t="s">
        <v>39710</v>
      </c>
      <c r="C13253" t="s">
        <v>39710</v>
      </c>
      <c r="D13253" t="str">
        <f>HYPERLINK("https://zfin.org/ZDB-GENE-060503-329")</f>
        <v>https://zfin.org/ZDB-GENE-060503-329</v>
      </c>
      <c r="E13253" t="s">
        <v>39711</v>
      </c>
    </row>
    <row r="13254" spans="1:5" x14ac:dyDescent="0.2">
      <c r="A13254" t="s">
        <v>39712</v>
      </c>
      <c r="B13254" t="s">
        <v>39713</v>
      </c>
      <c r="C13254" t="s">
        <v>39713</v>
      </c>
      <c r="D13254" t="str">
        <f>HYPERLINK("https://zfin.org/ZDB-GENE-060810-22")</f>
        <v>https://zfin.org/ZDB-GENE-060810-22</v>
      </c>
      <c r="E13254" t="s">
        <v>39714</v>
      </c>
    </row>
    <row r="13255" spans="1:5" x14ac:dyDescent="0.2">
      <c r="A13255" t="s">
        <v>39715</v>
      </c>
      <c r="B13255" t="s">
        <v>39716</v>
      </c>
      <c r="C13255" t="s">
        <v>39716</v>
      </c>
      <c r="D13255" t="str">
        <f>HYPERLINK("https://zfin.org/ZDB-GENE-070912-509")</f>
        <v>https://zfin.org/ZDB-GENE-070912-509</v>
      </c>
      <c r="E13255" t="s">
        <v>39717</v>
      </c>
    </row>
    <row r="13256" spans="1:5" x14ac:dyDescent="0.2">
      <c r="A13256" t="s">
        <v>39718</v>
      </c>
      <c r="B13256" t="s">
        <v>39719</v>
      </c>
      <c r="C13256" t="s">
        <v>39719</v>
      </c>
      <c r="D13256" t="str">
        <f>HYPERLINK("https://zfin.org/ZDB-GENE-040426-2908")</f>
        <v>https://zfin.org/ZDB-GENE-040426-2908</v>
      </c>
      <c r="E13256" t="s">
        <v>39720</v>
      </c>
    </row>
    <row r="13257" spans="1:5" x14ac:dyDescent="0.2">
      <c r="A13257" t="s">
        <v>39721</v>
      </c>
      <c r="B13257" t="s">
        <v>39722</v>
      </c>
      <c r="C13257" t="s">
        <v>39722</v>
      </c>
      <c r="D13257" t="str">
        <f>HYPERLINK("https://zfin.org/ZDB-GENE-041010-193")</f>
        <v>https://zfin.org/ZDB-GENE-041010-193</v>
      </c>
      <c r="E13257" t="s">
        <v>39723</v>
      </c>
    </row>
    <row r="13258" spans="1:5" x14ac:dyDescent="0.2">
      <c r="A13258" t="s">
        <v>39724</v>
      </c>
      <c r="B13258" t="s">
        <v>39725</v>
      </c>
      <c r="C13258" t="s">
        <v>39725</v>
      </c>
      <c r="D13258" t="str">
        <f>HYPERLINK("https://zfin.org/ZDB-GENE-090313-214")</f>
        <v>https://zfin.org/ZDB-GENE-090313-214</v>
      </c>
      <c r="E13258" t="s">
        <v>39726</v>
      </c>
    </row>
    <row r="13259" spans="1:5" x14ac:dyDescent="0.2">
      <c r="A13259" t="s">
        <v>39727</v>
      </c>
      <c r="B13259" t="s">
        <v>39728</v>
      </c>
      <c r="C13259" t="s">
        <v>39728</v>
      </c>
      <c r="D13259" t="str">
        <f>HYPERLINK("https://zfin.org/ZDB-GENE-040426-2159")</f>
        <v>https://zfin.org/ZDB-GENE-040426-2159</v>
      </c>
      <c r="E13259" t="s">
        <v>39729</v>
      </c>
    </row>
    <row r="13260" spans="1:5" x14ac:dyDescent="0.2">
      <c r="A13260" t="s">
        <v>39730</v>
      </c>
      <c r="B13260" t="s">
        <v>39731</v>
      </c>
      <c r="C13260" t="s">
        <v>39731</v>
      </c>
      <c r="D13260" t="str">
        <f>HYPERLINK("https://zfin.org/ZDB-GENE-061013-522")</f>
        <v>https://zfin.org/ZDB-GENE-061013-522</v>
      </c>
      <c r="E13260" t="s">
        <v>39732</v>
      </c>
    </row>
    <row r="13261" spans="1:5" x14ac:dyDescent="0.2">
      <c r="A13261" t="s">
        <v>39733</v>
      </c>
      <c r="B13261" t="s">
        <v>39734</v>
      </c>
      <c r="C13261" t="s">
        <v>39734</v>
      </c>
      <c r="D13261" t="str">
        <f>HYPERLINK("https://zfin.org/ZDB-GENE-070912-553")</f>
        <v>https://zfin.org/ZDB-GENE-070912-553</v>
      </c>
      <c r="E13261" t="s">
        <v>39735</v>
      </c>
    </row>
    <row r="13262" spans="1:5" x14ac:dyDescent="0.2">
      <c r="A13262" t="s">
        <v>39736</v>
      </c>
      <c r="B13262" t="s">
        <v>39737</v>
      </c>
      <c r="C13262" t="s">
        <v>39737</v>
      </c>
      <c r="D13262" t="str">
        <f>HYPERLINK("https://zfin.org/ZDB-GENE-030131-4219")</f>
        <v>https://zfin.org/ZDB-GENE-030131-4219</v>
      </c>
      <c r="E13262" t="s">
        <v>39738</v>
      </c>
    </row>
    <row r="13263" spans="1:5" x14ac:dyDescent="0.2">
      <c r="A13263" t="s">
        <v>39739</v>
      </c>
      <c r="B13263" t="s">
        <v>39740</v>
      </c>
      <c r="C13263" t="s">
        <v>39740</v>
      </c>
      <c r="D13263" t="str">
        <f>HYPERLINK("https://zfin.org/ZDB-GENE-040718-359")</f>
        <v>https://zfin.org/ZDB-GENE-040718-359</v>
      </c>
      <c r="E13263" t="s">
        <v>39741</v>
      </c>
    </row>
    <row r="13264" spans="1:5" x14ac:dyDescent="0.2">
      <c r="A13264" t="s">
        <v>39742</v>
      </c>
      <c r="B13264" t="s">
        <v>39743</v>
      </c>
      <c r="C13264" t="s">
        <v>39743</v>
      </c>
      <c r="D13264" t="str">
        <f>HYPERLINK("https://zfin.org/ZDB-GENE-031002-24")</f>
        <v>https://zfin.org/ZDB-GENE-031002-24</v>
      </c>
      <c r="E13264" t="s">
        <v>39744</v>
      </c>
    </row>
    <row r="13265" spans="1:5" x14ac:dyDescent="0.2">
      <c r="A13265" t="s">
        <v>39745</v>
      </c>
      <c r="B13265" t="s">
        <v>39746</v>
      </c>
      <c r="C13265" t="s">
        <v>39746</v>
      </c>
      <c r="D13265" t="str">
        <f>HYPERLINK("https://zfin.org/ZDB-GENE-091230-5")</f>
        <v>https://zfin.org/ZDB-GENE-091230-5</v>
      </c>
      <c r="E13265" t="s">
        <v>39747</v>
      </c>
    </row>
    <row r="13266" spans="1:5" x14ac:dyDescent="0.2">
      <c r="A13266" t="s">
        <v>39748</v>
      </c>
      <c r="B13266" t="s">
        <v>39749</v>
      </c>
      <c r="C13266" t="s">
        <v>39749</v>
      </c>
      <c r="D13266" t="str">
        <f>HYPERLINK("https://zfin.org/ZDB-GENE-990415-138")</f>
        <v>https://zfin.org/ZDB-GENE-990415-138</v>
      </c>
      <c r="E13266" t="s">
        <v>39750</v>
      </c>
    </row>
    <row r="13267" spans="1:5" x14ac:dyDescent="0.2">
      <c r="A13267" t="s">
        <v>39751</v>
      </c>
      <c r="B13267" t="s">
        <v>39752</v>
      </c>
      <c r="C13267" t="s">
        <v>39752</v>
      </c>
      <c r="D13267" t="str">
        <f>HYPERLINK("https://zfin.org/ZDB-GENE-050522-542")</f>
        <v>https://zfin.org/ZDB-GENE-050522-542</v>
      </c>
      <c r="E13267" t="s">
        <v>39753</v>
      </c>
    </row>
    <row r="13268" spans="1:5" x14ac:dyDescent="0.2">
      <c r="A13268" t="s">
        <v>39754</v>
      </c>
      <c r="B13268" t="s">
        <v>39755</v>
      </c>
      <c r="C13268" t="s">
        <v>39755</v>
      </c>
      <c r="D13268" t="str">
        <f>HYPERLINK("https://zfin.org/ZDB-GENE-040724-65")</f>
        <v>https://zfin.org/ZDB-GENE-040724-65</v>
      </c>
      <c r="E13268" t="s">
        <v>39756</v>
      </c>
    </row>
    <row r="13269" spans="1:5" x14ac:dyDescent="0.2">
      <c r="A13269" t="s">
        <v>39757</v>
      </c>
      <c r="B13269" t="s">
        <v>39758</v>
      </c>
      <c r="C13269" t="s">
        <v>39758</v>
      </c>
      <c r="D13269" t="str">
        <f>HYPERLINK("https://zfin.org/ZDB-GENE-980526-170")</f>
        <v>https://zfin.org/ZDB-GENE-980526-170</v>
      </c>
      <c r="E13269" t="s">
        <v>39759</v>
      </c>
    </row>
    <row r="13270" spans="1:5" x14ac:dyDescent="0.2">
      <c r="A13270" t="s">
        <v>39760</v>
      </c>
      <c r="B13270" t="s">
        <v>39761</v>
      </c>
      <c r="C13270" t="s">
        <v>39761</v>
      </c>
      <c r="D13270" t="str">
        <f>HYPERLINK("https://zfin.org/ZDB-GENE-021220-6")</f>
        <v>https://zfin.org/ZDB-GENE-021220-6</v>
      </c>
      <c r="E13270" t="s">
        <v>39762</v>
      </c>
    </row>
    <row r="13271" spans="1:5" x14ac:dyDescent="0.2">
      <c r="A13271" t="s">
        <v>39763</v>
      </c>
      <c r="B13271" t="s">
        <v>39764</v>
      </c>
      <c r="C13271" t="s">
        <v>39764</v>
      </c>
      <c r="D13271" t="str">
        <f>HYPERLINK("https://zfin.org/ZDB-GENE-040426-1495")</f>
        <v>https://zfin.org/ZDB-GENE-040426-1495</v>
      </c>
      <c r="E13271" t="s">
        <v>39765</v>
      </c>
    </row>
    <row r="13272" spans="1:5" x14ac:dyDescent="0.2">
      <c r="A13272" t="s">
        <v>39766</v>
      </c>
      <c r="B13272" t="s">
        <v>39767</v>
      </c>
      <c r="C13272" t="s">
        <v>39767</v>
      </c>
      <c r="D13272" t="str">
        <f>HYPERLINK("https://zfin.org/ZDB-GENE-030131-5431")</f>
        <v>https://zfin.org/ZDB-GENE-030131-5431</v>
      </c>
      <c r="E13272" t="s">
        <v>39768</v>
      </c>
    </row>
    <row r="13273" spans="1:5" x14ac:dyDescent="0.2">
      <c r="A13273" t="s">
        <v>39769</v>
      </c>
      <c r="B13273" t="s">
        <v>39770</v>
      </c>
      <c r="C13273" t="s">
        <v>39770</v>
      </c>
      <c r="D13273" t="str">
        <f>HYPERLINK("https://zfin.org/ZDB-GENE-060526-178")</f>
        <v>https://zfin.org/ZDB-GENE-060526-178</v>
      </c>
      <c r="E13273" t="s">
        <v>39771</v>
      </c>
    </row>
    <row r="13274" spans="1:5" x14ac:dyDescent="0.2">
      <c r="A13274" t="s">
        <v>39772</v>
      </c>
      <c r="B13274" t="s">
        <v>39773</v>
      </c>
      <c r="C13274" t="s">
        <v>39773</v>
      </c>
      <c r="D13274" t="str">
        <f>HYPERLINK("https://zfin.org/ZDB-GENE-070717-3")</f>
        <v>https://zfin.org/ZDB-GENE-070717-3</v>
      </c>
      <c r="E13274" t="s">
        <v>39774</v>
      </c>
    </row>
    <row r="13275" spans="1:5" x14ac:dyDescent="0.2">
      <c r="A13275" t="s">
        <v>39775</v>
      </c>
      <c r="B13275" t="s">
        <v>39776</v>
      </c>
      <c r="C13275" t="s">
        <v>39776</v>
      </c>
      <c r="D13275" t="str">
        <f>HYPERLINK("https://zfin.org/ZDB-GENE-061013-378")</f>
        <v>https://zfin.org/ZDB-GENE-061013-378</v>
      </c>
      <c r="E13275" t="s">
        <v>39777</v>
      </c>
    </row>
    <row r="13276" spans="1:5" x14ac:dyDescent="0.2">
      <c r="A13276" t="s">
        <v>39778</v>
      </c>
      <c r="B13276" t="s">
        <v>39779</v>
      </c>
      <c r="C13276" t="s">
        <v>39779</v>
      </c>
      <c r="D13276" t="str">
        <f>HYPERLINK("https://zfin.org/ZDB-GENE-040718-158")</f>
        <v>https://zfin.org/ZDB-GENE-040718-158</v>
      </c>
      <c r="E13276" t="s">
        <v>39780</v>
      </c>
    </row>
    <row r="13277" spans="1:5" x14ac:dyDescent="0.2">
      <c r="A13277" t="s">
        <v>39781</v>
      </c>
      <c r="B13277" t="s">
        <v>39782</v>
      </c>
      <c r="C13277" t="s">
        <v>39782</v>
      </c>
      <c r="D13277" t="str">
        <f>HYPERLINK("https://zfin.org/ZDB-GENE-100922-238")</f>
        <v>https://zfin.org/ZDB-GENE-100922-238</v>
      </c>
      <c r="E13277" t="s">
        <v>39783</v>
      </c>
    </row>
    <row r="13278" spans="1:5" x14ac:dyDescent="0.2">
      <c r="A13278" t="s">
        <v>39784</v>
      </c>
      <c r="B13278" t="s">
        <v>39785</v>
      </c>
      <c r="C13278" t="s">
        <v>39785</v>
      </c>
      <c r="D13278" t="str">
        <f>HYPERLINK("https://zfin.org/ZDB-GENE-030131-7389")</f>
        <v>https://zfin.org/ZDB-GENE-030131-7389</v>
      </c>
      <c r="E13278" t="s">
        <v>39786</v>
      </c>
    </row>
    <row r="13279" spans="1:5" x14ac:dyDescent="0.2">
      <c r="A13279" t="s">
        <v>39787</v>
      </c>
      <c r="B13279" t="s">
        <v>39788</v>
      </c>
      <c r="C13279" t="s">
        <v>39788</v>
      </c>
      <c r="D13279" t="str">
        <f>HYPERLINK("https://zfin.org/ZDB-GENE-030131-4512")</f>
        <v>https://zfin.org/ZDB-GENE-030131-4512</v>
      </c>
      <c r="E13279" t="s">
        <v>39789</v>
      </c>
    </row>
    <row r="13280" spans="1:5" x14ac:dyDescent="0.2">
      <c r="A13280" t="s">
        <v>39790</v>
      </c>
      <c r="B13280" t="s">
        <v>39791</v>
      </c>
      <c r="C13280" t="s">
        <v>39791</v>
      </c>
      <c r="D13280" t="str">
        <f>HYPERLINK("https://zfin.org/ZDB-GENE-030131-7528")</f>
        <v>https://zfin.org/ZDB-GENE-030131-7528</v>
      </c>
      <c r="E13280" t="s">
        <v>39792</v>
      </c>
    </row>
    <row r="13281" spans="1:5" x14ac:dyDescent="0.2">
      <c r="A13281" t="s">
        <v>39793</v>
      </c>
      <c r="B13281" t="s">
        <v>39794</v>
      </c>
      <c r="C13281" t="s">
        <v>39794</v>
      </c>
      <c r="D13281" t="str">
        <f>HYPERLINK("https://zfin.org/ZDB-GENE-030724-1")</f>
        <v>https://zfin.org/ZDB-GENE-030724-1</v>
      </c>
      <c r="E13281" t="s">
        <v>39795</v>
      </c>
    </row>
    <row r="13282" spans="1:5" x14ac:dyDescent="0.2">
      <c r="A13282" t="s">
        <v>39796</v>
      </c>
      <c r="B13282" t="s">
        <v>39797</v>
      </c>
      <c r="C13282" t="s">
        <v>39797</v>
      </c>
      <c r="D13282" t="str">
        <f>HYPERLINK("https://zfin.org/ZDB-GENE-090312-142")</f>
        <v>https://zfin.org/ZDB-GENE-090312-142</v>
      </c>
      <c r="E13282" t="s">
        <v>39798</v>
      </c>
    </row>
    <row r="13283" spans="1:5" x14ac:dyDescent="0.2">
      <c r="A13283" t="s">
        <v>39799</v>
      </c>
      <c r="B13283" t="s">
        <v>39800</v>
      </c>
      <c r="C13283" t="s">
        <v>39800</v>
      </c>
      <c r="D13283" t="str">
        <f>HYPERLINK("https://zfin.org/ZDB-GENE-041014-35")</f>
        <v>https://zfin.org/ZDB-GENE-041014-35</v>
      </c>
      <c r="E13283" t="s">
        <v>39801</v>
      </c>
    </row>
    <row r="13284" spans="1:5" x14ac:dyDescent="0.2">
      <c r="A13284" t="s">
        <v>39802</v>
      </c>
      <c r="B13284" t="s">
        <v>39803</v>
      </c>
      <c r="C13284" t="s">
        <v>39803</v>
      </c>
      <c r="D13284" t="str">
        <f>HYPERLINK("https://zfin.org/ZDB-GENE-050522-322")</f>
        <v>https://zfin.org/ZDB-GENE-050522-322</v>
      </c>
      <c r="E13284" t="s">
        <v>39804</v>
      </c>
    </row>
    <row r="13285" spans="1:5" x14ac:dyDescent="0.2">
      <c r="A13285" t="s">
        <v>39805</v>
      </c>
      <c r="B13285" t="s">
        <v>39806</v>
      </c>
      <c r="C13285" t="s">
        <v>39806</v>
      </c>
      <c r="D13285" t="str">
        <f>HYPERLINK("https://zfin.org/ZDB-GENE-000607-13")</f>
        <v>https://zfin.org/ZDB-GENE-000607-13</v>
      </c>
      <c r="E13285" t="s">
        <v>39807</v>
      </c>
    </row>
    <row r="13286" spans="1:5" x14ac:dyDescent="0.2">
      <c r="A13286" t="s">
        <v>39808</v>
      </c>
      <c r="B13286" t="s">
        <v>39809</v>
      </c>
      <c r="C13286" t="s">
        <v>39809</v>
      </c>
      <c r="D13286" t="str">
        <f>HYPERLINK("https://zfin.org/ZDB-GENE-050309-63")</f>
        <v>https://zfin.org/ZDB-GENE-050309-63</v>
      </c>
      <c r="E13286" t="s">
        <v>39810</v>
      </c>
    </row>
    <row r="13287" spans="1:5" x14ac:dyDescent="0.2">
      <c r="A13287" t="s">
        <v>39811</v>
      </c>
      <c r="B13287" t="s">
        <v>39812</v>
      </c>
      <c r="C13287" t="s">
        <v>39812</v>
      </c>
      <c r="D13287" t="str">
        <f>HYPERLINK("https://zfin.org/ZDB-GENE-040801-242")</f>
        <v>https://zfin.org/ZDB-GENE-040801-242</v>
      </c>
      <c r="E13287" t="s">
        <v>39813</v>
      </c>
    </row>
    <row r="13288" spans="1:5" x14ac:dyDescent="0.2">
      <c r="A13288" t="s">
        <v>39814</v>
      </c>
      <c r="B13288" t="s">
        <v>39815</v>
      </c>
      <c r="C13288" t="s">
        <v>39815</v>
      </c>
      <c r="D13288" t="str">
        <f>HYPERLINK("https://zfin.org/ZDB-GENE-030523-2")</f>
        <v>https://zfin.org/ZDB-GENE-030523-2</v>
      </c>
      <c r="E13288" t="s">
        <v>39816</v>
      </c>
    </row>
    <row r="13289" spans="1:5" x14ac:dyDescent="0.2">
      <c r="A13289" t="s">
        <v>39817</v>
      </c>
      <c r="B13289" t="s">
        <v>39818</v>
      </c>
      <c r="C13289" t="s">
        <v>39818</v>
      </c>
      <c r="D13289" t="str">
        <f>HYPERLINK("https://zfin.org/ZDB-GENE-081107-4")</f>
        <v>https://zfin.org/ZDB-GENE-081107-4</v>
      </c>
      <c r="E13289" t="s">
        <v>39819</v>
      </c>
    </row>
    <row r="13290" spans="1:5" x14ac:dyDescent="0.2">
      <c r="A13290" t="s">
        <v>39820</v>
      </c>
      <c r="B13290" t="s">
        <v>39821</v>
      </c>
      <c r="C13290" t="s">
        <v>39821</v>
      </c>
      <c r="D13290" t="str">
        <f>HYPERLINK("https://zfin.org/ZDB-GENE-061207-74")</f>
        <v>https://zfin.org/ZDB-GENE-061207-74</v>
      </c>
      <c r="E13290" t="s">
        <v>39822</v>
      </c>
    </row>
    <row r="13291" spans="1:5" x14ac:dyDescent="0.2">
      <c r="A13291" t="s">
        <v>39823</v>
      </c>
      <c r="B13291" t="s">
        <v>39824</v>
      </c>
      <c r="C13291" t="s">
        <v>39824</v>
      </c>
      <c r="D13291" t="str">
        <f>HYPERLINK("https://zfin.org/ZDB-GENE-131119-80")</f>
        <v>https://zfin.org/ZDB-GENE-131119-80</v>
      </c>
      <c r="E13291" t="s">
        <v>39825</v>
      </c>
    </row>
    <row r="13292" spans="1:5" x14ac:dyDescent="0.2">
      <c r="A13292" t="s">
        <v>39826</v>
      </c>
      <c r="B13292" t="s">
        <v>39827</v>
      </c>
      <c r="C13292" t="s">
        <v>39827</v>
      </c>
      <c r="D13292" t="str">
        <f>HYPERLINK("https://zfin.org/ZDB-GENE-060810-94")</f>
        <v>https://zfin.org/ZDB-GENE-060810-94</v>
      </c>
      <c r="E13292" t="s">
        <v>39828</v>
      </c>
    </row>
    <row r="13293" spans="1:5" x14ac:dyDescent="0.2">
      <c r="A13293" t="s">
        <v>39829</v>
      </c>
      <c r="B13293" t="s">
        <v>39830</v>
      </c>
      <c r="C13293" t="s">
        <v>39830</v>
      </c>
      <c r="D13293" t="str">
        <f>HYPERLINK("https://zfin.org/ZDB-GENE-130828-1")</f>
        <v>https://zfin.org/ZDB-GENE-130828-1</v>
      </c>
      <c r="E13293" t="s">
        <v>39831</v>
      </c>
    </row>
    <row r="13294" spans="1:5" x14ac:dyDescent="0.2">
      <c r="A13294" t="s">
        <v>39832</v>
      </c>
      <c r="B13294" t="s">
        <v>39833</v>
      </c>
      <c r="C13294" t="s">
        <v>39833</v>
      </c>
      <c r="D13294" t="str">
        <f>HYPERLINK("https://zfin.org/ZDB-GENE-051101-2")</f>
        <v>https://zfin.org/ZDB-GENE-051101-2</v>
      </c>
      <c r="E13294" t="s">
        <v>39834</v>
      </c>
    </row>
    <row r="13295" spans="1:5" x14ac:dyDescent="0.2">
      <c r="A13295" t="s">
        <v>39835</v>
      </c>
      <c r="B13295" t="s">
        <v>39836</v>
      </c>
      <c r="C13295" t="s">
        <v>39836</v>
      </c>
      <c r="D13295" t="str">
        <f>HYPERLINK("https://zfin.org/ZDB-GENE-040704-30")</f>
        <v>https://zfin.org/ZDB-GENE-040704-30</v>
      </c>
      <c r="E13295" t="s">
        <v>39837</v>
      </c>
    </row>
    <row r="13296" spans="1:5" x14ac:dyDescent="0.2">
      <c r="A13296" t="s">
        <v>39838</v>
      </c>
      <c r="B13296" t="s">
        <v>39839</v>
      </c>
      <c r="C13296" t="s">
        <v>39839</v>
      </c>
      <c r="D13296" t="str">
        <f>HYPERLINK("https://zfin.org/ZDB-GENE-040219-2")</f>
        <v>https://zfin.org/ZDB-GENE-040219-2</v>
      </c>
      <c r="E13296" t="s">
        <v>39840</v>
      </c>
    </row>
    <row r="13297" spans="1:5" x14ac:dyDescent="0.2">
      <c r="A13297" t="s">
        <v>39841</v>
      </c>
      <c r="B13297" t="s">
        <v>39842</v>
      </c>
      <c r="C13297" t="s">
        <v>39842</v>
      </c>
      <c r="D13297" t="str">
        <f>HYPERLINK("https://zfin.org/ZDB-GENE-040121-3")</f>
        <v>https://zfin.org/ZDB-GENE-040121-3</v>
      </c>
      <c r="E13297" t="s">
        <v>39843</v>
      </c>
    </row>
    <row r="13298" spans="1:5" x14ac:dyDescent="0.2">
      <c r="A13298" t="s">
        <v>39844</v>
      </c>
      <c r="B13298" t="s">
        <v>39845</v>
      </c>
      <c r="C13298" t="s">
        <v>39845</v>
      </c>
      <c r="D13298" t="str">
        <f>HYPERLINK("https://zfin.org/ZDB-GENE-030131-5626")</f>
        <v>https://zfin.org/ZDB-GENE-030131-5626</v>
      </c>
      <c r="E13298" t="s">
        <v>39846</v>
      </c>
    </row>
    <row r="13299" spans="1:5" x14ac:dyDescent="0.2">
      <c r="A13299" t="s">
        <v>39847</v>
      </c>
      <c r="B13299" t="s">
        <v>39848</v>
      </c>
      <c r="C13299" t="s">
        <v>39848</v>
      </c>
      <c r="D13299" t="str">
        <f>HYPERLINK("https://zfin.org/ZDB-GENE-041111-222")</f>
        <v>https://zfin.org/ZDB-GENE-041111-222</v>
      </c>
      <c r="E13299" t="s">
        <v>39849</v>
      </c>
    </row>
    <row r="13300" spans="1:5" x14ac:dyDescent="0.2">
      <c r="A13300" t="s">
        <v>39850</v>
      </c>
      <c r="B13300" t="s">
        <v>39851</v>
      </c>
      <c r="C13300" t="s">
        <v>39851</v>
      </c>
      <c r="D13300" t="str">
        <f>HYPERLINK("https://zfin.org/ZDB-GENE-040718-98")</f>
        <v>https://zfin.org/ZDB-GENE-040718-98</v>
      </c>
      <c r="E13300" t="s">
        <v>39852</v>
      </c>
    </row>
    <row r="13301" spans="1:5" x14ac:dyDescent="0.2">
      <c r="A13301" t="s">
        <v>39853</v>
      </c>
      <c r="B13301" t="s">
        <v>39854</v>
      </c>
      <c r="C13301" t="s">
        <v>39854</v>
      </c>
      <c r="D13301" t="str">
        <f>HYPERLINK("https://zfin.org/ZDB-GENE-060503-223")</f>
        <v>https://zfin.org/ZDB-GENE-060503-223</v>
      </c>
      <c r="E13301" t="s">
        <v>39855</v>
      </c>
    </row>
    <row r="13302" spans="1:5" x14ac:dyDescent="0.2">
      <c r="A13302" t="s">
        <v>39856</v>
      </c>
      <c r="B13302" t="s">
        <v>39857</v>
      </c>
      <c r="C13302" t="s">
        <v>39857</v>
      </c>
      <c r="D13302" t="str">
        <f>HYPERLINK("https://zfin.org/ZDB-GENE-100922-182")</f>
        <v>https://zfin.org/ZDB-GENE-100922-182</v>
      </c>
      <c r="E13302" t="s">
        <v>39858</v>
      </c>
    </row>
    <row r="13303" spans="1:5" x14ac:dyDescent="0.2">
      <c r="A13303" t="s">
        <v>39859</v>
      </c>
      <c r="B13303" t="s">
        <v>39860</v>
      </c>
      <c r="C13303" t="s">
        <v>39860</v>
      </c>
      <c r="D13303" t="str">
        <f>HYPERLINK("https://zfin.org/ZDB-GENE-040426-798")</f>
        <v>https://zfin.org/ZDB-GENE-040426-798</v>
      </c>
      <c r="E13303" t="s">
        <v>39861</v>
      </c>
    </row>
    <row r="13304" spans="1:5" x14ac:dyDescent="0.2">
      <c r="A13304" t="s">
        <v>39862</v>
      </c>
      <c r="B13304" t="s">
        <v>39863</v>
      </c>
      <c r="C13304" t="s">
        <v>39863</v>
      </c>
      <c r="D13304" t="str">
        <f>HYPERLINK("https://zfin.org/ZDB-GENE-070912-673")</f>
        <v>https://zfin.org/ZDB-GENE-070912-673</v>
      </c>
      <c r="E13304" t="s">
        <v>39864</v>
      </c>
    </row>
    <row r="13305" spans="1:5" x14ac:dyDescent="0.2">
      <c r="A13305" t="s">
        <v>39865</v>
      </c>
      <c r="B13305" t="s">
        <v>39866</v>
      </c>
      <c r="C13305" t="s">
        <v>39866</v>
      </c>
      <c r="D13305" t="str">
        <f>HYPERLINK("https://zfin.org/ZDB-GENE-081107-5")</f>
        <v>https://zfin.org/ZDB-GENE-081107-5</v>
      </c>
      <c r="E13305" t="s">
        <v>39867</v>
      </c>
    </row>
    <row r="13306" spans="1:5" x14ac:dyDescent="0.2">
      <c r="A13306" t="s">
        <v>39868</v>
      </c>
      <c r="B13306" t="s">
        <v>39869</v>
      </c>
      <c r="C13306" t="s">
        <v>39869</v>
      </c>
      <c r="D13306" t="str">
        <f>HYPERLINK("https://zfin.org/ZDB-GENE-041010-48")</f>
        <v>https://zfin.org/ZDB-GENE-041010-48</v>
      </c>
      <c r="E13306" t="s">
        <v>39870</v>
      </c>
    </row>
    <row r="13307" spans="1:5" x14ac:dyDescent="0.2">
      <c r="A13307" t="s">
        <v>39871</v>
      </c>
      <c r="B13307" t="s">
        <v>39872</v>
      </c>
      <c r="C13307" t="s">
        <v>39872</v>
      </c>
      <c r="D13307" t="str">
        <f>HYPERLINK("https://zfin.org/ZDB-GENE-060616-217")</f>
        <v>https://zfin.org/ZDB-GENE-060616-217</v>
      </c>
      <c r="E13307" t="s">
        <v>39873</v>
      </c>
    </row>
    <row r="13308" spans="1:5" x14ac:dyDescent="0.2">
      <c r="A13308" t="s">
        <v>39874</v>
      </c>
      <c r="B13308" t="s">
        <v>39875</v>
      </c>
      <c r="C13308" t="s">
        <v>39875</v>
      </c>
      <c r="D13308" t="str">
        <f>HYPERLINK("https://zfin.org/ZDB-GENE-050310-4")</f>
        <v>https://zfin.org/ZDB-GENE-050310-4</v>
      </c>
      <c r="E13308" t="s">
        <v>39876</v>
      </c>
    </row>
    <row r="13309" spans="1:5" x14ac:dyDescent="0.2">
      <c r="A13309" t="s">
        <v>39877</v>
      </c>
      <c r="B13309" t="s">
        <v>39878</v>
      </c>
      <c r="C13309" t="s">
        <v>39878</v>
      </c>
      <c r="D13309" t="str">
        <f>HYPERLINK("https://zfin.org/ZDB-GENE-041010-48")</f>
        <v>https://zfin.org/ZDB-GENE-041010-48</v>
      </c>
      <c r="E13309" t="s">
        <v>39879</v>
      </c>
    </row>
    <row r="13310" spans="1:5" x14ac:dyDescent="0.2">
      <c r="A13310" t="s">
        <v>39880</v>
      </c>
      <c r="B13310" t="s">
        <v>39881</v>
      </c>
      <c r="C13310" t="s">
        <v>39881</v>
      </c>
      <c r="D13310" t="str">
        <f>HYPERLINK("https://zfin.org/ZDB-GENE-041210-153")</f>
        <v>https://zfin.org/ZDB-GENE-041210-153</v>
      </c>
      <c r="E13310" t="s">
        <v>39882</v>
      </c>
    </row>
    <row r="13311" spans="1:5" x14ac:dyDescent="0.2">
      <c r="A13311" t="s">
        <v>39883</v>
      </c>
      <c r="B13311" t="s">
        <v>39884</v>
      </c>
      <c r="C13311" t="s">
        <v>39884</v>
      </c>
      <c r="D13311" t="str">
        <f>HYPERLINK("https://zfin.org/ZDB-GENE-081104-178")</f>
        <v>https://zfin.org/ZDB-GENE-081104-178</v>
      </c>
      <c r="E13311" t="s">
        <v>39885</v>
      </c>
    </row>
    <row r="13312" spans="1:5" x14ac:dyDescent="0.2">
      <c r="A13312" t="s">
        <v>39886</v>
      </c>
      <c r="B13312" t="s">
        <v>39887</v>
      </c>
      <c r="C13312" t="s">
        <v>39887</v>
      </c>
      <c r="D13312" t="str">
        <f>HYPERLINK("https://zfin.org/ZDB-GENE-101013-2")</f>
        <v>https://zfin.org/ZDB-GENE-101013-2</v>
      </c>
      <c r="E13312" t="s">
        <v>39888</v>
      </c>
    </row>
    <row r="13313" spans="1:5" x14ac:dyDescent="0.2">
      <c r="A13313" t="s">
        <v>39889</v>
      </c>
      <c r="B13313" t="s">
        <v>39890</v>
      </c>
      <c r="C13313" t="s">
        <v>39890</v>
      </c>
      <c r="D13313" t="str">
        <f>HYPERLINK("https://zfin.org/ZDB-GENE-050419-23")</f>
        <v>https://zfin.org/ZDB-GENE-050419-23</v>
      </c>
      <c r="E13313" t="s">
        <v>39891</v>
      </c>
    </row>
    <row r="13314" spans="1:5" x14ac:dyDescent="0.2">
      <c r="A13314" t="s">
        <v>39892</v>
      </c>
      <c r="B13314" t="s">
        <v>39893</v>
      </c>
      <c r="C13314" t="s">
        <v>39893</v>
      </c>
      <c r="D13314" t="str">
        <f>HYPERLINK("https://zfin.org/ZDB-GENE-010606-1")</f>
        <v>https://zfin.org/ZDB-GENE-010606-1</v>
      </c>
      <c r="E13314" t="s">
        <v>39894</v>
      </c>
    </row>
    <row r="13315" spans="1:5" x14ac:dyDescent="0.2">
      <c r="A13315" t="s">
        <v>39895</v>
      </c>
      <c r="B13315" t="s">
        <v>39896</v>
      </c>
      <c r="C13315" t="s">
        <v>39896</v>
      </c>
      <c r="D13315" t="str">
        <f>HYPERLINK("https://zfin.org/ZDB-GENE-041210-312")</f>
        <v>https://zfin.org/ZDB-GENE-041210-312</v>
      </c>
      <c r="E13315" t="s">
        <v>39897</v>
      </c>
    </row>
    <row r="13316" spans="1:5" x14ac:dyDescent="0.2">
      <c r="A13316" t="s">
        <v>39898</v>
      </c>
      <c r="B13316" t="s">
        <v>39899</v>
      </c>
      <c r="C13316" t="s">
        <v>39899</v>
      </c>
      <c r="D13316" t="str">
        <f>HYPERLINK("https://zfin.org/ZDB-GENE-061013-767")</f>
        <v>https://zfin.org/ZDB-GENE-061013-767</v>
      </c>
      <c r="E13316" t="s">
        <v>39900</v>
      </c>
    </row>
    <row r="13317" spans="1:5" x14ac:dyDescent="0.2">
      <c r="A13317" t="s">
        <v>39901</v>
      </c>
      <c r="B13317" t="s">
        <v>39902</v>
      </c>
      <c r="C13317" t="s">
        <v>39902</v>
      </c>
      <c r="D13317" t="str">
        <f>HYPERLINK("https://zfin.org/ZDB-GENE-030131-2416")</f>
        <v>https://zfin.org/ZDB-GENE-030131-2416</v>
      </c>
      <c r="E13317" t="s">
        <v>39903</v>
      </c>
    </row>
    <row r="13318" spans="1:5" x14ac:dyDescent="0.2">
      <c r="A13318" t="s">
        <v>39904</v>
      </c>
      <c r="B13318" t="s">
        <v>39905</v>
      </c>
      <c r="C13318" t="s">
        <v>39905</v>
      </c>
      <c r="D13318" t="str">
        <f>HYPERLINK("https://zfin.org/ZDB-GENE-050417-8")</f>
        <v>https://zfin.org/ZDB-GENE-050417-8</v>
      </c>
      <c r="E13318" t="s">
        <v>39906</v>
      </c>
    </row>
    <row r="13319" spans="1:5" x14ac:dyDescent="0.2">
      <c r="A13319" t="s">
        <v>39907</v>
      </c>
      <c r="B13319" t="s">
        <v>39908</v>
      </c>
      <c r="C13319" t="s">
        <v>39908</v>
      </c>
      <c r="D13319" t="str">
        <f>HYPERLINK("https://zfin.org/ZDB-GENE-030131-2989")</f>
        <v>https://zfin.org/ZDB-GENE-030131-2989</v>
      </c>
      <c r="E13319" t="s">
        <v>39909</v>
      </c>
    </row>
    <row r="13320" spans="1:5" x14ac:dyDescent="0.2">
      <c r="A13320" t="s">
        <v>39910</v>
      </c>
      <c r="B13320" t="s">
        <v>39911</v>
      </c>
      <c r="C13320" t="s">
        <v>39911</v>
      </c>
      <c r="D13320" t="str">
        <f>HYPERLINK("https://zfin.org/ZDB-GENE-060810-127")</f>
        <v>https://zfin.org/ZDB-GENE-060810-127</v>
      </c>
      <c r="E13320" t="s">
        <v>39912</v>
      </c>
    </row>
    <row r="13321" spans="1:5" x14ac:dyDescent="0.2">
      <c r="A13321" t="s">
        <v>39913</v>
      </c>
      <c r="B13321" t="s">
        <v>39914</v>
      </c>
      <c r="C13321" t="s">
        <v>39914</v>
      </c>
      <c r="D13321" t="str">
        <f>HYPERLINK("https://zfin.org/ZDB-GENE-020419-34")</f>
        <v>https://zfin.org/ZDB-GENE-020419-34</v>
      </c>
      <c r="E13321" t="s">
        <v>39915</v>
      </c>
    </row>
    <row r="13322" spans="1:5" x14ac:dyDescent="0.2">
      <c r="A13322" t="s">
        <v>39916</v>
      </c>
      <c r="B13322" t="s">
        <v>39917</v>
      </c>
      <c r="C13322" t="s">
        <v>39917</v>
      </c>
      <c r="D13322" t="str">
        <f>HYPERLINK("https://zfin.org/ZDB-GENE-980526-397")</f>
        <v>https://zfin.org/ZDB-GENE-980526-397</v>
      </c>
      <c r="E13322" t="s">
        <v>39918</v>
      </c>
    </row>
    <row r="13323" spans="1:5" x14ac:dyDescent="0.2">
      <c r="A13323" t="s">
        <v>39919</v>
      </c>
      <c r="B13323" t="s">
        <v>39920</v>
      </c>
      <c r="C13323" t="s">
        <v>39920</v>
      </c>
      <c r="D13323" t="str">
        <f>HYPERLINK("https://zfin.org/ZDB-GENE-040426-1493")</f>
        <v>https://zfin.org/ZDB-GENE-040426-1493</v>
      </c>
      <c r="E13323" t="s">
        <v>39921</v>
      </c>
    </row>
    <row r="13324" spans="1:5" x14ac:dyDescent="0.2">
      <c r="A13324" t="s">
        <v>39922</v>
      </c>
      <c r="B13324" t="s">
        <v>39923</v>
      </c>
      <c r="C13324" t="s">
        <v>39923</v>
      </c>
      <c r="D13324" t="str">
        <f>HYPERLINK("https://zfin.org/ZDB-GENE-030131-5045")</f>
        <v>https://zfin.org/ZDB-GENE-030131-5045</v>
      </c>
      <c r="E13324" t="s">
        <v>39924</v>
      </c>
    </row>
    <row r="13325" spans="1:5" x14ac:dyDescent="0.2">
      <c r="A13325" t="s">
        <v>39925</v>
      </c>
      <c r="B13325" t="s">
        <v>39926</v>
      </c>
      <c r="C13325" t="s">
        <v>39926</v>
      </c>
      <c r="D13325" t="str">
        <f>HYPERLINK("https://zfin.org/ZDB-GENE-030131-8043")</f>
        <v>https://zfin.org/ZDB-GENE-030131-8043</v>
      </c>
      <c r="E13325" t="s">
        <v>39927</v>
      </c>
    </row>
    <row r="13326" spans="1:5" x14ac:dyDescent="0.2">
      <c r="A13326" t="s">
        <v>39928</v>
      </c>
      <c r="B13326" t="s">
        <v>39929</v>
      </c>
      <c r="C13326" t="s">
        <v>39929</v>
      </c>
      <c r="D13326" t="str">
        <f>HYPERLINK("https://zfin.org/ZDB-GENE-030131-9441")</f>
        <v>https://zfin.org/ZDB-GENE-030131-9441</v>
      </c>
      <c r="E13326" t="s">
        <v>39930</v>
      </c>
    </row>
    <row r="13327" spans="1:5" x14ac:dyDescent="0.2">
      <c r="A13327" t="s">
        <v>39931</v>
      </c>
      <c r="B13327" t="s">
        <v>39932</v>
      </c>
      <c r="C13327" t="s">
        <v>39932</v>
      </c>
      <c r="D13327" t="str">
        <f>HYPERLINK("https://zfin.org/ZDB-GENE-041210-319")</f>
        <v>https://zfin.org/ZDB-GENE-041210-319</v>
      </c>
      <c r="E13327" t="s">
        <v>39933</v>
      </c>
    </row>
    <row r="13328" spans="1:5" x14ac:dyDescent="0.2">
      <c r="A13328" t="s">
        <v>39934</v>
      </c>
      <c r="B13328" t="s">
        <v>39935</v>
      </c>
      <c r="C13328" t="s">
        <v>39935</v>
      </c>
      <c r="D13328" t="str">
        <f>HYPERLINK("https://zfin.org/ZDB-GENE-030131-1334")</f>
        <v>https://zfin.org/ZDB-GENE-030131-1334</v>
      </c>
      <c r="E13328" t="s">
        <v>39936</v>
      </c>
    </row>
    <row r="13329" spans="1:5" x14ac:dyDescent="0.2">
      <c r="A13329" t="s">
        <v>39937</v>
      </c>
      <c r="B13329" t="s">
        <v>39938</v>
      </c>
      <c r="C13329" t="s">
        <v>39938</v>
      </c>
      <c r="D13329" t="str">
        <f>HYPERLINK("https://zfin.org/ZDB-GENE-070717-1")</f>
        <v>https://zfin.org/ZDB-GENE-070717-1</v>
      </c>
      <c r="E13329" t="s">
        <v>39939</v>
      </c>
    </row>
    <row r="13330" spans="1:5" x14ac:dyDescent="0.2">
      <c r="A13330" t="s">
        <v>39940</v>
      </c>
      <c r="B13330" t="s">
        <v>39941</v>
      </c>
      <c r="C13330" t="s">
        <v>39941</v>
      </c>
      <c r="D13330" t="str">
        <f>HYPERLINK("https://zfin.org/ZDB-GENE-030131-542")</f>
        <v>https://zfin.org/ZDB-GENE-030131-542</v>
      </c>
      <c r="E13330" t="s">
        <v>39942</v>
      </c>
    </row>
    <row r="13331" spans="1:5" x14ac:dyDescent="0.2">
      <c r="A13331" t="s">
        <v>39943</v>
      </c>
      <c r="B13331" t="s">
        <v>39944</v>
      </c>
      <c r="C13331" t="s">
        <v>39944</v>
      </c>
      <c r="D13331" t="str">
        <f>HYPERLINK("https://zfin.org/ZDB-GENE-070705-251")</f>
        <v>https://zfin.org/ZDB-GENE-070705-251</v>
      </c>
      <c r="E13331" t="s">
        <v>39945</v>
      </c>
    </row>
    <row r="13332" spans="1:5" x14ac:dyDescent="0.2">
      <c r="A13332" t="s">
        <v>39946</v>
      </c>
      <c r="B13332" t="s">
        <v>39947</v>
      </c>
      <c r="C13332" t="s">
        <v>39947</v>
      </c>
      <c r="D13332" t="str">
        <f>HYPERLINK("https://zfin.org/ZDB-GENE-040801-257")</f>
        <v>https://zfin.org/ZDB-GENE-040801-257</v>
      </c>
      <c r="E13332" t="s">
        <v>39948</v>
      </c>
    </row>
    <row r="13333" spans="1:5" x14ac:dyDescent="0.2">
      <c r="A13333" t="s">
        <v>39949</v>
      </c>
      <c r="B13333" t="s">
        <v>39950</v>
      </c>
      <c r="C13333" t="s">
        <v>39950</v>
      </c>
      <c r="D13333" t="str">
        <f>HYPERLINK("https://zfin.org/ZDB-GENE-010822-2")</f>
        <v>https://zfin.org/ZDB-GENE-010822-2</v>
      </c>
      <c r="E13333" t="s">
        <v>39951</v>
      </c>
    </row>
    <row r="13334" spans="1:5" x14ac:dyDescent="0.2">
      <c r="A13334" t="s">
        <v>39952</v>
      </c>
      <c r="B13334" t="s">
        <v>39953</v>
      </c>
      <c r="C13334" t="s">
        <v>39953</v>
      </c>
      <c r="D13334" t="str">
        <f>HYPERLINK("https://zfin.org/ZDB-GENE-030131-1571")</f>
        <v>https://zfin.org/ZDB-GENE-030131-1571</v>
      </c>
      <c r="E13334" t="s">
        <v>39954</v>
      </c>
    </row>
    <row r="13335" spans="1:5" x14ac:dyDescent="0.2">
      <c r="A13335" t="s">
        <v>39955</v>
      </c>
      <c r="B13335" t="s">
        <v>39956</v>
      </c>
      <c r="C13335" t="s">
        <v>39956</v>
      </c>
      <c r="D13335" t="str">
        <f>HYPERLINK("https://zfin.org/ZDB-GENE-030131-8404")</f>
        <v>https://zfin.org/ZDB-GENE-030131-8404</v>
      </c>
      <c r="E13335" t="s">
        <v>39957</v>
      </c>
    </row>
    <row r="13336" spans="1:5" x14ac:dyDescent="0.2">
      <c r="A13336" t="s">
        <v>39958</v>
      </c>
      <c r="B13336" t="s">
        <v>39959</v>
      </c>
      <c r="C13336" t="s">
        <v>39959</v>
      </c>
      <c r="D13336" t="str">
        <f>HYPERLINK("https://zfin.org/ZDB-GENE-030131-4823")</f>
        <v>https://zfin.org/ZDB-GENE-030131-4823</v>
      </c>
      <c r="E13336" t="s">
        <v>39960</v>
      </c>
    </row>
    <row r="13337" spans="1:5" x14ac:dyDescent="0.2">
      <c r="A13337" t="s">
        <v>39961</v>
      </c>
      <c r="B13337" t="s">
        <v>39962</v>
      </c>
      <c r="C13337" t="s">
        <v>39962</v>
      </c>
      <c r="D13337" t="str">
        <f>HYPERLINK("https://zfin.org/ZDB-GENE-070912-490")</f>
        <v>https://zfin.org/ZDB-GENE-070912-490</v>
      </c>
      <c r="E13337" t="s">
        <v>39963</v>
      </c>
    </row>
    <row r="13338" spans="1:5" x14ac:dyDescent="0.2">
      <c r="A13338" t="s">
        <v>39964</v>
      </c>
      <c r="B13338" t="s">
        <v>39965</v>
      </c>
      <c r="C13338" t="s">
        <v>39965</v>
      </c>
      <c r="D13338" t="str">
        <f>HYPERLINK("https://zfin.org/ZDB-GENE-110411-165")</f>
        <v>https://zfin.org/ZDB-GENE-110411-165</v>
      </c>
      <c r="E13338" t="s">
        <v>39966</v>
      </c>
    </row>
    <row r="13339" spans="1:5" x14ac:dyDescent="0.2">
      <c r="A13339" t="s">
        <v>39967</v>
      </c>
      <c r="B13339" t="s">
        <v>39968</v>
      </c>
      <c r="C13339" t="s">
        <v>39968</v>
      </c>
      <c r="D13339" t="str">
        <f>HYPERLINK("https://zfin.org/ZDB-GENE-030815-1")</f>
        <v>https://zfin.org/ZDB-GENE-030815-1</v>
      </c>
      <c r="E13339" t="s">
        <v>39969</v>
      </c>
    </row>
    <row r="13340" spans="1:5" x14ac:dyDescent="0.2">
      <c r="A13340" t="s">
        <v>39970</v>
      </c>
      <c r="B13340" t="s">
        <v>39971</v>
      </c>
      <c r="C13340" t="s">
        <v>39971</v>
      </c>
      <c r="D13340" t="str">
        <f>HYPERLINK("https://zfin.org/ZDB-GENE-060810-50")</f>
        <v>https://zfin.org/ZDB-GENE-060810-50</v>
      </c>
      <c r="E13340" t="s">
        <v>39972</v>
      </c>
    </row>
    <row r="13341" spans="1:5" x14ac:dyDescent="0.2">
      <c r="A13341" t="s">
        <v>39973</v>
      </c>
      <c r="B13341" t="s">
        <v>39974</v>
      </c>
      <c r="C13341" t="s">
        <v>39974</v>
      </c>
      <c r="D13341" t="str">
        <f>HYPERLINK("https://zfin.org/ZDB-GENE-160113-94")</f>
        <v>https://zfin.org/ZDB-GENE-160113-94</v>
      </c>
      <c r="E13341" t="s">
        <v>39975</v>
      </c>
    </row>
    <row r="13342" spans="1:5" x14ac:dyDescent="0.2">
      <c r="A13342" t="s">
        <v>39976</v>
      </c>
      <c r="B13342" t="s">
        <v>39977</v>
      </c>
      <c r="C13342" t="s">
        <v>39977</v>
      </c>
      <c r="D13342" t="str">
        <f>HYPERLINK("https://zfin.org/ZDB-GENE-101021-4")</f>
        <v>https://zfin.org/ZDB-GENE-101021-4</v>
      </c>
      <c r="E13342" t="s">
        <v>39978</v>
      </c>
    </row>
    <row r="13343" spans="1:5" x14ac:dyDescent="0.2">
      <c r="A13343" t="s">
        <v>39979</v>
      </c>
      <c r="B13343" t="s">
        <v>39980</v>
      </c>
      <c r="C13343" t="s">
        <v>39980</v>
      </c>
      <c r="D13343" t="str">
        <f>HYPERLINK("https://zfin.org/ZDB-GENE-030616-66")</f>
        <v>https://zfin.org/ZDB-GENE-030616-66</v>
      </c>
      <c r="E13343" t="s">
        <v>39981</v>
      </c>
    </row>
    <row r="13344" spans="1:5" x14ac:dyDescent="0.2">
      <c r="A13344" t="s">
        <v>39982</v>
      </c>
      <c r="B13344" t="s">
        <v>39983</v>
      </c>
      <c r="C13344" t="s">
        <v>39983</v>
      </c>
      <c r="D13344" t="str">
        <f>HYPERLINK("https://zfin.org/ZDB-GENE-030131-6033")</f>
        <v>https://zfin.org/ZDB-GENE-030131-6033</v>
      </c>
      <c r="E13344" t="s">
        <v>39984</v>
      </c>
    </row>
    <row r="13345" spans="1:5" x14ac:dyDescent="0.2">
      <c r="A13345" t="s">
        <v>39985</v>
      </c>
      <c r="B13345" t="s">
        <v>39986</v>
      </c>
      <c r="C13345" t="s">
        <v>39986</v>
      </c>
      <c r="D13345" t="str">
        <f>HYPERLINK("https://zfin.org/ZDB-GENE-131121-25")</f>
        <v>https://zfin.org/ZDB-GENE-131121-25</v>
      </c>
      <c r="E13345" t="s">
        <v>39987</v>
      </c>
    </row>
    <row r="13346" spans="1:5" x14ac:dyDescent="0.2">
      <c r="A13346" t="s">
        <v>39988</v>
      </c>
      <c r="B13346" t="s">
        <v>39989</v>
      </c>
      <c r="C13346" t="s">
        <v>39989</v>
      </c>
      <c r="D13346" t="str">
        <f>HYPERLINK("https://zfin.org/ZDB-GENE-050522-354")</f>
        <v>https://zfin.org/ZDB-GENE-050522-354</v>
      </c>
      <c r="E13346" t="s">
        <v>39990</v>
      </c>
    </row>
    <row r="13347" spans="1:5" x14ac:dyDescent="0.2">
      <c r="A13347" t="s">
        <v>39991</v>
      </c>
      <c r="B13347" t="s">
        <v>39992</v>
      </c>
      <c r="C13347" t="s">
        <v>39992</v>
      </c>
      <c r="D13347" t="str">
        <f>HYPERLINK("https://zfin.org/ZDB-GENE-040426-2568")</f>
        <v>https://zfin.org/ZDB-GENE-040426-2568</v>
      </c>
      <c r="E13347" t="s">
        <v>39993</v>
      </c>
    </row>
    <row r="13348" spans="1:5" x14ac:dyDescent="0.2">
      <c r="A13348" t="s">
        <v>39994</v>
      </c>
      <c r="B13348" t="s">
        <v>39995</v>
      </c>
      <c r="C13348" t="s">
        <v>39995</v>
      </c>
      <c r="D13348" t="str">
        <f>HYPERLINK("https://zfin.org/ZDB-GENE-041210-218")</f>
        <v>https://zfin.org/ZDB-GENE-041210-218</v>
      </c>
      <c r="E13348" t="s">
        <v>39996</v>
      </c>
    </row>
    <row r="13349" spans="1:5" x14ac:dyDescent="0.2">
      <c r="A13349" t="s">
        <v>39997</v>
      </c>
      <c r="B13349" t="s">
        <v>39998</v>
      </c>
      <c r="C13349" t="s">
        <v>39998</v>
      </c>
      <c r="D13349" t="str">
        <f>HYPERLINK("https://zfin.org/ZDB-GENE-041014-256")</f>
        <v>https://zfin.org/ZDB-GENE-041014-256</v>
      </c>
      <c r="E13349" t="s">
        <v>39999</v>
      </c>
    </row>
    <row r="13350" spans="1:5" x14ac:dyDescent="0.2">
      <c r="A13350" t="s">
        <v>40000</v>
      </c>
      <c r="B13350" t="s">
        <v>40001</v>
      </c>
      <c r="C13350" t="s">
        <v>40001</v>
      </c>
      <c r="D13350" t="str">
        <f>HYPERLINK("https://zfin.org/ZDB-GENE-090313-409")</f>
        <v>https://zfin.org/ZDB-GENE-090313-409</v>
      </c>
      <c r="E13350" t="s">
        <v>40002</v>
      </c>
    </row>
    <row r="13351" spans="1:5" x14ac:dyDescent="0.2">
      <c r="A13351" t="s">
        <v>40003</v>
      </c>
      <c r="B13351" t="s">
        <v>40004</v>
      </c>
      <c r="C13351" t="s">
        <v>40004</v>
      </c>
      <c r="D13351" t="str">
        <f>HYPERLINK("https://zfin.org/ZDB-GENE-070424-117")</f>
        <v>https://zfin.org/ZDB-GENE-070424-117</v>
      </c>
      <c r="E13351" t="s">
        <v>40005</v>
      </c>
    </row>
    <row r="13352" spans="1:5" x14ac:dyDescent="0.2">
      <c r="A13352" t="s">
        <v>40006</v>
      </c>
      <c r="B13352" t="s">
        <v>40007</v>
      </c>
      <c r="C13352" t="s">
        <v>40007</v>
      </c>
      <c r="D13352" t="str">
        <f>HYPERLINK("https://zfin.org/ZDB-GENE-030131-8039")</f>
        <v>https://zfin.org/ZDB-GENE-030131-8039</v>
      </c>
      <c r="E13352" t="s">
        <v>40008</v>
      </c>
    </row>
    <row r="13353" spans="1:5" x14ac:dyDescent="0.2">
      <c r="A13353" t="s">
        <v>40009</v>
      </c>
      <c r="B13353" t="s">
        <v>40010</v>
      </c>
      <c r="C13353" t="s">
        <v>40010</v>
      </c>
      <c r="D13353" t="str">
        <f>HYPERLINK("https://zfin.org/ZDB-GENE-041014-257")</f>
        <v>https://zfin.org/ZDB-GENE-041014-257</v>
      </c>
      <c r="E13353" t="s">
        <v>40011</v>
      </c>
    </row>
    <row r="13354" spans="1:5" x14ac:dyDescent="0.2">
      <c r="A13354" t="s">
        <v>40012</v>
      </c>
      <c r="B13354" t="s">
        <v>40013</v>
      </c>
      <c r="C13354" t="s">
        <v>40013</v>
      </c>
      <c r="D13354" t="str">
        <f>HYPERLINK("https://zfin.org/ZDB-GENE-030131-1092")</f>
        <v>https://zfin.org/ZDB-GENE-030131-1092</v>
      </c>
      <c r="E13354" t="s">
        <v>40014</v>
      </c>
    </row>
    <row r="13355" spans="1:5" x14ac:dyDescent="0.2">
      <c r="A13355" t="s">
        <v>40015</v>
      </c>
      <c r="B13355" t="s">
        <v>40016</v>
      </c>
      <c r="C13355" t="s">
        <v>40016</v>
      </c>
      <c r="D13355" t="str">
        <f>HYPERLINK("https://zfin.org/ZDB-GENE-131125-20")</f>
        <v>https://zfin.org/ZDB-GENE-131125-20</v>
      </c>
      <c r="E13355" t="s">
        <v>40017</v>
      </c>
    </row>
    <row r="13356" spans="1:5" x14ac:dyDescent="0.2">
      <c r="A13356" t="s">
        <v>40018</v>
      </c>
      <c r="B13356" t="s">
        <v>40019</v>
      </c>
      <c r="C13356" t="s">
        <v>40019</v>
      </c>
      <c r="D13356" t="str">
        <f>HYPERLINK("https://zfin.org/ZDB-GENE-040426-2286")</f>
        <v>https://zfin.org/ZDB-GENE-040426-2286</v>
      </c>
      <c r="E13356" t="s">
        <v>40020</v>
      </c>
    </row>
    <row r="13357" spans="1:5" x14ac:dyDescent="0.2">
      <c r="A13357" t="s">
        <v>40021</v>
      </c>
      <c r="B13357" t="s">
        <v>40022</v>
      </c>
      <c r="C13357" t="s">
        <v>40022</v>
      </c>
      <c r="D13357" t="str">
        <f>HYPERLINK("https://zfin.org/ZDB-GENE-030616-609")</f>
        <v>https://zfin.org/ZDB-GENE-030616-609</v>
      </c>
      <c r="E13357" t="s">
        <v>40023</v>
      </c>
    </row>
    <row r="13358" spans="1:5" x14ac:dyDescent="0.2">
      <c r="A13358" t="s">
        <v>40024</v>
      </c>
      <c r="B13358" t="s">
        <v>40025</v>
      </c>
      <c r="C13358" t="s">
        <v>40025</v>
      </c>
      <c r="D13358" t="str">
        <f>HYPERLINK("https://zfin.org/ZDB-GENE-041114-108")</f>
        <v>https://zfin.org/ZDB-GENE-041114-108</v>
      </c>
      <c r="E13358" t="s">
        <v>40026</v>
      </c>
    </row>
    <row r="13359" spans="1:5" x14ac:dyDescent="0.2">
      <c r="A13359" t="s">
        <v>40027</v>
      </c>
      <c r="B13359" t="s">
        <v>40028</v>
      </c>
      <c r="C13359" t="s">
        <v>40028</v>
      </c>
      <c r="D13359" t="str">
        <f>HYPERLINK("https://zfin.org/ZDB-GENE-040426-2005")</f>
        <v>https://zfin.org/ZDB-GENE-040426-2005</v>
      </c>
      <c r="E13359" t="s">
        <v>40029</v>
      </c>
    </row>
    <row r="13360" spans="1:5" x14ac:dyDescent="0.2">
      <c r="A13360" t="s">
        <v>40030</v>
      </c>
      <c r="B13360" t="s">
        <v>40031</v>
      </c>
      <c r="C13360" t="s">
        <v>40031</v>
      </c>
      <c r="D13360" t="str">
        <f>HYPERLINK("https://zfin.org/ZDB-GENE-990415-10")</f>
        <v>https://zfin.org/ZDB-GENE-990415-10</v>
      </c>
      <c r="E13360" t="s">
        <v>40032</v>
      </c>
    </row>
    <row r="13361" spans="1:5" x14ac:dyDescent="0.2">
      <c r="A13361" t="s">
        <v>40033</v>
      </c>
      <c r="B13361" t="s">
        <v>40034</v>
      </c>
      <c r="C13361" t="s">
        <v>40034</v>
      </c>
      <c r="D13361" t="str">
        <f>HYPERLINK("https://zfin.org/ZDB-GENE-040426-2605")</f>
        <v>https://zfin.org/ZDB-GENE-040426-2605</v>
      </c>
      <c r="E13361" t="s">
        <v>40035</v>
      </c>
    </row>
    <row r="13362" spans="1:5" x14ac:dyDescent="0.2">
      <c r="A13362" t="s">
        <v>40036</v>
      </c>
      <c r="B13362" t="s">
        <v>40037</v>
      </c>
      <c r="C13362" t="s">
        <v>40037</v>
      </c>
      <c r="D13362" t="str">
        <f>HYPERLINK("https://zfin.org/ZDB-GENE-040426-1148")</f>
        <v>https://zfin.org/ZDB-GENE-040426-1148</v>
      </c>
      <c r="E13362" t="s">
        <v>40038</v>
      </c>
    </row>
    <row r="13363" spans="1:5" x14ac:dyDescent="0.2">
      <c r="A13363" t="s">
        <v>40039</v>
      </c>
      <c r="B13363" t="s">
        <v>40040</v>
      </c>
      <c r="C13363" t="s">
        <v>40040</v>
      </c>
      <c r="D13363" t="str">
        <f>HYPERLINK("https://zfin.org/ZDB-GENE-051030-42")</f>
        <v>https://zfin.org/ZDB-GENE-051030-42</v>
      </c>
      <c r="E13363" t="s">
        <v>40041</v>
      </c>
    </row>
    <row r="13364" spans="1:5" x14ac:dyDescent="0.2">
      <c r="A13364" t="s">
        <v>40042</v>
      </c>
      <c r="B13364" t="s">
        <v>40043</v>
      </c>
      <c r="C13364" t="s">
        <v>40043</v>
      </c>
      <c r="D13364" t="str">
        <f>HYPERLINK("https://zfin.org/ZDB-GENE-040426-1798")</f>
        <v>https://zfin.org/ZDB-GENE-040426-1798</v>
      </c>
      <c r="E13364" t="s">
        <v>40044</v>
      </c>
    </row>
    <row r="13365" spans="1:5" x14ac:dyDescent="0.2">
      <c r="A13365" t="s">
        <v>40045</v>
      </c>
      <c r="B13365" t="s">
        <v>40046</v>
      </c>
      <c r="C13365" t="s">
        <v>40046</v>
      </c>
      <c r="D13365" t="str">
        <f>HYPERLINK("https://zfin.org/ZDB-GENE-080204-116")</f>
        <v>https://zfin.org/ZDB-GENE-080204-116</v>
      </c>
      <c r="E13365" t="s">
        <v>40047</v>
      </c>
    </row>
    <row r="13366" spans="1:5" x14ac:dyDescent="0.2">
      <c r="A13366" t="s">
        <v>40048</v>
      </c>
      <c r="B13366" t="s">
        <v>40049</v>
      </c>
      <c r="C13366" t="s">
        <v>40049</v>
      </c>
      <c r="D13366" t="str">
        <f>HYPERLINK("https://zfin.org/ZDB-GENE-090806-2")</f>
        <v>https://zfin.org/ZDB-GENE-090806-2</v>
      </c>
      <c r="E13366" t="s">
        <v>40050</v>
      </c>
    </row>
    <row r="13367" spans="1:5" x14ac:dyDescent="0.2">
      <c r="A13367" t="s">
        <v>40051</v>
      </c>
      <c r="B13367" t="s">
        <v>40052</v>
      </c>
      <c r="C13367" t="s">
        <v>40052</v>
      </c>
      <c r="D13367" t="str">
        <f>HYPERLINK("https://zfin.org/ZDB-GENE-050327-97")</f>
        <v>https://zfin.org/ZDB-GENE-050327-97</v>
      </c>
      <c r="E13367" t="s">
        <v>40053</v>
      </c>
    </row>
    <row r="13368" spans="1:5" x14ac:dyDescent="0.2">
      <c r="A13368" t="s">
        <v>40054</v>
      </c>
      <c r="B13368" t="s">
        <v>40055</v>
      </c>
      <c r="C13368" t="s">
        <v>40055</v>
      </c>
      <c r="D13368" t="str">
        <f>HYPERLINK("https://zfin.org/ZDB-GENE-060929-492")</f>
        <v>https://zfin.org/ZDB-GENE-060929-492</v>
      </c>
      <c r="E13368" t="s">
        <v>40056</v>
      </c>
    </row>
    <row r="13369" spans="1:5" x14ac:dyDescent="0.2">
      <c r="A13369" t="s">
        <v>40057</v>
      </c>
      <c r="B13369" t="s">
        <v>40058</v>
      </c>
      <c r="C13369" t="s">
        <v>40058</v>
      </c>
      <c r="D13369" t="str">
        <f>HYPERLINK("https://zfin.org/ZDB-GENE-980526-39")</f>
        <v>https://zfin.org/ZDB-GENE-980526-39</v>
      </c>
      <c r="E13369" t="s">
        <v>40059</v>
      </c>
    </row>
    <row r="13370" spans="1:5" x14ac:dyDescent="0.2">
      <c r="A13370" t="s">
        <v>40060</v>
      </c>
      <c r="B13370" t="s">
        <v>40061</v>
      </c>
      <c r="C13370" t="s">
        <v>40061</v>
      </c>
      <c r="D13370" t="str">
        <f>HYPERLINK("https://zfin.org/ZDB-GENE-050417-353")</f>
        <v>https://zfin.org/ZDB-GENE-050417-353</v>
      </c>
      <c r="E13370" t="s">
        <v>40062</v>
      </c>
    </row>
    <row r="13371" spans="1:5" x14ac:dyDescent="0.2">
      <c r="A13371" t="s">
        <v>40063</v>
      </c>
      <c r="B13371" t="s">
        <v>40064</v>
      </c>
      <c r="C13371" t="s">
        <v>40064</v>
      </c>
      <c r="D13371" t="str">
        <f>HYPERLINK("https://zfin.org/ZDB-GENE-141216-200")</f>
        <v>https://zfin.org/ZDB-GENE-141216-200</v>
      </c>
      <c r="E13371" t="s">
        <v>40065</v>
      </c>
    </row>
    <row r="13372" spans="1:5" x14ac:dyDescent="0.2">
      <c r="A13372" t="s">
        <v>40066</v>
      </c>
      <c r="B13372" t="s">
        <v>40067</v>
      </c>
      <c r="C13372" t="s">
        <v>40067</v>
      </c>
      <c r="D13372" t="str">
        <f>HYPERLINK("https://zfin.org/ZDB-GENE-081104-135")</f>
        <v>https://zfin.org/ZDB-GENE-081104-135</v>
      </c>
      <c r="E13372" t="s">
        <v>40068</v>
      </c>
    </row>
    <row r="13373" spans="1:5" x14ac:dyDescent="0.2">
      <c r="A13373" t="s">
        <v>40069</v>
      </c>
      <c r="B13373" t="s">
        <v>40070</v>
      </c>
      <c r="C13373" t="s">
        <v>40070</v>
      </c>
      <c r="D13373" t="str">
        <f>HYPERLINK("https://zfin.org/ZDB-GENE-050506-79")</f>
        <v>https://zfin.org/ZDB-GENE-050506-79</v>
      </c>
      <c r="E13373" t="s">
        <v>40071</v>
      </c>
    </row>
    <row r="13374" spans="1:5" x14ac:dyDescent="0.2">
      <c r="A13374" t="s">
        <v>40072</v>
      </c>
      <c r="B13374" t="s">
        <v>40073</v>
      </c>
      <c r="C13374" t="s">
        <v>40073</v>
      </c>
      <c r="D13374" t="str">
        <f>HYPERLINK("https://zfin.org/ZDB-GENE-141215-48")</f>
        <v>https://zfin.org/ZDB-GENE-141215-48</v>
      </c>
      <c r="E13374" t="s">
        <v>40074</v>
      </c>
    </row>
    <row r="13375" spans="1:5" x14ac:dyDescent="0.2">
      <c r="A13375" t="s">
        <v>40075</v>
      </c>
      <c r="B13375" t="s">
        <v>40076</v>
      </c>
      <c r="C13375" t="s">
        <v>40076</v>
      </c>
      <c r="D13375" t="str">
        <f>HYPERLINK("https://zfin.org/ZDB-GENE-040718-252")</f>
        <v>https://zfin.org/ZDB-GENE-040718-252</v>
      </c>
      <c r="E13375" t="s">
        <v>40077</v>
      </c>
    </row>
    <row r="13376" spans="1:5" x14ac:dyDescent="0.2">
      <c r="A13376" t="s">
        <v>40078</v>
      </c>
      <c r="B13376" t="s">
        <v>40079</v>
      </c>
      <c r="C13376" t="s">
        <v>40079</v>
      </c>
      <c r="D13376" t="str">
        <f>HYPERLINK("https://zfin.org/ZDB-GENE-030131-555")</f>
        <v>https://zfin.org/ZDB-GENE-030131-555</v>
      </c>
      <c r="E13376" t="s">
        <v>40080</v>
      </c>
    </row>
    <row r="13377" spans="1:5" x14ac:dyDescent="0.2">
      <c r="A13377" t="s">
        <v>40081</v>
      </c>
      <c r="B13377" t="s">
        <v>40082</v>
      </c>
      <c r="C13377" t="s">
        <v>40082</v>
      </c>
      <c r="D13377" t="str">
        <f>HYPERLINK("https://zfin.org/ZDB-GENE-060503-462")</f>
        <v>https://zfin.org/ZDB-GENE-060503-462</v>
      </c>
      <c r="E13377" t="s">
        <v>40083</v>
      </c>
    </row>
    <row r="13378" spans="1:5" x14ac:dyDescent="0.2">
      <c r="A13378" t="s">
        <v>40084</v>
      </c>
      <c r="B13378" t="s">
        <v>40085</v>
      </c>
      <c r="C13378" t="s">
        <v>40085</v>
      </c>
      <c r="D13378" t="str">
        <f>HYPERLINK("https://zfin.org/ZDB-GENE-000201-9")</f>
        <v>https://zfin.org/ZDB-GENE-000201-9</v>
      </c>
      <c r="E13378" t="s">
        <v>40086</v>
      </c>
    </row>
    <row r="13379" spans="1:5" x14ac:dyDescent="0.2">
      <c r="A13379" t="s">
        <v>40087</v>
      </c>
      <c r="B13379" t="s">
        <v>40088</v>
      </c>
      <c r="C13379" t="s">
        <v>40088</v>
      </c>
      <c r="D13379" t="str">
        <f>HYPERLINK("https://zfin.org/ZDB-GENE-030131-3286")</f>
        <v>https://zfin.org/ZDB-GENE-030131-3286</v>
      </c>
      <c r="E13379" t="s">
        <v>40089</v>
      </c>
    </row>
    <row r="13380" spans="1:5" x14ac:dyDescent="0.2">
      <c r="A13380" t="s">
        <v>40090</v>
      </c>
      <c r="B13380" t="s">
        <v>40091</v>
      </c>
      <c r="C13380" t="s">
        <v>40091</v>
      </c>
      <c r="D13380" t="str">
        <f>HYPERLINK("https://zfin.org/ZDB-GENE-050320-88")</f>
        <v>https://zfin.org/ZDB-GENE-050320-88</v>
      </c>
      <c r="E13380" t="s">
        <v>40092</v>
      </c>
    </row>
    <row r="13381" spans="1:5" x14ac:dyDescent="0.2">
      <c r="A13381" t="s">
        <v>40093</v>
      </c>
      <c r="B13381" t="s">
        <v>40094</v>
      </c>
      <c r="C13381" t="s">
        <v>40094</v>
      </c>
      <c r="D13381" t="str">
        <f>HYPERLINK("https://zfin.org/ZDB-GENE-040718-9")</f>
        <v>https://zfin.org/ZDB-GENE-040718-9</v>
      </c>
      <c r="E13381" t="s">
        <v>40095</v>
      </c>
    </row>
    <row r="13382" spans="1:5" x14ac:dyDescent="0.2">
      <c r="A13382" t="s">
        <v>40096</v>
      </c>
      <c r="B13382" t="s">
        <v>40097</v>
      </c>
      <c r="C13382" t="s">
        <v>40097</v>
      </c>
      <c r="D13382" t="str">
        <f>HYPERLINK("https://zfin.org/ZDB-GENE-081031-7")</f>
        <v>https://zfin.org/ZDB-GENE-081031-7</v>
      </c>
      <c r="E13382" t="s">
        <v>40098</v>
      </c>
    </row>
    <row r="13383" spans="1:5" x14ac:dyDescent="0.2">
      <c r="A13383" t="s">
        <v>40099</v>
      </c>
      <c r="B13383" t="s">
        <v>40100</v>
      </c>
      <c r="C13383" t="s">
        <v>40100</v>
      </c>
      <c r="D13383" t="str">
        <f>HYPERLINK("https://zfin.org/ZDB-GENE-030131-4581")</f>
        <v>https://zfin.org/ZDB-GENE-030131-4581</v>
      </c>
      <c r="E13383" t="s">
        <v>40101</v>
      </c>
    </row>
    <row r="13384" spans="1:5" x14ac:dyDescent="0.2">
      <c r="A13384" t="s">
        <v>40102</v>
      </c>
      <c r="B13384" t="s">
        <v>40103</v>
      </c>
      <c r="C13384" t="s">
        <v>40103</v>
      </c>
      <c r="D13384" t="str">
        <f>HYPERLINK("https://zfin.org/ZDB-GENE-070404-1")</f>
        <v>https://zfin.org/ZDB-GENE-070404-1</v>
      </c>
      <c r="E13384" t="s">
        <v>40104</v>
      </c>
    </row>
    <row r="13385" spans="1:5" x14ac:dyDescent="0.2">
      <c r="A13385" t="s">
        <v>40105</v>
      </c>
      <c r="B13385" t="s">
        <v>40106</v>
      </c>
      <c r="C13385" t="s">
        <v>40106</v>
      </c>
      <c r="D13385" t="str">
        <f>HYPERLINK("https://zfin.org/ZDB-GENE-030131-9826")</f>
        <v>https://zfin.org/ZDB-GENE-030131-9826</v>
      </c>
      <c r="E13385" t="s">
        <v>40107</v>
      </c>
    </row>
    <row r="13386" spans="1:5" x14ac:dyDescent="0.2">
      <c r="A13386" t="s">
        <v>40108</v>
      </c>
      <c r="B13386" t="s">
        <v>40109</v>
      </c>
      <c r="C13386" t="s">
        <v>40109</v>
      </c>
      <c r="D13386" t="str">
        <f>HYPERLINK("https://zfin.org/ZDB-GENE-041114-3")</f>
        <v>https://zfin.org/ZDB-GENE-041114-3</v>
      </c>
      <c r="E13386" t="s">
        <v>40110</v>
      </c>
    </row>
    <row r="13387" spans="1:5" x14ac:dyDescent="0.2">
      <c r="A13387" t="s">
        <v>40111</v>
      </c>
      <c r="B13387" t="s">
        <v>40112</v>
      </c>
      <c r="C13387" t="s">
        <v>40112</v>
      </c>
      <c r="D13387" t="str">
        <f>HYPERLINK("https://zfin.org/ZDB-GENE-031118-2")</f>
        <v>https://zfin.org/ZDB-GENE-031118-2</v>
      </c>
      <c r="E13387" t="s">
        <v>40113</v>
      </c>
    </row>
    <row r="13388" spans="1:5" x14ac:dyDescent="0.2">
      <c r="A13388" t="s">
        <v>40114</v>
      </c>
      <c r="B13388" t="s">
        <v>40115</v>
      </c>
      <c r="C13388" t="s">
        <v>40115</v>
      </c>
      <c r="D13388" t="str">
        <f>HYPERLINK("https://zfin.org/ZDB-GENE-040819-1")</f>
        <v>https://zfin.org/ZDB-GENE-040819-1</v>
      </c>
      <c r="E13388" t="s">
        <v>40116</v>
      </c>
    </row>
    <row r="13389" spans="1:5" x14ac:dyDescent="0.2">
      <c r="A13389" t="s">
        <v>40117</v>
      </c>
      <c r="B13389" t="s">
        <v>40118</v>
      </c>
      <c r="C13389" t="s">
        <v>40118</v>
      </c>
      <c r="D13389" t="str">
        <f>HYPERLINK("https://zfin.org/ZDB-GENE-040426-1226")</f>
        <v>https://zfin.org/ZDB-GENE-040426-1226</v>
      </c>
      <c r="E13389" t="s">
        <v>40119</v>
      </c>
    </row>
    <row r="13390" spans="1:5" x14ac:dyDescent="0.2">
      <c r="A13390" t="s">
        <v>40120</v>
      </c>
      <c r="B13390" t="s">
        <v>40121</v>
      </c>
      <c r="C13390" t="s">
        <v>40121</v>
      </c>
      <c r="D13390" t="str">
        <f>HYPERLINK("https://zfin.org/ZDB-GENE-041220-1")</f>
        <v>https://zfin.org/ZDB-GENE-041220-1</v>
      </c>
      <c r="E13390" t="s">
        <v>40122</v>
      </c>
    </row>
    <row r="13391" spans="1:5" x14ac:dyDescent="0.2">
      <c r="A13391" t="s">
        <v>40123</v>
      </c>
      <c r="B13391" t="s">
        <v>40124</v>
      </c>
      <c r="C13391" t="s">
        <v>40124</v>
      </c>
      <c r="D13391" t="str">
        <f>HYPERLINK("https://zfin.org/ZDB-GENE-060503-358")</f>
        <v>https://zfin.org/ZDB-GENE-060503-358</v>
      </c>
      <c r="E13391" t="s">
        <v>40125</v>
      </c>
    </row>
    <row r="13392" spans="1:5" x14ac:dyDescent="0.2">
      <c r="A13392" t="s">
        <v>40126</v>
      </c>
      <c r="B13392" t="s">
        <v>40127</v>
      </c>
      <c r="C13392" t="s">
        <v>40127</v>
      </c>
      <c r="D13392" t="str">
        <f>HYPERLINK("https://zfin.org/ZDB-GENE-081031-18")</f>
        <v>https://zfin.org/ZDB-GENE-081031-18</v>
      </c>
      <c r="E13392" t="s">
        <v>40128</v>
      </c>
    </row>
    <row r="13393" spans="1:5" x14ac:dyDescent="0.2">
      <c r="A13393" t="s">
        <v>40129</v>
      </c>
      <c r="B13393" t="s">
        <v>40130</v>
      </c>
      <c r="C13393" t="s">
        <v>40130</v>
      </c>
      <c r="D13393" t="str">
        <f>HYPERLINK("https://zfin.org/ZDB-GENE-081028-37")</f>
        <v>https://zfin.org/ZDB-GENE-081028-37</v>
      </c>
      <c r="E13393" t="s">
        <v>40131</v>
      </c>
    </row>
    <row r="13394" spans="1:5" x14ac:dyDescent="0.2">
      <c r="A13394" t="s">
        <v>40132</v>
      </c>
      <c r="B13394" t="s">
        <v>40133</v>
      </c>
      <c r="C13394" t="s">
        <v>40133</v>
      </c>
      <c r="D13394" t="str">
        <f>HYPERLINK("https://zfin.org/ZDB-GENE-980526-72")</f>
        <v>https://zfin.org/ZDB-GENE-980526-72</v>
      </c>
      <c r="E13394" t="s">
        <v>40134</v>
      </c>
    </row>
    <row r="13395" spans="1:5" x14ac:dyDescent="0.2">
      <c r="A13395" t="s">
        <v>40135</v>
      </c>
      <c r="B13395" t="s">
        <v>40136</v>
      </c>
      <c r="C13395" t="s">
        <v>40136</v>
      </c>
      <c r="D13395" t="str">
        <f>HYPERLINK("https://zfin.org/ZDB-GENE-080917-21")</f>
        <v>https://zfin.org/ZDB-GENE-080917-21</v>
      </c>
      <c r="E13395" t="s">
        <v>40137</v>
      </c>
    </row>
    <row r="13396" spans="1:5" x14ac:dyDescent="0.2">
      <c r="A13396" t="s">
        <v>40138</v>
      </c>
      <c r="B13396" t="s">
        <v>40139</v>
      </c>
      <c r="C13396" t="s">
        <v>40139</v>
      </c>
      <c r="D13396" t="str">
        <f>HYPERLINK("https://zfin.org/ZDB-GENE-040426-1587")</f>
        <v>https://zfin.org/ZDB-GENE-040426-1587</v>
      </c>
      <c r="E13396" t="s">
        <v>40140</v>
      </c>
    </row>
    <row r="13397" spans="1:5" x14ac:dyDescent="0.2">
      <c r="A13397" t="s">
        <v>40141</v>
      </c>
      <c r="B13397" t="s">
        <v>40142</v>
      </c>
      <c r="C13397" t="s">
        <v>40142</v>
      </c>
      <c r="D13397" t="str">
        <f>HYPERLINK("https://zfin.org/ZDB-GENE-130201-3")</f>
        <v>https://zfin.org/ZDB-GENE-130201-3</v>
      </c>
      <c r="E13397" t="s">
        <v>40143</v>
      </c>
    </row>
    <row r="13398" spans="1:5" x14ac:dyDescent="0.2">
      <c r="A13398" t="s">
        <v>40144</v>
      </c>
      <c r="B13398" t="s">
        <v>40145</v>
      </c>
      <c r="C13398" t="s">
        <v>40145</v>
      </c>
      <c r="D13398" t="str">
        <f>HYPERLINK("https://zfin.org/ZDB-GENE-060810-57")</f>
        <v>https://zfin.org/ZDB-GENE-060810-57</v>
      </c>
      <c r="E13398" t="s">
        <v>40146</v>
      </c>
    </row>
    <row r="13399" spans="1:5" x14ac:dyDescent="0.2">
      <c r="A13399" t="s">
        <v>40147</v>
      </c>
      <c r="B13399" t="s">
        <v>40148</v>
      </c>
      <c r="C13399" t="s">
        <v>40148</v>
      </c>
      <c r="D13399" t="str">
        <f>HYPERLINK("https://zfin.org/ZDB-GENE-040704-11")</f>
        <v>https://zfin.org/ZDB-GENE-040704-11</v>
      </c>
      <c r="E13399" t="s">
        <v>40149</v>
      </c>
    </row>
    <row r="13400" spans="1:5" x14ac:dyDescent="0.2">
      <c r="A13400" t="s">
        <v>40150</v>
      </c>
      <c r="B13400" t="s">
        <v>40151</v>
      </c>
      <c r="C13400" t="s">
        <v>40151</v>
      </c>
      <c r="D13400" t="str">
        <f>HYPERLINK("https://zfin.org/ZDB-GENE-030131-8942")</f>
        <v>https://zfin.org/ZDB-GENE-030131-8942</v>
      </c>
      <c r="E13400" t="s">
        <v>40152</v>
      </c>
    </row>
    <row r="13401" spans="1:5" x14ac:dyDescent="0.2">
      <c r="A13401" t="s">
        <v>40153</v>
      </c>
      <c r="B13401" t="s">
        <v>40154</v>
      </c>
      <c r="C13401" t="s">
        <v>40154</v>
      </c>
      <c r="D13401" t="str">
        <f>HYPERLINK("https://zfin.org/ZDB-GENE-040426-1617")</f>
        <v>https://zfin.org/ZDB-GENE-040426-1617</v>
      </c>
      <c r="E13401" t="s">
        <v>40155</v>
      </c>
    </row>
    <row r="13402" spans="1:5" x14ac:dyDescent="0.2">
      <c r="A13402" t="s">
        <v>40156</v>
      </c>
      <c r="B13402" t="s">
        <v>40157</v>
      </c>
      <c r="C13402" t="s">
        <v>40157</v>
      </c>
      <c r="D13402" t="str">
        <f>HYPERLINK("https://zfin.org/ZDB-GENE-090506-9")</f>
        <v>https://zfin.org/ZDB-GENE-090506-9</v>
      </c>
      <c r="E13402" t="s">
        <v>40158</v>
      </c>
    </row>
    <row r="13403" spans="1:5" x14ac:dyDescent="0.2">
      <c r="A13403" t="s">
        <v>40159</v>
      </c>
      <c r="B13403" t="s">
        <v>40160</v>
      </c>
      <c r="C13403" t="s">
        <v>40160</v>
      </c>
      <c r="D13403" t="str">
        <f>HYPERLINK("https://zfin.org/ZDB-GENE-040628-1")</f>
        <v>https://zfin.org/ZDB-GENE-040628-1</v>
      </c>
      <c r="E13403" t="s">
        <v>40161</v>
      </c>
    </row>
    <row r="13404" spans="1:5" x14ac:dyDescent="0.2">
      <c r="A13404" t="s">
        <v>40162</v>
      </c>
      <c r="B13404" t="s">
        <v>40163</v>
      </c>
      <c r="C13404" t="s">
        <v>40163</v>
      </c>
      <c r="D13404" t="str">
        <f>HYPERLINK("https://zfin.org/ZDB-GENE-030131-4915")</f>
        <v>https://zfin.org/ZDB-GENE-030131-4915</v>
      </c>
      <c r="E13404" t="s">
        <v>40164</v>
      </c>
    </row>
    <row r="13405" spans="1:5" x14ac:dyDescent="0.2">
      <c r="A13405" t="s">
        <v>40165</v>
      </c>
      <c r="B13405" t="s">
        <v>40166</v>
      </c>
      <c r="C13405" t="s">
        <v>40166</v>
      </c>
      <c r="D13405" t="str">
        <f>HYPERLINK("https://zfin.org/ZDB-GENE-030116-1")</f>
        <v>https://zfin.org/ZDB-GENE-030116-1</v>
      </c>
      <c r="E13405" t="s">
        <v>40167</v>
      </c>
    </row>
    <row r="13406" spans="1:5" x14ac:dyDescent="0.2">
      <c r="A13406" t="s">
        <v>40168</v>
      </c>
      <c r="B13406" t="s">
        <v>40169</v>
      </c>
      <c r="C13406" t="s">
        <v>40169</v>
      </c>
      <c r="D13406" t="str">
        <f>HYPERLINK("https://zfin.org/ZDB-GENE-040426-1758")</f>
        <v>https://zfin.org/ZDB-GENE-040426-1758</v>
      </c>
      <c r="E13406" t="s">
        <v>40170</v>
      </c>
    </row>
    <row r="13407" spans="1:5" x14ac:dyDescent="0.2">
      <c r="A13407" t="s">
        <v>40171</v>
      </c>
      <c r="B13407" t="s">
        <v>40172</v>
      </c>
      <c r="C13407" t="s">
        <v>40172</v>
      </c>
      <c r="D13407" t="str">
        <f>HYPERLINK("https://zfin.org/ZDB-GENE-030131-9570")</f>
        <v>https://zfin.org/ZDB-GENE-030131-9570</v>
      </c>
      <c r="E13407" t="s">
        <v>40173</v>
      </c>
    </row>
    <row r="13408" spans="1:5" x14ac:dyDescent="0.2">
      <c r="A13408" t="s">
        <v>40174</v>
      </c>
      <c r="B13408" t="s">
        <v>40175</v>
      </c>
      <c r="C13408" t="s">
        <v>40175</v>
      </c>
      <c r="D13408" t="str">
        <f>HYPERLINK("https://zfin.org/ZDB-GENE-031222-4")</f>
        <v>https://zfin.org/ZDB-GENE-031222-4</v>
      </c>
      <c r="E13408" t="s">
        <v>40176</v>
      </c>
    </row>
    <row r="13409" spans="1:5" x14ac:dyDescent="0.2">
      <c r="A13409" t="s">
        <v>40177</v>
      </c>
      <c r="B13409" t="s">
        <v>40175</v>
      </c>
      <c r="C13409" t="s">
        <v>40178</v>
      </c>
      <c r="D13409" t="str">
        <f>HYPERLINK("https://zfin.org/")</f>
        <v>https://zfin.org/</v>
      </c>
    </row>
    <row r="13410" spans="1:5" x14ac:dyDescent="0.2">
      <c r="A13410" t="s">
        <v>40179</v>
      </c>
      <c r="B13410" t="s">
        <v>40180</v>
      </c>
      <c r="C13410" t="s">
        <v>40180</v>
      </c>
      <c r="D13410" t="str">
        <f>HYPERLINK("https://zfin.org/ZDB-GENE-040801-160")</f>
        <v>https://zfin.org/ZDB-GENE-040801-160</v>
      </c>
      <c r="E13410" t="s">
        <v>40181</v>
      </c>
    </row>
    <row r="13411" spans="1:5" x14ac:dyDescent="0.2">
      <c r="A13411" t="s">
        <v>40182</v>
      </c>
      <c r="B13411" t="s">
        <v>40183</v>
      </c>
      <c r="C13411" t="s">
        <v>40183</v>
      </c>
      <c r="D13411" t="str">
        <f>HYPERLINK("https://zfin.org/ZDB-GENE-060929-556")</f>
        <v>https://zfin.org/ZDB-GENE-060929-556</v>
      </c>
      <c r="E13411" t="s">
        <v>40184</v>
      </c>
    </row>
    <row r="13412" spans="1:5" x14ac:dyDescent="0.2">
      <c r="A13412" t="s">
        <v>40185</v>
      </c>
      <c r="B13412" t="s">
        <v>40186</v>
      </c>
      <c r="C13412" t="s">
        <v>40186</v>
      </c>
      <c r="D13412" t="str">
        <f>HYPERLINK("https://zfin.org/ZDB-GENE-100922-243")</f>
        <v>https://zfin.org/ZDB-GENE-100922-243</v>
      </c>
      <c r="E13412" t="s">
        <v>40187</v>
      </c>
    </row>
    <row r="13413" spans="1:5" x14ac:dyDescent="0.2">
      <c r="A13413" t="s">
        <v>40188</v>
      </c>
      <c r="B13413" t="s">
        <v>40186</v>
      </c>
      <c r="C13413" t="s">
        <v>40189</v>
      </c>
      <c r="D13413" t="str">
        <f>HYPERLINK("https://zfin.org/ZDB-GENE-100922-243")</f>
        <v>https://zfin.org/ZDB-GENE-100922-243</v>
      </c>
      <c r="E13413" t="s">
        <v>40187</v>
      </c>
    </row>
    <row r="13414" spans="1:5" x14ac:dyDescent="0.2">
      <c r="A13414" t="s">
        <v>40190</v>
      </c>
      <c r="B13414" t="s">
        <v>40191</v>
      </c>
      <c r="C13414" t="s">
        <v>40191</v>
      </c>
      <c r="D13414" t="str">
        <f>HYPERLINK("https://zfin.org/ZDB-GENE-121214-332")</f>
        <v>https://zfin.org/ZDB-GENE-121214-332</v>
      </c>
      <c r="E13414" t="s">
        <v>40192</v>
      </c>
    </row>
    <row r="13415" spans="1:5" x14ac:dyDescent="0.2">
      <c r="A13415" t="s">
        <v>40193</v>
      </c>
      <c r="B13415" t="s">
        <v>40194</v>
      </c>
      <c r="C13415" t="s">
        <v>40194</v>
      </c>
      <c r="D13415" t="str">
        <f>HYPERLINK("https://zfin.org/ZDB-GENE-070705-332")</f>
        <v>https://zfin.org/ZDB-GENE-070705-332</v>
      </c>
      <c r="E13415" t="s">
        <v>40195</v>
      </c>
    </row>
    <row r="13416" spans="1:5" x14ac:dyDescent="0.2">
      <c r="A13416" t="s">
        <v>40196</v>
      </c>
      <c r="B13416" t="s">
        <v>40197</v>
      </c>
      <c r="C13416" t="s">
        <v>40197</v>
      </c>
      <c r="D13416" t="str">
        <f>HYPERLINK("https://zfin.org/ZDB-GENE-980526-362")</f>
        <v>https://zfin.org/ZDB-GENE-980526-362</v>
      </c>
      <c r="E13416" t="s">
        <v>40198</v>
      </c>
    </row>
    <row r="13417" spans="1:5" x14ac:dyDescent="0.2">
      <c r="A13417" t="s">
        <v>40199</v>
      </c>
      <c r="B13417" t="s">
        <v>40200</v>
      </c>
      <c r="C13417" t="s">
        <v>40200</v>
      </c>
      <c r="D13417" t="str">
        <f>HYPERLINK("https://zfin.org/ZDB-GENE-090313-9")</f>
        <v>https://zfin.org/ZDB-GENE-090313-9</v>
      </c>
      <c r="E13417" t="s">
        <v>40201</v>
      </c>
    </row>
    <row r="13418" spans="1:5" x14ac:dyDescent="0.2">
      <c r="A13418" t="s">
        <v>40202</v>
      </c>
      <c r="B13418" t="s">
        <v>40203</v>
      </c>
      <c r="C13418" t="s">
        <v>40203</v>
      </c>
      <c r="D13418" t="str">
        <f>HYPERLINK("https://zfin.org/ZDB-GENE-060312-30")</f>
        <v>https://zfin.org/ZDB-GENE-060312-30</v>
      </c>
      <c r="E13418" t="s">
        <v>40204</v>
      </c>
    </row>
    <row r="13419" spans="1:5" x14ac:dyDescent="0.2">
      <c r="A13419" t="s">
        <v>40205</v>
      </c>
      <c r="B13419" t="s">
        <v>40206</v>
      </c>
      <c r="C13419" t="s">
        <v>40206</v>
      </c>
      <c r="D13419" t="str">
        <f>HYPERLINK("https://zfin.org/ZDB-GENE-040718-197")</f>
        <v>https://zfin.org/ZDB-GENE-040718-197</v>
      </c>
      <c r="E13419" t="s">
        <v>40207</v>
      </c>
    </row>
    <row r="13420" spans="1:5" x14ac:dyDescent="0.2">
      <c r="A13420" t="s">
        <v>40208</v>
      </c>
      <c r="B13420" t="s">
        <v>40209</v>
      </c>
      <c r="C13420" t="s">
        <v>40209</v>
      </c>
      <c r="D13420" t="str">
        <f>HYPERLINK("https://zfin.org/ZDB-GENE-141216-371")</f>
        <v>https://zfin.org/ZDB-GENE-141216-371</v>
      </c>
      <c r="E13420" t="s">
        <v>40210</v>
      </c>
    </row>
    <row r="13421" spans="1:5" x14ac:dyDescent="0.2">
      <c r="A13421" t="s">
        <v>40211</v>
      </c>
      <c r="B13421" t="s">
        <v>40212</v>
      </c>
      <c r="C13421" t="s">
        <v>40212</v>
      </c>
      <c r="D13421" t="str">
        <f>HYPERLINK("https://zfin.org/ZDB-GENE-040426-1527")</f>
        <v>https://zfin.org/ZDB-GENE-040426-1527</v>
      </c>
      <c r="E13421" t="s">
        <v>40213</v>
      </c>
    </row>
    <row r="13422" spans="1:5" x14ac:dyDescent="0.2">
      <c r="A13422" t="s">
        <v>40214</v>
      </c>
      <c r="B13422" t="s">
        <v>40215</v>
      </c>
      <c r="C13422" t="s">
        <v>40215</v>
      </c>
      <c r="D13422" t="str">
        <f>HYPERLINK("https://zfin.org/ZDB-GENE-090507-8")</f>
        <v>https://zfin.org/ZDB-GENE-090507-8</v>
      </c>
      <c r="E13422" t="s">
        <v>40216</v>
      </c>
    </row>
    <row r="13423" spans="1:5" x14ac:dyDescent="0.2">
      <c r="A13423" t="s">
        <v>40217</v>
      </c>
      <c r="B13423" t="s">
        <v>40218</v>
      </c>
      <c r="C13423" t="s">
        <v>40218</v>
      </c>
      <c r="D13423" t="str">
        <f>HYPERLINK("https://zfin.org/ZDB-GENE-030131-1233")</f>
        <v>https://zfin.org/ZDB-GENE-030131-1233</v>
      </c>
      <c r="E13423" t="s">
        <v>40219</v>
      </c>
    </row>
    <row r="13424" spans="1:5" x14ac:dyDescent="0.2">
      <c r="A13424" t="s">
        <v>40220</v>
      </c>
      <c r="B13424" t="s">
        <v>40221</v>
      </c>
      <c r="C13424" t="s">
        <v>40221</v>
      </c>
      <c r="D13424" t="str">
        <f>HYPERLINK("https://zfin.org/ZDB-GENE-020507-3")</f>
        <v>https://zfin.org/ZDB-GENE-020507-3</v>
      </c>
      <c r="E13424" t="s">
        <v>40222</v>
      </c>
    </row>
    <row r="13425" spans="1:5" x14ac:dyDescent="0.2">
      <c r="A13425" t="s">
        <v>40223</v>
      </c>
      <c r="B13425" t="s">
        <v>40224</v>
      </c>
      <c r="C13425" t="s">
        <v>40224</v>
      </c>
      <c r="D13425" t="str">
        <f>HYPERLINK("https://zfin.org/ZDB-GENE-040718-243")</f>
        <v>https://zfin.org/ZDB-GENE-040718-243</v>
      </c>
      <c r="E13425" t="s">
        <v>40225</v>
      </c>
    </row>
    <row r="13426" spans="1:5" x14ac:dyDescent="0.2">
      <c r="A13426" t="s">
        <v>40226</v>
      </c>
      <c r="B13426" t="s">
        <v>40227</v>
      </c>
      <c r="C13426" t="s">
        <v>40227</v>
      </c>
      <c r="D13426" t="str">
        <f>HYPERLINK("https://zfin.org/ZDB-GENE-030717-5")</f>
        <v>https://zfin.org/ZDB-GENE-030717-5</v>
      </c>
      <c r="E13426" t="s">
        <v>40228</v>
      </c>
    </row>
    <row r="13427" spans="1:5" x14ac:dyDescent="0.2">
      <c r="A13427" t="s">
        <v>40229</v>
      </c>
      <c r="B13427" t="s">
        <v>40230</v>
      </c>
      <c r="C13427" t="s">
        <v>40230</v>
      </c>
      <c r="D13427" t="str">
        <f>HYPERLINK("https://zfin.org/ZDB-GENE-050522-307")</f>
        <v>https://zfin.org/ZDB-GENE-050522-307</v>
      </c>
      <c r="E13427" t="s">
        <v>40231</v>
      </c>
    </row>
    <row r="13428" spans="1:5" x14ac:dyDescent="0.2">
      <c r="A13428" t="s">
        <v>40232</v>
      </c>
      <c r="B13428" t="s">
        <v>40233</v>
      </c>
      <c r="C13428" t="s">
        <v>40233</v>
      </c>
      <c r="D13428" t="str">
        <f>HYPERLINK("https://zfin.org/ZDB-GENE-030131-8714")</f>
        <v>https://zfin.org/ZDB-GENE-030131-8714</v>
      </c>
      <c r="E13428" t="s">
        <v>40234</v>
      </c>
    </row>
    <row r="13429" spans="1:5" x14ac:dyDescent="0.2">
      <c r="A13429" t="s">
        <v>40235</v>
      </c>
      <c r="B13429" t="s">
        <v>40236</v>
      </c>
      <c r="C13429" t="s">
        <v>40236</v>
      </c>
      <c r="D13429" t="str">
        <f>HYPERLINK("https://zfin.org/ZDB-GENE-020125-1")</f>
        <v>https://zfin.org/ZDB-GENE-020125-1</v>
      </c>
      <c r="E13429" t="s">
        <v>40237</v>
      </c>
    </row>
    <row r="13430" spans="1:5" x14ac:dyDescent="0.2">
      <c r="A13430" t="s">
        <v>40238</v>
      </c>
      <c r="B13430" t="s">
        <v>40239</v>
      </c>
      <c r="C13430" t="s">
        <v>40239</v>
      </c>
      <c r="D13430" t="str">
        <f>HYPERLINK("https://zfin.org/ZDB-GENE-131121-597")</f>
        <v>https://zfin.org/ZDB-GENE-131121-597</v>
      </c>
      <c r="E13430" t="s">
        <v>40240</v>
      </c>
    </row>
    <row r="13431" spans="1:5" x14ac:dyDescent="0.2">
      <c r="A13431" t="s">
        <v>40241</v>
      </c>
      <c r="B13431" t="s">
        <v>40242</v>
      </c>
      <c r="C13431" t="s">
        <v>40242</v>
      </c>
      <c r="D13431" t="str">
        <f>HYPERLINK("https://zfin.org/ZDB-GENE-141211-20")</f>
        <v>https://zfin.org/ZDB-GENE-141211-20</v>
      </c>
      <c r="E13431" t="s">
        <v>40243</v>
      </c>
    </row>
    <row r="13432" spans="1:5" x14ac:dyDescent="0.2">
      <c r="A13432" t="s">
        <v>40244</v>
      </c>
      <c r="B13432" t="s">
        <v>40245</v>
      </c>
      <c r="C13432" t="s">
        <v>40245</v>
      </c>
      <c r="D13432" t="str">
        <f>HYPERLINK("https://zfin.org/ZDB-GENE-131121-530")</f>
        <v>https://zfin.org/ZDB-GENE-131121-530</v>
      </c>
      <c r="E13432" t="s">
        <v>40246</v>
      </c>
    </row>
    <row r="13433" spans="1:5" x14ac:dyDescent="0.2">
      <c r="A13433" t="s">
        <v>40247</v>
      </c>
      <c r="B13433" t="s">
        <v>40248</v>
      </c>
      <c r="C13433" t="s">
        <v>40248</v>
      </c>
      <c r="D13433" t="str">
        <f>HYPERLINK("https://zfin.org/ZDB-GENE-071004-82")</f>
        <v>https://zfin.org/ZDB-GENE-071004-82</v>
      </c>
      <c r="E13433" t="s">
        <v>40249</v>
      </c>
    </row>
    <row r="13434" spans="1:5" x14ac:dyDescent="0.2">
      <c r="A13434" t="s">
        <v>40250</v>
      </c>
      <c r="B13434" t="s">
        <v>40251</v>
      </c>
      <c r="C13434" t="s">
        <v>40251</v>
      </c>
      <c r="D13434" t="str">
        <f>HYPERLINK("https://zfin.org/ZDB-GENE-070308-4")</f>
        <v>https://zfin.org/ZDB-GENE-070308-4</v>
      </c>
      <c r="E13434" t="s">
        <v>40252</v>
      </c>
    </row>
    <row r="13435" spans="1:5" x14ac:dyDescent="0.2">
      <c r="A13435" t="s">
        <v>40253</v>
      </c>
      <c r="B13435" t="s">
        <v>40254</v>
      </c>
      <c r="C13435" t="s">
        <v>40254</v>
      </c>
      <c r="D13435" t="str">
        <f>HYPERLINK("https://zfin.org/ZDB-GENE-080219-2")</f>
        <v>https://zfin.org/ZDB-GENE-080219-2</v>
      </c>
      <c r="E13435" t="s">
        <v>40255</v>
      </c>
    </row>
    <row r="13436" spans="1:5" x14ac:dyDescent="0.2">
      <c r="A13436" t="s">
        <v>40256</v>
      </c>
      <c r="B13436" t="s">
        <v>40257</v>
      </c>
      <c r="C13436" t="s">
        <v>40257</v>
      </c>
      <c r="D13436" t="str">
        <f>HYPERLINK("https://zfin.org/ZDB-GENE-040724-92")</f>
        <v>https://zfin.org/ZDB-GENE-040724-92</v>
      </c>
      <c r="E13436" t="s">
        <v>40258</v>
      </c>
    </row>
    <row r="13437" spans="1:5" x14ac:dyDescent="0.2">
      <c r="A13437" t="s">
        <v>40259</v>
      </c>
      <c r="B13437" t="s">
        <v>40260</v>
      </c>
      <c r="C13437" t="s">
        <v>40260</v>
      </c>
      <c r="D13437" t="str">
        <f>HYPERLINK("https://zfin.org/ZDB-GENE-070117-1657")</f>
        <v>https://zfin.org/ZDB-GENE-070117-1657</v>
      </c>
      <c r="E13437" t="s">
        <v>40261</v>
      </c>
    </row>
    <row r="13438" spans="1:5" x14ac:dyDescent="0.2">
      <c r="A13438" t="s">
        <v>40262</v>
      </c>
      <c r="B13438" t="s">
        <v>40263</v>
      </c>
      <c r="C13438" t="s">
        <v>40263</v>
      </c>
      <c r="D13438" t="str">
        <f>HYPERLINK("https://zfin.org/ZDB-GENE-060929-1014")</f>
        <v>https://zfin.org/ZDB-GENE-060929-1014</v>
      </c>
      <c r="E13438" t="s">
        <v>40264</v>
      </c>
    </row>
    <row r="13439" spans="1:5" x14ac:dyDescent="0.2">
      <c r="A13439" t="s">
        <v>40265</v>
      </c>
      <c r="B13439" t="s">
        <v>40266</v>
      </c>
      <c r="C13439" t="s">
        <v>40266</v>
      </c>
      <c r="D13439" t="str">
        <f>HYPERLINK("https://zfin.org/ZDB-GENE-060616-305")</f>
        <v>https://zfin.org/ZDB-GENE-060616-305</v>
      </c>
      <c r="E13439" t="s">
        <v>40267</v>
      </c>
    </row>
    <row r="13440" spans="1:5" x14ac:dyDescent="0.2">
      <c r="A13440" t="s">
        <v>40268</v>
      </c>
      <c r="B13440" t="s">
        <v>40269</v>
      </c>
      <c r="C13440" t="s">
        <v>40269</v>
      </c>
      <c r="D13440" t="str">
        <f>HYPERLINK("https://zfin.org/ZDB-GENE-990415-41")</f>
        <v>https://zfin.org/ZDB-GENE-990415-41</v>
      </c>
      <c r="E13440" t="s">
        <v>40270</v>
      </c>
    </row>
    <row r="13441" spans="1:5" x14ac:dyDescent="0.2">
      <c r="A13441" t="s">
        <v>40271</v>
      </c>
      <c r="B13441" t="s">
        <v>40272</v>
      </c>
      <c r="C13441" t="s">
        <v>40272</v>
      </c>
      <c r="D13441" t="str">
        <f>HYPERLINK("https://zfin.org/ZDB-GENE-990415-224")</f>
        <v>https://zfin.org/ZDB-GENE-990415-224</v>
      </c>
      <c r="E13441" t="s">
        <v>40273</v>
      </c>
    </row>
    <row r="13442" spans="1:5" x14ac:dyDescent="0.2">
      <c r="A13442" t="s">
        <v>40274</v>
      </c>
      <c r="B13442" t="s">
        <v>40275</v>
      </c>
      <c r="C13442" t="s">
        <v>40275</v>
      </c>
      <c r="D13442" t="str">
        <f>HYPERLINK("https://zfin.org/ZDB-GENE-081024-1")</f>
        <v>https://zfin.org/ZDB-GENE-081024-1</v>
      </c>
      <c r="E13442" t="s">
        <v>40276</v>
      </c>
    </row>
    <row r="13443" spans="1:5" x14ac:dyDescent="0.2">
      <c r="A13443" t="s">
        <v>40277</v>
      </c>
      <c r="B13443" t="s">
        <v>40275</v>
      </c>
      <c r="C13443" t="s">
        <v>40278</v>
      </c>
      <c r="D13443" t="str">
        <f>HYPERLINK("https://zfin.org/ZDB-GENE-081024-1")</f>
        <v>https://zfin.org/ZDB-GENE-081024-1</v>
      </c>
      <c r="E13443" t="s">
        <v>40276</v>
      </c>
    </row>
    <row r="13444" spans="1:5" x14ac:dyDescent="0.2">
      <c r="A13444" t="s">
        <v>40279</v>
      </c>
      <c r="B13444" t="s">
        <v>40280</v>
      </c>
      <c r="C13444" t="s">
        <v>40280</v>
      </c>
      <c r="D13444" t="str">
        <f>HYPERLINK("https://zfin.org/ZDB-GENE-040426-1676")</f>
        <v>https://zfin.org/ZDB-GENE-040426-1676</v>
      </c>
      <c r="E13444" t="s">
        <v>40281</v>
      </c>
    </row>
    <row r="13445" spans="1:5" x14ac:dyDescent="0.2">
      <c r="A13445" t="s">
        <v>40282</v>
      </c>
      <c r="B13445" t="s">
        <v>40283</v>
      </c>
      <c r="C13445" t="s">
        <v>40283</v>
      </c>
      <c r="D13445" t="str">
        <f>HYPERLINK("https://zfin.org/ZDB-GENE-070410-74")</f>
        <v>https://zfin.org/ZDB-GENE-070410-74</v>
      </c>
      <c r="E13445" t="s">
        <v>40284</v>
      </c>
    </row>
    <row r="13446" spans="1:5" x14ac:dyDescent="0.2">
      <c r="A13446" t="s">
        <v>40285</v>
      </c>
      <c r="B13446" t="s">
        <v>40286</v>
      </c>
      <c r="C13446" t="s">
        <v>40286</v>
      </c>
      <c r="D13446" t="str">
        <f>HYPERLINK("https://zfin.org/ZDB-GENE-130530-838")</f>
        <v>https://zfin.org/ZDB-GENE-130530-838</v>
      </c>
      <c r="E13446" t="s">
        <v>40287</v>
      </c>
    </row>
    <row r="13447" spans="1:5" x14ac:dyDescent="0.2">
      <c r="A13447" t="s">
        <v>40288</v>
      </c>
      <c r="B13447" t="s">
        <v>40289</v>
      </c>
      <c r="C13447" t="s">
        <v>40289</v>
      </c>
      <c r="D13447" t="str">
        <f>HYPERLINK("https://zfin.org/ZDB-GENE-070705-97")</f>
        <v>https://zfin.org/ZDB-GENE-070705-97</v>
      </c>
      <c r="E13447" t="s">
        <v>40290</v>
      </c>
    </row>
    <row r="13448" spans="1:5" x14ac:dyDescent="0.2">
      <c r="A13448" t="s">
        <v>40291</v>
      </c>
      <c r="B13448" t="s">
        <v>40292</v>
      </c>
      <c r="C13448" t="s">
        <v>40292</v>
      </c>
      <c r="D13448" t="str">
        <f>HYPERLINK("https://zfin.org/ZDB-GENE-050327-1")</f>
        <v>https://zfin.org/ZDB-GENE-050327-1</v>
      </c>
      <c r="E13448" t="s">
        <v>40293</v>
      </c>
    </row>
    <row r="13449" spans="1:5" x14ac:dyDescent="0.2">
      <c r="A13449" t="s">
        <v>40294</v>
      </c>
      <c r="B13449" t="s">
        <v>40295</v>
      </c>
      <c r="C13449" t="s">
        <v>40295</v>
      </c>
      <c r="D13449" t="str">
        <f>HYPERLINK("https://zfin.org/ZDB-GENE-040718-179")</f>
        <v>https://zfin.org/ZDB-GENE-040718-179</v>
      </c>
      <c r="E13449" t="s">
        <v>40296</v>
      </c>
    </row>
    <row r="13450" spans="1:5" x14ac:dyDescent="0.2">
      <c r="A13450" t="s">
        <v>40297</v>
      </c>
      <c r="B13450" t="s">
        <v>40298</v>
      </c>
      <c r="C13450" t="s">
        <v>40298</v>
      </c>
      <c r="D13450" t="str">
        <f>HYPERLINK("https://zfin.org/ZDB-GENE-071218-5")</f>
        <v>https://zfin.org/ZDB-GENE-071218-5</v>
      </c>
      <c r="E13450" t="s">
        <v>40299</v>
      </c>
    </row>
    <row r="13451" spans="1:5" x14ac:dyDescent="0.2">
      <c r="A13451" t="s">
        <v>40300</v>
      </c>
      <c r="B13451" t="s">
        <v>40301</v>
      </c>
      <c r="C13451" t="s">
        <v>40301</v>
      </c>
      <c r="D13451" t="str">
        <f>HYPERLINK("https://zfin.org/ZDB-GENE-070912-185")</f>
        <v>https://zfin.org/ZDB-GENE-070912-185</v>
      </c>
      <c r="E13451" t="s">
        <v>40302</v>
      </c>
    </row>
    <row r="13452" spans="1:5" x14ac:dyDescent="0.2">
      <c r="A13452" t="s">
        <v>40303</v>
      </c>
      <c r="B13452" t="s">
        <v>40304</v>
      </c>
      <c r="C13452" t="s">
        <v>40304</v>
      </c>
      <c r="D13452" t="str">
        <f>HYPERLINK("https://zfin.org/ZDB-GENE-040108-3")</f>
        <v>https://zfin.org/ZDB-GENE-040108-3</v>
      </c>
      <c r="E13452" t="s">
        <v>40305</v>
      </c>
    </row>
    <row r="13453" spans="1:5" x14ac:dyDescent="0.2">
      <c r="A13453" t="s">
        <v>40306</v>
      </c>
      <c r="B13453" t="s">
        <v>40307</v>
      </c>
      <c r="C13453" t="s">
        <v>40307</v>
      </c>
      <c r="D13453" t="str">
        <f>HYPERLINK("https://zfin.org/ZDB-GENE-141216-215")</f>
        <v>https://zfin.org/ZDB-GENE-141216-215</v>
      </c>
      <c r="E13453" t="s">
        <v>40308</v>
      </c>
    </row>
    <row r="13454" spans="1:5" x14ac:dyDescent="0.2">
      <c r="A13454" t="s">
        <v>40309</v>
      </c>
      <c r="B13454" t="s">
        <v>40310</v>
      </c>
      <c r="C13454" t="s">
        <v>40310</v>
      </c>
      <c r="D13454" t="str">
        <f>HYPERLINK("https://zfin.org/ZDB-GENE-140106-251")</f>
        <v>https://zfin.org/ZDB-GENE-140106-251</v>
      </c>
      <c r="E13454" t="s">
        <v>40311</v>
      </c>
    </row>
    <row r="13455" spans="1:5" x14ac:dyDescent="0.2">
      <c r="A13455" t="s">
        <v>40312</v>
      </c>
      <c r="B13455" t="s">
        <v>40313</v>
      </c>
      <c r="C13455" t="s">
        <v>40313</v>
      </c>
      <c r="D13455" t="str">
        <f>HYPERLINK("https://zfin.org/ZDB-GENE-030425-5")</f>
        <v>https://zfin.org/ZDB-GENE-030425-5</v>
      </c>
      <c r="E13455" t="s">
        <v>40314</v>
      </c>
    </row>
    <row r="13456" spans="1:5" x14ac:dyDescent="0.2">
      <c r="A13456" t="s">
        <v>40315</v>
      </c>
      <c r="B13456" t="s">
        <v>40316</v>
      </c>
      <c r="C13456" t="s">
        <v>40316</v>
      </c>
      <c r="D13456" t="str">
        <f>HYPERLINK("https://zfin.org/ZDB-GENE-050309-74")</f>
        <v>https://zfin.org/ZDB-GENE-050309-74</v>
      </c>
      <c r="E13456" t="s">
        <v>40317</v>
      </c>
    </row>
    <row r="13457" spans="1:5" x14ac:dyDescent="0.2">
      <c r="A13457" t="s">
        <v>40318</v>
      </c>
      <c r="B13457" t="s">
        <v>40319</v>
      </c>
      <c r="C13457" t="s">
        <v>40319</v>
      </c>
      <c r="D13457" t="str">
        <f>HYPERLINK("https://zfin.org/ZDB-GENE-041014-277")</f>
        <v>https://zfin.org/ZDB-GENE-041014-277</v>
      </c>
      <c r="E13457" t="s">
        <v>40320</v>
      </c>
    </row>
    <row r="13458" spans="1:5" x14ac:dyDescent="0.2">
      <c r="A13458" t="s">
        <v>40321</v>
      </c>
      <c r="B13458" t="s">
        <v>40322</v>
      </c>
      <c r="C13458" t="s">
        <v>40322</v>
      </c>
      <c r="D13458" t="str">
        <f>HYPERLINK("https://zfin.org/ZDB-GENE-040426-1037")</f>
        <v>https://zfin.org/ZDB-GENE-040426-1037</v>
      </c>
      <c r="E13458" t="s">
        <v>40323</v>
      </c>
    </row>
    <row r="13459" spans="1:5" x14ac:dyDescent="0.2">
      <c r="A13459" t="s">
        <v>40324</v>
      </c>
      <c r="B13459" t="s">
        <v>40325</v>
      </c>
      <c r="C13459" t="s">
        <v>40325</v>
      </c>
      <c r="D13459" t="str">
        <f>HYPERLINK("https://zfin.org/ZDB-GENE-040426-1183")</f>
        <v>https://zfin.org/ZDB-GENE-040426-1183</v>
      </c>
      <c r="E13459" t="s">
        <v>40326</v>
      </c>
    </row>
    <row r="13460" spans="1:5" x14ac:dyDescent="0.2">
      <c r="A13460" t="s">
        <v>40327</v>
      </c>
      <c r="B13460" t="s">
        <v>40328</v>
      </c>
      <c r="C13460" t="s">
        <v>40328</v>
      </c>
      <c r="D13460" t="str">
        <f>HYPERLINK("https://zfin.org/ZDB-GENE-061110-138")</f>
        <v>https://zfin.org/ZDB-GENE-061110-138</v>
      </c>
      <c r="E13460" t="s">
        <v>40329</v>
      </c>
    </row>
    <row r="13461" spans="1:5" x14ac:dyDescent="0.2">
      <c r="A13461" t="s">
        <v>40330</v>
      </c>
      <c r="B13461" t="s">
        <v>40331</v>
      </c>
      <c r="C13461" t="s">
        <v>40331</v>
      </c>
      <c r="D13461" t="str">
        <f>HYPERLINK("https://zfin.org/ZDB-GENE-041014-258")</f>
        <v>https://zfin.org/ZDB-GENE-041014-258</v>
      </c>
      <c r="E13461" t="s">
        <v>40332</v>
      </c>
    </row>
    <row r="13462" spans="1:5" x14ac:dyDescent="0.2">
      <c r="A13462" t="s">
        <v>40333</v>
      </c>
      <c r="B13462" t="s">
        <v>40334</v>
      </c>
      <c r="C13462" t="s">
        <v>40334</v>
      </c>
      <c r="D13462" t="str">
        <f>HYPERLINK("https://zfin.org/ZDB-GENE-030131-9530")</f>
        <v>https://zfin.org/ZDB-GENE-030131-9530</v>
      </c>
      <c r="E13462" t="s">
        <v>40335</v>
      </c>
    </row>
    <row r="13463" spans="1:5" x14ac:dyDescent="0.2">
      <c r="A13463" t="s">
        <v>40336</v>
      </c>
      <c r="B13463" t="s">
        <v>40337</v>
      </c>
      <c r="C13463" t="s">
        <v>40337</v>
      </c>
      <c r="D13463" t="str">
        <f>HYPERLINK("https://zfin.org/ZDB-GENE-060503-311")</f>
        <v>https://zfin.org/ZDB-GENE-060503-311</v>
      </c>
      <c r="E13463" t="s">
        <v>40338</v>
      </c>
    </row>
    <row r="13464" spans="1:5" x14ac:dyDescent="0.2">
      <c r="A13464" t="s">
        <v>40339</v>
      </c>
      <c r="B13464" t="s">
        <v>40340</v>
      </c>
      <c r="C13464" t="s">
        <v>40341</v>
      </c>
      <c r="D13464" t="str">
        <f>HYPERLINK("https://zfin.org/ZDB-GENE-041014-259")</f>
        <v>https://zfin.org/ZDB-GENE-041014-259</v>
      </c>
      <c r="E13464" t="s">
        <v>40342</v>
      </c>
    </row>
    <row r="13465" spans="1:5" x14ac:dyDescent="0.2">
      <c r="A13465" t="s">
        <v>40343</v>
      </c>
      <c r="B13465" t="s">
        <v>40344</v>
      </c>
      <c r="C13465" t="s">
        <v>40344</v>
      </c>
      <c r="D13465" t="str">
        <f>HYPERLINK("https://zfin.org/ZDB-GENE-070604-1")</f>
        <v>https://zfin.org/ZDB-GENE-070604-1</v>
      </c>
      <c r="E13465" t="s">
        <v>40345</v>
      </c>
    </row>
    <row r="13466" spans="1:5" x14ac:dyDescent="0.2">
      <c r="A13466" t="s">
        <v>40346</v>
      </c>
      <c r="B13466" t="s">
        <v>40347</v>
      </c>
      <c r="C13466" t="s">
        <v>40347</v>
      </c>
      <c r="D13466" t="str">
        <f>HYPERLINK("https://zfin.org/ZDB-GENE-060503-169")</f>
        <v>https://zfin.org/ZDB-GENE-060503-169</v>
      </c>
      <c r="E13466" t="s">
        <v>40348</v>
      </c>
    </row>
    <row r="13467" spans="1:5" x14ac:dyDescent="0.2">
      <c r="A13467" t="s">
        <v>40349</v>
      </c>
      <c r="B13467" t="s">
        <v>40350</v>
      </c>
      <c r="C13467" t="s">
        <v>40350</v>
      </c>
      <c r="D13467" t="str">
        <f>HYPERLINK("https://zfin.org/ZDB-GENE-021206-3")</f>
        <v>https://zfin.org/ZDB-GENE-021206-3</v>
      </c>
      <c r="E13467" t="s">
        <v>40351</v>
      </c>
    </row>
    <row r="13468" spans="1:5" x14ac:dyDescent="0.2">
      <c r="A13468" t="s">
        <v>40352</v>
      </c>
      <c r="B13468" t="s">
        <v>40353</v>
      </c>
      <c r="C13468" t="s">
        <v>40353</v>
      </c>
      <c r="D13468" t="str">
        <f>HYPERLINK("https://zfin.org/ZDB-GENE-041014-39")</f>
        <v>https://zfin.org/ZDB-GENE-041014-39</v>
      </c>
      <c r="E13468" t="s">
        <v>40354</v>
      </c>
    </row>
    <row r="13469" spans="1:5" x14ac:dyDescent="0.2">
      <c r="A13469" t="s">
        <v>40355</v>
      </c>
      <c r="B13469" t="s">
        <v>40356</v>
      </c>
      <c r="C13469" t="s">
        <v>40356</v>
      </c>
      <c r="D13469" t="str">
        <f>HYPERLINK("https://zfin.org/ZDB-GENE-051127-29")</f>
        <v>https://zfin.org/ZDB-GENE-051127-29</v>
      </c>
      <c r="E13469" t="s">
        <v>40357</v>
      </c>
    </row>
    <row r="13470" spans="1:5" x14ac:dyDescent="0.2">
      <c r="A13470" t="s">
        <v>40358</v>
      </c>
      <c r="B13470" t="s">
        <v>40359</v>
      </c>
      <c r="C13470" t="s">
        <v>40359</v>
      </c>
      <c r="D13470" t="str">
        <f>HYPERLINK("https://zfin.org/ZDB-GENE-990415-27")</f>
        <v>https://zfin.org/ZDB-GENE-990415-27</v>
      </c>
      <c r="E13470" t="s">
        <v>40360</v>
      </c>
    </row>
    <row r="13471" spans="1:5" x14ac:dyDescent="0.2">
      <c r="A13471" t="s">
        <v>40361</v>
      </c>
      <c r="B13471" t="s">
        <v>40362</v>
      </c>
      <c r="C13471" t="s">
        <v>40362</v>
      </c>
      <c r="D13471" t="str">
        <f>HYPERLINK("https://zfin.org/ZDB-GENE-050522-141")</f>
        <v>https://zfin.org/ZDB-GENE-050522-141</v>
      </c>
      <c r="E13471" t="s">
        <v>40363</v>
      </c>
    </row>
    <row r="13472" spans="1:5" x14ac:dyDescent="0.2">
      <c r="A13472" t="s">
        <v>40364</v>
      </c>
      <c r="B13472" t="s">
        <v>40365</v>
      </c>
      <c r="C13472" t="s">
        <v>40365</v>
      </c>
      <c r="D13472" t="str">
        <f>HYPERLINK("https://zfin.org/ZDB-GENE-081031-96")</f>
        <v>https://zfin.org/ZDB-GENE-081031-96</v>
      </c>
      <c r="E13472" t="s">
        <v>40366</v>
      </c>
    </row>
    <row r="13473" spans="1:5" x14ac:dyDescent="0.2">
      <c r="A13473" t="s">
        <v>40367</v>
      </c>
      <c r="B13473" t="s">
        <v>40368</v>
      </c>
      <c r="C13473" t="s">
        <v>40368</v>
      </c>
      <c r="D13473" t="str">
        <f>HYPERLINK("https://zfin.org/ZDB-GENE-081104-321")</f>
        <v>https://zfin.org/ZDB-GENE-081104-321</v>
      </c>
      <c r="E13473" t="s">
        <v>40369</v>
      </c>
    </row>
    <row r="13474" spans="1:5" x14ac:dyDescent="0.2">
      <c r="A13474" t="s">
        <v>40370</v>
      </c>
      <c r="B13474" t="s">
        <v>40371</v>
      </c>
      <c r="C13474" t="s">
        <v>40371</v>
      </c>
      <c r="D13474" t="str">
        <f>HYPERLINK("https://zfin.org/ZDB-GENE-081031-51")</f>
        <v>https://zfin.org/ZDB-GENE-081031-51</v>
      </c>
      <c r="E13474" t="s">
        <v>40372</v>
      </c>
    </row>
    <row r="13475" spans="1:5" x14ac:dyDescent="0.2">
      <c r="A13475" t="s">
        <v>40373</v>
      </c>
      <c r="B13475" t="s">
        <v>40374</v>
      </c>
      <c r="C13475" t="s">
        <v>40374</v>
      </c>
      <c r="D13475" t="str">
        <f>HYPERLINK("https://zfin.org/ZDB-GENE-041010-177")</f>
        <v>https://zfin.org/ZDB-GENE-041010-177</v>
      </c>
      <c r="E13475" t="s">
        <v>40375</v>
      </c>
    </row>
    <row r="13476" spans="1:5" x14ac:dyDescent="0.2">
      <c r="A13476" t="s">
        <v>40376</v>
      </c>
      <c r="B13476" t="s">
        <v>40377</v>
      </c>
      <c r="C13476" t="s">
        <v>40377</v>
      </c>
      <c r="D13476" t="str">
        <f>HYPERLINK("https://zfin.org/ZDB-GENE-050211-5")</f>
        <v>https://zfin.org/ZDB-GENE-050211-5</v>
      </c>
      <c r="E13476" t="s">
        <v>40378</v>
      </c>
    </row>
    <row r="13477" spans="1:5" x14ac:dyDescent="0.2">
      <c r="A13477" t="s">
        <v>40379</v>
      </c>
      <c r="B13477" t="s">
        <v>40380</v>
      </c>
      <c r="C13477" t="s">
        <v>40380</v>
      </c>
      <c r="D13477" t="str">
        <f>HYPERLINK("https://zfin.org/ZDB-GENE-131121-301")</f>
        <v>https://zfin.org/ZDB-GENE-131121-301</v>
      </c>
      <c r="E13477" t="s">
        <v>40381</v>
      </c>
    </row>
    <row r="13478" spans="1:5" x14ac:dyDescent="0.2">
      <c r="A13478" t="s">
        <v>40382</v>
      </c>
      <c r="B13478" t="s">
        <v>40383</v>
      </c>
      <c r="C13478" t="s">
        <v>40383</v>
      </c>
      <c r="D13478" t="str">
        <f>HYPERLINK("https://zfin.org/ZDB-GENE-041210-263")</f>
        <v>https://zfin.org/ZDB-GENE-041210-263</v>
      </c>
      <c r="E13478" t="s">
        <v>40384</v>
      </c>
    </row>
    <row r="13479" spans="1:5" x14ac:dyDescent="0.2">
      <c r="A13479" t="s">
        <v>40385</v>
      </c>
      <c r="B13479" t="s">
        <v>40386</v>
      </c>
      <c r="C13479" t="s">
        <v>40386</v>
      </c>
      <c r="D13479" t="str">
        <f>HYPERLINK("https://zfin.org/ZDB-GENE-030131-8374")</f>
        <v>https://zfin.org/ZDB-GENE-030131-8374</v>
      </c>
      <c r="E13479" t="s">
        <v>40387</v>
      </c>
    </row>
    <row r="13480" spans="1:5" x14ac:dyDescent="0.2">
      <c r="A13480" t="s">
        <v>40388</v>
      </c>
      <c r="B13480" t="s">
        <v>40389</v>
      </c>
      <c r="C13480" t="s">
        <v>40389</v>
      </c>
      <c r="D13480" t="str">
        <f>HYPERLINK("https://zfin.org/ZDB-GENE-040718-353")</f>
        <v>https://zfin.org/ZDB-GENE-040718-353</v>
      </c>
      <c r="E13480" t="s">
        <v>40390</v>
      </c>
    </row>
    <row r="13481" spans="1:5" x14ac:dyDescent="0.2">
      <c r="A13481" t="s">
        <v>40391</v>
      </c>
      <c r="B13481" t="s">
        <v>40392</v>
      </c>
      <c r="C13481" t="s">
        <v>40392</v>
      </c>
      <c r="D13481" t="str">
        <f>HYPERLINK("https://zfin.org/ZDB-GENE-130603-35")</f>
        <v>https://zfin.org/ZDB-GENE-130603-35</v>
      </c>
      <c r="E13481" t="s">
        <v>40393</v>
      </c>
    </row>
    <row r="13482" spans="1:5" x14ac:dyDescent="0.2">
      <c r="A13482" t="s">
        <v>40394</v>
      </c>
      <c r="B13482" t="s">
        <v>32866</v>
      </c>
      <c r="C13482" t="s">
        <v>40395</v>
      </c>
      <c r="D13482" t="str">
        <f>HYPERLINK("https://zfin.org/ZDB-GENE-040426-1687")</f>
        <v>https://zfin.org/ZDB-GENE-040426-1687</v>
      </c>
      <c r="E13482" t="s">
        <v>32867</v>
      </c>
    </row>
    <row r="13483" spans="1:5" x14ac:dyDescent="0.2">
      <c r="A13483" t="s">
        <v>40396</v>
      </c>
      <c r="B13483" t="s">
        <v>40397</v>
      </c>
      <c r="C13483" t="s">
        <v>40397</v>
      </c>
      <c r="D13483" t="str">
        <f>HYPERLINK("https://zfin.org/ZDB-GENE-050320-86")</f>
        <v>https://zfin.org/ZDB-GENE-050320-86</v>
      </c>
      <c r="E13483" t="s">
        <v>40398</v>
      </c>
    </row>
    <row r="13484" spans="1:5" x14ac:dyDescent="0.2">
      <c r="A13484" t="s">
        <v>40399</v>
      </c>
      <c r="B13484" t="s">
        <v>40400</v>
      </c>
      <c r="C13484" t="s">
        <v>40400</v>
      </c>
      <c r="D13484" t="str">
        <f>HYPERLINK("https://zfin.org/ZDB-GENE-130531-1")</f>
        <v>https://zfin.org/ZDB-GENE-130531-1</v>
      </c>
      <c r="E13484" t="s">
        <v>40401</v>
      </c>
    </row>
    <row r="13485" spans="1:5" x14ac:dyDescent="0.2">
      <c r="A13485" t="s">
        <v>40402</v>
      </c>
      <c r="B13485" t="s">
        <v>40403</v>
      </c>
      <c r="C13485" t="s">
        <v>40403</v>
      </c>
      <c r="D13485" t="str">
        <f>HYPERLINK("https://zfin.org/ZDB-GENE-060503-839")</f>
        <v>https://zfin.org/ZDB-GENE-060503-839</v>
      </c>
      <c r="E13485" t="s">
        <v>40404</v>
      </c>
    </row>
    <row r="13486" spans="1:5" x14ac:dyDescent="0.2">
      <c r="A13486" t="s">
        <v>40405</v>
      </c>
      <c r="B13486" t="s">
        <v>40406</v>
      </c>
      <c r="C13486" t="s">
        <v>40406</v>
      </c>
      <c r="D13486" t="str">
        <f>HYPERLINK("https://zfin.org/")</f>
        <v>https://zfin.org/</v>
      </c>
      <c r="E13486" t="s">
        <v>40407</v>
      </c>
    </row>
    <row r="13487" spans="1:5" x14ac:dyDescent="0.2">
      <c r="A13487" t="s">
        <v>40408</v>
      </c>
      <c r="B13487" t="s">
        <v>40409</v>
      </c>
      <c r="C13487" t="s">
        <v>40409</v>
      </c>
      <c r="D13487" t="str">
        <f>HYPERLINK("https://zfin.org/")</f>
        <v>https://zfin.org/</v>
      </c>
    </row>
    <row r="13488" spans="1:5" x14ac:dyDescent="0.2">
      <c r="A13488" t="s">
        <v>40410</v>
      </c>
      <c r="B13488" t="s">
        <v>40411</v>
      </c>
      <c r="C13488" t="s">
        <v>40411</v>
      </c>
      <c r="D13488" t="str">
        <f>HYPERLINK("https://zfin.org/")</f>
        <v>https://zfin.org/</v>
      </c>
    </row>
    <row r="13489" spans="1:5" x14ac:dyDescent="0.2">
      <c r="A13489" t="s">
        <v>40412</v>
      </c>
      <c r="B13489" t="s">
        <v>40413</v>
      </c>
      <c r="C13489" t="s">
        <v>40413</v>
      </c>
      <c r="D13489" t="str">
        <f>HYPERLINK("https://zfin.org/ZDB-GENE-030131-6305")</f>
        <v>https://zfin.org/ZDB-GENE-030131-6305</v>
      </c>
      <c r="E13489" t="s">
        <v>40414</v>
      </c>
    </row>
    <row r="13490" spans="1:5" x14ac:dyDescent="0.2">
      <c r="A13490" t="s">
        <v>40415</v>
      </c>
      <c r="B13490" t="s">
        <v>40416</v>
      </c>
      <c r="C13490" t="s">
        <v>40416</v>
      </c>
      <c r="D13490" t="str">
        <f>HYPERLINK("https://zfin.org/")</f>
        <v>https://zfin.org/</v>
      </c>
    </row>
    <row r="13491" spans="1:5" x14ac:dyDescent="0.2">
      <c r="A13491" t="s">
        <v>40417</v>
      </c>
      <c r="B13491" t="s">
        <v>40418</v>
      </c>
      <c r="C13491" t="s">
        <v>40418</v>
      </c>
      <c r="D13491" t="str">
        <f>HYPERLINK("https://zfin.org/ZDB-GENE-070410-106")</f>
        <v>https://zfin.org/ZDB-GENE-070410-106</v>
      </c>
      <c r="E13491" t="s">
        <v>40419</v>
      </c>
    </row>
    <row r="13492" spans="1:5" x14ac:dyDescent="0.2">
      <c r="A13492" t="s">
        <v>40420</v>
      </c>
      <c r="B13492" t="s">
        <v>40421</v>
      </c>
      <c r="C13492" t="s">
        <v>40421</v>
      </c>
      <c r="D13492" t="str">
        <f>HYPERLINK("https://zfin.org/ZDB-GENE-030131-947")</f>
        <v>https://zfin.org/ZDB-GENE-030131-947</v>
      </c>
      <c r="E13492" t="s">
        <v>40422</v>
      </c>
    </row>
    <row r="13493" spans="1:5" x14ac:dyDescent="0.2">
      <c r="A13493" t="s">
        <v>40423</v>
      </c>
      <c r="B13493" t="s">
        <v>40424</v>
      </c>
      <c r="C13493" t="s">
        <v>40424</v>
      </c>
      <c r="D13493" t="str">
        <f>HYPERLINK("https://zfin.org/ZDB-GENE-100406-6")</f>
        <v>https://zfin.org/ZDB-GENE-100406-6</v>
      </c>
      <c r="E13493" t="s">
        <v>40425</v>
      </c>
    </row>
    <row r="13494" spans="1:5" x14ac:dyDescent="0.2">
      <c r="A13494" t="s">
        <v>40426</v>
      </c>
      <c r="B13494" t="s">
        <v>40427</v>
      </c>
      <c r="C13494" t="s">
        <v>40427</v>
      </c>
      <c r="D13494" t="str">
        <f>HYPERLINK("https://zfin.org/ZDB-GENE-040426-1546")</f>
        <v>https://zfin.org/ZDB-GENE-040426-1546</v>
      </c>
      <c r="E13494" t="s">
        <v>40428</v>
      </c>
    </row>
    <row r="13495" spans="1:5" x14ac:dyDescent="0.2">
      <c r="A13495" t="s">
        <v>40429</v>
      </c>
      <c r="B13495" t="s">
        <v>40430</v>
      </c>
      <c r="C13495" t="s">
        <v>40430</v>
      </c>
      <c r="D13495" t="str">
        <f>HYPERLINK("https://zfin.org/ZDB-GENE-030131-8005")</f>
        <v>https://zfin.org/ZDB-GENE-030131-8005</v>
      </c>
      <c r="E13495" t="s">
        <v>40431</v>
      </c>
    </row>
    <row r="13496" spans="1:5" x14ac:dyDescent="0.2">
      <c r="A13496" t="s">
        <v>40432</v>
      </c>
      <c r="B13496" t="s">
        <v>40433</v>
      </c>
      <c r="C13496" t="s">
        <v>40433</v>
      </c>
      <c r="D13496" t="str">
        <f>HYPERLINK("https://zfin.org/ZDB-GENE-041007-3")</f>
        <v>https://zfin.org/ZDB-GENE-041007-3</v>
      </c>
      <c r="E13496" t="s">
        <v>40434</v>
      </c>
    </row>
    <row r="13497" spans="1:5" x14ac:dyDescent="0.2">
      <c r="A13497" t="s">
        <v>40435</v>
      </c>
      <c r="B13497" t="s">
        <v>40436</v>
      </c>
      <c r="C13497" t="s">
        <v>40436</v>
      </c>
      <c r="D13497" t="str">
        <f>HYPERLINK("https://zfin.org/ZDB-GENE-040912-161")</f>
        <v>https://zfin.org/ZDB-GENE-040912-161</v>
      </c>
      <c r="E13497" t="s">
        <v>40437</v>
      </c>
    </row>
    <row r="13498" spans="1:5" x14ac:dyDescent="0.2">
      <c r="A13498" t="s">
        <v>40438</v>
      </c>
      <c r="B13498" t="s">
        <v>40439</v>
      </c>
      <c r="C13498" t="s">
        <v>40439</v>
      </c>
      <c r="D13498" t="str">
        <f>HYPERLINK("https://zfin.org/ZDB-GENE-031118-196")</f>
        <v>https://zfin.org/ZDB-GENE-031118-196</v>
      </c>
      <c r="E13498" t="s">
        <v>40440</v>
      </c>
    </row>
    <row r="13499" spans="1:5" x14ac:dyDescent="0.2">
      <c r="A13499" t="s">
        <v>40441</v>
      </c>
      <c r="B13499" t="s">
        <v>40442</v>
      </c>
      <c r="C13499" t="s">
        <v>40442</v>
      </c>
      <c r="D13499" t="str">
        <f>HYPERLINK("https://zfin.org/")</f>
        <v>https://zfin.org/</v>
      </c>
      <c r="E13499" t="s">
        <v>40443</v>
      </c>
    </row>
    <row r="13500" spans="1:5" x14ac:dyDescent="0.2">
      <c r="A13500" t="s">
        <v>40444</v>
      </c>
      <c r="B13500" t="s">
        <v>40445</v>
      </c>
      <c r="C13500" t="s">
        <v>40445</v>
      </c>
      <c r="D13500" t="str">
        <f>HYPERLINK("https://zfin.org/")</f>
        <v>https://zfin.org/</v>
      </c>
      <c r="E13500" t="s">
        <v>40446</v>
      </c>
    </row>
    <row r="13501" spans="1:5" x14ac:dyDescent="0.2">
      <c r="A13501" t="s">
        <v>40447</v>
      </c>
      <c r="B13501" t="s">
        <v>40448</v>
      </c>
      <c r="C13501" t="s">
        <v>40448</v>
      </c>
      <c r="D13501" t="str">
        <f>HYPERLINK("https://zfin.org/ZDB-GENE-030131-4718")</f>
        <v>https://zfin.org/ZDB-GENE-030131-4718</v>
      </c>
      <c r="E13501" t="s">
        <v>40449</v>
      </c>
    </row>
    <row r="13502" spans="1:5" x14ac:dyDescent="0.2">
      <c r="A13502" t="s">
        <v>40450</v>
      </c>
      <c r="B13502" t="s">
        <v>40451</v>
      </c>
      <c r="C13502" t="s">
        <v>40451</v>
      </c>
      <c r="D13502" t="str">
        <f>HYPERLINK("https://zfin.org/ZDB-GENE-040426-1062")</f>
        <v>https://zfin.org/ZDB-GENE-040426-1062</v>
      </c>
      <c r="E13502" t="s">
        <v>40452</v>
      </c>
    </row>
    <row r="13503" spans="1:5" x14ac:dyDescent="0.2">
      <c r="A13503" t="s">
        <v>40453</v>
      </c>
      <c r="B13503" t="s">
        <v>40454</v>
      </c>
      <c r="C13503" t="s">
        <v>40454</v>
      </c>
      <c r="D13503" t="str">
        <f>HYPERLINK("https://zfin.org/ZDB-GENE-080204-112")</f>
        <v>https://zfin.org/ZDB-GENE-080204-112</v>
      </c>
      <c r="E13503" t="s">
        <v>40455</v>
      </c>
    </row>
    <row r="13504" spans="1:5" x14ac:dyDescent="0.2">
      <c r="A13504" t="s">
        <v>40456</v>
      </c>
      <c r="B13504" t="s">
        <v>40457</v>
      </c>
      <c r="C13504" t="s">
        <v>40457</v>
      </c>
      <c r="D13504" t="str">
        <f>HYPERLINK("https://zfin.org/ZDB-GENE-041010-150")</f>
        <v>https://zfin.org/ZDB-GENE-041010-150</v>
      </c>
      <c r="E13504" t="s">
        <v>40458</v>
      </c>
    </row>
    <row r="13505" spans="1:5" x14ac:dyDescent="0.2">
      <c r="A13505" t="s">
        <v>40459</v>
      </c>
      <c r="B13505" t="s">
        <v>40460</v>
      </c>
      <c r="C13505" t="s">
        <v>40460</v>
      </c>
      <c r="D13505" t="str">
        <f>HYPERLINK("https://zfin.org/ZDB-GENE-030131-527")</f>
        <v>https://zfin.org/ZDB-GENE-030131-527</v>
      </c>
      <c r="E13505" t="s">
        <v>40461</v>
      </c>
    </row>
    <row r="13506" spans="1:5" x14ac:dyDescent="0.2">
      <c r="A13506" t="s">
        <v>40462</v>
      </c>
      <c r="B13506" t="s">
        <v>40463</v>
      </c>
      <c r="C13506" t="s">
        <v>40463</v>
      </c>
      <c r="D13506" t="str">
        <f>HYPERLINK("https://zfin.org/ZDB-GENE-030131-9012")</f>
        <v>https://zfin.org/ZDB-GENE-030131-9012</v>
      </c>
      <c r="E13506" t="s">
        <v>40464</v>
      </c>
    </row>
    <row r="13507" spans="1:5" x14ac:dyDescent="0.2">
      <c r="A13507" t="s">
        <v>40465</v>
      </c>
      <c r="B13507" t="s">
        <v>40466</v>
      </c>
      <c r="C13507" t="s">
        <v>40466</v>
      </c>
      <c r="D13507" t="str">
        <f>HYPERLINK("https://zfin.org/ZDB-GENE-040912-104")</f>
        <v>https://zfin.org/ZDB-GENE-040912-104</v>
      </c>
      <c r="E13507" t="s">
        <v>40467</v>
      </c>
    </row>
    <row r="13508" spans="1:5" x14ac:dyDescent="0.2">
      <c r="A13508" t="s">
        <v>40468</v>
      </c>
      <c r="B13508" t="s">
        <v>40469</v>
      </c>
      <c r="C13508" t="s">
        <v>40469</v>
      </c>
      <c r="D13508" t="str">
        <f>HYPERLINK("https://zfin.org/ZDB-GENE-050913-1")</f>
        <v>https://zfin.org/ZDB-GENE-050913-1</v>
      </c>
      <c r="E13508" t="s">
        <v>40470</v>
      </c>
    </row>
    <row r="13509" spans="1:5" x14ac:dyDescent="0.2">
      <c r="A13509" t="s">
        <v>40471</v>
      </c>
      <c r="B13509" t="s">
        <v>40472</v>
      </c>
      <c r="C13509" t="s">
        <v>40472</v>
      </c>
      <c r="D13509" t="str">
        <f>HYPERLINK("https://zfin.org/ZDB-GENE-070808-2")</f>
        <v>https://zfin.org/ZDB-GENE-070808-2</v>
      </c>
      <c r="E13509" t="s">
        <v>40473</v>
      </c>
    </row>
    <row r="13510" spans="1:5" x14ac:dyDescent="0.2">
      <c r="A13510" t="s">
        <v>40474</v>
      </c>
      <c r="B13510" t="s">
        <v>40475</v>
      </c>
      <c r="C13510" t="s">
        <v>40475</v>
      </c>
      <c r="D13510" t="str">
        <f>HYPERLINK("https://zfin.org/")</f>
        <v>https://zfin.org/</v>
      </c>
      <c r="E13510" t="s">
        <v>40476</v>
      </c>
    </row>
    <row r="13511" spans="1:5" x14ac:dyDescent="0.2">
      <c r="A13511" t="s">
        <v>40477</v>
      </c>
      <c r="B13511" t="s">
        <v>40478</v>
      </c>
      <c r="C13511" t="s">
        <v>40478</v>
      </c>
      <c r="D13511" t="str">
        <f>HYPERLINK("https://zfin.org/ZDB-GENE-081016-1")</f>
        <v>https://zfin.org/ZDB-GENE-081016-1</v>
      </c>
      <c r="E13511" t="s">
        <v>40479</v>
      </c>
    </row>
    <row r="13512" spans="1:5" x14ac:dyDescent="0.2">
      <c r="A13512" t="s">
        <v>40480</v>
      </c>
      <c r="B13512" t="s">
        <v>40481</v>
      </c>
      <c r="C13512" t="s">
        <v>40481</v>
      </c>
      <c r="D13512" t="str">
        <f>HYPERLINK("https://zfin.org/")</f>
        <v>https://zfin.org/</v>
      </c>
    </row>
    <row r="13513" spans="1:5" x14ac:dyDescent="0.2">
      <c r="A13513" t="s">
        <v>40482</v>
      </c>
      <c r="B13513" t="s">
        <v>40483</v>
      </c>
      <c r="C13513" t="s">
        <v>40483</v>
      </c>
      <c r="D13513" t="str">
        <f>HYPERLINK("https://zfin.org/ZDB-GENE-070615-15")</f>
        <v>https://zfin.org/ZDB-GENE-070615-15</v>
      </c>
      <c r="E13513" t="s">
        <v>40484</v>
      </c>
    </row>
    <row r="13514" spans="1:5" x14ac:dyDescent="0.2">
      <c r="A13514" t="s">
        <v>40485</v>
      </c>
      <c r="B13514" t="s">
        <v>40486</v>
      </c>
      <c r="C13514" t="s">
        <v>40486</v>
      </c>
      <c r="D13514" t="str">
        <f>HYPERLINK("https://zfin.org/")</f>
        <v>https://zfin.org/</v>
      </c>
      <c r="E13514" t="s">
        <v>40487</v>
      </c>
    </row>
    <row r="13515" spans="1:5" x14ac:dyDescent="0.2">
      <c r="A13515" t="s">
        <v>40488</v>
      </c>
      <c r="B13515" t="s">
        <v>40489</v>
      </c>
      <c r="C13515" t="s">
        <v>40489</v>
      </c>
      <c r="D13515" t="str">
        <f>HYPERLINK("https://zfin.org/")</f>
        <v>https://zfin.org/</v>
      </c>
      <c r="E13515" t="s">
        <v>40490</v>
      </c>
    </row>
    <row r="13516" spans="1:5" x14ac:dyDescent="0.2">
      <c r="A13516" t="s">
        <v>40491</v>
      </c>
      <c r="B13516" t="s">
        <v>40492</v>
      </c>
      <c r="C13516" t="s">
        <v>40492</v>
      </c>
      <c r="D13516" t="str">
        <f>HYPERLINK("https://zfin.org/")</f>
        <v>https://zfin.org/</v>
      </c>
    </row>
    <row r="13517" spans="1:5" x14ac:dyDescent="0.2">
      <c r="A13517" t="s">
        <v>40493</v>
      </c>
      <c r="B13517" t="s">
        <v>40494</v>
      </c>
      <c r="C13517" t="s">
        <v>40494</v>
      </c>
      <c r="D13517" t="str">
        <f>HYPERLINK("https://zfin.org/")</f>
        <v>https://zfin.org/</v>
      </c>
    </row>
    <row r="13518" spans="1:5" x14ac:dyDescent="0.2">
      <c r="A13518" t="s">
        <v>40495</v>
      </c>
      <c r="B13518" t="s">
        <v>40496</v>
      </c>
      <c r="C13518" t="s">
        <v>40496</v>
      </c>
      <c r="D13518" t="str">
        <f>HYPERLINK("https://zfin.org/ZDB-GENE-030131-4824")</f>
        <v>https://zfin.org/ZDB-GENE-030131-4824</v>
      </c>
      <c r="E13518" t="s">
        <v>40497</v>
      </c>
    </row>
    <row r="13519" spans="1:5" x14ac:dyDescent="0.2">
      <c r="A13519" t="s">
        <v>40498</v>
      </c>
      <c r="B13519" t="s">
        <v>40499</v>
      </c>
      <c r="C13519" t="s">
        <v>40499</v>
      </c>
      <c r="D13519" t="str">
        <f>HYPERLINK("https://zfin.org/")</f>
        <v>https://zfin.org/</v>
      </c>
    </row>
    <row r="13520" spans="1:5" x14ac:dyDescent="0.2">
      <c r="A13520" t="s">
        <v>40500</v>
      </c>
      <c r="B13520" t="s">
        <v>40501</v>
      </c>
      <c r="C13520" t="s">
        <v>40501</v>
      </c>
      <c r="D13520" t="str">
        <f>HYPERLINK("https://zfin.org/ZDB-GENE-080204-104")</f>
        <v>https://zfin.org/ZDB-GENE-080204-104</v>
      </c>
      <c r="E13520" t="s">
        <v>40502</v>
      </c>
    </row>
    <row r="13521" spans="1:5" x14ac:dyDescent="0.2">
      <c r="A13521" t="s">
        <v>40503</v>
      </c>
      <c r="B13521" t="s">
        <v>40504</v>
      </c>
      <c r="C13521" t="s">
        <v>40504</v>
      </c>
      <c r="D13521" t="str">
        <f>HYPERLINK("https://zfin.org/ZDB-GENE-030616-127")</f>
        <v>https://zfin.org/ZDB-GENE-030616-127</v>
      </c>
      <c r="E13521" t="s">
        <v>40505</v>
      </c>
    </row>
    <row r="13522" spans="1:5" x14ac:dyDescent="0.2">
      <c r="A13522" t="s">
        <v>40506</v>
      </c>
      <c r="B13522" t="s">
        <v>40507</v>
      </c>
      <c r="C13522" t="s">
        <v>40507</v>
      </c>
      <c r="D13522" t="str">
        <f>HYPERLINK("https://zfin.org/")</f>
        <v>https://zfin.org/</v>
      </c>
    </row>
    <row r="13523" spans="1:5" x14ac:dyDescent="0.2">
      <c r="A13523" t="s">
        <v>40508</v>
      </c>
      <c r="B13523" t="s">
        <v>40509</v>
      </c>
      <c r="C13523" t="s">
        <v>40509</v>
      </c>
      <c r="D13523" t="str">
        <f>HYPERLINK("https://zfin.org/ZDB-GENE-030131-8742")</f>
        <v>https://zfin.org/ZDB-GENE-030131-8742</v>
      </c>
      <c r="E13523" t="s">
        <v>40510</v>
      </c>
    </row>
    <row r="13524" spans="1:5" x14ac:dyDescent="0.2">
      <c r="A13524" t="s">
        <v>40511</v>
      </c>
      <c r="B13524" t="s">
        <v>40512</v>
      </c>
      <c r="C13524" t="s">
        <v>40512</v>
      </c>
      <c r="D13524" t="str">
        <f>HYPERLINK("https://zfin.org/")</f>
        <v>https://zfin.org/</v>
      </c>
      <c r="E13524" t="s">
        <v>40513</v>
      </c>
    </row>
    <row r="13525" spans="1:5" x14ac:dyDescent="0.2">
      <c r="A13525" t="s">
        <v>40514</v>
      </c>
      <c r="B13525" t="s">
        <v>40515</v>
      </c>
      <c r="C13525" t="s">
        <v>40515</v>
      </c>
      <c r="D13525" t="str">
        <f>HYPERLINK("https://zfin.org/")</f>
        <v>https://zfin.org/</v>
      </c>
      <c r="E13525" t="s">
        <v>40516</v>
      </c>
    </row>
    <row r="13526" spans="1:5" x14ac:dyDescent="0.2">
      <c r="A13526" t="s">
        <v>40517</v>
      </c>
      <c r="B13526" t="s">
        <v>40518</v>
      </c>
      <c r="C13526" t="s">
        <v>40518</v>
      </c>
      <c r="D13526" t="str">
        <f>HYPERLINK("https://zfin.org/ZDB-GENE-040426-2197")</f>
        <v>https://zfin.org/ZDB-GENE-040426-2197</v>
      </c>
      <c r="E13526" t="s">
        <v>40519</v>
      </c>
    </row>
    <row r="13527" spans="1:5" x14ac:dyDescent="0.2">
      <c r="A13527" t="s">
        <v>40520</v>
      </c>
      <c r="B13527" t="s">
        <v>40521</v>
      </c>
      <c r="C13527" t="s">
        <v>40521</v>
      </c>
      <c r="D13527" t="str">
        <f>HYPERLINK("https://zfin.org/ZDB-GENE-041010-178")</f>
        <v>https://zfin.org/ZDB-GENE-041010-178</v>
      </c>
      <c r="E13527" t="s">
        <v>40522</v>
      </c>
    </row>
    <row r="13528" spans="1:5" x14ac:dyDescent="0.2">
      <c r="A13528" t="s">
        <v>40523</v>
      </c>
      <c r="B13528" t="s">
        <v>20842</v>
      </c>
      <c r="C13528" t="s">
        <v>40524</v>
      </c>
      <c r="D13528" t="str">
        <f>HYPERLINK("https://zfin.org/ZDB-GENE-050913-139")</f>
        <v>https://zfin.org/ZDB-GENE-050913-139</v>
      </c>
      <c r="E13528" t="s">
        <v>20843</v>
      </c>
    </row>
    <row r="13529" spans="1:5" x14ac:dyDescent="0.2">
      <c r="A13529" t="s">
        <v>40525</v>
      </c>
      <c r="B13529" t="s">
        <v>40526</v>
      </c>
      <c r="C13529" t="s">
        <v>40526</v>
      </c>
      <c r="D13529" t="str">
        <f>HYPERLINK("https://zfin.org/")</f>
        <v>https://zfin.org/</v>
      </c>
    </row>
    <row r="13530" spans="1:5" x14ac:dyDescent="0.2">
      <c r="A13530" t="s">
        <v>40527</v>
      </c>
      <c r="B13530" t="s">
        <v>40528</v>
      </c>
      <c r="C13530" t="s">
        <v>40528</v>
      </c>
      <c r="D13530" t="str">
        <f>HYPERLINK("https://zfin.org/")</f>
        <v>https://zfin.org/</v>
      </c>
    </row>
    <row r="13531" spans="1:5" x14ac:dyDescent="0.2">
      <c r="A13531" t="s">
        <v>40529</v>
      </c>
      <c r="B13531" t="s">
        <v>40530</v>
      </c>
      <c r="C13531" t="s">
        <v>40530</v>
      </c>
      <c r="D13531" t="str">
        <f>HYPERLINK("https://zfin.org/")</f>
        <v>https://zfin.org/</v>
      </c>
      <c r="E13531" t="s">
        <v>40531</v>
      </c>
    </row>
    <row r="13532" spans="1:5" x14ac:dyDescent="0.2">
      <c r="A13532" t="s">
        <v>40532</v>
      </c>
      <c r="B13532" t="s">
        <v>625</v>
      </c>
      <c r="C13532" t="s">
        <v>40533</v>
      </c>
      <c r="D13532" t="str">
        <f>HYPERLINK("https://zfin.org/")</f>
        <v>https://zfin.org/</v>
      </c>
      <c r="E13532" t="s">
        <v>40534</v>
      </c>
    </row>
    <row r="13533" spans="1:5" x14ac:dyDescent="0.2">
      <c r="A13533" t="s">
        <v>40535</v>
      </c>
      <c r="B13533" t="s">
        <v>40536</v>
      </c>
      <c r="C13533" t="s">
        <v>40536</v>
      </c>
      <c r="D13533" t="str">
        <f>HYPERLINK("https://zfin.org/ZDB-GENE-040718-385")</f>
        <v>https://zfin.org/ZDB-GENE-040718-385</v>
      </c>
      <c r="E13533" t="s">
        <v>40537</v>
      </c>
    </row>
    <row r="13534" spans="1:5" x14ac:dyDescent="0.2">
      <c r="A13534" t="s">
        <v>40538</v>
      </c>
      <c r="B13534" t="s">
        <v>40539</v>
      </c>
      <c r="C13534" t="s">
        <v>40539</v>
      </c>
      <c r="D13534" t="str">
        <f>HYPERLINK("https://zfin.org/ZDB-GENE-040426-1478")</f>
        <v>https://zfin.org/ZDB-GENE-040426-1478</v>
      </c>
      <c r="E13534" t="s">
        <v>40540</v>
      </c>
    </row>
    <row r="13535" spans="1:5" x14ac:dyDescent="0.2">
      <c r="A13535" t="s">
        <v>40541</v>
      </c>
      <c r="B13535" t="s">
        <v>40542</v>
      </c>
      <c r="C13535" t="s">
        <v>40542</v>
      </c>
      <c r="D13535" t="str">
        <f>HYPERLINK("https://zfin.org/")</f>
        <v>https://zfin.org/</v>
      </c>
      <c r="E13535" t="s">
        <v>40543</v>
      </c>
    </row>
    <row r="13536" spans="1:5" x14ac:dyDescent="0.2">
      <c r="A13536" t="s">
        <v>40544</v>
      </c>
      <c r="B13536" t="s">
        <v>40545</v>
      </c>
      <c r="C13536" t="s">
        <v>40545</v>
      </c>
      <c r="D13536" t="str">
        <f>HYPERLINK("https://zfin.org/ZDB-GENE-070410-25")</f>
        <v>https://zfin.org/ZDB-GENE-070410-25</v>
      </c>
      <c r="E13536" t="s">
        <v>40546</v>
      </c>
    </row>
    <row r="13537" spans="1:5" x14ac:dyDescent="0.2">
      <c r="A13537" t="s">
        <v>40547</v>
      </c>
      <c r="B13537" t="s">
        <v>40548</v>
      </c>
      <c r="C13537" t="s">
        <v>40548</v>
      </c>
      <c r="D13537" t="str">
        <f>HYPERLINK("https://zfin.org/ZDB-GENE-040202-1")</f>
        <v>https://zfin.org/ZDB-GENE-040202-1</v>
      </c>
      <c r="E13537" t="s">
        <v>40549</v>
      </c>
    </row>
    <row r="13538" spans="1:5" x14ac:dyDescent="0.2">
      <c r="A13538" t="s">
        <v>40550</v>
      </c>
      <c r="B13538" t="s">
        <v>40551</v>
      </c>
      <c r="C13538" t="s">
        <v>40551</v>
      </c>
      <c r="D13538" t="str">
        <f>HYPERLINK("https://zfin.org/ZDB-GENE-040426-1464")</f>
        <v>https://zfin.org/ZDB-GENE-040426-1464</v>
      </c>
      <c r="E13538" t="s">
        <v>40552</v>
      </c>
    </row>
    <row r="13539" spans="1:5" x14ac:dyDescent="0.2">
      <c r="A13539" t="s">
        <v>40553</v>
      </c>
      <c r="B13539" t="s">
        <v>40554</v>
      </c>
      <c r="C13539" t="s">
        <v>40554</v>
      </c>
      <c r="D13539" t="str">
        <f>HYPERLINK("https://zfin.org/")</f>
        <v>https://zfin.org/</v>
      </c>
    </row>
    <row r="13540" spans="1:5" x14ac:dyDescent="0.2">
      <c r="A13540" t="s">
        <v>40555</v>
      </c>
      <c r="B13540" t="s">
        <v>40556</v>
      </c>
      <c r="C13540" t="s">
        <v>40556</v>
      </c>
      <c r="D13540" t="str">
        <f>HYPERLINK("https://zfin.org/ZDB-GENE-060519-9")</f>
        <v>https://zfin.org/ZDB-GENE-060519-9</v>
      </c>
      <c r="E13540" t="s">
        <v>40557</v>
      </c>
    </row>
    <row r="13541" spans="1:5" x14ac:dyDescent="0.2">
      <c r="A13541" t="s">
        <v>40558</v>
      </c>
      <c r="B13541" t="s">
        <v>40559</v>
      </c>
      <c r="C13541" t="s">
        <v>40559</v>
      </c>
      <c r="D13541" t="str">
        <f>HYPERLINK("https://zfin.org/")</f>
        <v>https://zfin.org/</v>
      </c>
      <c r="E13541" t="s">
        <v>40560</v>
      </c>
    </row>
    <row r="13542" spans="1:5" x14ac:dyDescent="0.2">
      <c r="A13542" t="s">
        <v>40561</v>
      </c>
      <c r="B13542" t="s">
        <v>40562</v>
      </c>
      <c r="C13542" t="s">
        <v>40562</v>
      </c>
      <c r="D13542" t="str">
        <f>HYPERLINK("https://zfin.org/")</f>
        <v>https://zfin.org/</v>
      </c>
      <c r="E13542" t="s">
        <v>40563</v>
      </c>
    </row>
    <row r="13543" spans="1:5" x14ac:dyDescent="0.2">
      <c r="A13543" t="s">
        <v>40564</v>
      </c>
      <c r="B13543" t="s">
        <v>40565</v>
      </c>
      <c r="C13543" t="s">
        <v>40565</v>
      </c>
      <c r="D13543" t="str">
        <f>HYPERLINK("https://zfin.org/")</f>
        <v>https://zfin.org/</v>
      </c>
      <c r="E13543" t="s">
        <v>40566</v>
      </c>
    </row>
    <row r="13544" spans="1:5" x14ac:dyDescent="0.2">
      <c r="A13544" t="s">
        <v>40567</v>
      </c>
      <c r="B13544" t="s">
        <v>40568</v>
      </c>
      <c r="C13544" t="s">
        <v>40568</v>
      </c>
      <c r="D13544" t="str">
        <f>HYPERLINK("https://zfin.org/ZDB-GENE-071004-57")</f>
        <v>https://zfin.org/ZDB-GENE-071004-57</v>
      </c>
      <c r="E13544" t="s">
        <v>40569</v>
      </c>
    </row>
    <row r="13545" spans="1:5" x14ac:dyDescent="0.2">
      <c r="A13545" t="s">
        <v>40570</v>
      </c>
      <c r="B13545" t="s">
        <v>40571</v>
      </c>
      <c r="C13545" t="s">
        <v>40571</v>
      </c>
      <c r="D13545" t="str">
        <f>HYPERLINK("https://zfin.org/")</f>
        <v>https://zfin.org/</v>
      </c>
    </row>
    <row r="13546" spans="1:5" x14ac:dyDescent="0.2">
      <c r="A13546" t="s">
        <v>40572</v>
      </c>
      <c r="B13546" t="s">
        <v>40573</v>
      </c>
      <c r="C13546" t="s">
        <v>40573</v>
      </c>
      <c r="D13546" t="str">
        <f>HYPERLINK("https://zfin.org/")</f>
        <v>https://zfin.org/</v>
      </c>
    </row>
    <row r="13547" spans="1:5" x14ac:dyDescent="0.2">
      <c r="A13547" t="s">
        <v>40574</v>
      </c>
      <c r="B13547" t="s">
        <v>40575</v>
      </c>
      <c r="C13547" t="s">
        <v>40575</v>
      </c>
      <c r="D13547" t="str">
        <f>HYPERLINK("https://zfin.org/")</f>
        <v>https://zfin.org/</v>
      </c>
      <c r="E13547" t="s">
        <v>40576</v>
      </c>
    </row>
    <row r="13548" spans="1:5" x14ac:dyDescent="0.2">
      <c r="A13548" t="s">
        <v>40577</v>
      </c>
      <c r="B13548" t="s">
        <v>40578</v>
      </c>
      <c r="C13548" t="s">
        <v>40578</v>
      </c>
      <c r="D13548" t="str">
        <f>HYPERLINK("https://zfin.org/ZDB-GENE-081022-132")</f>
        <v>https://zfin.org/ZDB-GENE-081022-132</v>
      </c>
      <c r="E13548" t="s">
        <v>40579</v>
      </c>
    </row>
    <row r="13549" spans="1:5" x14ac:dyDescent="0.2">
      <c r="A13549" t="s">
        <v>40580</v>
      </c>
      <c r="B13549" t="s">
        <v>40581</v>
      </c>
      <c r="C13549" t="s">
        <v>40581</v>
      </c>
      <c r="D13549" t="str">
        <f>HYPERLINK("https://zfin.org/ZDB-GENE-061103-271")</f>
        <v>https://zfin.org/ZDB-GENE-061103-271</v>
      </c>
      <c r="E13549" t="s">
        <v>40582</v>
      </c>
    </row>
    <row r="13550" spans="1:5" x14ac:dyDescent="0.2">
      <c r="A13550" t="s">
        <v>40583</v>
      </c>
      <c r="B13550" t="s">
        <v>40584</v>
      </c>
      <c r="C13550" t="s">
        <v>40584</v>
      </c>
      <c r="D13550" t="str">
        <f>HYPERLINK("https://zfin.org/")</f>
        <v>https://zfin.org/</v>
      </c>
      <c r="E13550" t="s">
        <v>40585</v>
      </c>
    </row>
    <row r="13551" spans="1:5" x14ac:dyDescent="0.2">
      <c r="A13551" t="s">
        <v>40586</v>
      </c>
      <c r="B13551" t="s">
        <v>40587</v>
      </c>
      <c r="C13551" t="s">
        <v>40587</v>
      </c>
      <c r="D13551" t="str">
        <f>HYPERLINK("https://zfin.org/")</f>
        <v>https://zfin.org/</v>
      </c>
    </row>
    <row r="13552" spans="1:5" x14ac:dyDescent="0.2">
      <c r="A13552" t="s">
        <v>40588</v>
      </c>
      <c r="B13552" t="s">
        <v>40589</v>
      </c>
      <c r="C13552" t="s">
        <v>40589</v>
      </c>
      <c r="D13552" t="str">
        <f>HYPERLINK("https://zfin.org/")</f>
        <v>https://zfin.org/</v>
      </c>
      <c r="E13552" t="s">
        <v>40590</v>
      </c>
    </row>
    <row r="13553" spans="1:5" x14ac:dyDescent="0.2">
      <c r="A13553" t="s">
        <v>40591</v>
      </c>
      <c r="B13553" t="s">
        <v>40592</v>
      </c>
      <c r="C13553" t="s">
        <v>40592</v>
      </c>
      <c r="D13553" t="str">
        <f>HYPERLINK("https://zfin.org/ZDB-GENE-110304-3")</f>
        <v>https://zfin.org/ZDB-GENE-110304-3</v>
      </c>
      <c r="E13553" t="s">
        <v>40593</v>
      </c>
    </row>
    <row r="13554" spans="1:5" x14ac:dyDescent="0.2">
      <c r="A13554" t="s">
        <v>40594</v>
      </c>
      <c r="B13554" t="s">
        <v>40595</v>
      </c>
      <c r="C13554" t="s">
        <v>40595</v>
      </c>
      <c r="D13554" t="str">
        <f>HYPERLINK("https://zfin.org/ZDB-GENE-081022-34")</f>
        <v>https://zfin.org/ZDB-GENE-081022-34</v>
      </c>
      <c r="E13554" t="s">
        <v>40596</v>
      </c>
    </row>
    <row r="13555" spans="1:5" x14ac:dyDescent="0.2">
      <c r="A13555" t="s">
        <v>40597</v>
      </c>
      <c r="B13555" t="s">
        <v>40598</v>
      </c>
      <c r="C13555" t="s">
        <v>40598</v>
      </c>
      <c r="D13555" t="str">
        <f>HYPERLINK("https://zfin.org/ZDB-GENE-040227-1")</f>
        <v>https://zfin.org/ZDB-GENE-040227-1</v>
      </c>
      <c r="E13555" t="s">
        <v>40599</v>
      </c>
    </row>
    <row r="13556" spans="1:5" x14ac:dyDescent="0.2">
      <c r="A13556" t="s">
        <v>40600</v>
      </c>
      <c r="B13556" t="s">
        <v>40601</v>
      </c>
      <c r="C13556" t="s">
        <v>40601</v>
      </c>
      <c r="D13556" t="str">
        <f>HYPERLINK("https://zfin.org/ZDB-GENE-090915-4")</f>
        <v>https://zfin.org/ZDB-GENE-090915-4</v>
      </c>
      <c r="E13556" t="s">
        <v>40602</v>
      </c>
    </row>
    <row r="13557" spans="1:5" x14ac:dyDescent="0.2">
      <c r="A13557" t="s">
        <v>40603</v>
      </c>
      <c r="B13557" t="s">
        <v>40604</v>
      </c>
      <c r="C13557" t="s">
        <v>40604</v>
      </c>
      <c r="D13557" t="str">
        <f>HYPERLINK("https://zfin.org/")</f>
        <v>https://zfin.org/</v>
      </c>
      <c r="E13557" t="s">
        <v>40605</v>
      </c>
    </row>
    <row r="13558" spans="1:5" x14ac:dyDescent="0.2">
      <c r="A13558" t="s">
        <v>40606</v>
      </c>
      <c r="B13558" t="s">
        <v>40607</v>
      </c>
      <c r="C13558" t="s">
        <v>40607</v>
      </c>
      <c r="D13558" t="str">
        <f>HYPERLINK("https://zfin.org/")</f>
        <v>https://zfin.org/</v>
      </c>
      <c r="E13558" t="s">
        <v>40608</v>
      </c>
    </row>
    <row r="13559" spans="1:5" x14ac:dyDescent="0.2">
      <c r="A13559" t="s">
        <v>40609</v>
      </c>
      <c r="B13559" t="s">
        <v>40610</v>
      </c>
      <c r="C13559" t="s">
        <v>40610</v>
      </c>
      <c r="D13559" t="str">
        <f>HYPERLINK("https://zfin.org/ZDB-GENE-041010-167")</f>
        <v>https://zfin.org/ZDB-GENE-041010-167</v>
      </c>
      <c r="E13559" t="s">
        <v>40611</v>
      </c>
    </row>
    <row r="13560" spans="1:5" x14ac:dyDescent="0.2">
      <c r="A13560" t="s">
        <v>40612</v>
      </c>
      <c r="B13560" t="s">
        <v>40613</v>
      </c>
      <c r="C13560" t="s">
        <v>40613</v>
      </c>
      <c r="D13560" t="str">
        <f>HYPERLINK("https://zfin.org/")</f>
        <v>https://zfin.org/</v>
      </c>
      <c r="E13560" t="s">
        <v>40614</v>
      </c>
    </row>
    <row r="13561" spans="1:5" x14ac:dyDescent="0.2">
      <c r="A13561" t="s">
        <v>40615</v>
      </c>
      <c r="B13561" t="s">
        <v>40616</v>
      </c>
      <c r="C13561" t="s">
        <v>40616</v>
      </c>
      <c r="D13561" t="str">
        <f>HYPERLINK("https://zfin.org/")</f>
        <v>https://zfin.org/</v>
      </c>
      <c r="E13561" t="s">
        <v>40617</v>
      </c>
    </row>
    <row r="13562" spans="1:5" x14ac:dyDescent="0.2">
      <c r="A13562" t="s">
        <v>40618</v>
      </c>
      <c r="B13562" t="s">
        <v>40619</v>
      </c>
      <c r="C13562" t="s">
        <v>40619</v>
      </c>
      <c r="D13562" t="str">
        <f>HYPERLINK("https://zfin.org/ZDB-GENE-051113-116")</f>
        <v>https://zfin.org/ZDB-GENE-051113-116</v>
      </c>
      <c r="E13562" t="s">
        <v>40620</v>
      </c>
    </row>
    <row r="13563" spans="1:5" x14ac:dyDescent="0.2">
      <c r="A13563" t="s">
        <v>40621</v>
      </c>
      <c r="B13563" t="s">
        <v>40622</v>
      </c>
      <c r="C13563" t="s">
        <v>40622</v>
      </c>
      <c r="D13563" t="str">
        <f>HYPERLINK("https://zfin.org/")</f>
        <v>https://zfin.org/</v>
      </c>
      <c r="E13563" t="s">
        <v>40623</v>
      </c>
    </row>
    <row r="13564" spans="1:5" x14ac:dyDescent="0.2">
      <c r="A13564" t="s">
        <v>40624</v>
      </c>
      <c r="B13564" t="s">
        <v>40625</v>
      </c>
      <c r="C13564" t="s">
        <v>40625</v>
      </c>
      <c r="D13564" t="str">
        <f>HYPERLINK("https://zfin.org/ZDB-GENE-040426-1460")</f>
        <v>https://zfin.org/ZDB-GENE-040426-1460</v>
      </c>
      <c r="E13564" t="s">
        <v>40626</v>
      </c>
    </row>
    <row r="13565" spans="1:5" x14ac:dyDescent="0.2">
      <c r="A13565" t="s">
        <v>40627</v>
      </c>
      <c r="B13565" t="s">
        <v>40628</v>
      </c>
      <c r="C13565" t="s">
        <v>40628</v>
      </c>
      <c r="D13565" t="str">
        <f>HYPERLINK("https://zfin.org/ZDB-GENE-040912-39")</f>
        <v>https://zfin.org/ZDB-GENE-040912-39</v>
      </c>
      <c r="E13565" t="s">
        <v>40629</v>
      </c>
    </row>
    <row r="13566" spans="1:5" x14ac:dyDescent="0.2">
      <c r="A13566" t="s">
        <v>40630</v>
      </c>
      <c r="B13566" t="s">
        <v>40631</v>
      </c>
      <c r="C13566" t="s">
        <v>40631</v>
      </c>
      <c r="D13566" t="str">
        <f>HYPERLINK("https://zfin.org/")</f>
        <v>https://zfin.org/</v>
      </c>
    </row>
    <row r="13567" spans="1:5" x14ac:dyDescent="0.2">
      <c r="A13567" t="s">
        <v>40632</v>
      </c>
      <c r="B13567" t="s">
        <v>40633</v>
      </c>
      <c r="C13567" t="s">
        <v>40633</v>
      </c>
      <c r="D13567" t="str">
        <f>HYPERLINK("https://zfin.org/ZDB-GENE-050417-373")</f>
        <v>https://zfin.org/ZDB-GENE-050417-373</v>
      </c>
      <c r="E13567" t="s">
        <v>40634</v>
      </c>
    </row>
    <row r="13568" spans="1:5" x14ac:dyDescent="0.2">
      <c r="A13568" t="s">
        <v>40635</v>
      </c>
      <c r="B13568" t="s">
        <v>40636</v>
      </c>
      <c r="C13568" t="s">
        <v>40636</v>
      </c>
      <c r="D13568" t="str">
        <f>HYPERLINK("https://zfin.org/ZDB-GENE-061103-559")</f>
        <v>https://zfin.org/ZDB-GENE-061103-559</v>
      </c>
      <c r="E13568" t="s">
        <v>40637</v>
      </c>
    </row>
    <row r="13569" spans="1:5" x14ac:dyDescent="0.2">
      <c r="A13569" t="s">
        <v>40638</v>
      </c>
      <c r="B13569" t="s">
        <v>40639</v>
      </c>
      <c r="C13569" t="s">
        <v>40639</v>
      </c>
      <c r="D13569" t="str">
        <f>HYPERLINK("https://zfin.org/ZDB-GENE-060825-117")</f>
        <v>https://zfin.org/ZDB-GENE-060825-117</v>
      </c>
      <c r="E13569" t="s">
        <v>40640</v>
      </c>
    </row>
    <row r="13570" spans="1:5" x14ac:dyDescent="0.2">
      <c r="A13570" t="s">
        <v>40641</v>
      </c>
      <c r="B13570" t="s">
        <v>40642</v>
      </c>
      <c r="C13570" t="s">
        <v>40642</v>
      </c>
      <c r="D13570" t="str">
        <f>HYPERLINK("https://zfin.org/")</f>
        <v>https://zfin.org/</v>
      </c>
    </row>
    <row r="13571" spans="1:5" x14ac:dyDescent="0.2">
      <c r="A13571" t="s">
        <v>40643</v>
      </c>
      <c r="B13571" t="s">
        <v>40644</v>
      </c>
      <c r="C13571" t="s">
        <v>40644</v>
      </c>
      <c r="D13571" t="str">
        <f>HYPERLINK("https://zfin.org/")</f>
        <v>https://zfin.org/</v>
      </c>
    </row>
    <row r="13572" spans="1:5" x14ac:dyDescent="0.2">
      <c r="A13572" t="s">
        <v>40645</v>
      </c>
      <c r="B13572" t="s">
        <v>40646</v>
      </c>
      <c r="C13572" t="s">
        <v>40646</v>
      </c>
      <c r="D13572" t="str">
        <f>HYPERLINK("https://zfin.org/ZDB-GENE-100629-3")</f>
        <v>https://zfin.org/ZDB-GENE-100629-3</v>
      </c>
      <c r="E13572" t="s">
        <v>40647</v>
      </c>
    </row>
    <row r="13573" spans="1:5" x14ac:dyDescent="0.2">
      <c r="A13573" t="s">
        <v>40648</v>
      </c>
      <c r="B13573" t="s">
        <v>40649</v>
      </c>
      <c r="C13573" t="s">
        <v>40649</v>
      </c>
      <c r="D13573" t="str">
        <f t="shared" ref="D13573:D13579" si="0">HYPERLINK("https://zfin.org/")</f>
        <v>https://zfin.org/</v>
      </c>
      <c r="E13573" t="s">
        <v>40650</v>
      </c>
    </row>
    <row r="13574" spans="1:5" x14ac:dyDescent="0.2">
      <c r="A13574" t="s">
        <v>40651</v>
      </c>
      <c r="B13574" t="s">
        <v>40652</v>
      </c>
      <c r="C13574" t="s">
        <v>40652</v>
      </c>
      <c r="D13574" t="str">
        <f t="shared" si="0"/>
        <v>https://zfin.org/</v>
      </c>
      <c r="E13574" t="s">
        <v>40653</v>
      </c>
    </row>
    <row r="13575" spans="1:5" x14ac:dyDescent="0.2">
      <c r="A13575" t="s">
        <v>40654</v>
      </c>
      <c r="B13575" t="s">
        <v>40655</v>
      </c>
      <c r="C13575" t="s">
        <v>40655</v>
      </c>
      <c r="D13575" t="str">
        <f t="shared" si="0"/>
        <v>https://zfin.org/</v>
      </c>
    </row>
    <row r="13576" spans="1:5" x14ac:dyDescent="0.2">
      <c r="A13576" t="s">
        <v>40656</v>
      </c>
      <c r="B13576" t="s">
        <v>40657</v>
      </c>
      <c r="C13576" t="s">
        <v>40657</v>
      </c>
      <c r="D13576" t="str">
        <f t="shared" si="0"/>
        <v>https://zfin.org/</v>
      </c>
    </row>
    <row r="13577" spans="1:5" x14ac:dyDescent="0.2">
      <c r="A13577" t="s">
        <v>40658</v>
      </c>
      <c r="B13577" t="s">
        <v>40659</v>
      </c>
      <c r="C13577" t="s">
        <v>40659</v>
      </c>
      <c r="D13577" t="str">
        <f t="shared" si="0"/>
        <v>https://zfin.org/</v>
      </c>
    </row>
    <row r="13578" spans="1:5" x14ac:dyDescent="0.2">
      <c r="A13578" t="s">
        <v>40660</v>
      </c>
      <c r="B13578" t="s">
        <v>40661</v>
      </c>
      <c r="C13578" t="s">
        <v>40661</v>
      </c>
      <c r="D13578" t="str">
        <f t="shared" si="0"/>
        <v>https://zfin.org/</v>
      </c>
    </row>
    <row r="13579" spans="1:5" x14ac:dyDescent="0.2">
      <c r="A13579" t="s">
        <v>40662</v>
      </c>
      <c r="B13579" t="s">
        <v>40663</v>
      </c>
      <c r="C13579" t="s">
        <v>40663</v>
      </c>
      <c r="D13579" t="str">
        <f t="shared" si="0"/>
        <v>https://zfin.org/</v>
      </c>
      <c r="E13579" t="s">
        <v>40664</v>
      </c>
    </row>
    <row r="13580" spans="1:5" x14ac:dyDescent="0.2">
      <c r="A13580" t="s">
        <v>40665</v>
      </c>
      <c r="B13580" t="s">
        <v>40666</v>
      </c>
      <c r="C13580" t="s">
        <v>40666</v>
      </c>
      <c r="D13580" t="str">
        <f>HYPERLINK("https://zfin.org/ZDB-GENE-040718-373")</f>
        <v>https://zfin.org/ZDB-GENE-040718-373</v>
      </c>
      <c r="E13580" t="s">
        <v>40667</v>
      </c>
    </row>
    <row r="13581" spans="1:5" x14ac:dyDescent="0.2">
      <c r="A13581" t="s">
        <v>40668</v>
      </c>
      <c r="B13581" t="s">
        <v>40669</v>
      </c>
      <c r="C13581" t="s">
        <v>40669</v>
      </c>
      <c r="D13581" t="str">
        <f>HYPERLINK("https://zfin.org/ZDB-GENE-080305-8")</f>
        <v>https://zfin.org/ZDB-GENE-080305-8</v>
      </c>
      <c r="E13581" t="s">
        <v>40670</v>
      </c>
    </row>
    <row r="13582" spans="1:5" x14ac:dyDescent="0.2">
      <c r="A13582" t="s">
        <v>40671</v>
      </c>
      <c r="B13582" t="s">
        <v>40672</v>
      </c>
      <c r="C13582" t="s">
        <v>40672</v>
      </c>
      <c r="D13582" t="str">
        <f>HYPERLINK("https://zfin.org/")</f>
        <v>https://zfin.org/</v>
      </c>
      <c r="E13582" t="s">
        <v>40673</v>
      </c>
    </row>
    <row r="13583" spans="1:5" x14ac:dyDescent="0.2">
      <c r="A13583" t="s">
        <v>40674</v>
      </c>
      <c r="B13583" t="s">
        <v>40675</v>
      </c>
      <c r="C13583" t="s">
        <v>40675</v>
      </c>
      <c r="D13583" t="str">
        <f>HYPERLINK("https://zfin.org/")</f>
        <v>https://zfin.org/</v>
      </c>
    </row>
    <row r="13584" spans="1:5" x14ac:dyDescent="0.2">
      <c r="A13584" t="s">
        <v>40676</v>
      </c>
      <c r="B13584" t="s">
        <v>40677</v>
      </c>
      <c r="C13584" t="s">
        <v>40677</v>
      </c>
      <c r="D13584" t="str">
        <f>HYPERLINK("https://zfin.org/ZDB-GENE-050320-55")</f>
        <v>https://zfin.org/ZDB-GENE-050320-55</v>
      </c>
      <c r="E13584" t="s">
        <v>40678</v>
      </c>
    </row>
    <row r="13585" spans="1:5" x14ac:dyDescent="0.2">
      <c r="A13585" t="s">
        <v>40679</v>
      </c>
      <c r="B13585" t="s">
        <v>40680</v>
      </c>
      <c r="C13585" t="s">
        <v>40680</v>
      </c>
      <c r="D13585" t="str">
        <f>HYPERLINK("https://zfin.org/ZDB-GENE-040426-1443")</f>
        <v>https://zfin.org/ZDB-GENE-040426-1443</v>
      </c>
      <c r="E13585" t="s">
        <v>40681</v>
      </c>
    </row>
    <row r="13586" spans="1:5" x14ac:dyDescent="0.2">
      <c r="A13586" t="s">
        <v>40682</v>
      </c>
      <c r="B13586" t="s">
        <v>40683</v>
      </c>
      <c r="C13586" t="s">
        <v>40683</v>
      </c>
      <c r="D13586" t="str">
        <f>HYPERLINK("https://zfin.org/ZDB-GENE-051120-39")</f>
        <v>https://zfin.org/ZDB-GENE-051120-39</v>
      </c>
      <c r="E13586" t="s">
        <v>40684</v>
      </c>
    </row>
    <row r="13587" spans="1:5" x14ac:dyDescent="0.2">
      <c r="A13587" t="s">
        <v>40685</v>
      </c>
      <c r="B13587" t="s">
        <v>40686</v>
      </c>
      <c r="C13587" t="s">
        <v>40686</v>
      </c>
      <c r="D13587" t="str">
        <f>HYPERLINK("https://zfin.org/ZDB-GENE-050522-225")</f>
        <v>https://zfin.org/ZDB-GENE-050522-225</v>
      </c>
      <c r="E13587" t="s">
        <v>40687</v>
      </c>
    </row>
    <row r="13588" spans="1:5" x14ac:dyDescent="0.2">
      <c r="A13588" t="s">
        <v>40688</v>
      </c>
      <c r="B13588" t="s">
        <v>40689</v>
      </c>
      <c r="C13588" t="s">
        <v>40689</v>
      </c>
      <c r="D13588" t="str">
        <f>HYPERLINK("https://zfin.org/ZDB-GENE-080410-1")</f>
        <v>https://zfin.org/ZDB-GENE-080410-1</v>
      </c>
      <c r="E13588" t="s">
        <v>40690</v>
      </c>
    </row>
    <row r="13589" spans="1:5" x14ac:dyDescent="0.2">
      <c r="A13589" t="s">
        <v>40691</v>
      </c>
      <c r="B13589" t="s">
        <v>40692</v>
      </c>
      <c r="C13589" t="s">
        <v>40692</v>
      </c>
      <c r="D13589" t="str">
        <f>HYPERLINK("https://zfin.org/")</f>
        <v>https://zfin.org/</v>
      </c>
    </row>
    <row r="13590" spans="1:5" x14ac:dyDescent="0.2">
      <c r="A13590" t="s">
        <v>40693</v>
      </c>
      <c r="B13590" t="s">
        <v>40694</v>
      </c>
      <c r="C13590" t="s">
        <v>40694</v>
      </c>
      <c r="D13590" t="str">
        <f>HYPERLINK("https://zfin.org/")</f>
        <v>https://zfin.org/</v>
      </c>
    </row>
    <row r="13591" spans="1:5" x14ac:dyDescent="0.2">
      <c r="A13591" t="s">
        <v>40695</v>
      </c>
      <c r="B13591" t="s">
        <v>40696</v>
      </c>
      <c r="C13591" t="s">
        <v>40696</v>
      </c>
      <c r="D13591" t="str">
        <f>HYPERLINK("https://zfin.org/ZDB-GENE-090917-1")</f>
        <v>https://zfin.org/ZDB-GENE-090917-1</v>
      </c>
      <c r="E13591" t="s">
        <v>40697</v>
      </c>
    </row>
    <row r="13592" spans="1:5" x14ac:dyDescent="0.2">
      <c r="A13592" t="s">
        <v>40698</v>
      </c>
      <c r="B13592" t="s">
        <v>40699</v>
      </c>
      <c r="C13592" t="s">
        <v>40699</v>
      </c>
      <c r="D13592" t="str">
        <f>HYPERLINK("https://zfin.org/")</f>
        <v>https://zfin.org/</v>
      </c>
    </row>
    <row r="13593" spans="1:5" x14ac:dyDescent="0.2">
      <c r="A13593" t="s">
        <v>40700</v>
      </c>
      <c r="B13593" t="s">
        <v>40701</v>
      </c>
      <c r="C13593" t="s">
        <v>40701</v>
      </c>
      <c r="D13593" t="str">
        <f>HYPERLINK("https://zfin.org/")</f>
        <v>https://zfin.org/</v>
      </c>
      <c r="E13593" t="s">
        <v>40702</v>
      </c>
    </row>
    <row r="13594" spans="1:5" x14ac:dyDescent="0.2">
      <c r="A13594" t="s">
        <v>40703</v>
      </c>
      <c r="B13594" t="s">
        <v>40704</v>
      </c>
      <c r="C13594" t="s">
        <v>40704</v>
      </c>
      <c r="D13594" t="str">
        <f>HYPERLINK("https://zfin.org/ZDB-GENE-130723-1")</f>
        <v>https://zfin.org/ZDB-GENE-130723-1</v>
      </c>
      <c r="E13594" t="s">
        <v>40705</v>
      </c>
    </row>
    <row r="13595" spans="1:5" x14ac:dyDescent="0.2">
      <c r="A13595" t="s">
        <v>40706</v>
      </c>
      <c r="B13595" t="s">
        <v>40707</v>
      </c>
      <c r="C13595" t="s">
        <v>40707</v>
      </c>
      <c r="D13595" t="str">
        <f>HYPERLINK("https://zfin.org/ZDB-GENE-061103-607")</f>
        <v>https://zfin.org/ZDB-GENE-061103-607</v>
      </c>
      <c r="E13595" t="s">
        <v>40708</v>
      </c>
    </row>
    <row r="13596" spans="1:5" x14ac:dyDescent="0.2">
      <c r="A13596" t="s">
        <v>40709</v>
      </c>
      <c r="B13596" t="s">
        <v>40710</v>
      </c>
      <c r="C13596" t="s">
        <v>40710</v>
      </c>
      <c r="D13596" t="str">
        <f>HYPERLINK("https://zfin.org/ZDB-GENE-040718-387")</f>
        <v>https://zfin.org/ZDB-GENE-040718-387</v>
      </c>
      <c r="E13596" t="s">
        <v>40711</v>
      </c>
    </row>
    <row r="13597" spans="1:5" x14ac:dyDescent="0.2">
      <c r="A13597" t="s">
        <v>40712</v>
      </c>
      <c r="B13597" t="s">
        <v>40713</v>
      </c>
      <c r="C13597" t="s">
        <v>40713</v>
      </c>
      <c r="D13597" t="str">
        <f>HYPERLINK("https://zfin.org/")</f>
        <v>https://zfin.org/</v>
      </c>
      <c r="E13597" t="s">
        <v>40714</v>
      </c>
    </row>
    <row r="13598" spans="1:5" x14ac:dyDescent="0.2">
      <c r="A13598" t="s">
        <v>40715</v>
      </c>
      <c r="B13598" t="s">
        <v>40716</v>
      </c>
      <c r="C13598" t="s">
        <v>40716</v>
      </c>
      <c r="D13598" t="str">
        <f>HYPERLINK("https://zfin.org/ZDB-GENE-081022-45")</f>
        <v>https://zfin.org/ZDB-GENE-081022-45</v>
      </c>
      <c r="E13598" t="s">
        <v>40717</v>
      </c>
    </row>
    <row r="13599" spans="1:5" x14ac:dyDescent="0.2">
      <c r="A13599" t="s">
        <v>40718</v>
      </c>
      <c r="B13599" t="s">
        <v>40719</v>
      </c>
      <c r="C13599" t="s">
        <v>40719</v>
      </c>
      <c r="D13599" t="str">
        <f>HYPERLINK("https://zfin.org/ZDB-GENE-080415-2")</f>
        <v>https://zfin.org/ZDB-GENE-080415-2</v>
      </c>
      <c r="E13599" t="s">
        <v>40720</v>
      </c>
    </row>
    <row r="13600" spans="1:5" x14ac:dyDescent="0.2">
      <c r="A13600" t="s">
        <v>40721</v>
      </c>
      <c r="B13600" t="s">
        <v>40722</v>
      </c>
      <c r="C13600" t="s">
        <v>40722</v>
      </c>
      <c r="D13600" t="str">
        <f>HYPERLINK("https://zfin.org/ZDB-GENE-040930-9")</f>
        <v>https://zfin.org/ZDB-GENE-040930-9</v>
      </c>
      <c r="E13600" t="s">
        <v>40723</v>
      </c>
    </row>
    <row r="13601" spans="1:5" x14ac:dyDescent="0.2">
      <c r="A13601" t="s">
        <v>40724</v>
      </c>
      <c r="B13601" t="s">
        <v>40725</v>
      </c>
      <c r="C13601" t="s">
        <v>40725</v>
      </c>
      <c r="D13601" t="str">
        <f>HYPERLINK("https://zfin.org/ZDB-GENE-091207-4")</f>
        <v>https://zfin.org/ZDB-GENE-091207-4</v>
      </c>
      <c r="E13601" t="s">
        <v>40726</v>
      </c>
    </row>
    <row r="13602" spans="1:5" x14ac:dyDescent="0.2">
      <c r="A13602" t="s">
        <v>40727</v>
      </c>
      <c r="B13602" t="s">
        <v>40728</v>
      </c>
      <c r="C13602" t="s">
        <v>40728</v>
      </c>
      <c r="D13602" t="str">
        <f>HYPERLINK("https://zfin.org/")</f>
        <v>https://zfin.org/</v>
      </c>
      <c r="E13602" t="s">
        <v>40729</v>
      </c>
    </row>
    <row r="13603" spans="1:5" x14ac:dyDescent="0.2">
      <c r="A13603" t="s">
        <v>40730</v>
      </c>
      <c r="B13603" t="s">
        <v>19842</v>
      </c>
      <c r="C13603" t="s">
        <v>40731</v>
      </c>
      <c r="D13603" t="str">
        <f>HYPERLINK("https://zfin.org/ZDB-GENE-001019-1")</f>
        <v>https://zfin.org/ZDB-GENE-001019-1</v>
      </c>
      <c r="E13603" t="s">
        <v>19843</v>
      </c>
    </row>
    <row r="13604" spans="1:5" x14ac:dyDescent="0.2">
      <c r="A13604" t="s">
        <v>40732</v>
      </c>
      <c r="B13604" t="s">
        <v>40733</v>
      </c>
      <c r="C13604" t="s">
        <v>40733</v>
      </c>
      <c r="D13604" t="str">
        <f>HYPERLINK("https://zfin.org/")</f>
        <v>https://zfin.org/</v>
      </c>
      <c r="E13604" t="s">
        <v>40734</v>
      </c>
    </row>
    <row r="13605" spans="1:5" x14ac:dyDescent="0.2">
      <c r="A13605" t="s">
        <v>40735</v>
      </c>
      <c r="B13605" t="s">
        <v>40736</v>
      </c>
      <c r="C13605" t="s">
        <v>40736</v>
      </c>
      <c r="D13605" t="str">
        <f>HYPERLINK("https://zfin.org/ZDB-GENE-050809-24")</f>
        <v>https://zfin.org/ZDB-GENE-050809-24</v>
      </c>
      <c r="E13605" t="s">
        <v>40737</v>
      </c>
    </row>
    <row r="13606" spans="1:5" x14ac:dyDescent="0.2">
      <c r="A13606" t="s">
        <v>40738</v>
      </c>
      <c r="B13606" t="s">
        <v>40739</v>
      </c>
      <c r="C13606" t="s">
        <v>40739</v>
      </c>
      <c r="D13606" t="str">
        <f>HYPERLINK("https://zfin.org/")</f>
        <v>https://zfin.org/</v>
      </c>
      <c r="E13606" t="s">
        <v>40740</v>
      </c>
    </row>
    <row r="13607" spans="1:5" x14ac:dyDescent="0.2">
      <c r="A13607" t="s">
        <v>40741</v>
      </c>
      <c r="B13607" t="s">
        <v>40742</v>
      </c>
      <c r="C13607" t="s">
        <v>40742</v>
      </c>
      <c r="D13607" t="str">
        <f>HYPERLINK("https://zfin.org/ZDB-GENE-040426-2626")</f>
        <v>https://zfin.org/ZDB-GENE-040426-2626</v>
      </c>
      <c r="E13607" t="s">
        <v>40743</v>
      </c>
    </row>
    <row r="13608" spans="1:5" x14ac:dyDescent="0.2">
      <c r="A13608" t="s">
        <v>40744</v>
      </c>
      <c r="B13608" t="s">
        <v>40745</v>
      </c>
      <c r="C13608" t="s">
        <v>40745</v>
      </c>
      <c r="D13608" t="str">
        <f>HYPERLINK("https://zfin.org/")</f>
        <v>https://zfin.org/</v>
      </c>
      <c r="E13608" t="s">
        <v>40746</v>
      </c>
    </row>
    <row r="13609" spans="1:5" x14ac:dyDescent="0.2">
      <c r="A13609" t="s">
        <v>40747</v>
      </c>
      <c r="B13609" t="s">
        <v>40748</v>
      </c>
      <c r="C13609" t="s">
        <v>40748</v>
      </c>
      <c r="D13609" t="str">
        <f>HYPERLINK("https://zfin.org/")</f>
        <v>https://zfin.org/</v>
      </c>
    </row>
    <row r="13610" spans="1:5" x14ac:dyDescent="0.2">
      <c r="A13610" t="s">
        <v>40749</v>
      </c>
      <c r="B13610" t="s">
        <v>40750</v>
      </c>
      <c r="C13610" t="s">
        <v>40750</v>
      </c>
      <c r="D13610" t="str">
        <f>HYPERLINK("https://zfin.org/ZDB-GENE-071004-26")</f>
        <v>https://zfin.org/ZDB-GENE-071004-26</v>
      </c>
      <c r="E13610" t="s">
        <v>40751</v>
      </c>
    </row>
    <row r="13611" spans="1:5" x14ac:dyDescent="0.2">
      <c r="A13611" t="s">
        <v>40752</v>
      </c>
      <c r="B13611" t="s">
        <v>40753</v>
      </c>
      <c r="C13611" t="s">
        <v>40753</v>
      </c>
      <c r="D13611" t="str">
        <f>HYPERLINK("https://zfin.org/ZDB-GENE-040426-1255")</f>
        <v>https://zfin.org/ZDB-GENE-040426-1255</v>
      </c>
      <c r="E13611" t="s">
        <v>40754</v>
      </c>
    </row>
    <row r="13612" spans="1:5" x14ac:dyDescent="0.2">
      <c r="A13612" t="s">
        <v>40755</v>
      </c>
      <c r="B13612" t="s">
        <v>40756</v>
      </c>
      <c r="C13612" t="s">
        <v>40756</v>
      </c>
      <c r="D13612" t="str">
        <f>HYPERLINK("https://zfin.org/ZDB-GENE-050208-275")</f>
        <v>https://zfin.org/ZDB-GENE-050208-275</v>
      </c>
      <c r="E13612" t="s">
        <v>40757</v>
      </c>
    </row>
    <row r="13613" spans="1:5" x14ac:dyDescent="0.2">
      <c r="A13613" t="s">
        <v>40758</v>
      </c>
      <c r="B13613" t="s">
        <v>40759</v>
      </c>
      <c r="C13613" t="s">
        <v>40759</v>
      </c>
      <c r="D13613" t="str">
        <f>HYPERLINK("https://zfin.org/")</f>
        <v>https://zfin.org/</v>
      </c>
      <c r="E13613" t="s">
        <v>40760</v>
      </c>
    </row>
    <row r="13614" spans="1:5" x14ac:dyDescent="0.2">
      <c r="A13614" t="s">
        <v>40761</v>
      </c>
      <c r="B13614" t="s">
        <v>40762</v>
      </c>
      <c r="C13614" t="s">
        <v>40762</v>
      </c>
      <c r="D13614" t="str">
        <f>HYPERLINK("https://zfin.org/ZDB-GENE-040801-159")</f>
        <v>https://zfin.org/ZDB-GENE-040801-159</v>
      </c>
      <c r="E13614" t="s">
        <v>40763</v>
      </c>
    </row>
    <row r="13615" spans="1:5" x14ac:dyDescent="0.2">
      <c r="A13615" t="s">
        <v>40764</v>
      </c>
      <c r="B13615" t="s">
        <v>40765</v>
      </c>
      <c r="C13615" t="s">
        <v>40765</v>
      </c>
      <c r="D13615" t="str">
        <f>HYPERLINK("https://zfin.org/")</f>
        <v>https://zfin.org/</v>
      </c>
    </row>
    <row r="13616" spans="1:5" x14ac:dyDescent="0.2">
      <c r="A13616" t="s">
        <v>40766</v>
      </c>
      <c r="B13616" t="s">
        <v>40767</v>
      </c>
      <c r="C13616" t="s">
        <v>40767</v>
      </c>
      <c r="D13616" t="str">
        <f>HYPERLINK("https://zfin.org/")</f>
        <v>https://zfin.org/</v>
      </c>
      <c r="E13616" t="s">
        <v>40768</v>
      </c>
    </row>
    <row r="13617" spans="1:5" x14ac:dyDescent="0.2">
      <c r="A13617" t="s">
        <v>40769</v>
      </c>
      <c r="B13617" t="s">
        <v>40770</v>
      </c>
      <c r="C13617" t="s">
        <v>40770</v>
      </c>
      <c r="D13617" t="str">
        <f>HYPERLINK("https://zfin.org/")</f>
        <v>https://zfin.org/</v>
      </c>
    </row>
    <row r="13618" spans="1:5" x14ac:dyDescent="0.2">
      <c r="A13618" t="s">
        <v>40771</v>
      </c>
      <c r="B13618" t="s">
        <v>39208</v>
      </c>
      <c r="C13618" t="s">
        <v>40772</v>
      </c>
      <c r="D13618" t="str">
        <f>HYPERLINK("https://zfin.org/ZDB-GENE-131119-50")</f>
        <v>https://zfin.org/ZDB-GENE-131119-50</v>
      </c>
      <c r="E13618" t="s">
        <v>39209</v>
      </c>
    </row>
    <row r="13619" spans="1:5" x14ac:dyDescent="0.2">
      <c r="A13619" t="s">
        <v>40773</v>
      </c>
      <c r="B13619" t="s">
        <v>40774</v>
      </c>
      <c r="C13619" t="s">
        <v>40774</v>
      </c>
      <c r="D13619" t="str">
        <f>HYPERLINK("https://zfin.org/")</f>
        <v>https://zfin.org/</v>
      </c>
    </row>
    <row r="13620" spans="1:5" x14ac:dyDescent="0.2">
      <c r="A13620" t="s">
        <v>40775</v>
      </c>
      <c r="B13620" t="s">
        <v>40776</v>
      </c>
      <c r="C13620" t="s">
        <v>40776</v>
      </c>
      <c r="D13620" t="str">
        <f>HYPERLINK("https://zfin.org/ZDB-GENE-070928-21")</f>
        <v>https://zfin.org/ZDB-GENE-070928-21</v>
      </c>
      <c r="E13620" t="s">
        <v>40777</v>
      </c>
    </row>
    <row r="13621" spans="1:5" x14ac:dyDescent="0.2">
      <c r="A13621" t="s">
        <v>40778</v>
      </c>
      <c r="B13621" t="s">
        <v>40779</v>
      </c>
      <c r="C13621" t="s">
        <v>40779</v>
      </c>
      <c r="D13621" t="str">
        <f>HYPERLINK("https://zfin.org/ZDB-GENE-040718-122")</f>
        <v>https://zfin.org/ZDB-GENE-040718-122</v>
      </c>
      <c r="E13621" t="s">
        <v>40780</v>
      </c>
    </row>
    <row r="13622" spans="1:5" x14ac:dyDescent="0.2">
      <c r="A13622" t="s">
        <v>40781</v>
      </c>
      <c r="B13622" t="s">
        <v>40782</v>
      </c>
      <c r="C13622" t="s">
        <v>40782</v>
      </c>
      <c r="D13622" t="str">
        <f>HYPERLINK("https://zfin.org/")</f>
        <v>https://zfin.org/</v>
      </c>
    </row>
    <row r="13623" spans="1:5" x14ac:dyDescent="0.2">
      <c r="A13623" t="s">
        <v>40783</v>
      </c>
      <c r="B13623" t="s">
        <v>40784</v>
      </c>
      <c r="C13623" t="s">
        <v>40784</v>
      </c>
      <c r="D13623" t="str">
        <f>HYPERLINK("https://zfin.org/ZDB-GENE-030131-865")</f>
        <v>https://zfin.org/ZDB-GENE-030131-865</v>
      </c>
      <c r="E13623" t="s">
        <v>40785</v>
      </c>
    </row>
    <row r="13624" spans="1:5" x14ac:dyDescent="0.2">
      <c r="A13624" t="s">
        <v>40786</v>
      </c>
      <c r="B13624" t="s">
        <v>40787</v>
      </c>
      <c r="C13624" t="s">
        <v>40787</v>
      </c>
      <c r="D13624" t="str">
        <f>HYPERLINK("https://zfin.org/")</f>
        <v>https://zfin.org/</v>
      </c>
      <c r="E13624" t="s">
        <v>40788</v>
      </c>
    </row>
    <row r="13625" spans="1:5" x14ac:dyDescent="0.2">
      <c r="A13625" t="s">
        <v>40789</v>
      </c>
      <c r="B13625" t="s">
        <v>40790</v>
      </c>
      <c r="C13625" t="s">
        <v>40790</v>
      </c>
      <c r="D13625" t="str">
        <f>HYPERLINK("https://zfin.org/")</f>
        <v>https://zfin.org/</v>
      </c>
    </row>
    <row r="13626" spans="1:5" x14ac:dyDescent="0.2">
      <c r="A13626" t="s">
        <v>40791</v>
      </c>
      <c r="B13626" t="s">
        <v>40792</v>
      </c>
      <c r="C13626" t="s">
        <v>40792</v>
      </c>
      <c r="D13626" t="str">
        <f>HYPERLINK("https://zfin.org/ZDB-GENE-041210-163")</f>
        <v>https://zfin.org/ZDB-GENE-041210-163</v>
      </c>
      <c r="E13626" t="s">
        <v>40793</v>
      </c>
    </row>
    <row r="13627" spans="1:5" x14ac:dyDescent="0.2">
      <c r="A13627" t="s">
        <v>40794</v>
      </c>
      <c r="B13627" t="s">
        <v>40795</v>
      </c>
      <c r="C13627" t="s">
        <v>40795</v>
      </c>
      <c r="D13627" t="str">
        <f>HYPERLINK("https://zfin.org/")</f>
        <v>https://zfin.org/</v>
      </c>
      <c r="E13627" t="s">
        <v>40796</v>
      </c>
    </row>
    <row r="13628" spans="1:5" x14ac:dyDescent="0.2">
      <c r="A13628" t="s">
        <v>40797</v>
      </c>
      <c r="B13628" t="s">
        <v>40798</v>
      </c>
      <c r="C13628" t="s">
        <v>40798</v>
      </c>
      <c r="D13628" t="str">
        <f>HYPERLINK("https://zfin.org/")</f>
        <v>https://zfin.org/</v>
      </c>
    </row>
    <row r="13629" spans="1:5" x14ac:dyDescent="0.2">
      <c r="A13629" t="s">
        <v>40799</v>
      </c>
      <c r="B13629" t="s">
        <v>40800</v>
      </c>
      <c r="C13629" t="s">
        <v>40800</v>
      </c>
      <c r="D13629" t="str">
        <f>HYPERLINK("https://zfin.org/ZDB-GENE-040426-2540")</f>
        <v>https://zfin.org/ZDB-GENE-040426-2540</v>
      </c>
      <c r="E13629" t="s">
        <v>40801</v>
      </c>
    </row>
    <row r="13630" spans="1:5" x14ac:dyDescent="0.2">
      <c r="A13630" t="s">
        <v>40802</v>
      </c>
      <c r="B13630" t="s">
        <v>40803</v>
      </c>
      <c r="C13630" t="s">
        <v>40803</v>
      </c>
      <c r="D13630" t="str">
        <f>HYPERLINK("https://zfin.org/ZDB-GENE-061214-2")</f>
        <v>https://zfin.org/ZDB-GENE-061214-2</v>
      </c>
      <c r="E13630" t="s">
        <v>40804</v>
      </c>
    </row>
    <row r="13631" spans="1:5" x14ac:dyDescent="0.2">
      <c r="A13631" t="s">
        <v>40805</v>
      </c>
      <c r="B13631" t="s">
        <v>40806</v>
      </c>
      <c r="C13631" t="s">
        <v>40806</v>
      </c>
      <c r="D13631" t="str">
        <f>HYPERLINK("https://zfin.org/")</f>
        <v>https://zfin.org/</v>
      </c>
      <c r="E13631" t="s">
        <v>40807</v>
      </c>
    </row>
    <row r="13632" spans="1:5" x14ac:dyDescent="0.2">
      <c r="A13632" t="s">
        <v>40808</v>
      </c>
      <c r="B13632" t="s">
        <v>40809</v>
      </c>
      <c r="C13632" t="s">
        <v>40809</v>
      </c>
      <c r="D13632" t="str">
        <f>HYPERLINK("https://zfin.org/")</f>
        <v>https://zfin.org/</v>
      </c>
      <c r="E13632" t="s">
        <v>40810</v>
      </c>
    </row>
    <row r="13633" spans="1:5" x14ac:dyDescent="0.2">
      <c r="A13633" t="s">
        <v>40811</v>
      </c>
      <c r="B13633" t="s">
        <v>40812</v>
      </c>
      <c r="C13633" t="s">
        <v>40812</v>
      </c>
      <c r="D13633" t="str">
        <f>HYPERLINK("https://zfin.org/ZDB-GENE-030131-2614")</f>
        <v>https://zfin.org/ZDB-GENE-030131-2614</v>
      </c>
      <c r="E13633" t="s">
        <v>40813</v>
      </c>
    </row>
    <row r="13634" spans="1:5" x14ac:dyDescent="0.2">
      <c r="A13634" t="s">
        <v>40814</v>
      </c>
      <c r="B13634" t="s">
        <v>40815</v>
      </c>
      <c r="C13634" t="s">
        <v>40815</v>
      </c>
      <c r="D13634" t="str">
        <f>HYPERLINK("https://zfin.org/ZDB-GENE-140106-260")</f>
        <v>https://zfin.org/ZDB-GENE-140106-260</v>
      </c>
      <c r="E13634" t="s">
        <v>40816</v>
      </c>
    </row>
    <row r="13635" spans="1:5" x14ac:dyDescent="0.2">
      <c r="A13635" t="s">
        <v>40817</v>
      </c>
      <c r="B13635" t="s">
        <v>40818</v>
      </c>
      <c r="C13635" t="s">
        <v>40818</v>
      </c>
      <c r="D13635" t="str">
        <f>HYPERLINK("https://zfin.org/")</f>
        <v>https://zfin.org/</v>
      </c>
      <c r="E13635" t="s">
        <v>40819</v>
      </c>
    </row>
    <row r="13636" spans="1:5" x14ac:dyDescent="0.2">
      <c r="A13636" t="s">
        <v>40820</v>
      </c>
      <c r="B13636" t="s">
        <v>40821</v>
      </c>
      <c r="C13636" t="s">
        <v>40821</v>
      </c>
      <c r="D13636" t="str">
        <f>HYPERLINK("https://zfin.org/")</f>
        <v>https://zfin.org/</v>
      </c>
    </row>
    <row r="13637" spans="1:5" x14ac:dyDescent="0.2">
      <c r="A13637" t="s">
        <v>40822</v>
      </c>
      <c r="B13637" t="s">
        <v>40823</v>
      </c>
      <c r="C13637" t="s">
        <v>40823</v>
      </c>
      <c r="D13637" t="str">
        <f>HYPERLINK("https://zfin.org/")</f>
        <v>https://zfin.org/</v>
      </c>
    </row>
    <row r="13638" spans="1:5" x14ac:dyDescent="0.2">
      <c r="A13638" t="s">
        <v>40824</v>
      </c>
      <c r="B13638" t="s">
        <v>40825</v>
      </c>
      <c r="C13638" t="s">
        <v>40825</v>
      </c>
      <c r="D13638" t="str">
        <f>HYPERLINK("https://zfin.org/ZDB-GENE-070424-76")</f>
        <v>https://zfin.org/ZDB-GENE-070424-76</v>
      </c>
      <c r="E13638" t="s">
        <v>40826</v>
      </c>
    </row>
    <row r="13639" spans="1:5" x14ac:dyDescent="0.2">
      <c r="A13639" t="s">
        <v>40827</v>
      </c>
      <c r="B13639" t="s">
        <v>40828</v>
      </c>
      <c r="C13639" t="s">
        <v>40828</v>
      </c>
      <c r="D13639" t="str">
        <f>HYPERLINK("https://zfin.org/")</f>
        <v>https://zfin.org/</v>
      </c>
    </row>
    <row r="13640" spans="1:5" x14ac:dyDescent="0.2">
      <c r="A13640" t="s">
        <v>40829</v>
      </c>
      <c r="B13640" t="s">
        <v>40830</v>
      </c>
      <c r="C13640" t="s">
        <v>40830</v>
      </c>
      <c r="D13640" t="str">
        <f>HYPERLINK("https://zfin.org/ZDB-GENE-050417-92")</f>
        <v>https://zfin.org/ZDB-GENE-050417-92</v>
      </c>
      <c r="E13640" t="s">
        <v>40831</v>
      </c>
    </row>
    <row r="13641" spans="1:5" x14ac:dyDescent="0.2">
      <c r="A13641" t="s">
        <v>40832</v>
      </c>
      <c r="B13641" t="s">
        <v>40833</v>
      </c>
      <c r="C13641" t="s">
        <v>40833</v>
      </c>
      <c r="D13641" t="str">
        <f>HYPERLINK("https://zfin.org/ZDB-GENE-001120-1")</f>
        <v>https://zfin.org/ZDB-GENE-001120-1</v>
      </c>
      <c r="E13641" t="s">
        <v>40834</v>
      </c>
    </row>
    <row r="13642" spans="1:5" x14ac:dyDescent="0.2">
      <c r="A13642" t="s">
        <v>40835</v>
      </c>
      <c r="B13642" t="s">
        <v>40836</v>
      </c>
      <c r="C13642" t="s">
        <v>40836</v>
      </c>
      <c r="D13642" t="str">
        <f>HYPERLINK("https://zfin.org/ZDB-GENE-040426-1292")</f>
        <v>https://zfin.org/ZDB-GENE-040426-1292</v>
      </c>
      <c r="E13642" t="s">
        <v>40837</v>
      </c>
    </row>
    <row r="13643" spans="1:5" x14ac:dyDescent="0.2">
      <c r="A13643" t="s">
        <v>40838</v>
      </c>
      <c r="B13643" t="s">
        <v>40839</v>
      </c>
      <c r="C13643" t="s">
        <v>40839</v>
      </c>
      <c r="D13643" t="str">
        <f>HYPERLINK("https://zfin.org/ZDB-GENE-091207-3")</f>
        <v>https://zfin.org/ZDB-GENE-091207-3</v>
      </c>
      <c r="E13643" t="s">
        <v>40840</v>
      </c>
    </row>
    <row r="13644" spans="1:5" x14ac:dyDescent="0.2">
      <c r="A13644" t="s">
        <v>40841</v>
      </c>
      <c r="B13644" t="s">
        <v>40842</v>
      </c>
      <c r="C13644" t="s">
        <v>40842</v>
      </c>
      <c r="D13644" t="str">
        <f>HYPERLINK("https://zfin.org/ZDB-GENE-030131-7356")</f>
        <v>https://zfin.org/ZDB-GENE-030131-7356</v>
      </c>
      <c r="E13644" t="s">
        <v>40843</v>
      </c>
    </row>
    <row r="13645" spans="1:5" x14ac:dyDescent="0.2">
      <c r="A13645" t="s">
        <v>40844</v>
      </c>
      <c r="B13645" t="s">
        <v>40845</v>
      </c>
      <c r="C13645" t="s">
        <v>40845</v>
      </c>
      <c r="D13645" t="str">
        <f>HYPERLINK("https://zfin.org/")</f>
        <v>https://zfin.org/</v>
      </c>
      <c r="E13645" t="s">
        <v>40846</v>
      </c>
    </row>
    <row r="13646" spans="1:5" x14ac:dyDescent="0.2">
      <c r="A13646" t="s">
        <v>40847</v>
      </c>
      <c r="B13646" t="s">
        <v>40848</v>
      </c>
      <c r="C13646" t="s">
        <v>40848</v>
      </c>
      <c r="D13646" t="str">
        <f>HYPERLINK("https://zfin.org/")</f>
        <v>https://zfin.org/</v>
      </c>
      <c r="E13646" t="s">
        <v>40849</v>
      </c>
    </row>
    <row r="13647" spans="1:5" x14ac:dyDescent="0.2">
      <c r="A13647" t="s">
        <v>40850</v>
      </c>
      <c r="B13647" t="s">
        <v>40851</v>
      </c>
      <c r="C13647" t="s">
        <v>40851</v>
      </c>
      <c r="D13647" t="str">
        <f>HYPERLINK("https://zfin.org/")</f>
        <v>https://zfin.org/</v>
      </c>
    </row>
    <row r="13648" spans="1:5" x14ac:dyDescent="0.2">
      <c r="A13648" t="s">
        <v>40852</v>
      </c>
      <c r="B13648" t="s">
        <v>40853</v>
      </c>
      <c r="C13648" t="s">
        <v>40853</v>
      </c>
      <c r="D13648" t="str">
        <f>HYPERLINK("https://zfin.org/ZDB-GENE-040426-983")</f>
        <v>https://zfin.org/ZDB-GENE-040426-983</v>
      </c>
      <c r="E13648" t="s">
        <v>40854</v>
      </c>
    </row>
    <row r="13649" spans="1:5" x14ac:dyDescent="0.2">
      <c r="A13649" t="s">
        <v>40855</v>
      </c>
      <c r="B13649" t="s">
        <v>40856</v>
      </c>
      <c r="C13649" t="s">
        <v>40856</v>
      </c>
      <c r="D13649" t="str">
        <f>HYPERLINK("https://zfin.org/")</f>
        <v>https://zfin.org/</v>
      </c>
    </row>
    <row r="13650" spans="1:5" x14ac:dyDescent="0.2">
      <c r="A13650" t="s">
        <v>40857</v>
      </c>
      <c r="B13650" t="s">
        <v>40858</v>
      </c>
      <c r="C13650" t="s">
        <v>40858</v>
      </c>
      <c r="D13650" t="str">
        <f>HYPERLINK("https://zfin.org/")</f>
        <v>https://zfin.org/</v>
      </c>
      <c r="E13650" t="s">
        <v>40859</v>
      </c>
    </row>
    <row r="13651" spans="1:5" x14ac:dyDescent="0.2">
      <c r="A13651" t="s">
        <v>40860</v>
      </c>
      <c r="B13651" t="s">
        <v>40861</v>
      </c>
      <c r="C13651" t="s">
        <v>40861</v>
      </c>
      <c r="D13651" t="str">
        <f>HYPERLINK("https://zfin.org/ZDB-GENE-040426-1448")</f>
        <v>https://zfin.org/ZDB-GENE-040426-1448</v>
      </c>
      <c r="E13651" t="s">
        <v>40862</v>
      </c>
    </row>
    <row r="13652" spans="1:5" x14ac:dyDescent="0.2">
      <c r="A13652" t="s">
        <v>40863</v>
      </c>
      <c r="B13652" t="s">
        <v>40864</v>
      </c>
      <c r="C13652" t="s">
        <v>40864</v>
      </c>
      <c r="D13652" t="str">
        <f>HYPERLINK("https://zfin.org/ZDB-GENE-041114-1")</f>
        <v>https://zfin.org/ZDB-GENE-041114-1</v>
      </c>
      <c r="E13652" t="s">
        <v>40865</v>
      </c>
    </row>
    <row r="13653" spans="1:5" x14ac:dyDescent="0.2">
      <c r="A13653" t="s">
        <v>40866</v>
      </c>
      <c r="B13653" t="s">
        <v>40867</v>
      </c>
      <c r="C13653" t="s">
        <v>40867</v>
      </c>
      <c r="D13653" t="str">
        <f>HYPERLINK("https://zfin.org/ZDB-GENE-040426-2575")</f>
        <v>https://zfin.org/ZDB-GENE-040426-2575</v>
      </c>
      <c r="E13653" t="s">
        <v>40868</v>
      </c>
    </row>
    <row r="13654" spans="1:5" x14ac:dyDescent="0.2">
      <c r="A13654" t="s">
        <v>40869</v>
      </c>
      <c r="B13654" t="s">
        <v>40870</v>
      </c>
      <c r="C13654" t="s">
        <v>40870</v>
      </c>
      <c r="D13654" t="str">
        <f>HYPERLINK("https://zfin.org/")</f>
        <v>https://zfin.org/</v>
      </c>
    </row>
    <row r="13655" spans="1:5" x14ac:dyDescent="0.2">
      <c r="A13655" t="s">
        <v>40871</v>
      </c>
      <c r="B13655" t="s">
        <v>40872</v>
      </c>
      <c r="C13655" t="s">
        <v>40872</v>
      </c>
      <c r="D13655" t="str">
        <f>HYPERLINK("https://zfin.org/ZDB-GENE-080401-2")</f>
        <v>https://zfin.org/ZDB-GENE-080401-2</v>
      </c>
      <c r="E13655" t="s">
        <v>40873</v>
      </c>
    </row>
    <row r="13656" spans="1:5" x14ac:dyDescent="0.2">
      <c r="A13656" t="s">
        <v>40874</v>
      </c>
      <c r="B13656" t="s">
        <v>40875</v>
      </c>
      <c r="C13656" t="s">
        <v>40875</v>
      </c>
      <c r="D13656" t="str">
        <f>HYPERLINK("https://zfin.org/ZDB-GENE-071211-1")</f>
        <v>https://zfin.org/ZDB-GENE-071211-1</v>
      </c>
      <c r="E13656" t="s">
        <v>40876</v>
      </c>
    </row>
    <row r="13657" spans="1:5" x14ac:dyDescent="0.2">
      <c r="A13657" t="s">
        <v>40877</v>
      </c>
      <c r="B13657" t="s">
        <v>40878</v>
      </c>
      <c r="C13657" t="s">
        <v>40878</v>
      </c>
      <c r="D13657" t="str">
        <f>HYPERLINK("https://zfin.org/")</f>
        <v>https://zfin.org/</v>
      </c>
    </row>
    <row r="13658" spans="1:5" x14ac:dyDescent="0.2">
      <c r="A13658" t="s">
        <v>40879</v>
      </c>
      <c r="B13658" t="s">
        <v>40880</v>
      </c>
      <c r="C13658" t="s">
        <v>40880</v>
      </c>
      <c r="D13658" t="str">
        <f>HYPERLINK("https://zfin.org/")</f>
        <v>https://zfin.org/</v>
      </c>
    </row>
    <row r="13659" spans="1:5" x14ac:dyDescent="0.2">
      <c r="A13659" t="s">
        <v>40881</v>
      </c>
      <c r="B13659" t="s">
        <v>40882</v>
      </c>
      <c r="C13659" t="s">
        <v>40882</v>
      </c>
      <c r="D13659" t="str">
        <f>HYPERLINK("https://zfin.org/")</f>
        <v>https://zfin.org/</v>
      </c>
    </row>
    <row r="13660" spans="1:5" x14ac:dyDescent="0.2">
      <c r="A13660" t="s">
        <v>40883</v>
      </c>
      <c r="B13660" t="s">
        <v>40884</v>
      </c>
      <c r="C13660" t="s">
        <v>40884</v>
      </c>
      <c r="D13660" t="str">
        <f>HYPERLINK("https://zfin.org/ZDB-GENE-030131-223")</f>
        <v>https://zfin.org/ZDB-GENE-030131-223</v>
      </c>
      <c r="E13660" t="s">
        <v>40885</v>
      </c>
    </row>
    <row r="13661" spans="1:5" x14ac:dyDescent="0.2">
      <c r="A13661" t="s">
        <v>40886</v>
      </c>
      <c r="B13661" t="s">
        <v>40887</v>
      </c>
      <c r="C13661" t="s">
        <v>40887</v>
      </c>
      <c r="D13661" t="str">
        <f>HYPERLINK("https://zfin.org/")</f>
        <v>https://zfin.org/</v>
      </c>
    </row>
    <row r="13662" spans="1:5" x14ac:dyDescent="0.2">
      <c r="A13662" t="s">
        <v>40888</v>
      </c>
      <c r="B13662" t="s">
        <v>40889</v>
      </c>
      <c r="C13662" t="s">
        <v>40889</v>
      </c>
      <c r="D13662" t="str">
        <f>HYPERLINK("https://zfin.org/ZDB-GENE-081022-124")</f>
        <v>https://zfin.org/ZDB-GENE-081022-124</v>
      </c>
      <c r="E13662" t="s">
        <v>40890</v>
      </c>
    </row>
    <row r="13663" spans="1:5" x14ac:dyDescent="0.2">
      <c r="A13663" t="s">
        <v>40891</v>
      </c>
      <c r="B13663" t="s">
        <v>40892</v>
      </c>
      <c r="C13663" t="s">
        <v>40892</v>
      </c>
      <c r="D13663" t="str">
        <f>HYPERLINK("https://zfin.org/")</f>
        <v>https://zfin.org/</v>
      </c>
    </row>
    <row r="13664" spans="1:5" x14ac:dyDescent="0.2">
      <c r="A13664" t="s">
        <v>40893</v>
      </c>
      <c r="B13664" t="s">
        <v>40894</v>
      </c>
      <c r="C13664" t="s">
        <v>40894</v>
      </c>
      <c r="D13664" t="str">
        <f>HYPERLINK("https://zfin.org/")</f>
        <v>https://zfin.org/</v>
      </c>
    </row>
    <row r="13665" spans="1:5" x14ac:dyDescent="0.2">
      <c r="A13665" t="s">
        <v>40895</v>
      </c>
      <c r="B13665" t="s">
        <v>40896</v>
      </c>
      <c r="C13665" t="s">
        <v>40896</v>
      </c>
      <c r="D13665" t="str">
        <f>HYPERLINK("https://zfin.org/ZDB-GENE-091013-4")</f>
        <v>https://zfin.org/ZDB-GENE-091013-4</v>
      </c>
      <c r="E13665" t="s">
        <v>40897</v>
      </c>
    </row>
    <row r="13666" spans="1:5" x14ac:dyDescent="0.2">
      <c r="A13666" t="s">
        <v>40898</v>
      </c>
      <c r="B13666" t="s">
        <v>40899</v>
      </c>
      <c r="C13666" t="s">
        <v>40899</v>
      </c>
      <c r="D13666" t="str">
        <f>HYPERLINK("https://zfin.org/")</f>
        <v>https://zfin.org/</v>
      </c>
    </row>
    <row r="13667" spans="1:5" x14ac:dyDescent="0.2">
      <c r="A13667" t="s">
        <v>40900</v>
      </c>
      <c r="B13667" t="s">
        <v>40901</v>
      </c>
      <c r="C13667" t="s">
        <v>40901</v>
      </c>
      <c r="D13667" t="str">
        <f>HYPERLINK("https://zfin.org/ZDB-GENE-040808-67")</f>
        <v>https://zfin.org/ZDB-GENE-040808-67</v>
      </c>
      <c r="E13667" t="s">
        <v>40902</v>
      </c>
    </row>
    <row r="13668" spans="1:5" x14ac:dyDescent="0.2">
      <c r="A13668" t="s">
        <v>40903</v>
      </c>
      <c r="B13668" t="s">
        <v>40904</v>
      </c>
      <c r="C13668" t="s">
        <v>40904</v>
      </c>
      <c r="D13668" t="str">
        <f>HYPERLINK("https://zfin.org/")</f>
        <v>https://zfin.org/</v>
      </c>
    </row>
    <row r="13669" spans="1:5" x14ac:dyDescent="0.2">
      <c r="A13669" t="s">
        <v>40905</v>
      </c>
      <c r="B13669" t="s">
        <v>40906</v>
      </c>
      <c r="C13669" t="s">
        <v>40906</v>
      </c>
      <c r="D13669" t="str">
        <f>HYPERLINK("https://zfin.org/")</f>
        <v>https://zfin.org/</v>
      </c>
    </row>
    <row r="13670" spans="1:5" x14ac:dyDescent="0.2">
      <c r="A13670" t="s">
        <v>40907</v>
      </c>
      <c r="B13670" t="s">
        <v>40908</v>
      </c>
      <c r="C13670" t="s">
        <v>40909</v>
      </c>
      <c r="D13670" t="str">
        <f>HYPERLINK("https://zfin.org/ZDB-GENE-041210-346")</f>
        <v>https://zfin.org/ZDB-GENE-041210-346</v>
      </c>
      <c r="E13670" t="s">
        <v>40910</v>
      </c>
    </row>
    <row r="13671" spans="1:5" x14ac:dyDescent="0.2">
      <c r="A13671" t="s">
        <v>40911</v>
      </c>
      <c r="B13671" t="s">
        <v>40912</v>
      </c>
      <c r="C13671" t="s">
        <v>40912</v>
      </c>
      <c r="D13671" t="str">
        <f>HYPERLINK("https://zfin.org/")</f>
        <v>https://zfin.org/</v>
      </c>
    </row>
    <row r="13672" spans="1:5" x14ac:dyDescent="0.2">
      <c r="A13672" t="s">
        <v>40913</v>
      </c>
      <c r="B13672" t="s">
        <v>40914</v>
      </c>
      <c r="C13672" t="s">
        <v>40914</v>
      </c>
      <c r="D13672" t="str">
        <f>HYPERLINK("https://zfin.org/ZDB-GENE-060315-9")</f>
        <v>https://zfin.org/ZDB-GENE-060315-9</v>
      </c>
      <c r="E13672" t="s">
        <v>40915</v>
      </c>
    </row>
    <row r="13673" spans="1:5" x14ac:dyDescent="0.2">
      <c r="A13673" t="s">
        <v>40916</v>
      </c>
      <c r="B13673" t="s">
        <v>40917</v>
      </c>
      <c r="C13673" t="s">
        <v>40917</v>
      </c>
      <c r="D13673" t="str">
        <f>HYPERLINK("https://zfin.org/")</f>
        <v>https://zfin.org/</v>
      </c>
    </row>
    <row r="13674" spans="1:5" x14ac:dyDescent="0.2">
      <c r="A13674" t="s">
        <v>40918</v>
      </c>
      <c r="B13674" t="s">
        <v>40919</v>
      </c>
      <c r="C13674" t="s">
        <v>40919</v>
      </c>
      <c r="D13674" t="str">
        <f>HYPERLINK("https://zfin.org/")</f>
        <v>https://zfin.org/</v>
      </c>
      <c r="E13674" t="s">
        <v>40920</v>
      </c>
    </row>
    <row r="13675" spans="1:5" x14ac:dyDescent="0.2">
      <c r="A13675" t="s">
        <v>40921</v>
      </c>
      <c r="B13675" t="s">
        <v>40922</v>
      </c>
      <c r="C13675" t="s">
        <v>40922</v>
      </c>
      <c r="D13675" t="str">
        <f>HYPERLINK("https://zfin.org/")</f>
        <v>https://zfin.org/</v>
      </c>
      <c r="E13675" t="s">
        <v>40923</v>
      </c>
    </row>
    <row r="13676" spans="1:5" x14ac:dyDescent="0.2">
      <c r="A13676" t="s">
        <v>40924</v>
      </c>
      <c r="B13676" t="s">
        <v>40925</v>
      </c>
      <c r="C13676" t="s">
        <v>40925</v>
      </c>
      <c r="D13676" t="str">
        <f>HYPERLINK("https://zfin.org/ZDB-GENE-060810-71")</f>
        <v>https://zfin.org/ZDB-GENE-060810-71</v>
      </c>
      <c r="E13676" t="s">
        <v>40926</v>
      </c>
    </row>
    <row r="13677" spans="1:5" x14ac:dyDescent="0.2">
      <c r="A13677" t="s">
        <v>40927</v>
      </c>
      <c r="B13677" t="s">
        <v>40928</v>
      </c>
      <c r="C13677" t="s">
        <v>40928</v>
      </c>
      <c r="D13677" t="str">
        <f>HYPERLINK("https://zfin.org/")</f>
        <v>https://zfin.org/</v>
      </c>
    </row>
    <row r="13678" spans="1:5" x14ac:dyDescent="0.2">
      <c r="A13678" t="s">
        <v>40929</v>
      </c>
      <c r="B13678" t="s">
        <v>40930</v>
      </c>
      <c r="C13678" t="s">
        <v>40930</v>
      </c>
      <c r="D13678" t="str">
        <f>HYPERLINK("https://zfin.org/")</f>
        <v>https://zfin.org/</v>
      </c>
      <c r="E13678" t="s">
        <v>40931</v>
      </c>
    </row>
    <row r="13679" spans="1:5" x14ac:dyDescent="0.2">
      <c r="A13679" t="s">
        <v>40932</v>
      </c>
      <c r="B13679" t="s">
        <v>40933</v>
      </c>
      <c r="C13679" t="s">
        <v>40933</v>
      </c>
      <c r="D13679" t="str">
        <f>HYPERLINK("https://zfin.org/ZDB-GENE-050417-98")</f>
        <v>https://zfin.org/ZDB-GENE-050417-98</v>
      </c>
      <c r="E13679" t="s">
        <v>40934</v>
      </c>
    </row>
    <row r="13680" spans="1:5" x14ac:dyDescent="0.2">
      <c r="A13680" t="s">
        <v>40935</v>
      </c>
      <c r="B13680" t="s">
        <v>40936</v>
      </c>
      <c r="C13680" t="s">
        <v>40936</v>
      </c>
      <c r="D13680" t="str">
        <f>HYPERLINK("https://zfin.org/ZDB-GENE-040116-7")</f>
        <v>https://zfin.org/ZDB-GENE-040116-7</v>
      </c>
      <c r="E13680" t="s">
        <v>40937</v>
      </c>
    </row>
    <row r="13681" spans="1:5" x14ac:dyDescent="0.2">
      <c r="A13681" t="s">
        <v>40938</v>
      </c>
      <c r="B13681" t="s">
        <v>27993</v>
      </c>
      <c r="C13681" t="s">
        <v>40939</v>
      </c>
      <c r="D13681" t="str">
        <f>HYPERLINK("https://zfin.org/ZDB-GENE-040912-64")</f>
        <v>https://zfin.org/ZDB-GENE-040912-64</v>
      </c>
      <c r="E13681" t="s">
        <v>27994</v>
      </c>
    </row>
    <row r="13682" spans="1:5" x14ac:dyDescent="0.2">
      <c r="A13682" t="s">
        <v>40940</v>
      </c>
      <c r="B13682" t="s">
        <v>40941</v>
      </c>
      <c r="C13682" t="s">
        <v>40941</v>
      </c>
      <c r="D13682" t="str">
        <f>HYPERLINK("https://zfin.org/")</f>
        <v>https://zfin.org/</v>
      </c>
      <c r="E13682" t="s">
        <v>40942</v>
      </c>
    </row>
    <row r="13683" spans="1:5" x14ac:dyDescent="0.2">
      <c r="A13683" t="s">
        <v>40943</v>
      </c>
      <c r="B13683" t="s">
        <v>40944</v>
      </c>
      <c r="C13683" t="s">
        <v>40944</v>
      </c>
      <c r="D13683" t="str">
        <f>HYPERLINK("https://zfin.org/ZDB-GENE-050417-241")</f>
        <v>https://zfin.org/ZDB-GENE-050417-241</v>
      </c>
      <c r="E13683" t="s">
        <v>40945</v>
      </c>
    </row>
    <row r="13684" spans="1:5" x14ac:dyDescent="0.2">
      <c r="A13684" t="s">
        <v>40946</v>
      </c>
      <c r="B13684" t="s">
        <v>40947</v>
      </c>
      <c r="C13684" t="s">
        <v>40947</v>
      </c>
      <c r="D13684" t="str">
        <f>HYPERLINK("https://zfin.org/ZDB-GENE-040426-2570")</f>
        <v>https://zfin.org/ZDB-GENE-040426-2570</v>
      </c>
      <c r="E13684" t="s">
        <v>40948</v>
      </c>
    </row>
    <row r="13685" spans="1:5" x14ac:dyDescent="0.2">
      <c r="A13685" t="s">
        <v>40949</v>
      </c>
      <c r="B13685" t="s">
        <v>40950</v>
      </c>
      <c r="C13685" t="s">
        <v>40950</v>
      </c>
      <c r="D13685" t="str">
        <f>HYPERLINK("https://zfin.org/ZDB-GENE-040718-441")</f>
        <v>https://zfin.org/ZDB-GENE-040718-441</v>
      </c>
      <c r="E13685" t="s">
        <v>40951</v>
      </c>
    </row>
    <row r="13686" spans="1:5" x14ac:dyDescent="0.2">
      <c r="A13686" t="s">
        <v>40952</v>
      </c>
      <c r="B13686" t="s">
        <v>40953</v>
      </c>
      <c r="C13686" t="s">
        <v>40953</v>
      </c>
      <c r="D13686" t="str">
        <f>HYPERLINK("https://zfin.org/ZDB-GENE-100204-2")</f>
        <v>https://zfin.org/ZDB-GENE-100204-2</v>
      </c>
      <c r="E13686" t="s">
        <v>40954</v>
      </c>
    </row>
    <row r="13687" spans="1:5" x14ac:dyDescent="0.2">
      <c r="A13687" t="s">
        <v>40955</v>
      </c>
      <c r="B13687" t="s">
        <v>40956</v>
      </c>
      <c r="C13687" t="s">
        <v>40956</v>
      </c>
      <c r="D13687" t="str">
        <f>HYPERLINK("https://zfin.org/ZDB-GENE-040123-3")</f>
        <v>https://zfin.org/ZDB-GENE-040123-3</v>
      </c>
      <c r="E13687" t="s">
        <v>40957</v>
      </c>
    </row>
    <row r="13688" spans="1:5" x14ac:dyDescent="0.2">
      <c r="A13688" t="s">
        <v>40958</v>
      </c>
      <c r="B13688" t="s">
        <v>40959</v>
      </c>
      <c r="C13688" t="s">
        <v>40959</v>
      </c>
      <c r="D13688" t="str">
        <f>HYPERLINK("https://zfin.org/ZDB-GENE-050417-205")</f>
        <v>https://zfin.org/ZDB-GENE-050417-205</v>
      </c>
      <c r="E13688" t="s">
        <v>40960</v>
      </c>
    </row>
    <row r="13689" spans="1:5" x14ac:dyDescent="0.2">
      <c r="A13689" t="s">
        <v>40961</v>
      </c>
      <c r="B13689" t="s">
        <v>40962</v>
      </c>
      <c r="C13689" t="s">
        <v>40962</v>
      </c>
      <c r="D13689" t="str">
        <f>HYPERLINK("https://zfin.org/ZDB-GENE-080303-15")</f>
        <v>https://zfin.org/ZDB-GENE-080303-15</v>
      </c>
      <c r="E13689" t="s">
        <v>40963</v>
      </c>
    </row>
    <row r="13690" spans="1:5" x14ac:dyDescent="0.2">
      <c r="A13690" t="s">
        <v>40964</v>
      </c>
      <c r="B13690" t="s">
        <v>40965</v>
      </c>
      <c r="C13690" t="s">
        <v>40965</v>
      </c>
      <c r="D13690" t="str">
        <f>HYPERLINK("https://zfin.org/")</f>
        <v>https://zfin.org/</v>
      </c>
      <c r="E13690" t="s">
        <v>40966</v>
      </c>
    </row>
    <row r="13691" spans="1:5" x14ac:dyDescent="0.2">
      <c r="A13691" t="s">
        <v>40967</v>
      </c>
      <c r="B13691" t="s">
        <v>40968</v>
      </c>
      <c r="C13691" t="s">
        <v>40968</v>
      </c>
      <c r="D13691" t="str">
        <f>HYPERLINK("https://zfin.org/ZDB-GENE-030131-1935")</f>
        <v>https://zfin.org/ZDB-GENE-030131-1935</v>
      </c>
      <c r="E13691" t="s">
        <v>40969</v>
      </c>
    </row>
    <row r="13692" spans="1:5" x14ac:dyDescent="0.2">
      <c r="A13692" t="s">
        <v>40970</v>
      </c>
      <c r="B13692" t="s">
        <v>40971</v>
      </c>
      <c r="C13692" t="s">
        <v>40971</v>
      </c>
      <c r="D13692" t="str">
        <f>HYPERLINK("https://zfin.org/ZDB-GENE-030131-740")</f>
        <v>https://zfin.org/ZDB-GENE-030131-740</v>
      </c>
      <c r="E13692" t="s">
        <v>40972</v>
      </c>
    </row>
    <row r="13693" spans="1:5" x14ac:dyDescent="0.2">
      <c r="A13693" t="s">
        <v>40973</v>
      </c>
      <c r="B13693" t="s">
        <v>32131</v>
      </c>
      <c r="C13693" t="s">
        <v>40974</v>
      </c>
      <c r="D13693" t="str">
        <f>HYPERLINK("https://zfin.org/ZDB-GENE-070423-1")</f>
        <v>https://zfin.org/ZDB-GENE-070423-1</v>
      </c>
      <c r="E13693" t="s">
        <v>32132</v>
      </c>
    </row>
    <row r="13694" spans="1:5" x14ac:dyDescent="0.2">
      <c r="A13694" t="s">
        <v>40975</v>
      </c>
      <c r="B13694" t="s">
        <v>40976</v>
      </c>
      <c r="C13694" t="s">
        <v>40976</v>
      </c>
      <c r="D13694" t="str">
        <f>HYPERLINK("https://zfin.org/ZDB-GENE-030131-2696")</f>
        <v>https://zfin.org/ZDB-GENE-030131-2696</v>
      </c>
      <c r="E13694" t="s">
        <v>40977</v>
      </c>
    </row>
    <row r="13695" spans="1:5" x14ac:dyDescent="0.2">
      <c r="A13695" t="s">
        <v>40978</v>
      </c>
      <c r="B13695" t="s">
        <v>40979</v>
      </c>
      <c r="C13695" t="s">
        <v>40979</v>
      </c>
      <c r="D13695" t="str">
        <f>HYPERLINK("https://zfin.org/")</f>
        <v>https://zfin.org/</v>
      </c>
      <c r="E13695" t="s">
        <v>40980</v>
      </c>
    </row>
    <row r="13696" spans="1:5" x14ac:dyDescent="0.2">
      <c r="A13696" t="s">
        <v>40981</v>
      </c>
      <c r="B13696" t="s">
        <v>40982</v>
      </c>
      <c r="C13696" t="s">
        <v>40982</v>
      </c>
      <c r="D13696" t="str">
        <f>HYPERLINK("https://zfin.org/ZDB-GENE-050522-454")</f>
        <v>https://zfin.org/ZDB-GENE-050522-454</v>
      </c>
      <c r="E13696" t="s">
        <v>40983</v>
      </c>
    </row>
    <row r="13697" spans="1:5" x14ac:dyDescent="0.2">
      <c r="A13697" t="s">
        <v>40984</v>
      </c>
      <c r="B13697" t="s">
        <v>40985</v>
      </c>
      <c r="C13697" t="s">
        <v>40985</v>
      </c>
      <c r="D13697" t="str">
        <f>HYPERLINK("https://zfin.org/ZDB-GENE-041114-141")</f>
        <v>https://zfin.org/ZDB-GENE-041114-141</v>
      </c>
      <c r="E13697" t="s">
        <v>40986</v>
      </c>
    </row>
    <row r="13698" spans="1:5" x14ac:dyDescent="0.2">
      <c r="A13698" t="s">
        <v>40987</v>
      </c>
      <c r="B13698" t="s">
        <v>40988</v>
      </c>
      <c r="C13698" t="s">
        <v>40988</v>
      </c>
      <c r="D13698" t="str">
        <f>HYPERLINK("https://zfin.org/")</f>
        <v>https://zfin.org/</v>
      </c>
      <c r="E13698" t="s">
        <v>40989</v>
      </c>
    </row>
    <row r="13699" spans="1:5" x14ac:dyDescent="0.2">
      <c r="A13699" t="s">
        <v>40990</v>
      </c>
      <c r="B13699" t="s">
        <v>40991</v>
      </c>
      <c r="C13699" t="s">
        <v>40991</v>
      </c>
      <c r="D13699" t="str">
        <f>HYPERLINK("https://zfin.org/")</f>
        <v>https://zfin.org/</v>
      </c>
      <c r="E13699" t="s">
        <v>40992</v>
      </c>
    </row>
    <row r="13700" spans="1:5" x14ac:dyDescent="0.2">
      <c r="A13700" t="s">
        <v>40993</v>
      </c>
      <c r="B13700" t="s">
        <v>40994</v>
      </c>
      <c r="C13700" t="s">
        <v>40994</v>
      </c>
      <c r="D13700" t="str">
        <f>HYPERLINK("https://zfin.org/")</f>
        <v>https://zfin.org/</v>
      </c>
    </row>
    <row r="13701" spans="1:5" x14ac:dyDescent="0.2">
      <c r="A13701" t="s">
        <v>40995</v>
      </c>
      <c r="B13701" t="s">
        <v>40996</v>
      </c>
      <c r="C13701" t="s">
        <v>40996</v>
      </c>
      <c r="D13701" t="str">
        <f>HYPERLINK("https://zfin.org/")</f>
        <v>https://zfin.org/</v>
      </c>
      <c r="E13701" t="s">
        <v>40997</v>
      </c>
    </row>
    <row r="13702" spans="1:5" x14ac:dyDescent="0.2">
      <c r="A13702" t="s">
        <v>40998</v>
      </c>
      <c r="B13702" t="s">
        <v>40999</v>
      </c>
      <c r="C13702" t="s">
        <v>40999</v>
      </c>
      <c r="D13702" t="str">
        <f>HYPERLINK("https://zfin.org/")</f>
        <v>https://zfin.org/</v>
      </c>
    </row>
    <row r="13703" spans="1:5" x14ac:dyDescent="0.2">
      <c r="A13703" t="s">
        <v>41000</v>
      </c>
      <c r="B13703" t="s">
        <v>41001</v>
      </c>
      <c r="C13703" t="s">
        <v>41001</v>
      </c>
      <c r="D13703" t="str">
        <f>HYPERLINK("https://zfin.org/ZDB-GENE-040426-2426")</f>
        <v>https://zfin.org/ZDB-GENE-040426-2426</v>
      </c>
      <c r="E13703" t="s">
        <v>41002</v>
      </c>
    </row>
    <row r="13704" spans="1:5" x14ac:dyDescent="0.2">
      <c r="A13704" t="s">
        <v>41003</v>
      </c>
      <c r="B13704" t="s">
        <v>41004</v>
      </c>
      <c r="C13704" t="s">
        <v>41004</v>
      </c>
      <c r="D13704" t="str">
        <f>HYPERLINK("https://zfin.org/")</f>
        <v>https://zfin.org/</v>
      </c>
    </row>
    <row r="13705" spans="1:5" x14ac:dyDescent="0.2">
      <c r="A13705" t="s">
        <v>41005</v>
      </c>
      <c r="B13705" t="s">
        <v>41006</v>
      </c>
      <c r="C13705" t="s">
        <v>41007</v>
      </c>
      <c r="D13705" t="str">
        <f>HYPERLINK("https://zfin.org/")</f>
        <v>https://zfin.org/</v>
      </c>
      <c r="E13705" t="s">
        <v>41008</v>
      </c>
    </row>
    <row r="13706" spans="1:5" x14ac:dyDescent="0.2">
      <c r="A13706" t="s">
        <v>41009</v>
      </c>
      <c r="B13706" t="s">
        <v>41010</v>
      </c>
      <c r="C13706" t="s">
        <v>41010</v>
      </c>
      <c r="D13706" t="str">
        <f>HYPERLINK("https://zfin.org/ZDB-GENE-040715-3")</f>
        <v>https://zfin.org/ZDB-GENE-040715-3</v>
      </c>
      <c r="E13706" t="s">
        <v>41011</v>
      </c>
    </row>
    <row r="13707" spans="1:5" x14ac:dyDescent="0.2">
      <c r="A13707" t="s">
        <v>41012</v>
      </c>
      <c r="B13707" t="s">
        <v>41013</v>
      </c>
      <c r="C13707" t="s">
        <v>41013</v>
      </c>
      <c r="D13707" t="str">
        <f>HYPERLINK("https://zfin.org/")</f>
        <v>https://zfin.org/</v>
      </c>
    </row>
    <row r="13708" spans="1:5" x14ac:dyDescent="0.2">
      <c r="A13708" t="s">
        <v>41014</v>
      </c>
      <c r="B13708" t="s">
        <v>41015</v>
      </c>
      <c r="C13708" t="s">
        <v>41015</v>
      </c>
      <c r="D13708" t="str">
        <f>HYPERLINK("https://zfin.org/ZDB-GENE-051113-256")</f>
        <v>https://zfin.org/ZDB-GENE-051113-256</v>
      </c>
      <c r="E13708" t="s">
        <v>41016</v>
      </c>
    </row>
    <row r="13709" spans="1:5" x14ac:dyDescent="0.2">
      <c r="A13709" t="s">
        <v>41017</v>
      </c>
      <c r="B13709" t="s">
        <v>41018</v>
      </c>
      <c r="C13709" t="s">
        <v>41018</v>
      </c>
      <c r="D13709" t="str">
        <f>HYPERLINK("https://zfin.org/")</f>
        <v>https://zfin.org/</v>
      </c>
      <c r="E13709" t="s">
        <v>41019</v>
      </c>
    </row>
    <row r="13710" spans="1:5" x14ac:dyDescent="0.2">
      <c r="A13710" t="s">
        <v>41020</v>
      </c>
      <c r="B13710" t="s">
        <v>41021</v>
      </c>
      <c r="C13710" t="s">
        <v>41021</v>
      </c>
      <c r="D13710" t="str">
        <f>HYPERLINK("https://zfin.org/")</f>
        <v>https://zfin.org/</v>
      </c>
    </row>
    <row r="13711" spans="1:5" x14ac:dyDescent="0.2">
      <c r="A13711" t="s">
        <v>41022</v>
      </c>
      <c r="B13711" t="s">
        <v>41023</v>
      </c>
      <c r="C13711" t="s">
        <v>41023</v>
      </c>
      <c r="D13711" t="str">
        <f>HYPERLINK("https://zfin.org/")</f>
        <v>https://zfin.org/</v>
      </c>
      <c r="E13711" t="s">
        <v>41024</v>
      </c>
    </row>
    <row r="13712" spans="1:5" x14ac:dyDescent="0.2">
      <c r="A13712" t="s">
        <v>41025</v>
      </c>
      <c r="B13712" t="s">
        <v>41026</v>
      </c>
      <c r="C13712" t="s">
        <v>41026</v>
      </c>
      <c r="D13712" t="str">
        <f>HYPERLINK("https://zfin.org/ZDB-GENE-030131-5913")</f>
        <v>https://zfin.org/ZDB-GENE-030131-5913</v>
      </c>
      <c r="E13712" t="s">
        <v>41027</v>
      </c>
    </row>
    <row r="13713" spans="1:5" x14ac:dyDescent="0.2">
      <c r="A13713" t="s">
        <v>41028</v>
      </c>
      <c r="B13713" t="s">
        <v>41029</v>
      </c>
      <c r="C13713" t="s">
        <v>41029</v>
      </c>
      <c r="D13713" t="str">
        <f>HYPERLINK("https://zfin.org/ZDB-GENE-041010-57")</f>
        <v>https://zfin.org/ZDB-GENE-041010-57</v>
      </c>
      <c r="E13713" t="s">
        <v>41030</v>
      </c>
    </row>
    <row r="13714" spans="1:5" x14ac:dyDescent="0.2">
      <c r="A13714" t="s">
        <v>41031</v>
      </c>
      <c r="B13714" t="s">
        <v>41032</v>
      </c>
      <c r="C13714" t="s">
        <v>41032</v>
      </c>
      <c r="D13714" t="str">
        <f>HYPERLINK("https://zfin.org/ZDB-GENE-060623-1")</f>
        <v>https://zfin.org/ZDB-GENE-060623-1</v>
      </c>
      <c r="E13714" t="s">
        <v>41033</v>
      </c>
    </row>
    <row r="13715" spans="1:5" x14ac:dyDescent="0.2">
      <c r="A13715" t="s">
        <v>41034</v>
      </c>
      <c r="B13715" t="s">
        <v>41035</v>
      </c>
      <c r="C13715" t="s">
        <v>41035</v>
      </c>
      <c r="D13715" t="str">
        <f>HYPERLINK("https://zfin.org/")</f>
        <v>https://zfin.org/</v>
      </c>
      <c r="E13715" t="s">
        <v>41036</v>
      </c>
    </row>
    <row r="13716" spans="1:5" x14ac:dyDescent="0.2">
      <c r="A13716" t="s">
        <v>41037</v>
      </c>
      <c r="B13716" t="s">
        <v>41038</v>
      </c>
      <c r="C13716" t="s">
        <v>41038</v>
      </c>
      <c r="D13716" t="str">
        <f>HYPERLINK("https://zfin.org/ZDB-GENE-070112-1012")</f>
        <v>https://zfin.org/ZDB-GENE-070112-1012</v>
      </c>
      <c r="E13716" t="s">
        <v>41039</v>
      </c>
    </row>
    <row r="13717" spans="1:5" x14ac:dyDescent="0.2">
      <c r="A13717" t="s">
        <v>41040</v>
      </c>
      <c r="B13717" t="s">
        <v>41041</v>
      </c>
      <c r="C13717" t="s">
        <v>41041</v>
      </c>
      <c r="D13717" t="str">
        <f>HYPERLINK("https://zfin.org/ZDB-GENE-030131-5935")</f>
        <v>https://zfin.org/ZDB-GENE-030131-5935</v>
      </c>
      <c r="E13717" t="s">
        <v>41042</v>
      </c>
    </row>
    <row r="13718" spans="1:5" x14ac:dyDescent="0.2">
      <c r="A13718" t="s">
        <v>41043</v>
      </c>
      <c r="B13718" t="s">
        <v>41044</v>
      </c>
      <c r="C13718" t="s">
        <v>41044</v>
      </c>
      <c r="D13718" t="str">
        <f>HYPERLINK("https://zfin.org/")</f>
        <v>https://zfin.org/</v>
      </c>
      <c r="E13718" t="s">
        <v>41045</v>
      </c>
    </row>
    <row r="13719" spans="1:5" x14ac:dyDescent="0.2">
      <c r="A13719" t="s">
        <v>41046</v>
      </c>
      <c r="B13719" t="s">
        <v>41047</v>
      </c>
      <c r="C13719" t="s">
        <v>41047</v>
      </c>
      <c r="D13719" t="str">
        <f>HYPERLINK("https://zfin.org/ZDB-GENE-030131-2670")</f>
        <v>https://zfin.org/ZDB-GENE-030131-2670</v>
      </c>
      <c r="E13719" t="s">
        <v>41048</v>
      </c>
    </row>
    <row r="13720" spans="1:5" x14ac:dyDescent="0.2">
      <c r="A13720" t="s">
        <v>41049</v>
      </c>
      <c r="B13720" t="s">
        <v>40701</v>
      </c>
      <c r="C13720" t="s">
        <v>41050</v>
      </c>
      <c r="D13720" t="str">
        <f>HYPERLINK("https://zfin.org/")</f>
        <v>https://zfin.org/</v>
      </c>
      <c r="E13720" t="s">
        <v>40702</v>
      </c>
    </row>
    <row r="13721" spans="1:5" x14ac:dyDescent="0.2">
      <c r="A13721" t="s">
        <v>41051</v>
      </c>
      <c r="B13721" t="s">
        <v>41052</v>
      </c>
      <c r="C13721" t="s">
        <v>41052</v>
      </c>
      <c r="D13721" t="str">
        <f>HYPERLINK("https://zfin.org/")</f>
        <v>https://zfin.org/</v>
      </c>
    </row>
    <row r="13722" spans="1:5" x14ac:dyDescent="0.2">
      <c r="A13722" t="s">
        <v>41053</v>
      </c>
      <c r="B13722" t="s">
        <v>41054</v>
      </c>
      <c r="C13722" t="s">
        <v>41054</v>
      </c>
      <c r="D13722" t="str">
        <f>HYPERLINK("https://zfin.org/ZDB-GENE-081022-119")</f>
        <v>https://zfin.org/ZDB-GENE-081022-119</v>
      </c>
      <c r="E13722" t="s">
        <v>41055</v>
      </c>
    </row>
    <row r="13723" spans="1:5" x14ac:dyDescent="0.2">
      <c r="A13723" t="s">
        <v>41056</v>
      </c>
      <c r="B13723" t="s">
        <v>41057</v>
      </c>
      <c r="C13723" t="s">
        <v>41057</v>
      </c>
      <c r="D13723" t="str">
        <f>HYPERLINK("https://zfin.org/ZDB-GENE-030131-571")</f>
        <v>https://zfin.org/ZDB-GENE-030131-571</v>
      </c>
      <c r="E13723" t="s">
        <v>41058</v>
      </c>
    </row>
    <row r="13724" spans="1:5" x14ac:dyDescent="0.2">
      <c r="A13724" t="s">
        <v>41059</v>
      </c>
      <c r="B13724" t="s">
        <v>41060</v>
      </c>
      <c r="C13724" t="s">
        <v>41060</v>
      </c>
      <c r="D13724" t="str">
        <f>HYPERLINK("https://zfin.org/ZDB-GENE-050604-1")</f>
        <v>https://zfin.org/ZDB-GENE-050604-1</v>
      </c>
      <c r="E13724" t="s">
        <v>41061</v>
      </c>
    </row>
    <row r="13725" spans="1:5" x14ac:dyDescent="0.2">
      <c r="A13725" t="s">
        <v>41062</v>
      </c>
      <c r="B13725" t="s">
        <v>41063</v>
      </c>
      <c r="C13725" t="s">
        <v>41063</v>
      </c>
      <c r="D13725" t="str">
        <f>HYPERLINK("https://zfin.org/ZDB-GENE-040718-214")</f>
        <v>https://zfin.org/ZDB-GENE-040718-214</v>
      </c>
      <c r="E13725" t="s">
        <v>41064</v>
      </c>
    </row>
    <row r="13726" spans="1:5" x14ac:dyDescent="0.2">
      <c r="A13726" t="s">
        <v>41065</v>
      </c>
      <c r="B13726" t="s">
        <v>41066</v>
      </c>
      <c r="C13726" t="s">
        <v>41066</v>
      </c>
      <c r="D13726" t="str">
        <f>HYPERLINK("https://zfin.org/ZDB-GENE-080212-7")</f>
        <v>https://zfin.org/ZDB-GENE-080212-7</v>
      </c>
      <c r="E13726" t="s">
        <v>41067</v>
      </c>
    </row>
    <row r="13727" spans="1:5" x14ac:dyDescent="0.2">
      <c r="A13727" t="s">
        <v>41068</v>
      </c>
      <c r="B13727" t="s">
        <v>41069</v>
      </c>
      <c r="C13727" t="s">
        <v>41069</v>
      </c>
      <c r="D13727" t="str">
        <f>HYPERLINK("https://zfin.org/ZDB-GENE-040718-27")</f>
        <v>https://zfin.org/ZDB-GENE-040718-27</v>
      </c>
      <c r="E13727" t="s">
        <v>41070</v>
      </c>
    </row>
    <row r="13728" spans="1:5" x14ac:dyDescent="0.2">
      <c r="A13728" t="s">
        <v>41071</v>
      </c>
      <c r="B13728" t="s">
        <v>41072</v>
      </c>
      <c r="C13728" t="s">
        <v>41072</v>
      </c>
      <c r="D13728" t="str">
        <f>HYPERLINK("https://zfin.org/")</f>
        <v>https://zfin.org/</v>
      </c>
    </row>
    <row r="13729" spans="1:5" x14ac:dyDescent="0.2">
      <c r="A13729" t="s">
        <v>41073</v>
      </c>
      <c r="B13729" t="s">
        <v>41074</v>
      </c>
      <c r="C13729" t="s">
        <v>41074</v>
      </c>
      <c r="D13729" t="str">
        <f>HYPERLINK("https://zfin.org/ZDB-GENE-040426-774")</f>
        <v>https://zfin.org/ZDB-GENE-040426-774</v>
      </c>
      <c r="E13729" t="s">
        <v>41075</v>
      </c>
    </row>
    <row r="13730" spans="1:5" x14ac:dyDescent="0.2">
      <c r="A13730" t="s">
        <v>41076</v>
      </c>
      <c r="B13730" t="s">
        <v>41077</v>
      </c>
      <c r="C13730" t="s">
        <v>41077</v>
      </c>
      <c r="D13730" t="str">
        <f>HYPERLINK("https://zfin.org/")</f>
        <v>https://zfin.org/</v>
      </c>
    </row>
    <row r="13731" spans="1:5" x14ac:dyDescent="0.2">
      <c r="A13731" t="s">
        <v>41078</v>
      </c>
      <c r="B13731" t="s">
        <v>41079</v>
      </c>
      <c r="C13731" t="s">
        <v>41079</v>
      </c>
      <c r="D13731" t="str">
        <f>HYPERLINK("https://zfin.org/ZDB-GENE-081022-102")</f>
        <v>https://zfin.org/ZDB-GENE-081022-102</v>
      </c>
      <c r="E13731" t="s">
        <v>41080</v>
      </c>
    </row>
    <row r="13732" spans="1:5" x14ac:dyDescent="0.2">
      <c r="A13732" t="s">
        <v>41081</v>
      </c>
      <c r="B13732" t="s">
        <v>41082</v>
      </c>
      <c r="C13732" t="s">
        <v>41082</v>
      </c>
      <c r="D13732" t="str">
        <f>HYPERLINK("https://zfin.org/ZDB-GENE-040426-1393")</f>
        <v>https://zfin.org/ZDB-GENE-040426-1393</v>
      </c>
      <c r="E13732" t="s">
        <v>41083</v>
      </c>
    </row>
    <row r="13733" spans="1:5" x14ac:dyDescent="0.2">
      <c r="A13733" t="s">
        <v>41084</v>
      </c>
      <c r="B13733" t="s">
        <v>41085</v>
      </c>
      <c r="C13733" t="s">
        <v>41085</v>
      </c>
      <c r="D13733" t="str">
        <f>HYPERLINK("https://zfin.org/")</f>
        <v>https://zfin.org/</v>
      </c>
    </row>
    <row r="13734" spans="1:5" x14ac:dyDescent="0.2">
      <c r="A13734" t="s">
        <v>41086</v>
      </c>
      <c r="B13734" t="s">
        <v>41087</v>
      </c>
      <c r="C13734" t="s">
        <v>41087</v>
      </c>
      <c r="D13734" t="str">
        <f>HYPERLINK("https://zfin.org/ZDB-GENE-050410-8")</f>
        <v>https://zfin.org/ZDB-GENE-050410-8</v>
      </c>
      <c r="E13734" t="s">
        <v>41088</v>
      </c>
    </row>
    <row r="13735" spans="1:5" x14ac:dyDescent="0.2">
      <c r="A13735" t="s">
        <v>41089</v>
      </c>
      <c r="B13735" t="s">
        <v>41090</v>
      </c>
      <c r="C13735" t="s">
        <v>41090</v>
      </c>
      <c r="D13735" t="str">
        <f>HYPERLINK("https://zfin.org/")</f>
        <v>https://zfin.org/</v>
      </c>
      <c r="E13735" t="s">
        <v>41091</v>
      </c>
    </row>
    <row r="13736" spans="1:5" x14ac:dyDescent="0.2">
      <c r="A13736" t="s">
        <v>41092</v>
      </c>
      <c r="B13736" t="s">
        <v>41093</v>
      </c>
      <c r="C13736" t="s">
        <v>41093</v>
      </c>
      <c r="D13736" t="str">
        <f>HYPERLINK("https://zfin.org/ZDB-GENE-050506-133")</f>
        <v>https://zfin.org/ZDB-GENE-050506-133</v>
      </c>
      <c r="E13736" t="s">
        <v>41094</v>
      </c>
    </row>
    <row r="13737" spans="1:5" x14ac:dyDescent="0.2">
      <c r="A13737" t="s">
        <v>41095</v>
      </c>
      <c r="B13737" t="s">
        <v>41096</v>
      </c>
      <c r="C13737" t="s">
        <v>41096</v>
      </c>
      <c r="D13737" t="str">
        <f>HYPERLINK("https://zfin.org/")</f>
        <v>https://zfin.org/</v>
      </c>
      <c r="E13737" t="s">
        <v>41097</v>
      </c>
    </row>
    <row r="13738" spans="1:5" x14ac:dyDescent="0.2">
      <c r="A13738" t="s">
        <v>41098</v>
      </c>
      <c r="B13738" t="s">
        <v>41099</v>
      </c>
      <c r="C13738" t="s">
        <v>41099</v>
      </c>
      <c r="D13738" t="str">
        <f>HYPERLINK("https://zfin.org/ZDB-GENE-030131-6052")</f>
        <v>https://zfin.org/ZDB-GENE-030131-6052</v>
      </c>
      <c r="E13738" t="s">
        <v>41100</v>
      </c>
    </row>
    <row r="13739" spans="1:5" x14ac:dyDescent="0.2">
      <c r="A13739" t="s">
        <v>41101</v>
      </c>
      <c r="B13739" t="s">
        <v>41102</v>
      </c>
      <c r="C13739" t="s">
        <v>41103</v>
      </c>
      <c r="D13739" t="str">
        <f>HYPERLINK("https://zfin.org/ZDB-GENE-030131-7349")</f>
        <v>https://zfin.org/ZDB-GENE-030131-7349</v>
      </c>
      <c r="E13739" t="s">
        <v>41104</v>
      </c>
    </row>
    <row r="13740" spans="1:5" x14ac:dyDescent="0.2">
      <c r="A13740" t="s">
        <v>41105</v>
      </c>
      <c r="B13740" t="s">
        <v>41106</v>
      </c>
      <c r="C13740" t="s">
        <v>41106</v>
      </c>
      <c r="D13740" t="str">
        <f>HYPERLINK("https://zfin.org/")</f>
        <v>https://zfin.org/</v>
      </c>
      <c r="E13740" t="s">
        <v>41107</v>
      </c>
    </row>
    <row r="13741" spans="1:5" x14ac:dyDescent="0.2">
      <c r="A13741" t="s">
        <v>41108</v>
      </c>
      <c r="B13741" t="s">
        <v>41109</v>
      </c>
      <c r="C13741" t="s">
        <v>41109</v>
      </c>
      <c r="D13741" t="str">
        <f>HYPERLINK("https://zfin.org/ZDB-GENE-081022-125")</f>
        <v>https://zfin.org/ZDB-GENE-081022-125</v>
      </c>
      <c r="E13741" t="s">
        <v>41110</v>
      </c>
    </row>
    <row r="13742" spans="1:5" x14ac:dyDescent="0.2">
      <c r="A13742" t="s">
        <v>41111</v>
      </c>
      <c r="B13742" t="s">
        <v>41112</v>
      </c>
      <c r="C13742" t="s">
        <v>41112</v>
      </c>
      <c r="D13742" t="str">
        <f>HYPERLINK("https://zfin.org/")</f>
        <v>https://zfin.org/</v>
      </c>
      <c r="E13742" t="s">
        <v>41113</v>
      </c>
    </row>
    <row r="13743" spans="1:5" x14ac:dyDescent="0.2">
      <c r="A13743" t="s">
        <v>41114</v>
      </c>
      <c r="B13743" t="s">
        <v>41115</v>
      </c>
      <c r="C13743" t="s">
        <v>41115</v>
      </c>
      <c r="D13743" t="str">
        <f>HYPERLINK("https://zfin.org/")</f>
        <v>https://zfin.org/</v>
      </c>
      <c r="E13743" t="s">
        <v>41116</v>
      </c>
    </row>
    <row r="13744" spans="1:5" x14ac:dyDescent="0.2">
      <c r="A13744" t="s">
        <v>41117</v>
      </c>
      <c r="B13744" t="s">
        <v>41118</v>
      </c>
      <c r="C13744" t="s">
        <v>41118</v>
      </c>
      <c r="D13744" t="str">
        <f>HYPERLINK("https://zfin.org/")</f>
        <v>https://zfin.org/</v>
      </c>
      <c r="E13744" t="s">
        <v>41119</v>
      </c>
    </row>
    <row r="13745" spans="1:5" x14ac:dyDescent="0.2">
      <c r="A13745" t="s">
        <v>41120</v>
      </c>
      <c r="B13745" t="s">
        <v>41121</v>
      </c>
      <c r="C13745" t="s">
        <v>41121</v>
      </c>
      <c r="D13745" t="str">
        <f>HYPERLINK("https://zfin.org/ZDB-GENE-050327-83")</f>
        <v>https://zfin.org/ZDB-GENE-050327-83</v>
      </c>
      <c r="E13745" t="s">
        <v>41122</v>
      </c>
    </row>
    <row r="13746" spans="1:5" x14ac:dyDescent="0.2">
      <c r="A13746" t="s">
        <v>41123</v>
      </c>
      <c r="B13746" t="s">
        <v>41124</v>
      </c>
      <c r="C13746" t="s">
        <v>41124</v>
      </c>
      <c r="D13746" t="str">
        <f>HYPERLINK("https://zfin.org/ZDB-GENE-030131-3805")</f>
        <v>https://zfin.org/ZDB-GENE-030131-3805</v>
      </c>
      <c r="E13746" t="s">
        <v>41125</v>
      </c>
    </row>
    <row r="13747" spans="1:5" x14ac:dyDescent="0.2">
      <c r="A13747" t="s">
        <v>41126</v>
      </c>
      <c r="B13747" t="s">
        <v>41127</v>
      </c>
      <c r="C13747" t="s">
        <v>41127</v>
      </c>
      <c r="D13747" t="str">
        <f>HYPERLINK("https://zfin.org/ZDB-GENE-030131-1098")</f>
        <v>https://zfin.org/ZDB-GENE-030131-1098</v>
      </c>
      <c r="E13747" t="s">
        <v>41128</v>
      </c>
    </row>
    <row r="13748" spans="1:5" x14ac:dyDescent="0.2">
      <c r="A13748" t="s">
        <v>41129</v>
      </c>
      <c r="B13748" t="s">
        <v>41130</v>
      </c>
      <c r="C13748" t="s">
        <v>41130</v>
      </c>
      <c r="D13748" t="str">
        <f>HYPERLINK("https://zfin.org/")</f>
        <v>https://zfin.org/</v>
      </c>
      <c r="E13748" t="s">
        <v>41131</v>
      </c>
    </row>
    <row r="13749" spans="1:5" x14ac:dyDescent="0.2">
      <c r="A13749" t="s">
        <v>41132</v>
      </c>
      <c r="B13749" t="s">
        <v>41133</v>
      </c>
      <c r="C13749" t="s">
        <v>41133</v>
      </c>
      <c r="D13749" t="str">
        <f>HYPERLINK("https://zfin.org/")</f>
        <v>https://zfin.org/</v>
      </c>
    </row>
    <row r="13750" spans="1:5" x14ac:dyDescent="0.2">
      <c r="A13750" t="s">
        <v>41134</v>
      </c>
      <c r="B13750" t="s">
        <v>41135</v>
      </c>
      <c r="C13750" t="s">
        <v>41135</v>
      </c>
      <c r="D13750" t="str">
        <f>HYPERLINK("https://zfin.org/ZDB-GENE-061013-189")</f>
        <v>https://zfin.org/ZDB-GENE-061013-189</v>
      </c>
      <c r="E13750" t="s">
        <v>41136</v>
      </c>
    </row>
    <row r="13751" spans="1:5" x14ac:dyDescent="0.2">
      <c r="A13751" t="s">
        <v>41137</v>
      </c>
      <c r="B13751" t="s">
        <v>41138</v>
      </c>
      <c r="C13751" t="s">
        <v>41138</v>
      </c>
      <c r="D13751" t="str">
        <f>HYPERLINK("https://zfin.org/ZDB-GENE-040822-37")</f>
        <v>https://zfin.org/ZDB-GENE-040822-37</v>
      </c>
      <c r="E13751" t="s">
        <v>41139</v>
      </c>
    </row>
    <row r="13752" spans="1:5" x14ac:dyDescent="0.2">
      <c r="A13752" t="s">
        <v>41140</v>
      </c>
      <c r="B13752" t="s">
        <v>41141</v>
      </c>
      <c r="C13752" t="s">
        <v>41141</v>
      </c>
      <c r="D13752" t="str">
        <f>HYPERLINK("https://zfin.org/ZDB-GENE-040914-80")</f>
        <v>https://zfin.org/ZDB-GENE-040914-80</v>
      </c>
      <c r="E13752" t="s">
        <v>41142</v>
      </c>
    </row>
    <row r="13753" spans="1:5" x14ac:dyDescent="0.2">
      <c r="A13753" t="s">
        <v>41143</v>
      </c>
      <c r="B13753" t="s">
        <v>41144</v>
      </c>
      <c r="C13753" t="s">
        <v>41144</v>
      </c>
      <c r="D13753" t="str">
        <f>HYPERLINK("https://zfin.org/ZDB-GENE-030826-21")</f>
        <v>https://zfin.org/ZDB-GENE-030826-21</v>
      </c>
      <c r="E13753" t="s">
        <v>41145</v>
      </c>
    </row>
    <row r="13754" spans="1:5" x14ac:dyDescent="0.2">
      <c r="A13754" t="s">
        <v>41146</v>
      </c>
      <c r="B13754" t="s">
        <v>38629</v>
      </c>
      <c r="C13754" t="s">
        <v>41147</v>
      </c>
      <c r="D13754" t="str">
        <f>HYPERLINK("https://zfin.org/ZDB-GENE-040426-1735")</f>
        <v>https://zfin.org/ZDB-GENE-040426-1735</v>
      </c>
      <c r="E13754" t="s">
        <v>38630</v>
      </c>
    </row>
    <row r="13755" spans="1:5" x14ac:dyDescent="0.2">
      <c r="A13755" t="s">
        <v>41148</v>
      </c>
      <c r="B13755" t="s">
        <v>41149</v>
      </c>
      <c r="C13755" t="s">
        <v>41149</v>
      </c>
      <c r="D13755" t="str">
        <f>HYPERLINK("https://zfin.org/")</f>
        <v>https://zfin.org/</v>
      </c>
    </row>
    <row r="13756" spans="1:5" x14ac:dyDescent="0.2">
      <c r="A13756" t="s">
        <v>41150</v>
      </c>
      <c r="B13756" t="s">
        <v>41151</v>
      </c>
      <c r="C13756" t="s">
        <v>41151</v>
      </c>
      <c r="D13756" t="str">
        <f>HYPERLINK("https://zfin.org/ZDB-GENE-050417-167")</f>
        <v>https://zfin.org/ZDB-GENE-050417-167</v>
      </c>
      <c r="E13756" t="s">
        <v>41152</v>
      </c>
    </row>
    <row r="13757" spans="1:5" x14ac:dyDescent="0.2">
      <c r="A13757" t="s">
        <v>41153</v>
      </c>
      <c r="B13757" t="s">
        <v>41154</v>
      </c>
      <c r="C13757" t="s">
        <v>41154</v>
      </c>
      <c r="D13757" t="str">
        <f>HYPERLINK("https://zfin.org/")</f>
        <v>https://zfin.org/</v>
      </c>
    </row>
    <row r="13758" spans="1:5" x14ac:dyDescent="0.2">
      <c r="A13758" t="s">
        <v>41155</v>
      </c>
      <c r="B13758" t="s">
        <v>41156</v>
      </c>
      <c r="C13758" t="s">
        <v>41156</v>
      </c>
      <c r="D13758" t="str">
        <f>HYPERLINK("https://zfin.org/")</f>
        <v>https://zfin.org/</v>
      </c>
      <c r="E13758" t="s">
        <v>41157</v>
      </c>
    </row>
    <row r="13759" spans="1:5" x14ac:dyDescent="0.2">
      <c r="A13759" t="s">
        <v>41158</v>
      </c>
      <c r="B13759" t="s">
        <v>41159</v>
      </c>
      <c r="C13759" t="s">
        <v>41159</v>
      </c>
      <c r="D13759" t="str">
        <f>HYPERLINK("https://zfin.org/ZDB-GENE-030131-8370")</f>
        <v>https://zfin.org/ZDB-GENE-030131-8370</v>
      </c>
      <c r="E13759" t="s">
        <v>41160</v>
      </c>
    </row>
    <row r="13760" spans="1:5" x14ac:dyDescent="0.2">
      <c r="A13760" t="s">
        <v>41161</v>
      </c>
      <c r="B13760" t="s">
        <v>41162</v>
      </c>
      <c r="C13760" t="s">
        <v>41162</v>
      </c>
      <c r="D13760" t="str">
        <f>HYPERLINK("https://zfin.org/")</f>
        <v>https://zfin.org/</v>
      </c>
    </row>
    <row r="13761" spans="1:5" x14ac:dyDescent="0.2">
      <c r="A13761" t="s">
        <v>41163</v>
      </c>
      <c r="B13761" t="s">
        <v>41164</v>
      </c>
      <c r="C13761" t="s">
        <v>41164</v>
      </c>
      <c r="D13761" t="str">
        <f>HYPERLINK("https://zfin.org/ZDB-GENE-030909-10")</f>
        <v>https://zfin.org/ZDB-GENE-030909-10</v>
      </c>
      <c r="E13761" t="s">
        <v>41165</v>
      </c>
    </row>
    <row r="13762" spans="1:5" x14ac:dyDescent="0.2">
      <c r="A13762" t="s">
        <v>41166</v>
      </c>
      <c r="B13762" t="s">
        <v>41167</v>
      </c>
      <c r="C13762" t="s">
        <v>41167</v>
      </c>
      <c r="D13762" t="str">
        <f>HYPERLINK("https://zfin.org/")</f>
        <v>https://zfin.org/</v>
      </c>
      <c r="E13762" t="s">
        <v>41168</v>
      </c>
    </row>
    <row r="13763" spans="1:5" x14ac:dyDescent="0.2">
      <c r="A13763" t="s">
        <v>41169</v>
      </c>
      <c r="B13763" t="s">
        <v>41170</v>
      </c>
      <c r="C13763" t="s">
        <v>41170</v>
      </c>
      <c r="D13763" t="str">
        <f>HYPERLINK("https://zfin.org/")</f>
        <v>https://zfin.org/</v>
      </c>
    </row>
    <row r="13764" spans="1:5" x14ac:dyDescent="0.2">
      <c r="A13764" t="s">
        <v>41171</v>
      </c>
      <c r="B13764" t="s">
        <v>41172</v>
      </c>
      <c r="C13764" t="s">
        <v>41172</v>
      </c>
      <c r="D13764" t="str">
        <f>HYPERLINK("https://zfin.org/")</f>
        <v>https://zfin.org/</v>
      </c>
    </row>
    <row r="13765" spans="1:5" x14ac:dyDescent="0.2">
      <c r="A13765" t="s">
        <v>41173</v>
      </c>
      <c r="B13765" t="s">
        <v>41174</v>
      </c>
      <c r="C13765" t="s">
        <v>41174</v>
      </c>
      <c r="D13765" t="str">
        <f>HYPERLINK("https://zfin.org/")</f>
        <v>https://zfin.org/</v>
      </c>
      <c r="E13765" t="s">
        <v>41175</v>
      </c>
    </row>
    <row r="13766" spans="1:5" x14ac:dyDescent="0.2">
      <c r="A13766" t="s">
        <v>41176</v>
      </c>
      <c r="B13766" t="s">
        <v>41177</v>
      </c>
      <c r="C13766" t="s">
        <v>41177</v>
      </c>
      <c r="D13766" t="str">
        <f>HYPERLINK("https://zfin.org/")</f>
        <v>https://zfin.org/</v>
      </c>
      <c r="E13766" t="s">
        <v>41178</v>
      </c>
    </row>
    <row r="13767" spans="1:5" x14ac:dyDescent="0.2">
      <c r="A13767" t="s">
        <v>41179</v>
      </c>
      <c r="B13767" t="s">
        <v>41180</v>
      </c>
      <c r="C13767" t="s">
        <v>41180</v>
      </c>
      <c r="D13767" t="str">
        <f>HYPERLINK("https://zfin.org/ZDB-GENE-050320-136")</f>
        <v>https://zfin.org/ZDB-GENE-050320-136</v>
      </c>
      <c r="E13767" t="s">
        <v>41181</v>
      </c>
    </row>
    <row r="13768" spans="1:5" x14ac:dyDescent="0.2">
      <c r="A13768" t="s">
        <v>41182</v>
      </c>
      <c r="B13768" t="s">
        <v>41183</v>
      </c>
      <c r="C13768" t="s">
        <v>41183</v>
      </c>
      <c r="D13768" t="str">
        <f>HYPERLINK("https://zfin.org/ZDB-GENE-040708-1")</f>
        <v>https://zfin.org/ZDB-GENE-040708-1</v>
      </c>
      <c r="E13768" t="s">
        <v>41184</v>
      </c>
    </row>
    <row r="13769" spans="1:5" x14ac:dyDescent="0.2">
      <c r="A13769" t="s">
        <v>41185</v>
      </c>
      <c r="B13769" t="s">
        <v>41186</v>
      </c>
      <c r="C13769" t="s">
        <v>41186</v>
      </c>
      <c r="D13769" t="str">
        <f>HYPERLINK("https://zfin.org/ZDB-GENE-030131-5938")</f>
        <v>https://zfin.org/ZDB-GENE-030131-5938</v>
      </c>
      <c r="E13769" t="s">
        <v>41187</v>
      </c>
    </row>
    <row r="13770" spans="1:5" x14ac:dyDescent="0.2">
      <c r="A13770" t="s">
        <v>41188</v>
      </c>
      <c r="B13770" t="s">
        <v>41189</v>
      </c>
      <c r="C13770" t="s">
        <v>41189</v>
      </c>
      <c r="D13770" t="str">
        <f>HYPERLINK("https://zfin.org/ZDB-GENE-060810-187")</f>
        <v>https://zfin.org/ZDB-GENE-060810-187</v>
      </c>
      <c r="E13770" t="s">
        <v>41190</v>
      </c>
    </row>
    <row r="13771" spans="1:5" x14ac:dyDescent="0.2">
      <c r="A13771" t="s">
        <v>41191</v>
      </c>
      <c r="B13771" t="s">
        <v>41192</v>
      </c>
      <c r="C13771" t="s">
        <v>41192</v>
      </c>
      <c r="D13771" t="str">
        <f>HYPERLINK("https://zfin.org/")</f>
        <v>https://zfin.org/</v>
      </c>
      <c r="E13771" t="s">
        <v>41193</v>
      </c>
    </row>
    <row r="13772" spans="1:5" x14ac:dyDescent="0.2">
      <c r="A13772" t="s">
        <v>41194</v>
      </c>
      <c r="B13772" t="s">
        <v>41195</v>
      </c>
      <c r="C13772" t="s">
        <v>41195</v>
      </c>
      <c r="D13772" t="str">
        <f>HYPERLINK("https://zfin.org/ZDB-GENE-080204-62")</f>
        <v>https://zfin.org/ZDB-GENE-080204-62</v>
      </c>
      <c r="E13772" t="s">
        <v>41196</v>
      </c>
    </row>
    <row r="13773" spans="1:5" x14ac:dyDescent="0.2">
      <c r="A13773" t="s">
        <v>41197</v>
      </c>
      <c r="B13773" t="s">
        <v>41198</v>
      </c>
      <c r="C13773" t="s">
        <v>41198</v>
      </c>
      <c r="D13773" t="str">
        <f>HYPERLINK("https://zfin.org/")</f>
        <v>https://zfin.org/</v>
      </c>
    </row>
    <row r="13774" spans="1:5" x14ac:dyDescent="0.2">
      <c r="A13774" t="s">
        <v>41199</v>
      </c>
      <c r="B13774" t="s">
        <v>41200</v>
      </c>
      <c r="C13774" t="s">
        <v>41200</v>
      </c>
      <c r="D13774" t="str">
        <f>HYPERLINK("https://zfin.org/")</f>
        <v>https://zfin.org/</v>
      </c>
    </row>
    <row r="13775" spans="1:5" x14ac:dyDescent="0.2">
      <c r="A13775" t="s">
        <v>41201</v>
      </c>
      <c r="B13775" t="s">
        <v>41202</v>
      </c>
      <c r="C13775" t="s">
        <v>41202</v>
      </c>
      <c r="D13775" t="str">
        <f>HYPERLINK("https://zfin.org/ZDB-GENE-120203-3")</f>
        <v>https://zfin.org/ZDB-GENE-120203-3</v>
      </c>
      <c r="E13775" t="s">
        <v>41203</v>
      </c>
    </row>
    <row r="13776" spans="1:5" x14ac:dyDescent="0.2">
      <c r="A13776" t="s">
        <v>41204</v>
      </c>
      <c r="B13776" t="s">
        <v>41205</v>
      </c>
      <c r="C13776" t="s">
        <v>41205</v>
      </c>
      <c r="D13776" t="str">
        <f>HYPERLINK("https://zfin.org/ZDB-GENE-050227-8")</f>
        <v>https://zfin.org/ZDB-GENE-050227-8</v>
      </c>
      <c r="E13776" t="s">
        <v>41206</v>
      </c>
    </row>
    <row r="13777" spans="1:5" x14ac:dyDescent="0.2">
      <c r="A13777" t="s">
        <v>41207</v>
      </c>
      <c r="B13777" t="s">
        <v>41208</v>
      </c>
      <c r="C13777" t="s">
        <v>41208</v>
      </c>
      <c r="D13777" t="str">
        <f>HYPERLINK("https://zfin.org/")</f>
        <v>https://zfin.org/</v>
      </c>
    </row>
    <row r="13778" spans="1:5" x14ac:dyDescent="0.2">
      <c r="A13778" t="s">
        <v>41209</v>
      </c>
      <c r="B13778" t="s">
        <v>41210</v>
      </c>
      <c r="C13778" t="s">
        <v>41210</v>
      </c>
      <c r="D13778" t="str">
        <f>HYPERLINK("https://zfin.org/ZDB-GENE-040704-63")</f>
        <v>https://zfin.org/ZDB-GENE-040704-63</v>
      </c>
      <c r="E13778" t="s">
        <v>41211</v>
      </c>
    </row>
    <row r="13779" spans="1:5" x14ac:dyDescent="0.2">
      <c r="A13779" t="s">
        <v>41212</v>
      </c>
      <c r="B13779" t="s">
        <v>41213</v>
      </c>
      <c r="C13779" t="s">
        <v>41213</v>
      </c>
      <c r="D13779" t="str">
        <f>HYPERLINK("https://zfin.org/ZDB-GENE-040718-89")</f>
        <v>https://zfin.org/ZDB-GENE-040718-89</v>
      </c>
      <c r="E13779" t="s">
        <v>41214</v>
      </c>
    </row>
    <row r="13780" spans="1:5" x14ac:dyDescent="0.2">
      <c r="A13780" t="s">
        <v>41215</v>
      </c>
      <c r="B13780" t="s">
        <v>41216</v>
      </c>
      <c r="C13780" t="s">
        <v>41216</v>
      </c>
      <c r="D13780" t="str">
        <f>HYPERLINK("https://zfin.org/ZDB-GENE-080204-125")</f>
        <v>https://zfin.org/ZDB-GENE-080204-125</v>
      </c>
      <c r="E13780" t="s">
        <v>41217</v>
      </c>
    </row>
    <row r="13781" spans="1:5" x14ac:dyDescent="0.2">
      <c r="A13781" t="s">
        <v>41218</v>
      </c>
      <c r="B13781" t="s">
        <v>41219</v>
      </c>
      <c r="C13781" t="s">
        <v>41219</v>
      </c>
      <c r="D13781" t="str">
        <f>HYPERLINK("https://zfin.org/ZDB-GENE-060825-71")</f>
        <v>https://zfin.org/ZDB-GENE-060825-71</v>
      </c>
      <c r="E13781" t="s">
        <v>41220</v>
      </c>
    </row>
    <row r="13782" spans="1:5" x14ac:dyDescent="0.2">
      <c r="A13782" t="s">
        <v>41221</v>
      </c>
      <c r="B13782" t="s">
        <v>41222</v>
      </c>
      <c r="C13782" t="s">
        <v>41222</v>
      </c>
      <c r="D13782" t="str">
        <f>HYPERLINK("https://zfin.org/ZDB-GENE-040426-1348")</f>
        <v>https://zfin.org/ZDB-GENE-040426-1348</v>
      </c>
      <c r="E13782" t="s">
        <v>41223</v>
      </c>
    </row>
    <row r="13783" spans="1:5" x14ac:dyDescent="0.2">
      <c r="A13783" t="s">
        <v>41224</v>
      </c>
      <c r="B13783" t="s">
        <v>41225</v>
      </c>
      <c r="C13783" t="s">
        <v>41225</v>
      </c>
      <c r="D13783" t="str">
        <f>HYPERLINK("https://zfin.org/ZDB-GENE-030131-551")</f>
        <v>https://zfin.org/ZDB-GENE-030131-551</v>
      </c>
      <c r="E13783" t="s">
        <v>41226</v>
      </c>
    </row>
    <row r="13784" spans="1:5" x14ac:dyDescent="0.2">
      <c r="A13784" t="s">
        <v>41227</v>
      </c>
      <c r="B13784" t="s">
        <v>41228</v>
      </c>
      <c r="C13784" t="s">
        <v>41228</v>
      </c>
      <c r="D13784" t="str">
        <f>HYPERLINK("https://zfin.org/")</f>
        <v>https://zfin.org/</v>
      </c>
      <c r="E13784" t="s">
        <v>41229</v>
      </c>
    </row>
    <row r="13785" spans="1:5" x14ac:dyDescent="0.2">
      <c r="A13785" t="s">
        <v>41230</v>
      </c>
      <c r="B13785" t="s">
        <v>41231</v>
      </c>
      <c r="C13785" t="s">
        <v>41231</v>
      </c>
      <c r="D13785" t="str">
        <f>HYPERLINK("https://zfin.org/ZDB-GENE-041010-145")</f>
        <v>https://zfin.org/ZDB-GENE-041010-145</v>
      </c>
      <c r="E13785" t="s">
        <v>41232</v>
      </c>
    </row>
    <row r="13786" spans="1:5" x14ac:dyDescent="0.2">
      <c r="A13786" t="s">
        <v>41233</v>
      </c>
      <c r="B13786" t="s">
        <v>41234</v>
      </c>
      <c r="C13786" t="s">
        <v>41234</v>
      </c>
      <c r="D13786" t="str">
        <f>HYPERLINK("https://zfin.org/")</f>
        <v>https://zfin.org/</v>
      </c>
      <c r="E13786" t="s">
        <v>41235</v>
      </c>
    </row>
    <row r="13787" spans="1:5" x14ac:dyDescent="0.2">
      <c r="A13787" t="s">
        <v>41236</v>
      </c>
      <c r="B13787" t="s">
        <v>41237</v>
      </c>
      <c r="C13787" t="s">
        <v>41237</v>
      </c>
      <c r="D13787" t="str">
        <f>HYPERLINK("https://zfin.org/")</f>
        <v>https://zfin.org/</v>
      </c>
    </row>
    <row r="13788" spans="1:5" x14ac:dyDescent="0.2">
      <c r="A13788" t="s">
        <v>41238</v>
      </c>
      <c r="B13788" t="s">
        <v>41239</v>
      </c>
      <c r="C13788" t="s">
        <v>41239</v>
      </c>
      <c r="D13788" t="str">
        <f>HYPERLINK("https://zfin.org/")</f>
        <v>https://zfin.org/</v>
      </c>
      <c r="E13788" t="s">
        <v>41240</v>
      </c>
    </row>
    <row r="13789" spans="1:5" x14ac:dyDescent="0.2">
      <c r="A13789" t="s">
        <v>41241</v>
      </c>
      <c r="B13789" t="s">
        <v>41242</v>
      </c>
      <c r="C13789" t="s">
        <v>41242</v>
      </c>
      <c r="D13789" t="str">
        <f>HYPERLINK("https://zfin.org/ZDB-GENE-050522-114")</f>
        <v>https://zfin.org/ZDB-GENE-050522-114</v>
      </c>
      <c r="E13789" t="s">
        <v>41243</v>
      </c>
    </row>
    <row r="13790" spans="1:5" x14ac:dyDescent="0.2">
      <c r="A13790" t="s">
        <v>41244</v>
      </c>
      <c r="B13790" t="s">
        <v>41245</v>
      </c>
      <c r="C13790" t="s">
        <v>41245</v>
      </c>
      <c r="D13790" t="str">
        <f>HYPERLINK("https://zfin.org/ZDB-GENE-061103-130")</f>
        <v>https://zfin.org/ZDB-GENE-061103-130</v>
      </c>
      <c r="E13790" t="s">
        <v>41246</v>
      </c>
    </row>
    <row r="13791" spans="1:5" x14ac:dyDescent="0.2">
      <c r="A13791" t="s">
        <v>41247</v>
      </c>
      <c r="B13791" t="s">
        <v>41248</v>
      </c>
      <c r="C13791" t="s">
        <v>41248</v>
      </c>
      <c r="D13791" t="str">
        <f>HYPERLINK("https://zfin.org/")</f>
        <v>https://zfin.org/</v>
      </c>
    </row>
    <row r="13792" spans="1:5" x14ac:dyDescent="0.2">
      <c r="A13792" t="s">
        <v>41249</v>
      </c>
      <c r="B13792" t="s">
        <v>41250</v>
      </c>
      <c r="C13792" t="s">
        <v>41250</v>
      </c>
      <c r="D13792" t="str">
        <f>HYPERLINK("https://zfin.org/")</f>
        <v>https://zfin.org/</v>
      </c>
    </row>
    <row r="13793" spans="1:5" x14ac:dyDescent="0.2">
      <c r="A13793" t="s">
        <v>41251</v>
      </c>
      <c r="B13793" t="s">
        <v>41252</v>
      </c>
      <c r="C13793" t="s">
        <v>41252</v>
      </c>
      <c r="D13793" t="str">
        <f>HYPERLINK("https://zfin.org/ZDB-GENE-030131-1986")</f>
        <v>https://zfin.org/ZDB-GENE-030131-1986</v>
      </c>
      <c r="E13793" t="s">
        <v>41253</v>
      </c>
    </row>
    <row r="13794" spans="1:5" x14ac:dyDescent="0.2">
      <c r="A13794" t="s">
        <v>41254</v>
      </c>
      <c r="B13794" t="s">
        <v>41255</v>
      </c>
      <c r="C13794" t="s">
        <v>41255</v>
      </c>
      <c r="D13794" t="str">
        <f>HYPERLINK("https://zfin.org/")</f>
        <v>https://zfin.org/</v>
      </c>
    </row>
    <row r="13795" spans="1:5" x14ac:dyDescent="0.2">
      <c r="A13795" t="s">
        <v>41256</v>
      </c>
      <c r="B13795" t="s">
        <v>41257</v>
      </c>
      <c r="C13795" t="s">
        <v>41257</v>
      </c>
      <c r="D13795" t="str">
        <f>HYPERLINK("https://zfin.org/ZDB-GENE-040426-1219")</f>
        <v>https://zfin.org/ZDB-GENE-040426-1219</v>
      </c>
      <c r="E13795" t="s">
        <v>41258</v>
      </c>
    </row>
    <row r="13796" spans="1:5" x14ac:dyDescent="0.2">
      <c r="A13796" t="s">
        <v>41259</v>
      </c>
      <c r="B13796" t="s">
        <v>41260</v>
      </c>
      <c r="C13796" t="s">
        <v>41260</v>
      </c>
      <c r="D13796" t="str">
        <f>HYPERLINK("https://zfin.org/")</f>
        <v>https://zfin.org/</v>
      </c>
    </row>
    <row r="13797" spans="1:5" x14ac:dyDescent="0.2">
      <c r="A13797" t="s">
        <v>41261</v>
      </c>
      <c r="B13797" t="s">
        <v>41262</v>
      </c>
      <c r="C13797" t="s">
        <v>41262</v>
      </c>
      <c r="D13797" t="str">
        <f>HYPERLINK("https://zfin.org/ZDB-GENE-030619-9")</f>
        <v>https://zfin.org/ZDB-GENE-030619-9</v>
      </c>
      <c r="E13797" t="s">
        <v>41263</v>
      </c>
    </row>
    <row r="13798" spans="1:5" x14ac:dyDescent="0.2">
      <c r="A13798" t="s">
        <v>41264</v>
      </c>
      <c r="B13798" t="s">
        <v>41265</v>
      </c>
      <c r="C13798" t="s">
        <v>41265</v>
      </c>
      <c r="D13798" t="str">
        <f>HYPERLINK("https://zfin.org/ZDB-GENE-041212-48")</f>
        <v>https://zfin.org/ZDB-GENE-041212-48</v>
      </c>
      <c r="E13798" t="s">
        <v>41266</v>
      </c>
    </row>
    <row r="13799" spans="1:5" x14ac:dyDescent="0.2">
      <c r="A13799" t="s">
        <v>41267</v>
      </c>
      <c r="B13799" t="s">
        <v>41268</v>
      </c>
      <c r="C13799" t="s">
        <v>41268</v>
      </c>
      <c r="D13799" t="str">
        <f>HYPERLINK("https://zfin.org/")</f>
        <v>https://zfin.org/</v>
      </c>
    </row>
    <row r="13800" spans="1:5" x14ac:dyDescent="0.2">
      <c r="A13800" t="s">
        <v>41269</v>
      </c>
      <c r="B13800" t="s">
        <v>41270</v>
      </c>
      <c r="C13800" t="s">
        <v>41270</v>
      </c>
      <c r="D13800" t="str">
        <f>HYPERLINK("https://zfin.org/")</f>
        <v>https://zfin.org/</v>
      </c>
    </row>
    <row r="13801" spans="1:5" x14ac:dyDescent="0.2">
      <c r="A13801" t="s">
        <v>41271</v>
      </c>
      <c r="B13801" t="s">
        <v>41272</v>
      </c>
      <c r="C13801" t="s">
        <v>41272</v>
      </c>
      <c r="D13801" t="str">
        <f>HYPERLINK("https://zfin.org/")</f>
        <v>https://zfin.org/</v>
      </c>
    </row>
    <row r="13802" spans="1:5" x14ac:dyDescent="0.2">
      <c r="A13802" t="s">
        <v>41273</v>
      </c>
      <c r="B13802" t="s">
        <v>41274</v>
      </c>
      <c r="C13802" t="s">
        <v>41274</v>
      </c>
      <c r="D13802" t="str">
        <f>HYPERLINK("https://zfin.org/")</f>
        <v>https://zfin.org/</v>
      </c>
    </row>
    <row r="13803" spans="1:5" x14ac:dyDescent="0.2">
      <c r="A13803" t="s">
        <v>41275</v>
      </c>
      <c r="B13803" t="s">
        <v>41276</v>
      </c>
      <c r="C13803" t="s">
        <v>41276</v>
      </c>
      <c r="D13803" t="str">
        <f>HYPERLINK("https://zfin.org/ZDB-GENE-040426-1402")</f>
        <v>https://zfin.org/ZDB-GENE-040426-1402</v>
      </c>
      <c r="E13803" t="s">
        <v>41277</v>
      </c>
    </row>
    <row r="13804" spans="1:5" x14ac:dyDescent="0.2">
      <c r="A13804" t="s">
        <v>41278</v>
      </c>
      <c r="B13804" t="s">
        <v>41279</v>
      </c>
      <c r="C13804" t="s">
        <v>41279</v>
      </c>
      <c r="D13804" t="str">
        <f>HYPERLINK("https://zfin.org/ZDB-GENE-030616-328")</f>
        <v>https://zfin.org/ZDB-GENE-030616-328</v>
      </c>
      <c r="E13804" t="s">
        <v>41280</v>
      </c>
    </row>
    <row r="13805" spans="1:5" x14ac:dyDescent="0.2">
      <c r="A13805" t="s">
        <v>41281</v>
      </c>
      <c r="B13805" t="s">
        <v>41282</v>
      </c>
      <c r="C13805" t="s">
        <v>41282</v>
      </c>
      <c r="D13805" t="str">
        <f>HYPERLINK("https://zfin.org/ZDB-GENE-080218-26")</f>
        <v>https://zfin.org/ZDB-GENE-080218-26</v>
      </c>
      <c r="E13805" t="s">
        <v>41283</v>
      </c>
    </row>
    <row r="13806" spans="1:5" x14ac:dyDescent="0.2">
      <c r="A13806" t="s">
        <v>41284</v>
      </c>
      <c r="B13806" t="s">
        <v>41285</v>
      </c>
      <c r="C13806" t="s">
        <v>41285</v>
      </c>
      <c r="D13806" t="str">
        <f>HYPERLINK("https://zfin.org/ZDB-GENE-040426-1278")</f>
        <v>https://zfin.org/ZDB-GENE-040426-1278</v>
      </c>
      <c r="E13806" t="s">
        <v>41286</v>
      </c>
    </row>
    <row r="13807" spans="1:5" x14ac:dyDescent="0.2">
      <c r="A13807" t="s">
        <v>41287</v>
      </c>
      <c r="B13807" t="s">
        <v>41288</v>
      </c>
      <c r="C13807" t="s">
        <v>41288</v>
      </c>
      <c r="D13807" t="str">
        <f>HYPERLINK("https://zfin.org/ZDB-GENE-020123-2")</f>
        <v>https://zfin.org/ZDB-GENE-020123-2</v>
      </c>
      <c r="E13807" t="s">
        <v>41289</v>
      </c>
    </row>
    <row r="13808" spans="1:5" x14ac:dyDescent="0.2">
      <c r="A13808" t="s">
        <v>41290</v>
      </c>
      <c r="B13808" t="s">
        <v>41291</v>
      </c>
      <c r="C13808" t="s">
        <v>41291</v>
      </c>
      <c r="D13808" t="str">
        <f>HYPERLINK("https://zfin.org/ZDB-GENE-060519-3")</f>
        <v>https://zfin.org/ZDB-GENE-060519-3</v>
      </c>
      <c r="E13808" t="s">
        <v>41292</v>
      </c>
    </row>
    <row r="13809" spans="1:5" x14ac:dyDescent="0.2">
      <c r="A13809" t="s">
        <v>41293</v>
      </c>
      <c r="B13809" t="s">
        <v>41294</v>
      </c>
      <c r="C13809" t="s">
        <v>41294</v>
      </c>
      <c r="D13809" t="str">
        <f>HYPERLINK("https://zfin.org/ZDB-GENE-030131-960")</f>
        <v>https://zfin.org/ZDB-GENE-030131-960</v>
      </c>
      <c r="E13809" t="s">
        <v>41295</v>
      </c>
    </row>
    <row r="13810" spans="1:5" x14ac:dyDescent="0.2">
      <c r="A13810" t="s">
        <v>41296</v>
      </c>
      <c r="B13810" t="s">
        <v>41297</v>
      </c>
      <c r="C13810" t="s">
        <v>41297</v>
      </c>
      <c r="D13810" t="str">
        <f>HYPERLINK("https://zfin.org/ZDB-GENE-030131-7184")</f>
        <v>https://zfin.org/ZDB-GENE-030131-7184</v>
      </c>
      <c r="E13810" t="s">
        <v>41298</v>
      </c>
    </row>
    <row r="13811" spans="1:5" x14ac:dyDescent="0.2">
      <c r="A13811" t="s">
        <v>41299</v>
      </c>
      <c r="B13811" t="s">
        <v>41300</v>
      </c>
      <c r="C13811" t="s">
        <v>41300</v>
      </c>
      <c r="D13811" t="str">
        <f>HYPERLINK("https://zfin.org/")</f>
        <v>https://zfin.org/</v>
      </c>
    </row>
    <row r="13812" spans="1:5" x14ac:dyDescent="0.2">
      <c r="A13812" t="s">
        <v>41301</v>
      </c>
      <c r="B13812" t="s">
        <v>41302</v>
      </c>
      <c r="C13812" t="s">
        <v>41302</v>
      </c>
      <c r="D13812" t="str">
        <f>HYPERLINK("https://zfin.org/ZDB-GENE-030327-2")</f>
        <v>https://zfin.org/ZDB-GENE-030327-2</v>
      </c>
      <c r="E13812" t="s">
        <v>41303</v>
      </c>
    </row>
    <row r="13813" spans="1:5" x14ac:dyDescent="0.2">
      <c r="A13813" t="s">
        <v>41304</v>
      </c>
      <c r="B13813" t="s">
        <v>41305</v>
      </c>
      <c r="C13813" t="s">
        <v>41305</v>
      </c>
      <c r="D13813" t="str">
        <f>HYPERLINK("https://zfin.org/")</f>
        <v>https://zfin.org/</v>
      </c>
      <c r="E13813" t="s">
        <v>41306</v>
      </c>
    </row>
    <row r="13814" spans="1:5" x14ac:dyDescent="0.2">
      <c r="A13814" t="s">
        <v>41307</v>
      </c>
      <c r="B13814" t="s">
        <v>41308</v>
      </c>
      <c r="C13814" t="s">
        <v>41308</v>
      </c>
      <c r="D13814" t="str">
        <f>HYPERLINK("https://zfin.org/")</f>
        <v>https://zfin.org/</v>
      </c>
      <c r="E13814" t="s">
        <v>41309</v>
      </c>
    </row>
    <row r="13815" spans="1:5" x14ac:dyDescent="0.2">
      <c r="A13815" t="s">
        <v>41310</v>
      </c>
      <c r="B13815" t="s">
        <v>41311</v>
      </c>
      <c r="C13815" t="s">
        <v>41311</v>
      </c>
      <c r="D13815" t="str">
        <f>HYPERLINK("https://zfin.org/")</f>
        <v>https://zfin.org/</v>
      </c>
      <c r="E13815" t="s">
        <v>41312</v>
      </c>
    </row>
    <row r="13816" spans="1:5" x14ac:dyDescent="0.2">
      <c r="A13816" t="s">
        <v>41313</v>
      </c>
      <c r="B13816" t="s">
        <v>41314</v>
      </c>
      <c r="C13816" t="s">
        <v>41314</v>
      </c>
      <c r="D13816" t="str">
        <f>HYPERLINK("https://zfin.org/")</f>
        <v>https://zfin.org/</v>
      </c>
    </row>
    <row r="13817" spans="1:5" x14ac:dyDescent="0.2">
      <c r="A13817" t="s">
        <v>41315</v>
      </c>
      <c r="B13817" t="s">
        <v>41316</v>
      </c>
      <c r="C13817" t="s">
        <v>41316</v>
      </c>
      <c r="D13817" t="str">
        <f>HYPERLINK("https://zfin.org/")</f>
        <v>https://zfin.org/</v>
      </c>
    </row>
    <row r="13818" spans="1:5" x14ac:dyDescent="0.2">
      <c r="A13818" t="s">
        <v>41317</v>
      </c>
      <c r="B13818" t="s">
        <v>41318</v>
      </c>
      <c r="C13818" t="s">
        <v>41318</v>
      </c>
      <c r="D13818" t="str">
        <f>HYPERLINK("https://zfin.org/ZDB-GENE-051127-9")</f>
        <v>https://zfin.org/ZDB-GENE-051127-9</v>
      </c>
      <c r="E13818" t="s">
        <v>41319</v>
      </c>
    </row>
    <row r="13819" spans="1:5" x14ac:dyDescent="0.2">
      <c r="A13819" t="s">
        <v>41320</v>
      </c>
      <c r="B13819" t="s">
        <v>41321</v>
      </c>
      <c r="C13819" t="s">
        <v>41321</v>
      </c>
      <c r="D13819" t="str">
        <f>HYPERLINK("https://zfin.org/")</f>
        <v>https://zfin.org/</v>
      </c>
      <c r="E13819" t="s">
        <v>41322</v>
      </c>
    </row>
    <row r="13820" spans="1:5" x14ac:dyDescent="0.2">
      <c r="A13820" t="s">
        <v>41323</v>
      </c>
      <c r="B13820" t="s">
        <v>41324</v>
      </c>
      <c r="C13820" t="s">
        <v>41324</v>
      </c>
      <c r="D13820" t="str">
        <f>HYPERLINK("https://zfin.org/ZDB-GENE-071004-98")</f>
        <v>https://zfin.org/ZDB-GENE-071004-98</v>
      </c>
      <c r="E13820" t="s">
        <v>41325</v>
      </c>
    </row>
    <row r="13821" spans="1:5" x14ac:dyDescent="0.2">
      <c r="A13821" t="s">
        <v>41326</v>
      </c>
      <c r="B13821" t="s">
        <v>41327</v>
      </c>
      <c r="C13821" t="s">
        <v>41327</v>
      </c>
      <c r="D13821" t="str">
        <f>HYPERLINK("https://zfin.org/")</f>
        <v>https://zfin.org/</v>
      </c>
      <c r="E13821" t="s">
        <v>41328</v>
      </c>
    </row>
    <row r="13822" spans="1:5" x14ac:dyDescent="0.2">
      <c r="A13822" t="s">
        <v>41329</v>
      </c>
      <c r="B13822" t="s">
        <v>41330</v>
      </c>
      <c r="C13822" t="s">
        <v>41330</v>
      </c>
      <c r="D13822" t="str">
        <f>HYPERLINK("https://zfin.org/")</f>
        <v>https://zfin.org/</v>
      </c>
      <c r="E13822" t="s">
        <v>41331</v>
      </c>
    </row>
    <row r="13823" spans="1:5" x14ac:dyDescent="0.2">
      <c r="A13823" t="s">
        <v>41332</v>
      </c>
      <c r="B13823" t="s">
        <v>41333</v>
      </c>
      <c r="C13823" t="s">
        <v>41333</v>
      </c>
      <c r="D13823" t="str">
        <f>HYPERLINK("https://zfin.org/ZDB-GENE-030131-1574")</f>
        <v>https://zfin.org/ZDB-GENE-030131-1574</v>
      </c>
      <c r="E13823" t="s">
        <v>41334</v>
      </c>
    </row>
    <row r="13824" spans="1:5" x14ac:dyDescent="0.2">
      <c r="A13824" t="s">
        <v>41335</v>
      </c>
      <c r="B13824" t="s">
        <v>41336</v>
      </c>
      <c r="C13824" t="s">
        <v>41336</v>
      </c>
      <c r="D13824" t="str">
        <f>HYPERLINK("https://zfin.org/ZDB-GENE-040718-109")</f>
        <v>https://zfin.org/ZDB-GENE-040718-109</v>
      </c>
      <c r="E13824" t="s">
        <v>41337</v>
      </c>
    </row>
    <row r="13825" spans="1:5" x14ac:dyDescent="0.2">
      <c r="A13825" t="s">
        <v>41338</v>
      </c>
      <c r="B13825" t="s">
        <v>41339</v>
      </c>
      <c r="C13825" t="s">
        <v>41339</v>
      </c>
      <c r="D13825" t="str">
        <f>HYPERLINK("https://zfin.org/ZDB-GENE-040718-71")</f>
        <v>https://zfin.org/ZDB-GENE-040718-71</v>
      </c>
      <c r="E13825" t="s">
        <v>41340</v>
      </c>
    </row>
    <row r="13826" spans="1:5" x14ac:dyDescent="0.2">
      <c r="A13826" t="s">
        <v>41341</v>
      </c>
      <c r="B13826" t="s">
        <v>41342</v>
      </c>
      <c r="C13826" t="s">
        <v>41342</v>
      </c>
      <c r="D13826" t="str">
        <f>HYPERLINK("https://zfin.org/")</f>
        <v>https://zfin.org/</v>
      </c>
    </row>
    <row r="13827" spans="1:5" x14ac:dyDescent="0.2">
      <c r="A13827" t="s">
        <v>41343</v>
      </c>
      <c r="B13827" t="s">
        <v>41344</v>
      </c>
      <c r="C13827" t="s">
        <v>41344</v>
      </c>
      <c r="D13827" t="str">
        <f>HYPERLINK("https://zfin.org/")</f>
        <v>https://zfin.org/</v>
      </c>
      <c r="E13827" t="s">
        <v>41345</v>
      </c>
    </row>
    <row r="13828" spans="1:5" x14ac:dyDescent="0.2">
      <c r="A13828" t="s">
        <v>41346</v>
      </c>
      <c r="B13828" t="s">
        <v>41347</v>
      </c>
      <c r="C13828" t="s">
        <v>41347</v>
      </c>
      <c r="D13828" t="str">
        <f>HYPERLINK("https://zfin.org/ZDB-GENE-000509-3")</f>
        <v>https://zfin.org/ZDB-GENE-000509-3</v>
      </c>
      <c r="E13828" t="s">
        <v>41348</v>
      </c>
    </row>
    <row r="13829" spans="1:5" x14ac:dyDescent="0.2">
      <c r="A13829" t="s">
        <v>41349</v>
      </c>
      <c r="B13829" t="s">
        <v>41350</v>
      </c>
      <c r="C13829" t="s">
        <v>41350</v>
      </c>
      <c r="D13829" t="str">
        <f>HYPERLINK("https://zfin.org/ZDB-GENE-050522-185")</f>
        <v>https://zfin.org/ZDB-GENE-050522-185</v>
      </c>
      <c r="E13829" t="s">
        <v>41351</v>
      </c>
    </row>
    <row r="13830" spans="1:5" x14ac:dyDescent="0.2">
      <c r="A13830" t="s">
        <v>41352</v>
      </c>
      <c r="B13830" t="s">
        <v>41353</v>
      </c>
      <c r="C13830" t="s">
        <v>41353</v>
      </c>
      <c r="D13830" t="str">
        <f>HYPERLINK("https://zfin.org/ZDB-GENE-040426-2516")</f>
        <v>https://zfin.org/ZDB-GENE-040426-2516</v>
      </c>
      <c r="E13830" t="s">
        <v>41354</v>
      </c>
    </row>
    <row r="13831" spans="1:5" x14ac:dyDescent="0.2">
      <c r="A13831" t="s">
        <v>41355</v>
      </c>
      <c r="B13831" t="s">
        <v>41356</v>
      </c>
      <c r="C13831" t="s">
        <v>41356</v>
      </c>
      <c r="D13831" t="str">
        <f>HYPERLINK("https://zfin.org/ZDB-GENE-030618-1")</f>
        <v>https://zfin.org/ZDB-GENE-030618-1</v>
      </c>
      <c r="E13831" t="s">
        <v>41357</v>
      </c>
    </row>
    <row r="13832" spans="1:5" x14ac:dyDescent="0.2">
      <c r="A13832" t="s">
        <v>41358</v>
      </c>
      <c r="B13832" t="s">
        <v>41359</v>
      </c>
      <c r="C13832" t="s">
        <v>41359</v>
      </c>
      <c r="D13832" t="str">
        <f>HYPERLINK("https://zfin.org/ZDB-GENE-050327-59")</f>
        <v>https://zfin.org/ZDB-GENE-050327-59</v>
      </c>
      <c r="E13832" t="s">
        <v>41360</v>
      </c>
    </row>
    <row r="13833" spans="1:5" x14ac:dyDescent="0.2">
      <c r="A13833" t="s">
        <v>41361</v>
      </c>
      <c r="B13833" t="s">
        <v>41362</v>
      </c>
      <c r="C13833" t="s">
        <v>41362</v>
      </c>
      <c r="D13833" t="str">
        <f>HYPERLINK("https://zfin.org/ZDB-GENE-070410-34")</f>
        <v>https://zfin.org/ZDB-GENE-070410-34</v>
      </c>
      <c r="E13833" t="s">
        <v>41363</v>
      </c>
    </row>
    <row r="13834" spans="1:5" x14ac:dyDescent="0.2">
      <c r="A13834" t="s">
        <v>41364</v>
      </c>
      <c r="B13834" t="s">
        <v>41365</v>
      </c>
      <c r="C13834" t="s">
        <v>41365</v>
      </c>
      <c r="D13834" t="str">
        <f>HYPERLINK("https://zfin.org/ZDB-GENE-040625-130")</f>
        <v>https://zfin.org/ZDB-GENE-040625-130</v>
      </c>
      <c r="E13834" t="s">
        <v>41366</v>
      </c>
    </row>
    <row r="13835" spans="1:5" x14ac:dyDescent="0.2">
      <c r="A13835" t="s">
        <v>41367</v>
      </c>
      <c r="B13835" t="s">
        <v>41368</v>
      </c>
      <c r="C13835" t="s">
        <v>41368</v>
      </c>
      <c r="D13835" t="str">
        <f>HYPERLINK("https://zfin.org/ZDB-GENE-041212-64")</f>
        <v>https://zfin.org/ZDB-GENE-041212-64</v>
      </c>
      <c r="E13835" t="s">
        <v>41369</v>
      </c>
    </row>
    <row r="13836" spans="1:5" x14ac:dyDescent="0.2">
      <c r="A13836" t="s">
        <v>41370</v>
      </c>
      <c r="B13836" t="s">
        <v>41371</v>
      </c>
      <c r="C13836" t="s">
        <v>41371</v>
      </c>
      <c r="D13836" t="str">
        <f>HYPERLINK("https://zfin.org/ZDB-GENE-050425-2")</f>
        <v>https://zfin.org/ZDB-GENE-050425-2</v>
      </c>
      <c r="E13836" t="s">
        <v>41372</v>
      </c>
    </row>
    <row r="13837" spans="1:5" x14ac:dyDescent="0.2">
      <c r="A13837" t="s">
        <v>41373</v>
      </c>
      <c r="B13837" t="s">
        <v>41374</v>
      </c>
      <c r="C13837" t="s">
        <v>41374</v>
      </c>
      <c r="D13837" t="str">
        <f>HYPERLINK("https://zfin.org/")</f>
        <v>https://zfin.org/</v>
      </c>
    </row>
    <row r="13838" spans="1:5" x14ac:dyDescent="0.2">
      <c r="A13838" t="s">
        <v>41375</v>
      </c>
      <c r="B13838" t="s">
        <v>41376</v>
      </c>
      <c r="C13838" t="s">
        <v>41376</v>
      </c>
      <c r="D13838" t="str">
        <f>HYPERLINK("https://zfin.org/")</f>
        <v>https://zfin.org/</v>
      </c>
    </row>
    <row r="13839" spans="1:5" x14ac:dyDescent="0.2">
      <c r="A13839" t="s">
        <v>41377</v>
      </c>
      <c r="B13839" t="s">
        <v>41378</v>
      </c>
      <c r="C13839" t="s">
        <v>41378</v>
      </c>
      <c r="D13839" t="str">
        <f>HYPERLINK("https://zfin.org/ZDB-GENE-030131-8928")</f>
        <v>https://zfin.org/ZDB-GENE-030131-8928</v>
      </c>
      <c r="E13839" t="s">
        <v>41379</v>
      </c>
    </row>
    <row r="13840" spans="1:5" x14ac:dyDescent="0.2">
      <c r="A13840" t="s">
        <v>41380</v>
      </c>
      <c r="B13840" t="s">
        <v>41381</v>
      </c>
      <c r="C13840" t="s">
        <v>41381</v>
      </c>
      <c r="D13840" t="str">
        <f>HYPERLINK("https://zfin.org/")</f>
        <v>https://zfin.org/</v>
      </c>
    </row>
    <row r="13841" spans="1:5" x14ac:dyDescent="0.2">
      <c r="A13841" t="s">
        <v>41382</v>
      </c>
      <c r="B13841" t="s">
        <v>41383</v>
      </c>
      <c r="C13841" t="s">
        <v>41383</v>
      </c>
      <c r="D13841" t="str">
        <f>HYPERLINK("https://zfin.org/ZDB-GENE-080515-2")</f>
        <v>https://zfin.org/ZDB-GENE-080515-2</v>
      </c>
      <c r="E13841" t="s">
        <v>41384</v>
      </c>
    </row>
    <row r="13842" spans="1:5" x14ac:dyDescent="0.2">
      <c r="A13842" t="s">
        <v>41385</v>
      </c>
      <c r="B13842" t="s">
        <v>41386</v>
      </c>
      <c r="C13842" t="s">
        <v>41386</v>
      </c>
      <c r="D13842" t="str">
        <f>HYPERLINK("https://zfin.org/")</f>
        <v>https://zfin.org/</v>
      </c>
      <c r="E13842" t="s">
        <v>41387</v>
      </c>
    </row>
    <row r="13843" spans="1:5" x14ac:dyDescent="0.2">
      <c r="A13843" t="s">
        <v>41388</v>
      </c>
      <c r="B13843" t="s">
        <v>41389</v>
      </c>
      <c r="C13843" t="s">
        <v>41389</v>
      </c>
      <c r="D13843" t="str">
        <f>HYPERLINK("https://zfin.org/")</f>
        <v>https://zfin.org/</v>
      </c>
    </row>
    <row r="13844" spans="1:5" x14ac:dyDescent="0.2">
      <c r="A13844" t="s">
        <v>41390</v>
      </c>
      <c r="B13844" t="s">
        <v>41391</v>
      </c>
      <c r="C13844" t="s">
        <v>41391</v>
      </c>
      <c r="D13844" t="str">
        <f>HYPERLINK("https://zfin.org/ZDB-GENE-070705-207")</f>
        <v>https://zfin.org/ZDB-GENE-070705-207</v>
      </c>
      <c r="E13844" t="s">
        <v>41392</v>
      </c>
    </row>
    <row r="13845" spans="1:5" x14ac:dyDescent="0.2">
      <c r="A13845" t="s">
        <v>41393</v>
      </c>
      <c r="B13845" t="s">
        <v>41394</v>
      </c>
      <c r="C13845" t="s">
        <v>41394</v>
      </c>
      <c r="D13845" t="str">
        <f>HYPERLINK("https://zfin.org/")</f>
        <v>https://zfin.org/</v>
      </c>
    </row>
    <row r="13846" spans="1:5" x14ac:dyDescent="0.2">
      <c r="A13846" t="s">
        <v>41395</v>
      </c>
      <c r="B13846" t="s">
        <v>41396</v>
      </c>
      <c r="C13846" t="s">
        <v>41396</v>
      </c>
      <c r="D13846" t="str">
        <f>HYPERLINK("https://zfin.org/ZDB-GENE-040426-2896")</f>
        <v>https://zfin.org/ZDB-GENE-040426-2896</v>
      </c>
      <c r="E13846" t="s">
        <v>41397</v>
      </c>
    </row>
    <row r="13847" spans="1:5" x14ac:dyDescent="0.2">
      <c r="A13847" t="s">
        <v>41398</v>
      </c>
      <c r="B13847" t="s">
        <v>41399</v>
      </c>
      <c r="C13847" t="s">
        <v>41399</v>
      </c>
      <c r="D13847" t="str">
        <f>HYPERLINK("https://zfin.org/")</f>
        <v>https://zfin.org/</v>
      </c>
      <c r="E13847" t="s">
        <v>41400</v>
      </c>
    </row>
    <row r="13848" spans="1:5" x14ac:dyDescent="0.2">
      <c r="A13848" t="s">
        <v>41401</v>
      </c>
      <c r="B13848" t="s">
        <v>41402</v>
      </c>
      <c r="C13848" t="s">
        <v>41402</v>
      </c>
      <c r="D13848" t="str">
        <f>HYPERLINK("https://zfin.org/")</f>
        <v>https://zfin.org/</v>
      </c>
      <c r="E13848" t="s">
        <v>41403</v>
      </c>
    </row>
    <row r="13849" spans="1:5" x14ac:dyDescent="0.2">
      <c r="A13849" t="s">
        <v>41404</v>
      </c>
      <c r="B13849" t="s">
        <v>41405</v>
      </c>
      <c r="C13849" t="s">
        <v>41405</v>
      </c>
      <c r="D13849" t="str">
        <f>HYPERLINK("https://zfin.org/")</f>
        <v>https://zfin.org/</v>
      </c>
      <c r="E13849" t="s">
        <v>41406</v>
      </c>
    </row>
    <row r="13850" spans="1:5" x14ac:dyDescent="0.2">
      <c r="A13850" t="s">
        <v>41407</v>
      </c>
      <c r="B13850" t="s">
        <v>41408</v>
      </c>
      <c r="C13850" t="s">
        <v>41408</v>
      </c>
      <c r="D13850" t="str">
        <f>HYPERLINK("https://zfin.org/ZDB-GENE-040426-2503")</f>
        <v>https://zfin.org/ZDB-GENE-040426-2503</v>
      </c>
      <c r="E13850" t="s">
        <v>41409</v>
      </c>
    </row>
    <row r="13851" spans="1:5" x14ac:dyDescent="0.2">
      <c r="A13851" t="s">
        <v>41410</v>
      </c>
      <c r="B13851" t="s">
        <v>41411</v>
      </c>
      <c r="C13851" t="s">
        <v>41411</v>
      </c>
      <c r="D13851" t="str">
        <f>HYPERLINK("https://zfin.org/")</f>
        <v>https://zfin.org/</v>
      </c>
      <c r="E13851" t="s">
        <v>41412</v>
      </c>
    </row>
    <row r="13852" spans="1:5" x14ac:dyDescent="0.2">
      <c r="A13852" t="s">
        <v>41413</v>
      </c>
      <c r="B13852" t="s">
        <v>41414</v>
      </c>
      <c r="C13852" t="s">
        <v>41414</v>
      </c>
      <c r="D13852" t="str">
        <f>HYPERLINK("https://zfin.org/ZDB-GENE-080401-4")</f>
        <v>https://zfin.org/ZDB-GENE-080401-4</v>
      </c>
      <c r="E13852" t="s">
        <v>41415</v>
      </c>
    </row>
    <row r="13853" spans="1:5" x14ac:dyDescent="0.2">
      <c r="A13853" t="s">
        <v>41416</v>
      </c>
      <c r="B13853" t="s">
        <v>41417</v>
      </c>
      <c r="C13853" t="s">
        <v>41417</v>
      </c>
      <c r="D13853" t="str">
        <f>HYPERLINK("https://zfin.org/ZDB-GENE-080618-2")</f>
        <v>https://zfin.org/ZDB-GENE-080618-2</v>
      </c>
      <c r="E13853" t="s">
        <v>41418</v>
      </c>
    </row>
    <row r="13854" spans="1:5" x14ac:dyDescent="0.2">
      <c r="A13854" t="s">
        <v>41419</v>
      </c>
      <c r="B13854" t="s">
        <v>41420</v>
      </c>
      <c r="C13854" t="s">
        <v>41420</v>
      </c>
      <c r="D13854" t="str">
        <f>HYPERLINK("https://zfin.org/")</f>
        <v>https://zfin.org/</v>
      </c>
      <c r="E13854" t="s">
        <v>41421</v>
      </c>
    </row>
    <row r="13855" spans="1:5" x14ac:dyDescent="0.2">
      <c r="A13855" t="s">
        <v>41422</v>
      </c>
      <c r="B13855" t="s">
        <v>41423</v>
      </c>
      <c r="C13855" t="s">
        <v>41423</v>
      </c>
      <c r="D13855" t="str">
        <f>HYPERLINK("https://zfin.org/ZDB-GENE-121127-3")</f>
        <v>https://zfin.org/ZDB-GENE-121127-3</v>
      </c>
      <c r="E13855" t="s">
        <v>41424</v>
      </c>
    </row>
    <row r="13856" spans="1:5" x14ac:dyDescent="0.2">
      <c r="A13856" t="s">
        <v>41425</v>
      </c>
      <c r="B13856" t="s">
        <v>41426</v>
      </c>
      <c r="C13856" t="s">
        <v>41426</v>
      </c>
      <c r="D13856" t="str">
        <f>HYPERLINK("https://zfin.org/")</f>
        <v>https://zfin.org/</v>
      </c>
    </row>
    <row r="13857" spans="1:5" x14ac:dyDescent="0.2">
      <c r="A13857" t="s">
        <v>41427</v>
      </c>
      <c r="B13857" t="s">
        <v>41428</v>
      </c>
      <c r="C13857" t="s">
        <v>41429</v>
      </c>
      <c r="D13857" t="str">
        <f>HYPERLINK("https://zfin.org/ZDB-GENE-130530-768")</f>
        <v>https://zfin.org/ZDB-GENE-130530-768</v>
      </c>
      <c r="E13857" t="s">
        <v>41430</v>
      </c>
    </row>
    <row r="13858" spans="1:5" x14ac:dyDescent="0.2">
      <c r="A13858" t="s">
        <v>41431</v>
      </c>
      <c r="B13858" t="s">
        <v>14270</v>
      </c>
      <c r="C13858" t="s">
        <v>41432</v>
      </c>
      <c r="D13858" t="str">
        <f>HYPERLINK("https://zfin.org/ZDB-GENE-110411-16")</f>
        <v>https://zfin.org/ZDB-GENE-110411-16</v>
      </c>
      <c r="E13858" t="s">
        <v>14271</v>
      </c>
    </row>
    <row r="13859" spans="1:5" x14ac:dyDescent="0.2">
      <c r="A13859" t="s">
        <v>41433</v>
      </c>
      <c r="B13859" t="s">
        <v>13332</v>
      </c>
      <c r="C13859" t="s">
        <v>41434</v>
      </c>
      <c r="D13859" t="str">
        <f>HYPERLINK("https://zfin.org/ZDB-GENE-031114-2")</f>
        <v>https://zfin.org/ZDB-GENE-031114-2</v>
      </c>
      <c r="E13859" t="s">
        <v>13333</v>
      </c>
    </row>
    <row r="13860" spans="1:5" x14ac:dyDescent="0.2">
      <c r="A13860" t="s">
        <v>41435</v>
      </c>
      <c r="B13860" t="s">
        <v>41436</v>
      </c>
      <c r="C13860" t="s">
        <v>41436</v>
      </c>
      <c r="D13860" t="str">
        <f>HYPERLINK("https://zfin.org/")</f>
        <v>https://zfin.org/</v>
      </c>
      <c r="E13860" t="s">
        <v>41437</v>
      </c>
    </row>
    <row r="13861" spans="1:5" x14ac:dyDescent="0.2">
      <c r="A13861" t="s">
        <v>41438</v>
      </c>
      <c r="B13861" t="s">
        <v>41439</v>
      </c>
      <c r="C13861" t="s">
        <v>41439</v>
      </c>
      <c r="D13861" t="str">
        <f>HYPERLINK("https://zfin.org/")</f>
        <v>https://zfin.org/</v>
      </c>
    </row>
    <row r="13862" spans="1:5" x14ac:dyDescent="0.2">
      <c r="A13862" t="s">
        <v>41440</v>
      </c>
      <c r="B13862" t="s">
        <v>41441</v>
      </c>
      <c r="C13862" t="s">
        <v>41441</v>
      </c>
      <c r="D13862" t="str">
        <f>HYPERLINK("https://zfin.org/")</f>
        <v>https://zfin.org/</v>
      </c>
    </row>
    <row r="13863" spans="1:5" x14ac:dyDescent="0.2">
      <c r="A13863" t="s">
        <v>41442</v>
      </c>
      <c r="B13863" t="s">
        <v>41443</v>
      </c>
      <c r="C13863" t="s">
        <v>41443</v>
      </c>
      <c r="D13863" t="str">
        <f>HYPERLINK("https://zfin.org/ZDB-GENE-060825-43")</f>
        <v>https://zfin.org/ZDB-GENE-060825-43</v>
      </c>
      <c r="E13863" t="s">
        <v>41444</v>
      </c>
    </row>
    <row r="13864" spans="1:5" x14ac:dyDescent="0.2">
      <c r="A13864" t="s">
        <v>41445</v>
      </c>
      <c r="B13864" t="s">
        <v>41446</v>
      </c>
      <c r="C13864" t="s">
        <v>41446</v>
      </c>
      <c r="D13864" t="str">
        <f>HYPERLINK("https://zfin.org/")</f>
        <v>https://zfin.org/</v>
      </c>
      <c r="E13864" t="s">
        <v>41447</v>
      </c>
    </row>
    <row r="13865" spans="1:5" x14ac:dyDescent="0.2">
      <c r="A13865" t="s">
        <v>41448</v>
      </c>
      <c r="B13865" t="s">
        <v>41449</v>
      </c>
      <c r="C13865" t="s">
        <v>41449</v>
      </c>
      <c r="D13865" t="str">
        <f>HYPERLINK("https://zfin.org/")</f>
        <v>https://zfin.org/</v>
      </c>
      <c r="E13865" t="s">
        <v>41450</v>
      </c>
    </row>
    <row r="13866" spans="1:5" x14ac:dyDescent="0.2">
      <c r="A13866" t="s">
        <v>41451</v>
      </c>
      <c r="B13866" t="s">
        <v>41452</v>
      </c>
      <c r="C13866" t="s">
        <v>41452</v>
      </c>
      <c r="D13866" t="str">
        <f>HYPERLINK("https://zfin.org/ZDB-GENE-040912-122")</f>
        <v>https://zfin.org/ZDB-GENE-040912-122</v>
      </c>
      <c r="E13866" t="s">
        <v>41453</v>
      </c>
    </row>
    <row r="13867" spans="1:5" x14ac:dyDescent="0.2">
      <c r="A13867" t="s">
        <v>41454</v>
      </c>
      <c r="B13867" t="s">
        <v>41455</v>
      </c>
      <c r="C13867" t="s">
        <v>41455</v>
      </c>
      <c r="D13867" t="str">
        <f>HYPERLINK("https://zfin.org/ZDB-GENE-050522-446")</f>
        <v>https://zfin.org/ZDB-GENE-050522-446</v>
      </c>
      <c r="E13867" t="s">
        <v>41456</v>
      </c>
    </row>
    <row r="13868" spans="1:5" x14ac:dyDescent="0.2">
      <c r="A13868" t="s">
        <v>41457</v>
      </c>
      <c r="B13868" t="s">
        <v>41458</v>
      </c>
      <c r="C13868" t="s">
        <v>41458</v>
      </c>
      <c r="D13868" t="str">
        <f>HYPERLINK("https://zfin.org/ZDB-GENE-030131-1534")</f>
        <v>https://zfin.org/ZDB-GENE-030131-1534</v>
      </c>
      <c r="E13868" t="s">
        <v>41459</v>
      </c>
    </row>
    <row r="13869" spans="1:5" x14ac:dyDescent="0.2">
      <c r="A13869" t="s">
        <v>41460</v>
      </c>
      <c r="B13869" t="s">
        <v>41461</v>
      </c>
      <c r="C13869" t="s">
        <v>41461</v>
      </c>
      <c r="D13869" t="str">
        <f>HYPERLINK("https://zfin.org/")</f>
        <v>https://zfin.org/</v>
      </c>
      <c r="E13869" t="s">
        <v>41462</v>
      </c>
    </row>
    <row r="13870" spans="1:5" x14ac:dyDescent="0.2">
      <c r="A13870" t="s">
        <v>41463</v>
      </c>
      <c r="B13870" t="s">
        <v>41464</v>
      </c>
      <c r="C13870" t="s">
        <v>41464</v>
      </c>
      <c r="D13870" t="str">
        <f>HYPERLINK("https://zfin.org/")</f>
        <v>https://zfin.org/</v>
      </c>
      <c r="E13870" t="s">
        <v>41465</v>
      </c>
    </row>
    <row r="13871" spans="1:5" x14ac:dyDescent="0.2">
      <c r="A13871" t="s">
        <v>41466</v>
      </c>
      <c r="B13871" t="s">
        <v>41467</v>
      </c>
      <c r="C13871" t="s">
        <v>41467</v>
      </c>
      <c r="D13871" t="str">
        <f>HYPERLINK("https://zfin.org/ZDB-GENE-041114-104")</f>
        <v>https://zfin.org/ZDB-GENE-041114-104</v>
      </c>
      <c r="E13871" t="s">
        <v>41468</v>
      </c>
    </row>
    <row r="13872" spans="1:5" x14ac:dyDescent="0.2">
      <c r="A13872" t="s">
        <v>41469</v>
      </c>
      <c r="B13872" t="s">
        <v>41470</v>
      </c>
      <c r="C13872" t="s">
        <v>41470</v>
      </c>
      <c r="D13872" t="str">
        <f>HYPERLINK("https://zfin.org/")</f>
        <v>https://zfin.org/</v>
      </c>
      <c r="E13872" t="s">
        <v>41471</v>
      </c>
    </row>
    <row r="13873" spans="1:5" x14ac:dyDescent="0.2">
      <c r="A13873" t="s">
        <v>41472</v>
      </c>
      <c r="B13873" t="s">
        <v>41473</v>
      </c>
      <c r="C13873" t="s">
        <v>41473</v>
      </c>
      <c r="D13873" t="str">
        <f>HYPERLINK("https://zfin.org/")</f>
        <v>https://zfin.org/</v>
      </c>
    </row>
    <row r="13874" spans="1:5" x14ac:dyDescent="0.2">
      <c r="A13874" t="s">
        <v>41474</v>
      </c>
      <c r="B13874" t="s">
        <v>41475</v>
      </c>
      <c r="C13874" t="s">
        <v>41475</v>
      </c>
      <c r="D13874" t="str">
        <f>HYPERLINK("https://zfin.org/ZDB-GENE-050306-40")</f>
        <v>https://zfin.org/ZDB-GENE-050306-40</v>
      </c>
      <c r="E13874" t="s">
        <v>41476</v>
      </c>
    </row>
    <row r="13875" spans="1:5" x14ac:dyDescent="0.2">
      <c r="A13875" t="s">
        <v>41477</v>
      </c>
      <c r="B13875" t="s">
        <v>41478</v>
      </c>
      <c r="C13875" t="s">
        <v>41478</v>
      </c>
      <c r="D13875" t="str">
        <f>HYPERLINK("https://zfin.org/ZDB-GENE-040426-2464")</f>
        <v>https://zfin.org/ZDB-GENE-040426-2464</v>
      </c>
      <c r="E13875" t="s">
        <v>41479</v>
      </c>
    </row>
    <row r="13876" spans="1:5" x14ac:dyDescent="0.2">
      <c r="A13876" t="s">
        <v>41480</v>
      </c>
      <c r="B13876" t="s">
        <v>41481</v>
      </c>
      <c r="C13876" t="s">
        <v>41481</v>
      </c>
      <c r="D13876" t="str">
        <f>HYPERLINK("https://zfin.org/")</f>
        <v>https://zfin.org/</v>
      </c>
      <c r="E13876" t="s">
        <v>41482</v>
      </c>
    </row>
    <row r="13877" spans="1:5" x14ac:dyDescent="0.2">
      <c r="A13877" t="s">
        <v>41483</v>
      </c>
      <c r="B13877" t="s">
        <v>41484</v>
      </c>
      <c r="C13877" t="s">
        <v>41484</v>
      </c>
      <c r="D13877" t="str">
        <f>HYPERLINK("https://zfin.org/ZDB-GENE-040426-1480")</f>
        <v>https://zfin.org/ZDB-GENE-040426-1480</v>
      </c>
      <c r="E13877" t="s">
        <v>41485</v>
      </c>
    </row>
    <row r="13878" spans="1:5" x14ac:dyDescent="0.2">
      <c r="A13878" t="s">
        <v>41486</v>
      </c>
      <c r="B13878" t="s">
        <v>41487</v>
      </c>
      <c r="C13878" t="s">
        <v>41487</v>
      </c>
      <c r="D13878" t="str">
        <f>HYPERLINK("https://zfin.org/")</f>
        <v>https://zfin.org/</v>
      </c>
      <c r="E13878" t="s">
        <v>41488</v>
      </c>
    </row>
    <row r="13879" spans="1:5" x14ac:dyDescent="0.2">
      <c r="A13879" t="s">
        <v>41489</v>
      </c>
      <c r="B13879" t="s">
        <v>41490</v>
      </c>
      <c r="C13879" t="s">
        <v>41490</v>
      </c>
      <c r="D13879" t="str">
        <f>HYPERLINK("https://zfin.org/ZDB-GENE-040426-1377")</f>
        <v>https://zfin.org/ZDB-GENE-040426-1377</v>
      </c>
      <c r="E13879" t="s">
        <v>41491</v>
      </c>
    </row>
    <row r="13880" spans="1:5" x14ac:dyDescent="0.2">
      <c r="A13880" t="s">
        <v>41492</v>
      </c>
      <c r="B13880" t="s">
        <v>41493</v>
      </c>
      <c r="C13880" t="s">
        <v>41493</v>
      </c>
      <c r="D13880" t="str">
        <f>HYPERLINK("https://zfin.org/ZDB-GENE-030131-7291")</f>
        <v>https://zfin.org/ZDB-GENE-030131-7291</v>
      </c>
      <c r="E13880" t="s">
        <v>41494</v>
      </c>
    </row>
    <row r="13881" spans="1:5" x14ac:dyDescent="0.2">
      <c r="A13881" t="s">
        <v>41495</v>
      </c>
      <c r="B13881" t="s">
        <v>41496</v>
      </c>
      <c r="C13881" t="s">
        <v>41496</v>
      </c>
      <c r="D13881" t="str">
        <f>HYPERLINK("https://zfin.org/")</f>
        <v>https://zfin.org/</v>
      </c>
    </row>
    <row r="13882" spans="1:5" x14ac:dyDescent="0.2">
      <c r="A13882" t="s">
        <v>41497</v>
      </c>
      <c r="B13882" t="s">
        <v>41498</v>
      </c>
      <c r="C13882" t="s">
        <v>41498</v>
      </c>
      <c r="D13882" t="str">
        <f>HYPERLINK("https://zfin.org/")</f>
        <v>https://zfin.org/</v>
      </c>
      <c r="E13882" t="s">
        <v>41499</v>
      </c>
    </row>
    <row r="13883" spans="1:5" x14ac:dyDescent="0.2">
      <c r="A13883" t="s">
        <v>41500</v>
      </c>
      <c r="B13883" t="s">
        <v>41501</v>
      </c>
      <c r="C13883" t="s">
        <v>41501</v>
      </c>
      <c r="D13883" t="str">
        <f>HYPERLINK("https://zfin.org/ZDB-GENE-080303-21")</f>
        <v>https://zfin.org/ZDB-GENE-080303-21</v>
      </c>
      <c r="E13883" t="s">
        <v>41502</v>
      </c>
    </row>
    <row r="13884" spans="1:5" x14ac:dyDescent="0.2">
      <c r="A13884" t="s">
        <v>41503</v>
      </c>
      <c r="B13884" t="s">
        <v>41504</v>
      </c>
      <c r="C13884" t="s">
        <v>41504</v>
      </c>
      <c r="D13884" t="str">
        <f>HYPERLINK("https://zfin.org/")</f>
        <v>https://zfin.org/</v>
      </c>
      <c r="E13884" t="s">
        <v>41505</v>
      </c>
    </row>
    <row r="13885" spans="1:5" x14ac:dyDescent="0.2">
      <c r="A13885" t="s">
        <v>41506</v>
      </c>
      <c r="B13885" t="s">
        <v>41507</v>
      </c>
      <c r="C13885" t="s">
        <v>41507</v>
      </c>
      <c r="D13885" t="str">
        <f>HYPERLINK("https://zfin.org/ZDB-GENE-050320-71")</f>
        <v>https://zfin.org/ZDB-GENE-050320-71</v>
      </c>
      <c r="E13885" t="s">
        <v>41508</v>
      </c>
    </row>
    <row r="13886" spans="1:5" x14ac:dyDescent="0.2">
      <c r="A13886" t="s">
        <v>41509</v>
      </c>
      <c r="B13886" t="s">
        <v>41510</v>
      </c>
      <c r="C13886" t="s">
        <v>41510</v>
      </c>
      <c r="D13886" t="str">
        <f>HYPERLINK("https://zfin.org/")</f>
        <v>https://zfin.org/</v>
      </c>
    </row>
    <row r="13887" spans="1:5" x14ac:dyDescent="0.2">
      <c r="A13887" t="s">
        <v>41511</v>
      </c>
      <c r="B13887" t="s">
        <v>41512</v>
      </c>
      <c r="C13887" t="s">
        <v>41512</v>
      </c>
      <c r="D13887" t="str">
        <f>HYPERLINK("https://zfin.org/ZDB-GENE-040426-1466")</f>
        <v>https://zfin.org/ZDB-GENE-040426-1466</v>
      </c>
      <c r="E13887" t="s">
        <v>41513</v>
      </c>
    </row>
    <row r="13888" spans="1:5" x14ac:dyDescent="0.2">
      <c r="A13888" t="s">
        <v>41514</v>
      </c>
      <c r="B13888" t="s">
        <v>41515</v>
      </c>
      <c r="C13888" t="s">
        <v>41515</v>
      </c>
      <c r="D13888" t="str">
        <f>HYPERLINK("https://zfin.org/ZDB-GENE-030131-9870")</f>
        <v>https://zfin.org/ZDB-GENE-030131-9870</v>
      </c>
      <c r="E13888" t="s">
        <v>41516</v>
      </c>
    </row>
    <row r="13889" spans="1:5" x14ac:dyDescent="0.2">
      <c r="A13889" t="s">
        <v>41517</v>
      </c>
      <c r="B13889" t="s">
        <v>41518</v>
      </c>
      <c r="C13889" t="s">
        <v>41518</v>
      </c>
      <c r="D13889" t="str">
        <f>HYPERLINK("https://zfin.org/")</f>
        <v>https://zfin.org/</v>
      </c>
    </row>
    <row r="13890" spans="1:5" x14ac:dyDescent="0.2">
      <c r="A13890" t="s">
        <v>41519</v>
      </c>
      <c r="B13890" t="s">
        <v>41520</v>
      </c>
      <c r="C13890" t="s">
        <v>41520</v>
      </c>
      <c r="D13890" t="str">
        <f>HYPERLINK("https://zfin.org/")</f>
        <v>https://zfin.org/</v>
      </c>
    </row>
    <row r="13891" spans="1:5" x14ac:dyDescent="0.2">
      <c r="A13891" t="s">
        <v>41521</v>
      </c>
      <c r="B13891" t="s">
        <v>41522</v>
      </c>
      <c r="C13891" t="s">
        <v>41522</v>
      </c>
      <c r="D13891" t="str">
        <f>HYPERLINK("https://zfin.org/ZDB-GENE-050626-94")</f>
        <v>https://zfin.org/ZDB-GENE-050626-94</v>
      </c>
      <c r="E13891" t="s">
        <v>41523</v>
      </c>
    </row>
    <row r="13892" spans="1:5" x14ac:dyDescent="0.2">
      <c r="A13892" t="s">
        <v>41524</v>
      </c>
      <c r="B13892" t="s">
        <v>41525</v>
      </c>
      <c r="C13892" t="s">
        <v>41525</v>
      </c>
      <c r="D13892" t="str">
        <f>HYPERLINK("https://zfin.org/")</f>
        <v>https://zfin.org/</v>
      </c>
    </row>
    <row r="13893" spans="1:5" x14ac:dyDescent="0.2">
      <c r="A13893" t="s">
        <v>41526</v>
      </c>
      <c r="B13893" t="s">
        <v>41527</v>
      </c>
      <c r="C13893" t="s">
        <v>41527</v>
      </c>
      <c r="D13893" t="str">
        <f>HYPERLINK("https://zfin.org/")</f>
        <v>https://zfin.org/</v>
      </c>
      <c r="E13893" t="s">
        <v>41528</v>
      </c>
    </row>
    <row r="13894" spans="1:5" x14ac:dyDescent="0.2">
      <c r="A13894" t="s">
        <v>41529</v>
      </c>
      <c r="B13894" t="s">
        <v>41530</v>
      </c>
      <c r="C13894" t="s">
        <v>41530</v>
      </c>
      <c r="D13894" t="str">
        <f>HYPERLINK("https://zfin.org/")</f>
        <v>https://zfin.org/</v>
      </c>
      <c r="E13894" t="s">
        <v>41531</v>
      </c>
    </row>
    <row r="13895" spans="1:5" x14ac:dyDescent="0.2">
      <c r="A13895" t="s">
        <v>41532</v>
      </c>
      <c r="B13895" t="s">
        <v>41533</v>
      </c>
      <c r="C13895" t="s">
        <v>41533</v>
      </c>
      <c r="D13895" t="str">
        <f>HYPERLINK("https://zfin.org/")</f>
        <v>https://zfin.org/</v>
      </c>
    </row>
    <row r="13896" spans="1:5" x14ac:dyDescent="0.2">
      <c r="A13896" t="s">
        <v>41534</v>
      </c>
      <c r="B13896" t="s">
        <v>41535</v>
      </c>
      <c r="C13896" t="s">
        <v>41535</v>
      </c>
      <c r="D13896" t="str">
        <f>HYPERLINK("https://zfin.org/")</f>
        <v>https://zfin.org/</v>
      </c>
    </row>
    <row r="13897" spans="1:5" x14ac:dyDescent="0.2">
      <c r="A13897" t="s">
        <v>41536</v>
      </c>
      <c r="B13897" t="s">
        <v>41537</v>
      </c>
      <c r="C13897" t="s">
        <v>41537</v>
      </c>
      <c r="D13897" t="str">
        <f>HYPERLINK("https://zfin.org/ZDB-GENE-040914-7")</f>
        <v>https://zfin.org/ZDB-GENE-040914-7</v>
      </c>
      <c r="E13897" t="s">
        <v>41538</v>
      </c>
    </row>
    <row r="13898" spans="1:5" x14ac:dyDescent="0.2">
      <c r="A13898" t="s">
        <v>41539</v>
      </c>
      <c r="B13898" t="s">
        <v>41540</v>
      </c>
      <c r="C13898" t="s">
        <v>41540</v>
      </c>
      <c r="D13898" t="str">
        <f>HYPERLINK("https://zfin.org/")</f>
        <v>https://zfin.org/</v>
      </c>
    </row>
    <row r="13899" spans="1:5" x14ac:dyDescent="0.2">
      <c r="A13899" t="s">
        <v>41541</v>
      </c>
      <c r="B13899" t="s">
        <v>41542</v>
      </c>
      <c r="C13899" t="s">
        <v>41542</v>
      </c>
      <c r="D13899" t="str">
        <f>HYPERLINK("https://zfin.org/")</f>
        <v>https://zfin.org/</v>
      </c>
    </row>
    <row r="13900" spans="1:5" x14ac:dyDescent="0.2">
      <c r="A13900" t="s">
        <v>41543</v>
      </c>
      <c r="B13900" t="s">
        <v>41544</v>
      </c>
      <c r="C13900" t="s">
        <v>41544</v>
      </c>
      <c r="D13900" t="str">
        <f>HYPERLINK("https://zfin.org/ZDB-GENE-130114-1")</f>
        <v>https://zfin.org/ZDB-GENE-130114-1</v>
      </c>
      <c r="E13900" t="s">
        <v>41545</v>
      </c>
    </row>
    <row r="13901" spans="1:5" x14ac:dyDescent="0.2">
      <c r="A13901" t="s">
        <v>41546</v>
      </c>
      <c r="B13901" t="s">
        <v>41547</v>
      </c>
      <c r="C13901" t="s">
        <v>41547</v>
      </c>
      <c r="D13901" t="str">
        <f>HYPERLINK("https://zfin.org/ZDB-GENE-040426-1432")</f>
        <v>https://zfin.org/ZDB-GENE-040426-1432</v>
      </c>
      <c r="E13901" t="s">
        <v>41548</v>
      </c>
    </row>
    <row r="13902" spans="1:5" x14ac:dyDescent="0.2">
      <c r="A13902" t="s">
        <v>41549</v>
      </c>
      <c r="B13902" t="s">
        <v>41550</v>
      </c>
      <c r="C13902" t="s">
        <v>41550</v>
      </c>
      <c r="D13902" t="str">
        <f>HYPERLINK("https://zfin.org/")</f>
        <v>https://zfin.org/</v>
      </c>
      <c r="E13902" t="s">
        <v>41551</v>
      </c>
    </row>
    <row r="13903" spans="1:5" x14ac:dyDescent="0.2">
      <c r="A13903" t="s">
        <v>41552</v>
      </c>
      <c r="B13903" t="s">
        <v>41553</v>
      </c>
      <c r="C13903" t="s">
        <v>41553</v>
      </c>
      <c r="D13903" t="str">
        <f>HYPERLINK("https://zfin.org/")</f>
        <v>https://zfin.org/</v>
      </c>
      <c r="E13903" t="s">
        <v>41554</v>
      </c>
    </row>
    <row r="13904" spans="1:5" x14ac:dyDescent="0.2">
      <c r="A13904" t="s">
        <v>41555</v>
      </c>
      <c r="B13904" t="s">
        <v>41556</v>
      </c>
      <c r="C13904" t="s">
        <v>41556</v>
      </c>
      <c r="D13904" t="str">
        <f>HYPERLINK("https://zfin.org/ZDB-GENE-031002-18")</f>
        <v>https://zfin.org/ZDB-GENE-031002-18</v>
      </c>
      <c r="E13904" t="s">
        <v>41557</v>
      </c>
    </row>
    <row r="13905" spans="1:5" x14ac:dyDescent="0.2">
      <c r="A13905" t="s">
        <v>41558</v>
      </c>
      <c r="B13905" t="s">
        <v>41559</v>
      </c>
      <c r="C13905" t="s">
        <v>41559</v>
      </c>
      <c r="D13905" t="str">
        <f>HYPERLINK("https://zfin.org/")</f>
        <v>https://zfin.org/</v>
      </c>
      <c r="E13905" t="s">
        <v>41560</v>
      </c>
    </row>
    <row r="13906" spans="1:5" x14ac:dyDescent="0.2">
      <c r="A13906" t="s">
        <v>41561</v>
      </c>
      <c r="B13906" t="s">
        <v>41562</v>
      </c>
      <c r="C13906" t="s">
        <v>41562</v>
      </c>
      <c r="D13906" t="str">
        <f>HYPERLINK("https://zfin.org/")</f>
        <v>https://zfin.org/</v>
      </c>
      <c r="E13906" t="s">
        <v>41563</v>
      </c>
    </row>
    <row r="13907" spans="1:5" x14ac:dyDescent="0.2">
      <c r="A13907" t="s">
        <v>41564</v>
      </c>
      <c r="B13907" t="s">
        <v>41565</v>
      </c>
      <c r="C13907" t="s">
        <v>41565</v>
      </c>
      <c r="D13907" t="str">
        <f>HYPERLINK("https://zfin.org/")</f>
        <v>https://zfin.org/</v>
      </c>
    </row>
    <row r="13908" spans="1:5" x14ac:dyDescent="0.2">
      <c r="A13908" t="s">
        <v>41566</v>
      </c>
      <c r="B13908" t="s">
        <v>41567</v>
      </c>
      <c r="C13908" t="s">
        <v>41567</v>
      </c>
      <c r="D13908" t="str">
        <f>HYPERLINK("https://zfin.org/")</f>
        <v>https://zfin.org/</v>
      </c>
      <c r="E13908" t="s">
        <v>41568</v>
      </c>
    </row>
    <row r="13909" spans="1:5" x14ac:dyDescent="0.2">
      <c r="A13909" t="s">
        <v>41569</v>
      </c>
      <c r="B13909" t="s">
        <v>41570</v>
      </c>
      <c r="C13909" t="s">
        <v>41570</v>
      </c>
      <c r="D13909" t="str">
        <f>HYPERLINK("https://zfin.org/ZDB-GENE-050306-58")</f>
        <v>https://zfin.org/ZDB-GENE-050306-58</v>
      </c>
      <c r="E13909" t="s">
        <v>41571</v>
      </c>
    </row>
    <row r="13910" spans="1:5" x14ac:dyDescent="0.2">
      <c r="A13910" t="s">
        <v>41572</v>
      </c>
      <c r="B13910" t="s">
        <v>41573</v>
      </c>
      <c r="C13910" t="s">
        <v>41573</v>
      </c>
      <c r="D13910" t="str">
        <f>HYPERLINK("https://zfin.org/ZDB-GENE-030619-1")</f>
        <v>https://zfin.org/ZDB-GENE-030619-1</v>
      </c>
      <c r="E13910" t="s">
        <v>41574</v>
      </c>
    </row>
    <row r="13911" spans="1:5" x14ac:dyDescent="0.2">
      <c r="A13911" t="s">
        <v>41575</v>
      </c>
      <c r="B13911" t="s">
        <v>41576</v>
      </c>
      <c r="C13911" t="s">
        <v>41576</v>
      </c>
      <c r="D13911" t="str">
        <f>HYPERLINK("https://zfin.org/ZDB-GENE-111013-4")</f>
        <v>https://zfin.org/ZDB-GENE-111013-4</v>
      </c>
      <c r="E13911" t="s">
        <v>41577</v>
      </c>
    </row>
    <row r="13912" spans="1:5" x14ac:dyDescent="0.2">
      <c r="A13912" t="s">
        <v>41578</v>
      </c>
      <c r="B13912" t="s">
        <v>41579</v>
      </c>
      <c r="C13912" t="s">
        <v>41579</v>
      </c>
      <c r="D13912" t="str">
        <f>HYPERLINK("https://zfin.org/")</f>
        <v>https://zfin.org/</v>
      </c>
      <c r="E13912" t="s">
        <v>41580</v>
      </c>
    </row>
    <row r="13913" spans="1:5" x14ac:dyDescent="0.2">
      <c r="A13913" t="s">
        <v>41581</v>
      </c>
      <c r="B13913" t="s">
        <v>41582</v>
      </c>
      <c r="C13913" t="s">
        <v>41582</v>
      </c>
      <c r="D13913" t="str">
        <f>HYPERLINK("https://zfin.org/ZDB-GENE-050327-58")</f>
        <v>https://zfin.org/ZDB-GENE-050327-58</v>
      </c>
      <c r="E13913" t="s">
        <v>41583</v>
      </c>
    </row>
    <row r="13914" spans="1:5" x14ac:dyDescent="0.2">
      <c r="A13914" t="s">
        <v>41584</v>
      </c>
      <c r="B13914" t="s">
        <v>41585</v>
      </c>
      <c r="C13914" t="s">
        <v>41585</v>
      </c>
      <c r="D13914" t="str">
        <f>HYPERLINK("https://zfin.org/ZDB-GENE-990614-17")</f>
        <v>https://zfin.org/ZDB-GENE-990614-17</v>
      </c>
      <c r="E13914" t="s">
        <v>41586</v>
      </c>
    </row>
    <row r="13915" spans="1:5" x14ac:dyDescent="0.2">
      <c r="A13915" t="s">
        <v>41587</v>
      </c>
      <c r="B13915" t="s">
        <v>41588</v>
      </c>
      <c r="C13915" t="s">
        <v>41588</v>
      </c>
      <c r="D13915" t="str">
        <f>HYPERLINK("https://zfin.org/ZDB-GENE-040426-1372")</f>
        <v>https://zfin.org/ZDB-GENE-040426-1372</v>
      </c>
      <c r="E13915" t="s">
        <v>41589</v>
      </c>
    </row>
    <row r="13916" spans="1:5" x14ac:dyDescent="0.2">
      <c r="A13916" t="s">
        <v>41590</v>
      </c>
      <c r="B13916" t="s">
        <v>41591</v>
      </c>
      <c r="C13916" t="s">
        <v>41591</v>
      </c>
      <c r="D13916" t="str">
        <f>HYPERLINK("https://zfin.org/")</f>
        <v>https://zfin.org/</v>
      </c>
      <c r="E13916" t="s">
        <v>41592</v>
      </c>
    </row>
    <row r="13917" spans="1:5" x14ac:dyDescent="0.2">
      <c r="A13917" t="s">
        <v>41593</v>
      </c>
      <c r="B13917" t="s">
        <v>41594</v>
      </c>
      <c r="C13917" t="s">
        <v>41594</v>
      </c>
      <c r="D13917" t="str">
        <f>HYPERLINK("https://zfin.org/")</f>
        <v>https://zfin.org/</v>
      </c>
      <c r="E13917" t="s">
        <v>41595</v>
      </c>
    </row>
    <row r="13918" spans="1:5" x14ac:dyDescent="0.2">
      <c r="A13918" t="s">
        <v>41596</v>
      </c>
      <c r="B13918" t="s">
        <v>41597</v>
      </c>
      <c r="C13918" t="s">
        <v>41597</v>
      </c>
      <c r="D13918" t="str">
        <f>HYPERLINK("https://zfin.org/")</f>
        <v>https://zfin.org/</v>
      </c>
      <c r="E13918" t="s">
        <v>41598</v>
      </c>
    </row>
    <row r="13919" spans="1:5" x14ac:dyDescent="0.2">
      <c r="A13919" t="s">
        <v>41599</v>
      </c>
      <c r="B13919" t="s">
        <v>41600</v>
      </c>
      <c r="C13919" t="s">
        <v>41600</v>
      </c>
      <c r="D13919" t="str">
        <f>HYPERLINK("https://zfin.org/")</f>
        <v>https://zfin.org/</v>
      </c>
    </row>
    <row r="13920" spans="1:5" x14ac:dyDescent="0.2">
      <c r="A13920" t="s">
        <v>41601</v>
      </c>
      <c r="B13920" t="s">
        <v>41602</v>
      </c>
      <c r="C13920" t="s">
        <v>41602</v>
      </c>
      <c r="D13920" t="str">
        <f>HYPERLINK("https://zfin.org/ZDB-GENE-031016-2")</f>
        <v>https://zfin.org/ZDB-GENE-031016-2</v>
      </c>
      <c r="E13920" t="s">
        <v>41603</v>
      </c>
    </row>
    <row r="13921" spans="1:5" x14ac:dyDescent="0.2">
      <c r="A13921" t="s">
        <v>41604</v>
      </c>
      <c r="B13921" t="s">
        <v>41605</v>
      </c>
      <c r="C13921" t="s">
        <v>41605</v>
      </c>
      <c r="D13921" t="str">
        <f>HYPERLINK("https://zfin.org/")</f>
        <v>https://zfin.org/</v>
      </c>
      <c r="E13921" t="s">
        <v>41606</v>
      </c>
    </row>
    <row r="13922" spans="1:5" x14ac:dyDescent="0.2">
      <c r="A13922" t="s">
        <v>41607</v>
      </c>
      <c r="B13922" t="s">
        <v>41608</v>
      </c>
      <c r="C13922" t="s">
        <v>41608</v>
      </c>
      <c r="D13922" t="str">
        <f>HYPERLINK("https://zfin.org/ZDB-GENE-041010-223")</f>
        <v>https://zfin.org/ZDB-GENE-041010-223</v>
      </c>
      <c r="E13922" t="s">
        <v>41609</v>
      </c>
    </row>
    <row r="13923" spans="1:5" x14ac:dyDescent="0.2">
      <c r="A13923" t="s">
        <v>41610</v>
      </c>
      <c r="B13923" t="s">
        <v>41611</v>
      </c>
      <c r="C13923" t="s">
        <v>41611</v>
      </c>
      <c r="D13923" t="str">
        <f>HYPERLINK("https://zfin.org/ZDB-GENE-040426-859")</f>
        <v>https://zfin.org/ZDB-GENE-040426-859</v>
      </c>
      <c r="E13923" t="s">
        <v>41612</v>
      </c>
    </row>
    <row r="13924" spans="1:5" x14ac:dyDescent="0.2">
      <c r="A13924" t="s">
        <v>41613</v>
      </c>
      <c r="B13924" t="s">
        <v>41614</v>
      </c>
      <c r="C13924" t="s">
        <v>41614</v>
      </c>
      <c r="D13924" t="str">
        <f>HYPERLINK("https://zfin.org/")</f>
        <v>https://zfin.org/</v>
      </c>
      <c r="E13924" t="s">
        <v>41615</v>
      </c>
    </row>
    <row r="13925" spans="1:5" x14ac:dyDescent="0.2">
      <c r="A13925" t="s">
        <v>41616</v>
      </c>
      <c r="B13925" t="s">
        <v>41617</v>
      </c>
      <c r="C13925" t="s">
        <v>41617</v>
      </c>
      <c r="D13925" t="str">
        <f>HYPERLINK("https://zfin.org/ZDB-GENE-031018-2")</f>
        <v>https://zfin.org/ZDB-GENE-031018-2</v>
      </c>
      <c r="E13925" t="s">
        <v>41618</v>
      </c>
    </row>
    <row r="13926" spans="1:5" x14ac:dyDescent="0.2">
      <c r="A13926" t="s">
        <v>41619</v>
      </c>
      <c r="B13926" t="s">
        <v>41620</v>
      </c>
      <c r="C13926" t="s">
        <v>41620</v>
      </c>
      <c r="D13926" t="str">
        <f>HYPERLINK("https://zfin.org/ZDB-GENE-070112-2022")</f>
        <v>https://zfin.org/ZDB-GENE-070112-2022</v>
      </c>
      <c r="E13926" t="s">
        <v>41621</v>
      </c>
    </row>
    <row r="13927" spans="1:5" x14ac:dyDescent="0.2">
      <c r="A13927" t="s">
        <v>41622</v>
      </c>
      <c r="B13927" t="s">
        <v>32436</v>
      </c>
      <c r="C13927" t="s">
        <v>41623</v>
      </c>
      <c r="D13927" t="str">
        <f>HYPERLINK("https://zfin.org/ZDB-GENE-070410-39")</f>
        <v>https://zfin.org/ZDB-GENE-070410-39</v>
      </c>
      <c r="E13927" t="s">
        <v>41624</v>
      </c>
    </row>
    <row r="13928" spans="1:5" x14ac:dyDescent="0.2">
      <c r="A13928" t="s">
        <v>41625</v>
      </c>
      <c r="B13928" t="s">
        <v>41626</v>
      </c>
      <c r="C13928" t="s">
        <v>41626</v>
      </c>
      <c r="D13928" t="str">
        <f>HYPERLINK("https://zfin.org/ZDB-GENE-040428-2")</f>
        <v>https://zfin.org/ZDB-GENE-040428-2</v>
      </c>
      <c r="E13928" t="s">
        <v>41627</v>
      </c>
    </row>
    <row r="13929" spans="1:5" x14ac:dyDescent="0.2">
      <c r="A13929" t="s">
        <v>41628</v>
      </c>
      <c r="B13929" t="s">
        <v>41629</v>
      </c>
      <c r="C13929" t="s">
        <v>41630</v>
      </c>
      <c r="D13929" t="str">
        <f>HYPERLINK("https://zfin.org/ZDB-GENE-110913-163")</f>
        <v>https://zfin.org/ZDB-GENE-110913-163</v>
      </c>
      <c r="E13929" t="s">
        <v>41631</v>
      </c>
    </row>
    <row r="13930" spans="1:5" x14ac:dyDescent="0.2">
      <c r="A13930" t="s">
        <v>41632</v>
      </c>
      <c r="B13930" t="s">
        <v>41633</v>
      </c>
      <c r="C13930" t="s">
        <v>41633</v>
      </c>
      <c r="D13930" t="str">
        <f>HYPERLINK("https://zfin.org/ZDB-GENE-050320-103")</f>
        <v>https://zfin.org/ZDB-GENE-050320-103</v>
      </c>
      <c r="E13930" t="s">
        <v>41634</v>
      </c>
    </row>
    <row r="13931" spans="1:5" x14ac:dyDescent="0.2">
      <c r="A13931" t="s">
        <v>41635</v>
      </c>
      <c r="B13931" t="s">
        <v>41636</v>
      </c>
      <c r="C13931" t="s">
        <v>41636</v>
      </c>
      <c r="D13931" t="str">
        <f>HYPERLINK("https://zfin.org/")</f>
        <v>https://zfin.org/</v>
      </c>
    </row>
    <row r="13932" spans="1:5" x14ac:dyDescent="0.2">
      <c r="A13932" t="s">
        <v>41637</v>
      </c>
      <c r="B13932" t="s">
        <v>41638</v>
      </c>
      <c r="C13932" t="s">
        <v>41638</v>
      </c>
      <c r="D13932" t="str">
        <f>HYPERLINK("https://zfin.org/")</f>
        <v>https://zfin.org/</v>
      </c>
      <c r="E13932" t="s">
        <v>41639</v>
      </c>
    </row>
    <row r="13933" spans="1:5" x14ac:dyDescent="0.2">
      <c r="A13933" t="s">
        <v>41640</v>
      </c>
      <c r="B13933" t="s">
        <v>41641</v>
      </c>
      <c r="C13933" t="s">
        <v>41641</v>
      </c>
      <c r="D13933" t="str">
        <f>HYPERLINK("https://zfin.org/ZDB-GENE-080422-1")</f>
        <v>https://zfin.org/ZDB-GENE-080422-1</v>
      </c>
      <c r="E13933" t="s">
        <v>41642</v>
      </c>
    </row>
    <row r="13934" spans="1:5" x14ac:dyDescent="0.2">
      <c r="A13934" t="s">
        <v>41643</v>
      </c>
      <c r="B13934" t="s">
        <v>41644</v>
      </c>
      <c r="C13934" t="s">
        <v>41644</v>
      </c>
      <c r="D13934" t="str">
        <f>HYPERLINK("https://zfin.org/")</f>
        <v>https://zfin.org/</v>
      </c>
      <c r="E13934" t="s">
        <v>41645</v>
      </c>
    </row>
    <row r="13935" spans="1:5" x14ac:dyDescent="0.2">
      <c r="A13935" t="s">
        <v>41646</v>
      </c>
      <c r="B13935" t="s">
        <v>41647</v>
      </c>
      <c r="C13935" t="s">
        <v>41647</v>
      </c>
      <c r="D13935" t="str">
        <f>HYPERLINK("https://zfin.org/ZDB-GENE-110215-1")</f>
        <v>https://zfin.org/ZDB-GENE-110215-1</v>
      </c>
      <c r="E13935" t="s">
        <v>41648</v>
      </c>
    </row>
    <row r="13936" spans="1:5" x14ac:dyDescent="0.2">
      <c r="A13936" t="s">
        <v>41649</v>
      </c>
      <c r="B13936" t="s">
        <v>41650</v>
      </c>
      <c r="C13936" t="s">
        <v>41650</v>
      </c>
      <c r="D13936" t="str">
        <f>HYPERLINK("https://zfin.org/")</f>
        <v>https://zfin.org/</v>
      </c>
      <c r="E13936" t="s">
        <v>41651</v>
      </c>
    </row>
    <row r="13937" spans="1:5" x14ac:dyDescent="0.2">
      <c r="A13937" t="s">
        <v>41652</v>
      </c>
      <c r="B13937" t="s">
        <v>35153</v>
      </c>
      <c r="C13937" t="s">
        <v>41653</v>
      </c>
      <c r="D13937" t="str">
        <f>HYPERLINK("https://zfin.org/")</f>
        <v>https://zfin.org/</v>
      </c>
      <c r="E13937" t="s">
        <v>41654</v>
      </c>
    </row>
    <row r="13938" spans="1:5" x14ac:dyDescent="0.2">
      <c r="A13938" t="s">
        <v>41655</v>
      </c>
      <c r="B13938" t="s">
        <v>39033</v>
      </c>
      <c r="C13938" t="s">
        <v>41656</v>
      </c>
      <c r="D13938" t="str">
        <f>HYPERLINK("https://zfin.org/ZDB-GENE-131119-97")</f>
        <v>https://zfin.org/ZDB-GENE-131119-97</v>
      </c>
      <c r="E13938" t="s">
        <v>39034</v>
      </c>
    </row>
    <row r="13939" spans="1:5" x14ac:dyDescent="0.2">
      <c r="A13939" t="s">
        <v>41657</v>
      </c>
      <c r="B13939" t="s">
        <v>41658</v>
      </c>
      <c r="C13939" t="s">
        <v>41658</v>
      </c>
      <c r="D13939" t="str">
        <f>HYPERLINK("https://zfin.org/ZDB-GENE-090512-2")</f>
        <v>https://zfin.org/ZDB-GENE-090512-2</v>
      </c>
      <c r="E13939" t="s">
        <v>41659</v>
      </c>
    </row>
    <row r="13940" spans="1:5" x14ac:dyDescent="0.2">
      <c r="A13940" t="s">
        <v>41660</v>
      </c>
      <c r="B13940" t="s">
        <v>41661</v>
      </c>
      <c r="C13940" t="s">
        <v>41661</v>
      </c>
      <c r="D13940" t="str">
        <f>HYPERLINK("https://zfin.org/")</f>
        <v>https://zfin.org/</v>
      </c>
      <c r="E13940" t="s">
        <v>41662</v>
      </c>
    </row>
    <row r="13941" spans="1:5" x14ac:dyDescent="0.2">
      <c r="A13941" t="s">
        <v>41663</v>
      </c>
      <c r="B13941" t="s">
        <v>41664</v>
      </c>
      <c r="C13941" t="s">
        <v>41664</v>
      </c>
      <c r="D13941" t="str">
        <f>HYPERLINK("https://zfin.org/ZDB-GENE-050208-317")</f>
        <v>https://zfin.org/ZDB-GENE-050208-317</v>
      </c>
      <c r="E13941" t="s">
        <v>41665</v>
      </c>
    </row>
    <row r="13942" spans="1:5" x14ac:dyDescent="0.2">
      <c r="A13942" t="s">
        <v>41666</v>
      </c>
      <c r="B13942" t="s">
        <v>41667</v>
      </c>
      <c r="C13942" t="s">
        <v>41667</v>
      </c>
      <c r="D13942" t="str">
        <f>HYPERLINK("https://zfin.org/")</f>
        <v>https://zfin.org/</v>
      </c>
    </row>
    <row r="13943" spans="1:5" x14ac:dyDescent="0.2">
      <c r="A13943" t="s">
        <v>41668</v>
      </c>
      <c r="B13943" t="s">
        <v>41669</v>
      </c>
      <c r="C13943" t="s">
        <v>41669</v>
      </c>
      <c r="D13943" t="str">
        <f>HYPERLINK("https://zfin.org/ZDB-GENE-030131-7476")</f>
        <v>https://zfin.org/ZDB-GENE-030131-7476</v>
      </c>
      <c r="E13943" t="s">
        <v>41670</v>
      </c>
    </row>
    <row r="13944" spans="1:5" x14ac:dyDescent="0.2">
      <c r="A13944" t="s">
        <v>41671</v>
      </c>
      <c r="B13944" t="s">
        <v>41672</v>
      </c>
      <c r="C13944" t="s">
        <v>41672</v>
      </c>
      <c r="D13944" t="str">
        <f>HYPERLINK("https://zfin.org/")</f>
        <v>https://zfin.org/</v>
      </c>
      <c r="E13944" t="s">
        <v>41673</v>
      </c>
    </row>
    <row r="13945" spans="1:5" x14ac:dyDescent="0.2">
      <c r="A13945" t="s">
        <v>41674</v>
      </c>
      <c r="B13945" t="s">
        <v>41675</v>
      </c>
      <c r="C13945" t="s">
        <v>41675</v>
      </c>
      <c r="D13945" t="str">
        <f>HYPERLINK("https://zfin.org/")</f>
        <v>https://zfin.org/</v>
      </c>
    </row>
    <row r="13946" spans="1:5" x14ac:dyDescent="0.2">
      <c r="A13946" t="s">
        <v>41676</v>
      </c>
      <c r="B13946" t="s">
        <v>41677</v>
      </c>
      <c r="C13946" t="s">
        <v>41677</v>
      </c>
      <c r="D13946" t="str">
        <f>HYPERLINK("https://zfin.org/ZDB-GENE-060503-312")</f>
        <v>https://zfin.org/ZDB-GENE-060503-312</v>
      </c>
      <c r="E13946" t="s">
        <v>41678</v>
      </c>
    </row>
    <row r="13947" spans="1:5" x14ac:dyDescent="0.2">
      <c r="A13947" t="s">
        <v>41679</v>
      </c>
      <c r="B13947" t="s">
        <v>41680</v>
      </c>
      <c r="C13947" t="s">
        <v>41680</v>
      </c>
      <c r="D13947" t="str">
        <f>HYPERLINK("https://zfin.org/ZDB-GENE-050417-56")</f>
        <v>https://zfin.org/ZDB-GENE-050417-56</v>
      </c>
      <c r="E13947" t="s">
        <v>41681</v>
      </c>
    </row>
    <row r="13948" spans="1:5" x14ac:dyDescent="0.2">
      <c r="A13948" t="s">
        <v>41682</v>
      </c>
      <c r="B13948" t="s">
        <v>41683</v>
      </c>
      <c r="C13948" t="s">
        <v>41683</v>
      </c>
      <c r="D13948" t="str">
        <f>HYPERLINK("https://zfin.org/")</f>
        <v>https://zfin.org/</v>
      </c>
      <c r="E13948" t="s">
        <v>41684</v>
      </c>
    </row>
    <row r="13949" spans="1:5" x14ac:dyDescent="0.2">
      <c r="A13949" t="s">
        <v>41685</v>
      </c>
      <c r="B13949" t="s">
        <v>41686</v>
      </c>
      <c r="C13949" t="s">
        <v>41686</v>
      </c>
      <c r="D13949" t="str">
        <f>HYPERLINK("https://zfin.org/ZDB-GENE-041008-116")</f>
        <v>https://zfin.org/ZDB-GENE-041008-116</v>
      </c>
      <c r="E13949" t="s">
        <v>41687</v>
      </c>
    </row>
    <row r="13950" spans="1:5" x14ac:dyDescent="0.2">
      <c r="A13950" t="s">
        <v>41688</v>
      </c>
      <c r="B13950" t="s">
        <v>41689</v>
      </c>
      <c r="C13950" t="s">
        <v>41689</v>
      </c>
      <c r="D13950" t="str">
        <f>HYPERLINK("https://zfin.org/")</f>
        <v>https://zfin.org/</v>
      </c>
      <c r="E13950" t="s">
        <v>41690</v>
      </c>
    </row>
    <row r="13951" spans="1:5" x14ac:dyDescent="0.2">
      <c r="A13951" t="s">
        <v>41691</v>
      </c>
      <c r="B13951" t="s">
        <v>41692</v>
      </c>
      <c r="C13951" t="s">
        <v>41692</v>
      </c>
      <c r="D13951" t="str">
        <f>HYPERLINK("https://zfin.org/")</f>
        <v>https://zfin.org/</v>
      </c>
      <c r="E13951" t="s">
        <v>41693</v>
      </c>
    </row>
    <row r="13952" spans="1:5" x14ac:dyDescent="0.2">
      <c r="A13952" t="s">
        <v>41694</v>
      </c>
      <c r="B13952" t="s">
        <v>41695</v>
      </c>
      <c r="C13952" t="s">
        <v>41695</v>
      </c>
      <c r="D13952" t="str">
        <f>HYPERLINK("https://zfin.org/ZDB-GENE-030131-515")</f>
        <v>https://zfin.org/ZDB-GENE-030131-515</v>
      </c>
      <c r="E13952" t="s">
        <v>41696</v>
      </c>
    </row>
    <row r="13953" spans="1:5" x14ac:dyDescent="0.2">
      <c r="A13953" t="s">
        <v>41697</v>
      </c>
      <c r="B13953" t="s">
        <v>41698</v>
      </c>
      <c r="C13953" t="s">
        <v>41698</v>
      </c>
      <c r="D13953" t="str">
        <f>HYPERLINK("https://zfin.org/")</f>
        <v>https://zfin.org/</v>
      </c>
    </row>
    <row r="13954" spans="1:5" x14ac:dyDescent="0.2">
      <c r="A13954" t="s">
        <v>41699</v>
      </c>
      <c r="B13954" t="s">
        <v>41700</v>
      </c>
      <c r="C13954" t="s">
        <v>41700</v>
      </c>
      <c r="D13954" t="str">
        <f>HYPERLINK("https://zfin.org/ZDB-GENE-000511-4")</f>
        <v>https://zfin.org/ZDB-GENE-000511-4</v>
      </c>
      <c r="E13954" t="s">
        <v>41701</v>
      </c>
    </row>
    <row r="13955" spans="1:5" x14ac:dyDescent="0.2">
      <c r="A13955" t="s">
        <v>41702</v>
      </c>
      <c r="B13955" t="s">
        <v>41703</v>
      </c>
      <c r="C13955" t="s">
        <v>41703</v>
      </c>
      <c r="D13955" t="str">
        <f>HYPERLINK("https://zfin.org/ZDB-GENE-040801-188")</f>
        <v>https://zfin.org/ZDB-GENE-040801-188</v>
      </c>
      <c r="E13955" t="s">
        <v>41704</v>
      </c>
    </row>
    <row r="13956" spans="1:5" x14ac:dyDescent="0.2">
      <c r="A13956" t="s">
        <v>41705</v>
      </c>
      <c r="B13956" t="s">
        <v>41706</v>
      </c>
      <c r="C13956" t="s">
        <v>41706</v>
      </c>
      <c r="D13956" t="str">
        <f>HYPERLINK("https://zfin.org/ZDB-GENE-030131-3205")</f>
        <v>https://zfin.org/ZDB-GENE-030131-3205</v>
      </c>
      <c r="E13956" t="s">
        <v>41707</v>
      </c>
    </row>
    <row r="13957" spans="1:5" x14ac:dyDescent="0.2">
      <c r="A13957" t="s">
        <v>41708</v>
      </c>
      <c r="B13957" t="s">
        <v>41709</v>
      </c>
      <c r="C13957" t="s">
        <v>41709</v>
      </c>
      <c r="D13957" t="str">
        <f>HYPERLINK("https://zfin.org/ZDB-GENE-041010-144")</f>
        <v>https://zfin.org/ZDB-GENE-041010-144</v>
      </c>
      <c r="E13957" t="s">
        <v>41710</v>
      </c>
    </row>
    <row r="13958" spans="1:5" x14ac:dyDescent="0.2">
      <c r="A13958" t="s">
        <v>41711</v>
      </c>
      <c r="B13958" t="s">
        <v>41712</v>
      </c>
      <c r="C13958" t="s">
        <v>41712</v>
      </c>
      <c r="D13958" t="str">
        <f>HYPERLINK("https://zfin.org/ZDB-GENE-080402-6")</f>
        <v>https://zfin.org/ZDB-GENE-080402-6</v>
      </c>
      <c r="E13958" t="s">
        <v>41713</v>
      </c>
    </row>
    <row r="13959" spans="1:5" x14ac:dyDescent="0.2">
      <c r="A13959" t="s">
        <v>41714</v>
      </c>
      <c r="B13959" t="s">
        <v>41715</v>
      </c>
      <c r="C13959" t="s">
        <v>41715</v>
      </c>
      <c r="D13959" t="str">
        <f>HYPERLINK("https://zfin.org/ZDB-GENE-050417-46")</f>
        <v>https://zfin.org/ZDB-GENE-050417-46</v>
      </c>
      <c r="E13959" t="s">
        <v>41716</v>
      </c>
    </row>
    <row r="13960" spans="1:5" x14ac:dyDescent="0.2">
      <c r="A13960" t="s">
        <v>41717</v>
      </c>
      <c r="B13960" t="s">
        <v>41718</v>
      </c>
      <c r="C13960" t="s">
        <v>41718</v>
      </c>
      <c r="D13960" t="str">
        <f>HYPERLINK("https://zfin.org/")</f>
        <v>https://zfin.org/</v>
      </c>
      <c r="E13960" t="s">
        <v>41719</v>
      </c>
    </row>
    <row r="13961" spans="1:5" x14ac:dyDescent="0.2">
      <c r="A13961" t="s">
        <v>41720</v>
      </c>
      <c r="B13961" t="s">
        <v>41721</v>
      </c>
      <c r="C13961" t="s">
        <v>41721</v>
      </c>
      <c r="D13961" t="str">
        <f>HYPERLINK("https://zfin.org/")</f>
        <v>https://zfin.org/</v>
      </c>
    </row>
    <row r="13962" spans="1:5" x14ac:dyDescent="0.2">
      <c r="A13962" t="s">
        <v>41722</v>
      </c>
      <c r="B13962" t="s">
        <v>41723</v>
      </c>
      <c r="C13962" t="s">
        <v>41723</v>
      </c>
      <c r="D13962" t="str">
        <f>HYPERLINK("https://zfin.org/ZDB-GENE-040426-1426")</f>
        <v>https://zfin.org/ZDB-GENE-040426-1426</v>
      </c>
      <c r="E13962" t="s">
        <v>41724</v>
      </c>
    </row>
    <row r="13963" spans="1:5" x14ac:dyDescent="0.2">
      <c r="A13963" t="s">
        <v>41725</v>
      </c>
      <c r="B13963" t="s">
        <v>41726</v>
      </c>
      <c r="C13963" t="s">
        <v>41726</v>
      </c>
      <c r="D13963" t="str">
        <f>HYPERLINK("https://zfin.org/ZDB-GENE-060628-1")</f>
        <v>https://zfin.org/ZDB-GENE-060628-1</v>
      </c>
      <c r="E13963" t="s">
        <v>41727</v>
      </c>
    </row>
    <row r="13964" spans="1:5" x14ac:dyDescent="0.2">
      <c r="A13964" t="s">
        <v>41728</v>
      </c>
      <c r="B13964" t="s">
        <v>41729</v>
      </c>
      <c r="C13964" t="s">
        <v>41729</v>
      </c>
      <c r="D13964" t="str">
        <f>HYPERLINK("https://zfin.org/ZDB-GENE-040801-72")</f>
        <v>https://zfin.org/ZDB-GENE-040801-72</v>
      </c>
      <c r="E13964" t="s">
        <v>41730</v>
      </c>
    </row>
    <row r="13965" spans="1:5" x14ac:dyDescent="0.2">
      <c r="A13965" t="s">
        <v>41731</v>
      </c>
      <c r="B13965" t="s">
        <v>41732</v>
      </c>
      <c r="C13965" t="s">
        <v>41732</v>
      </c>
      <c r="D13965" t="str">
        <f>HYPERLINK("https://zfin.org/ZDB-GENE-030826-9")</f>
        <v>https://zfin.org/ZDB-GENE-030826-9</v>
      </c>
      <c r="E13965" t="s">
        <v>41733</v>
      </c>
    </row>
    <row r="13966" spans="1:5" x14ac:dyDescent="0.2">
      <c r="A13966" t="s">
        <v>41734</v>
      </c>
      <c r="B13966" t="s">
        <v>41735</v>
      </c>
      <c r="C13966" t="s">
        <v>41735</v>
      </c>
      <c r="D13966" t="str">
        <f>HYPERLINK("https://zfin.org/")</f>
        <v>https://zfin.org/</v>
      </c>
    </row>
    <row r="13967" spans="1:5" x14ac:dyDescent="0.2">
      <c r="A13967" t="s">
        <v>41736</v>
      </c>
      <c r="B13967" t="s">
        <v>41737</v>
      </c>
      <c r="C13967" t="s">
        <v>41737</v>
      </c>
      <c r="D13967" t="str">
        <f>HYPERLINK("https://zfin.org/ZDB-GENE-060929-176")</f>
        <v>https://zfin.org/ZDB-GENE-060929-176</v>
      </c>
      <c r="E13967" t="s">
        <v>41738</v>
      </c>
    </row>
    <row r="13968" spans="1:5" x14ac:dyDescent="0.2">
      <c r="A13968" t="s">
        <v>41739</v>
      </c>
      <c r="B13968" t="s">
        <v>41740</v>
      </c>
      <c r="C13968" t="s">
        <v>41740</v>
      </c>
      <c r="D13968" t="str">
        <f>HYPERLINK("https://zfin.org/ZDB-GENE-040426-908")</f>
        <v>https://zfin.org/ZDB-GENE-040426-908</v>
      </c>
      <c r="E13968" t="s">
        <v>41741</v>
      </c>
    </row>
    <row r="13969" spans="1:5" x14ac:dyDescent="0.2">
      <c r="A13969" t="s">
        <v>41742</v>
      </c>
      <c r="B13969" t="s">
        <v>41743</v>
      </c>
      <c r="C13969" t="s">
        <v>41743</v>
      </c>
      <c r="D13969" t="str">
        <f>HYPERLINK("https://zfin.org/")</f>
        <v>https://zfin.org/</v>
      </c>
      <c r="E13969" t="s">
        <v>41744</v>
      </c>
    </row>
    <row r="13970" spans="1:5" x14ac:dyDescent="0.2">
      <c r="A13970" t="s">
        <v>41745</v>
      </c>
      <c r="B13970" t="s">
        <v>41746</v>
      </c>
      <c r="C13970" t="s">
        <v>41746</v>
      </c>
      <c r="D13970" t="str">
        <f>HYPERLINK("https://zfin.org/")</f>
        <v>https://zfin.org/</v>
      </c>
      <c r="E13970" t="s">
        <v>41747</v>
      </c>
    </row>
    <row r="13971" spans="1:5" x14ac:dyDescent="0.2">
      <c r="A13971" t="s">
        <v>41748</v>
      </c>
      <c r="B13971" t="s">
        <v>41749</v>
      </c>
      <c r="C13971" t="s">
        <v>41749</v>
      </c>
      <c r="D13971" t="str">
        <f>HYPERLINK("https://zfin.org/")</f>
        <v>https://zfin.org/</v>
      </c>
    </row>
    <row r="13972" spans="1:5" x14ac:dyDescent="0.2">
      <c r="A13972" t="s">
        <v>41750</v>
      </c>
      <c r="B13972" t="s">
        <v>41751</v>
      </c>
      <c r="C13972" t="s">
        <v>41751</v>
      </c>
      <c r="D13972" t="str">
        <f>HYPERLINK("https://zfin.org/ZDB-GENE-980526-312")</f>
        <v>https://zfin.org/ZDB-GENE-980526-312</v>
      </c>
      <c r="E13972" t="s">
        <v>41752</v>
      </c>
    </row>
    <row r="13973" spans="1:5" x14ac:dyDescent="0.2">
      <c r="A13973" t="s">
        <v>41753</v>
      </c>
      <c r="B13973" t="s">
        <v>41754</v>
      </c>
      <c r="C13973" t="s">
        <v>41754</v>
      </c>
      <c r="D13973" t="str">
        <f>HYPERLINK("https://zfin.org/ZDB-GENE-040426-1892")</f>
        <v>https://zfin.org/ZDB-GENE-040426-1892</v>
      </c>
      <c r="E13973" t="s">
        <v>41755</v>
      </c>
    </row>
    <row r="13974" spans="1:5" x14ac:dyDescent="0.2">
      <c r="A13974" t="s">
        <v>41756</v>
      </c>
      <c r="B13974" t="s">
        <v>41757</v>
      </c>
      <c r="C13974" t="s">
        <v>41757</v>
      </c>
      <c r="D13974" t="str">
        <f>HYPERLINK("https://zfin.org/")</f>
        <v>https://zfin.org/</v>
      </c>
    </row>
    <row r="13975" spans="1:5" x14ac:dyDescent="0.2">
      <c r="A13975" t="s">
        <v>41758</v>
      </c>
      <c r="B13975" t="s">
        <v>41759</v>
      </c>
      <c r="C13975" t="s">
        <v>41759</v>
      </c>
      <c r="D13975" t="str">
        <f>HYPERLINK("https://zfin.org/ZDB-GENE-050320-63")</f>
        <v>https://zfin.org/ZDB-GENE-050320-63</v>
      </c>
      <c r="E13975" t="s">
        <v>41760</v>
      </c>
    </row>
    <row r="13976" spans="1:5" x14ac:dyDescent="0.2">
      <c r="A13976" t="s">
        <v>41761</v>
      </c>
      <c r="B13976" t="s">
        <v>41762</v>
      </c>
      <c r="C13976" t="s">
        <v>41762</v>
      </c>
      <c r="D13976" t="str">
        <f>HYPERLINK("https://zfin.org/ZDB-GENE-040912-111")</f>
        <v>https://zfin.org/ZDB-GENE-040912-111</v>
      </c>
      <c r="E13976" t="s">
        <v>41763</v>
      </c>
    </row>
    <row r="13977" spans="1:5" x14ac:dyDescent="0.2">
      <c r="A13977" t="s">
        <v>41764</v>
      </c>
      <c r="B13977" t="s">
        <v>41765</v>
      </c>
      <c r="C13977" t="s">
        <v>41765</v>
      </c>
      <c r="D13977" t="str">
        <f>HYPERLINK("https://zfin.org/ZDB-GENE-020419-24")</f>
        <v>https://zfin.org/ZDB-GENE-020419-24</v>
      </c>
      <c r="E13977" t="s">
        <v>41766</v>
      </c>
    </row>
    <row r="13978" spans="1:5" x14ac:dyDescent="0.2">
      <c r="A13978" t="s">
        <v>41767</v>
      </c>
      <c r="B13978" t="s">
        <v>41768</v>
      </c>
      <c r="C13978" t="s">
        <v>41768</v>
      </c>
      <c r="D13978" t="str">
        <f>HYPERLINK("https://zfin.org/")</f>
        <v>https://zfin.org/</v>
      </c>
      <c r="E13978" t="s">
        <v>41769</v>
      </c>
    </row>
    <row r="13979" spans="1:5" x14ac:dyDescent="0.2">
      <c r="A13979" t="s">
        <v>41770</v>
      </c>
      <c r="B13979" t="s">
        <v>41771</v>
      </c>
      <c r="C13979" t="s">
        <v>41771</v>
      </c>
      <c r="D13979" t="str">
        <f>HYPERLINK("https://zfin.org/")</f>
        <v>https://zfin.org/</v>
      </c>
    </row>
    <row r="13980" spans="1:5" x14ac:dyDescent="0.2">
      <c r="A13980" t="s">
        <v>41772</v>
      </c>
      <c r="B13980" t="s">
        <v>41773</v>
      </c>
      <c r="C13980" t="s">
        <v>41773</v>
      </c>
      <c r="D13980" t="str">
        <f>HYPERLINK("https://zfin.org/")</f>
        <v>https://zfin.org/</v>
      </c>
    </row>
    <row r="13981" spans="1:5" x14ac:dyDescent="0.2">
      <c r="A13981" t="s">
        <v>41774</v>
      </c>
      <c r="B13981" t="s">
        <v>41775</v>
      </c>
      <c r="C13981" t="s">
        <v>41775</v>
      </c>
      <c r="D13981" t="str">
        <f>HYPERLINK("https://zfin.org/ZDB-GENE-060324-2")</f>
        <v>https://zfin.org/ZDB-GENE-060324-2</v>
      </c>
      <c r="E13981" t="s">
        <v>41776</v>
      </c>
    </row>
    <row r="13982" spans="1:5" x14ac:dyDescent="0.2">
      <c r="A13982" t="s">
        <v>41777</v>
      </c>
      <c r="B13982" t="s">
        <v>34183</v>
      </c>
      <c r="C13982" t="s">
        <v>41778</v>
      </c>
      <c r="D13982" t="str">
        <f>HYPERLINK("https://zfin.org/ZDB-GENE-081104-290")</f>
        <v>https://zfin.org/ZDB-GENE-081104-290</v>
      </c>
      <c r="E13982" t="s">
        <v>34184</v>
      </c>
    </row>
    <row r="13983" spans="1:5" x14ac:dyDescent="0.2">
      <c r="A13983" t="s">
        <v>41779</v>
      </c>
      <c r="B13983" t="s">
        <v>41780</v>
      </c>
      <c r="C13983" t="s">
        <v>41780</v>
      </c>
      <c r="D13983" t="str">
        <f>HYPERLINK("https://zfin.org/ZDB-GENE-030616-254")</f>
        <v>https://zfin.org/ZDB-GENE-030616-254</v>
      </c>
      <c r="E13983" t="s">
        <v>41781</v>
      </c>
    </row>
    <row r="13984" spans="1:5" x14ac:dyDescent="0.2">
      <c r="A13984" t="s">
        <v>41782</v>
      </c>
      <c r="B13984" t="s">
        <v>41783</v>
      </c>
      <c r="C13984" t="s">
        <v>41783</v>
      </c>
      <c r="D13984" t="str">
        <f>HYPERLINK("https://zfin.org/")</f>
        <v>https://zfin.org/</v>
      </c>
    </row>
    <row r="13985" spans="1:5" x14ac:dyDescent="0.2">
      <c r="A13985" t="s">
        <v>41784</v>
      </c>
      <c r="B13985" t="s">
        <v>41785</v>
      </c>
      <c r="C13985" t="s">
        <v>41785</v>
      </c>
      <c r="D13985" t="str">
        <f>HYPERLINK("https://zfin.org/ZDB-GENE-060825-226")</f>
        <v>https://zfin.org/ZDB-GENE-060825-226</v>
      </c>
      <c r="E13985" t="s">
        <v>41786</v>
      </c>
    </row>
    <row r="13986" spans="1:5" x14ac:dyDescent="0.2">
      <c r="A13986" t="s">
        <v>41787</v>
      </c>
      <c r="B13986" t="s">
        <v>41788</v>
      </c>
      <c r="C13986" t="s">
        <v>41788</v>
      </c>
      <c r="D13986" t="str">
        <f>HYPERLINK("https://zfin.org/")</f>
        <v>https://zfin.org/</v>
      </c>
    </row>
    <row r="13987" spans="1:5" x14ac:dyDescent="0.2">
      <c r="A13987" t="s">
        <v>41789</v>
      </c>
      <c r="B13987" t="s">
        <v>41790</v>
      </c>
      <c r="C13987" t="s">
        <v>41790</v>
      </c>
      <c r="D13987" t="str">
        <f>HYPERLINK("https://zfin.org/")</f>
        <v>https://zfin.org/</v>
      </c>
      <c r="E13987" t="s">
        <v>41791</v>
      </c>
    </row>
    <row r="13988" spans="1:5" x14ac:dyDescent="0.2">
      <c r="A13988" t="s">
        <v>41792</v>
      </c>
      <c r="B13988" t="s">
        <v>41793</v>
      </c>
      <c r="C13988" t="s">
        <v>41793</v>
      </c>
      <c r="D13988" t="str">
        <f>HYPERLINK("https://zfin.org/")</f>
        <v>https://zfin.org/</v>
      </c>
    </row>
    <row r="13989" spans="1:5" x14ac:dyDescent="0.2">
      <c r="A13989" t="s">
        <v>41794</v>
      </c>
      <c r="B13989" t="s">
        <v>41795</v>
      </c>
      <c r="C13989" t="s">
        <v>41795</v>
      </c>
      <c r="D13989" t="str">
        <f>HYPERLINK("https://zfin.org/ZDB-GENE-130517-2")</f>
        <v>https://zfin.org/ZDB-GENE-130517-2</v>
      </c>
      <c r="E13989" t="s">
        <v>41796</v>
      </c>
    </row>
    <row r="13990" spans="1:5" x14ac:dyDescent="0.2">
      <c r="A13990" t="s">
        <v>41797</v>
      </c>
      <c r="B13990" t="s">
        <v>41798</v>
      </c>
      <c r="C13990" t="s">
        <v>41798</v>
      </c>
      <c r="D13990" t="str">
        <f>HYPERLINK("https://zfin.org/")</f>
        <v>https://zfin.org/</v>
      </c>
      <c r="E13990" t="s">
        <v>41799</v>
      </c>
    </row>
    <row r="13991" spans="1:5" x14ac:dyDescent="0.2">
      <c r="A13991" t="s">
        <v>41800</v>
      </c>
      <c r="B13991" t="s">
        <v>41801</v>
      </c>
      <c r="C13991" t="s">
        <v>41801</v>
      </c>
      <c r="D13991" t="str">
        <f>HYPERLINK("https://zfin.org/ZDB-GENE-030131-9167")</f>
        <v>https://zfin.org/ZDB-GENE-030131-9167</v>
      </c>
      <c r="E13991" t="s">
        <v>41802</v>
      </c>
    </row>
    <row r="13992" spans="1:5" x14ac:dyDescent="0.2">
      <c r="A13992" t="s">
        <v>41803</v>
      </c>
      <c r="B13992" t="s">
        <v>41804</v>
      </c>
      <c r="C13992" t="s">
        <v>41804</v>
      </c>
      <c r="D13992" t="str">
        <f>HYPERLINK("https://zfin.org/")</f>
        <v>https://zfin.org/</v>
      </c>
    </row>
    <row r="13993" spans="1:5" x14ac:dyDescent="0.2">
      <c r="A13993" t="s">
        <v>41805</v>
      </c>
      <c r="B13993" t="s">
        <v>41806</v>
      </c>
      <c r="C13993" t="s">
        <v>41806</v>
      </c>
      <c r="D13993" t="str">
        <f>HYPERLINK("https://zfin.org/ZDB-GENE-030131-8060")</f>
        <v>https://zfin.org/ZDB-GENE-030131-8060</v>
      </c>
      <c r="E13993" t="s">
        <v>41807</v>
      </c>
    </row>
    <row r="13994" spans="1:5" x14ac:dyDescent="0.2">
      <c r="A13994" t="s">
        <v>41808</v>
      </c>
      <c r="B13994" t="s">
        <v>41809</v>
      </c>
      <c r="C13994" t="s">
        <v>41809</v>
      </c>
      <c r="D13994" t="str">
        <f>HYPERLINK("https://zfin.org/")</f>
        <v>https://zfin.org/</v>
      </c>
      <c r="E13994" t="s">
        <v>41810</v>
      </c>
    </row>
    <row r="13995" spans="1:5" x14ac:dyDescent="0.2">
      <c r="A13995" t="s">
        <v>41811</v>
      </c>
      <c r="B13995" t="s">
        <v>41812</v>
      </c>
      <c r="C13995" t="s">
        <v>41812</v>
      </c>
      <c r="D13995" t="str">
        <f>HYPERLINK("https://zfin.org/ZDB-GENE-070112-902")</f>
        <v>https://zfin.org/ZDB-GENE-070112-902</v>
      </c>
      <c r="E13995" t="s">
        <v>41813</v>
      </c>
    </row>
    <row r="13996" spans="1:5" x14ac:dyDescent="0.2">
      <c r="A13996" t="s">
        <v>41814</v>
      </c>
      <c r="B13996" t="s">
        <v>41815</v>
      </c>
      <c r="C13996" t="s">
        <v>41815</v>
      </c>
      <c r="D13996" t="str">
        <f>HYPERLINK("https://zfin.org/")</f>
        <v>https://zfin.org/</v>
      </c>
      <c r="E13996" t="s">
        <v>41816</v>
      </c>
    </row>
    <row r="13997" spans="1:5" x14ac:dyDescent="0.2">
      <c r="A13997" t="s">
        <v>41817</v>
      </c>
      <c r="B13997" t="s">
        <v>41818</v>
      </c>
      <c r="C13997" t="s">
        <v>41818</v>
      </c>
      <c r="D13997" t="str">
        <f>HYPERLINK("https://zfin.org/ZDB-GENE-110623-3")</f>
        <v>https://zfin.org/ZDB-GENE-110623-3</v>
      </c>
      <c r="E13997" t="s">
        <v>41819</v>
      </c>
    </row>
    <row r="13998" spans="1:5" x14ac:dyDescent="0.2">
      <c r="A13998" t="s">
        <v>41820</v>
      </c>
      <c r="B13998" t="s">
        <v>41821</v>
      </c>
      <c r="C13998" t="s">
        <v>41821</v>
      </c>
      <c r="D13998" t="str">
        <f>HYPERLINK("https://zfin.org/ZDB-GENE-030723-5")</f>
        <v>https://zfin.org/ZDB-GENE-030723-5</v>
      </c>
      <c r="E13998" t="s">
        <v>41822</v>
      </c>
    </row>
    <row r="13999" spans="1:5" x14ac:dyDescent="0.2">
      <c r="A13999" t="s">
        <v>41823</v>
      </c>
      <c r="B13999" t="s">
        <v>41824</v>
      </c>
      <c r="C13999" t="s">
        <v>41824</v>
      </c>
      <c r="D13999" t="str">
        <f>HYPERLINK("https://zfin.org/ZDB-GENE-050706-77")</f>
        <v>https://zfin.org/ZDB-GENE-050706-77</v>
      </c>
      <c r="E13999" t="s">
        <v>41825</v>
      </c>
    </row>
    <row r="14000" spans="1:5" x14ac:dyDescent="0.2">
      <c r="A14000" t="s">
        <v>41826</v>
      </c>
      <c r="B14000" t="s">
        <v>41827</v>
      </c>
      <c r="C14000" t="s">
        <v>41827</v>
      </c>
      <c r="D14000" t="str">
        <f>HYPERLINK("https://zfin.org/")</f>
        <v>https://zfin.org/</v>
      </c>
    </row>
    <row r="14001" spans="1:5" x14ac:dyDescent="0.2">
      <c r="A14001" t="s">
        <v>41828</v>
      </c>
      <c r="B14001" t="s">
        <v>41829</v>
      </c>
      <c r="C14001" t="s">
        <v>41829</v>
      </c>
      <c r="D14001" t="str">
        <f>HYPERLINK("https://zfin.org/")</f>
        <v>https://zfin.org/</v>
      </c>
      <c r="E14001" t="s">
        <v>41830</v>
      </c>
    </row>
    <row r="14002" spans="1:5" x14ac:dyDescent="0.2">
      <c r="A14002" t="s">
        <v>41831</v>
      </c>
      <c r="B14002" t="s">
        <v>41832</v>
      </c>
      <c r="C14002" t="s">
        <v>41832</v>
      </c>
      <c r="D14002" t="str">
        <f>HYPERLINK("https://zfin.org/")</f>
        <v>https://zfin.org/</v>
      </c>
    </row>
    <row r="14003" spans="1:5" x14ac:dyDescent="0.2">
      <c r="A14003" t="s">
        <v>41833</v>
      </c>
      <c r="B14003" t="s">
        <v>41834</v>
      </c>
      <c r="C14003" t="s">
        <v>41834</v>
      </c>
      <c r="D14003" t="str">
        <f>HYPERLINK("https://zfin.org/ZDB-GENE-040426-1672")</f>
        <v>https://zfin.org/ZDB-GENE-040426-1672</v>
      </c>
      <c r="E14003" t="s">
        <v>41835</v>
      </c>
    </row>
    <row r="14004" spans="1:5" x14ac:dyDescent="0.2">
      <c r="A14004" t="s">
        <v>41836</v>
      </c>
      <c r="B14004" t="s">
        <v>41837</v>
      </c>
      <c r="C14004" t="s">
        <v>41837</v>
      </c>
      <c r="D14004" t="str">
        <f>HYPERLINK("https://zfin.org/")</f>
        <v>https://zfin.org/</v>
      </c>
      <c r="E14004" t="s">
        <v>41838</v>
      </c>
    </row>
    <row r="14005" spans="1:5" x14ac:dyDescent="0.2">
      <c r="A14005" t="s">
        <v>41839</v>
      </c>
      <c r="B14005" t="s">
        <v>41840</v>
      </c>
      <c r="C14005" t="s">
        <v>41840</v>
      </c>
      <c r="D14005" t="str">
        <f>HYPERLINK("https://zfin.org/ZDB-GENE-000210-28")</f>
        <v>https://zfin.org/ZDB-GENE-000210-28</v>
      </c>
      <c r="E14005" t="s">
        <v>41841</v>
      </c>
    </row>
    <row r="14006" spans="1:5" x14ac:dyDescent="0.2">
      <c r="A14006" t="s">
        <v>41842</v>
      </c>
      <c r="B14006" t="s">
        <v>41843</v>
      </c>
      <c r="C14006" t="s">
        <v>41843</v>
      </c>
      <c r="D14006" t="str">
        <f>HYPERLINK("https://zfin.org/")</f>
        <v>https://zfin.org/</v>
      </c>
    </row>
    <row r="14007" spans="1:5" x14ac:dyDescent="0.2">
      <c r="A14007" t="s">
        <v>41844</v>
      </c>
      <c r="B14007" t="s">
        <v>41845</v>
      </c>
      <c r="C14007" t="s">
        <v>41845</v>
      </c>
      <c r="D14007" t="str">
        <f>HYPERLINK("https://zfin.org/ZDB-GENE-040426-1731")</f>
        <v>https://zfin.org/ZDB-GENE-040426-1731</v>
      </c>
      <c r="E14007" t="s">
        <v>41846</v>
      </c>
    </row>
    <row r="14008" spans="1:5" x14ac:dyDescent="0.2">
      <c r="A14008" t="s">
        <v>41847</v>
      </c>
      <c r="B14008" t="s">
        <v>41848</v>
      </c>
      <c r="C14008" t="s">
        <v>41848</v>
      </c>
      <c r="D14008" t="str">
        <f>HYPERLINK("https://zfin.org/")</f>
        <v>https://zfin.org/</v>
      </c>
      <c r="E14008" t="s">
        <v>41849</v>
      </c>
    </row>
    <row r="14009" spans="1:5" x14ac:dyDescent="0.2">
      <c r="A14009" t="s">
        <v>41850</v>
      </c>
      <c r="B14009" t="s">
        <v>41851</v>
      </c>
      <c r="C14009" t="s">
        <v>41851</v>
      </c>
      <c r="D14009" t="str">
        <f>HYPERLINK("https://zfin.org/")</f>
        <v>https://zfin.org/</v>
      </c>
      <c r="E14009" t="s">
        <v>41852</v>
      </c>
    </row>
    <row r="14010" spans="1:5" x14ac:dyDescent="0.2">
      <c r="A14010" t="s">
        <v>41853</v>
      </c>
      <c r="B14010" t="s">
        <v>41854</v>
      </c>
      <c r="C14010" t="s">
        <v>41854</v>
      </c>
      <c r="D14010" t="str">
        <f>HYPERLINK("https://zfin.org/")</f>
        <v>https://zfin.org/</v>
      </c>
      <c r="E14010" t="s">
        <v>41855</v>
      </c>
    </row>
    <row r="14011" spans="1:5" x14ac:dyDescent="0.2">
      <c r="A14011" t="s">
        <v>41856</v>
      </c>
      <c r="B14011" t="s">
        <v>41857</v>
      </c>
      <c r="C14011" t="s">
        <v>41857</v>
      </c>
      <c r="D14011" t="str">
        <f>HYPERLINK("https://zfin.org/ZDB-GENE-980526-212")</f>
        <v>https://zfin.org/ZDB-GENE-980526-212</v>
      </c>
      <c r="E14011" t="s">
        <v>41858</v>
      </c>
    </row>
    <row r="14012" spans="1:5" x14ac:dyDescent="0.2">
      <c r="A14012" t="s">
        <v>41859</v>
      </c>
      <c r="B14012" t="s">
        <v>41860</v>
      </c>
      <c r="C14012" t="s">
        <v>41860</v>
      </c>
      <c r="D14012" t="str">
        <f>HYPERLINK("https://zfin.org/ZDB-GENE-041111-255")</f>
        <v>https://zfin.org/ZDB-GENE-041111-255</v>
      </c>
      <c r="E14012" t="s">
        <v>41861</v>
      </c>
    </row>
    <row r="14013" spans="1:5" x14ac:dyDescent="0.2">
      <c r="A14013" t="s">
        <v>41862</v>
      </c>
      <c r="B14013" t="s">
        <v>41863</v>
      </c>
      <c r="C14013" t="s">
        <v>41863</v>
      </c>
      <c r="D14013" t="str">
        <f>HYPERLINK("https://zfin.org/")</f>
        <v>https://zfin.org/</v>
      </c>
      <c r="E14013" t="s">
        <v>41864</v>
      </c>
    </row>
    <row r="14014" spans="1:5" x14ac:dyDescent="0.2">
      <c r="A14014" t="s">
        <v>41865</v>
      </c>
      <c r="B14014" t="s">
        <v>41866</v>
      </c>
      <c r="C14014" t="s">
        <v>41866</v>
      </c>
      <c r="D14014" t="str">
        <f>HYPERLINK("https://zfin.org/")</f>
        <v>https://zfin.org/</v>
      </c>
    </row>
    <row r="14015" spans="1:5" x14ac:dyDescent="0.2">
      <c r="A14015" t="s">
        <v>41867</v>
      </c>
      <c r="B14015" t="s">
        <v>41868</v>
      </c>
      <c r="C14015" t="s">
        <v>41868</v>
      </c>
      <c r="D14015" t="str">
        <f>HYPERLINK("https://zfin.org/ZDB-GENE-040801-249")</f>
        <v>https://zfin.org/ZDB-GENE-040801-249</v>
      </c>
      <c r="E14015" t="s">
        <v>41869</v>
      </c>
    </row>
    <row r="14016" spans="1:5" x14ac:dyDescent="0.2">
      <c r="A14016" t="s">
        <v>41870</v>
      </c>
      <c r="B14016" t="s">
        <v>41871</v>
      </c>
      <c r="C14016" t="s">
        <v>41871</v>
      </c>
      <c r="D14016" t="str">
        <f>HYPERLINK("https://zfin.org/ZDB-GENE-050320-1")</f>
        <v>https://zfin.org/ZDB-GENE-050320-1</v>
      </c>
      <c r="E14016" t="s">
        <v>41872</v>
      </c>
    </row>
    <row r="14017" spans="1:5" x14ac:dyDescent="0.2">
      <c r="A14017" t="s">
        <v>41873</v>
      </c>
      <c r="B14017" t="s">
        <v>41874</v>
      </c>
      <c r="C14017" t="s">
        <v>41874</v>
      </c>
      <c r="D14017" t="str">
        <f>HYPERLINK("https://zfin.org/ZDB-GENE-070615-33")</f>
        <v>https://zfin.org/ZDB-GENE-070615-33</v>
      </c>
      <c r="E14017" t="s">
        <v>41875</v>
      </c>
    </row>
    <row r="14018" spans="1:5" x14ac:dyDescent="0.2">
      <c r="A14018" t="s">
        <v>41876</v>
      </c>
      <c r="B14018" t="s">
        <v>41877</v>
      </c>
      <c r="C14018" t="s">
        <v>41877</v>
      </c>
      <c r="D14018" t="str">
        <f>HYPERLINK("https://zfin.org/ZDB-GENE-050208-150")</f>
        <v>https://zfin.org/ZDB-GENE-050208-150</v>
      </c>
      <c r="E14018" t="s">
        <v>41878</v>
      </c>
    </row>
    <row r="14019" spans="1:5" x14ac:dyDescent="0.2">
      <c r="A14019" t="s">
        <v>41879</v>
      </c>
      <c r="B14019" t="s">
        <v>41880</v>
      </c>
      <c r="C14019" t="s">
        <v>41880</v>
      </c>
      <c r="D14019" t="str">
        <f>HYPERLINK("https://zfin.org/ZDB-GENE-081104-157")</f>
        <v>https://zfin.org/ZDB-GENE-081104-157</v>
      </c>
      <c r="E14019" t="s">
        <v>41881</v>
      </c>
    </row>
    <row r="14020" spans="1:5" x14ac:dyDescent="0.2">
      <c r="A14020" t="s">
        <v>41882</v>
      </c>
      <c r="B14020" t="s">
        <v>26508</v>
      </c>
      <c r="C14020" t="s">
        <v>41883</v>
      </c>
      <c r="D14020" t="str">
        <f>HYPERLINK("https://zfin.org/")</f>
        <v>https://zfin.org/</v>
      </c>
      <c r="E14020" t="s">
        <v>41884</v>
      </c>
    </row>
    <row r="14021" spans="1:5" x14ac:dyDescent="0.2">
      <c r="A14021" t="s">
        <v>41885</v>
      </c>
      <c r="B14021" t="s">
        <v>41886</v>
      </c>
      <c r="C14021" t="s">
        <v>41886</v>
      </c>
      <c r="D14021" t="str">
        <f>HYPERLINK("https://zfin.org/ZDB-GENE-020111-1")</f>
        <v>https://zfin.org/ZDB-GENE-020111-1</v>
      </c>
      <c r="E14021" t="s">
        <v>41887</v>
      </c>
    </row>
    <row r="14022" spans="1:5" x14ac:dyDescent="0.2">
      <c r="A14022" t="s">
        <v>41888</v>
      </c>
      <c r="B14022" t="s">
        <v>41889</v>
      </c>
      <c r="C14022" t="s">
        <v>41889</v>
      </c>
      <c r="D14022" t="str">
        <f>HYPERLINK("https://zfin.org/ZDB-GENE-060503-218")</f>
        <v>https://zfin.org/ZDB-GENE-060503-218</v>
      </c>
      <c r="E14022" t="s">
        <v>41890</v>
      </c>
    </row>
    <row r="14023" spans="1:5" x14ac:dyDescent="0.2">
      <c r="A14023" t="s">
        <v>41891</v>
      </c>
      <c r="B14023" t="s">
        <v>41892</v>
      </c>
      <c r="C14023" t="s">
        <v>41892</v>
      </c>
      <c r="D14023" t="str">
        <f t="shared" ref="D14023:D14028" si="1">HYPERLINK("https://zfin.org/")</f>
        <v>https://zfin.org/</v>
      </c>
    </row>
    <row r="14024" spans="1:5" x14ac:dyDescent="0.2">
      <c r="A14024" t="s">
        <v>41893</v>
      </c>
      <c r="B14024" t="s">
        <v>41894</v>
      </c>
      <c r="C14024" t="s">
        <v>41894</v>
      </c>
      <c r="D14024" t="str">
        <f t="shared" si="1"/>
        <v>https://zfin.org/</v>
      </c>
    </row>
    <row r="14025" spans="1:5" x14ac:dyDescent="0.2">
      <c r="A14025" t="s">
        <v>41895</v>
      </c>
      <c r="B14025" t="s">
        <v>41896</v>
      </c>
      <c r="C14025" t="s">
        <v>41896</v>
      </c>
      <c r="D14025" t="str">
        <f t="shared" si="1"/>
        <v>https://zfin.org/</v>
      </c>
      <c r="E14025" t="s">
        <v>41897</v>
      </c>
    </row>
    <row r="14026" spans="1:5" x14ac:dyDescent="0.2">
      <c r="A14026" t="s">
        <v>41898</v>
      </c>
      <c r="B14026" t="s">
        <v>41899</v>
      </c>
      <c r="C14026" t="s">
        <v>41899</v>
      </c>
      <c r="D14026" t="str">
        <f t="shared" si="1"/>
        <v>https://zfin.org/</v>
      </c>
      <c r="E14026" t="s">
        <v>41900</v>
      </c>
    </row>
    <row r="14027" spans="1:5" x14ac:dyDescent="0.2">
      <c r="A14027" t="s">
        <v>41901</v>
      </c>
      <c r="B14027" t="s">
        <v>41902</v>
      </c>
      <c r="C14027" t="s">
        <v>41902</v>
      </c>
      <c r="D14027" t="str">
        <f t="shared" si="1"/>
        <v>https://zfin.org/</v>
      </c>
    </row>
    <row r="14028" spans="1:5" x14ac:dyDescent="0.2">
      <c r="A14028" t="s">
        <v>41903</v>
      </c>
      <c r="B14028" t="s">
        <v>41904</v>
      </c>
      <c r="C14028" t="s">
        <v>41904</v>
      </c>
      <c r="D14028" t="str">
        <f t="shared" si="1"/>
        <v>https://zfin.org/</v>
      </c>
      <c r="E14028" t="s">
        <v>41905</v>
      </c>
    </row>
    <row r="14029" spans="1:5" x14ac:dyDescent="0.2">
      <c r="A14029" t="s">
        <v>41906</v>
      </c>
      <c r="B14029" t="s">
        <v>41907</v>
      </c>
      <c r="C14029" t="s">
        <v>41908</v>
      </c>
      <c r="D14029" t="str">
        <f>HYPERLINK("https://zfin.org/ZDB-GENE-040624-2")</f>
        <v>https://zfin.org/ZDB-GENE-040624-2</v>
      </c>
      <c r="E14029" t="s">
        <v>41909</v>
      </c>
    </row>
    <row r="14030" spans="1:5" x14ac:dyDescent="0.2">
      <c r="A14030" t="s">
        <v>41910</v>
      </c>
      <c r="B14030" t="s">
        <v>41911</v>
      </c>
      <c r="C14030" t="s">
        <v>41911</v>
      </c>
      <c r="D14030" t="str">
        <f>HYPERLINK("https://zfin.org/")</f>
        <v>https://zfin.org/</v>
      </c>
    </row>
    <row r="14031" spans="1:5" x14ac:dyDescent="0.2">
      <c r="A14031" t="s">
        <v>41912</v>
      </c>
      <c r="B14031" t="s">
        <v>41913</v>
      </c>
      <c r="C14031" t="s">
        <v>41913</v>
      </c>
      <c r="D14031" t="str">
        <f>HYPERLINK("https://zfin.org/ZDB-GENE-980605-23")</f>
        <v>https://zfin.org/ZDB-GENE-980605-23</v>
      </c>
      <c r="E14031" t="s">
        <v>41914</v>
      </c>
    </row>
    <row r="14032" spans="1:5" x14ac:dyDescent="0.2">
      <c r="A14032" t="s">
        <v>41915</v>
      </c>
      <c r="B14032" t="s">
        <v>41916</v>
      </c>
      <c r="C14032" t="s">
        <v>41916</v>
      </c>
      <c r="D14032" t="str">
        <f>HYPERLINK("https://zfin.org/")</f>
        <v>https://zfin.org/</v>
      </c>
    </row>
    <row r="14033" spans="1:5" x14ac:dyDescent="0.2">
      <c r="A14033" t="s">
        <v>41917</v>
      </c>
      <c r="B14033" t="s">
        <v>41918</v>
      </c>
      <c r="C14033" t="s">
        <v>41918</v>
      </c>
      <c r="D14033" t="str">
        <f>HYPERLINK("https://zfin.org/")</f>
        <v>https://zfin.org/</v>
      </c>
    </row>
    <row r="14034" spans="1:5" x14ac:dyDescent="0.2">
      <c r="A14034" t="s">
        <v>41919</v>
      </c>
      <c r="B14034" t="s">
        <v>41920</v>
      </c>
      <c r="C14034" t="s">
        <v>41920</v>
      </c>
      <c r="D14034" t="str">
        <f>HYPERLINK("https://zfin.org/")</f>
        <v>https://zfin.org/</v>
      </c>
    </row>
    <row r="14035" spans="1:5" x14ac:dyDescent="0.2">
      <c r="A14035" t="s">
        <v>41921</v>
      </c>
      <c r="B14035" t="s">
        <v>592</v>
      </c>
      <c r="C14035" t="s">
        <v>41922</v>
      </c>
      <c r="D14035" t="str">
        <f>HYPERLINK("https://zfin.org/ZDB-GENE-040426-1891")</f>
        <v>https://zfin.org/ZDB-GENE-040426-1891</v>
      </c>
      <c r="E14035" t="s">
        <v>593</v>
      </c>
    </row>
    <row r="14036" spans="1:5" x14ac:dyDescent="0.2">
      <c r="A14036" t="s">
        <v>41923</v>
      </c>
      <c r="B14036" t="s">
        <v>41924</v>
      </c>
      <c r="C14036" t="s">
        <v>41924</v>
      </c>
      <c r="D14036" t="str">
        <f>HYPERLINK("https://zfin.org/")</f>
        <v>https://zfin.org/</v>
      </c>
      <c r="E14036" t="s">
        <v>41925</v>
      </c>
    </row>
    <row r="14037" spans="1:5" x14ac:dyDescent="0.2">
      <c r="A14037" t="s">
        <v>41926</v>
      </c>
      <c r="B14037" t="s">
        <v>41927</v>
      </c>
      <c r="C14037" t="s">
        <v>41927</v>
      </c>
      <c r="D14037" t="str">
        <f>HYPERLINK("https://zfin.org/")</f>
        <v>https://zfin.org/</v>
      </c>
    </row>
    <row r="14038" spans="1:5" x14ac:dyDescent="0.2">
      <c r="A14038" t="s">
        <v>41928</v>
      </c>
      <c r="B14038" t="s">
        <v>41929</v>
      </c>
      <c r="C14038" t="s">
        <v>41929</v>
      </c>
      <c r="D14038" t="str">
        <f>HYPERLINK("https://zfin.org/")</f>
        <v>https://zfin.org/</v>
      </c>
    </row>
    <row r="14039" spans="1:5" x14ac:dyDescent="0.2">
      <c r="A14039" t="s">
        <v>41930</v>
      </c>
      <c r="B14039" t="s">
        <v>41931</v>
      </c>
      <c r="C14039" t="s">
        <v>41931</v>
      </c>
      <c r="D14039" t="str">
        <f>HYPERLINK("https://zfin.org/")</f>
        <v>https://zfin.org/</v>
      </c>
      <c r="E14039" t="s">
        <v>41932</v>
      </c>
    </row>
    <row r="14040" spans="1:5" x14ac:dyDescent="0.2">
      <c r="A14040" t="s">
        <v>41933</v>
      </c>
      <c r="B14040" t="s">
        <v>41934</v>
      </c>
      <c r="C14040" t="s">
        <v>41934</v>
      </c>
      <c r="D14040" t="str">
        <f>HYPERLINK("https://zfin.org/ZDB-GENE-040426-1272")</f>
        <v>https://zfin.org/ZDB-GENE-040426-1272</v>
      </c>
      <c r="E14040" t="s">
        <v>41935</v>
      </c>
    </row>
    <row r="14041" spans="1:5" x14ac:dyDescent="0.2">
      <c r="A14041" t="s">
        <v>41936</v>
      </c>
      <c r="B14041" t="s">
        <v>41937</v>
      </c>
      <c r="C14041" t="s">
        <v>41937</v>
      </c>
      <c r="D14041" t="str">
        <f>HYPERLINK("https://zfin.org/ZDB-GENE-050417-164")</f>
        <v>https://zfin.org/ZDB-GENE-050417-164</v>
      </c>
      <c r="E14041" t="s">
        <v>41938</v>
      </c>
    </row>
    <row r="14042" spans="1:5" x14ac:dyDescent="0.2">
      <c r="A14042" t="s">
        <v>41939</v>
      </c>
      <c r="B14042" t="s">
        <v>41940</v>
      </c>
      <c r="C14042" t="s">
        <v>41940</v>
      </c>
      <c r="D14042" t="str">
        <f>HYPERLINK("https://zfin.org/ZDB-GENE-080204-111")</f>
        <v>https://zfin.org/ZDB-GENE-080204-111</v>
      </c>
      <c r="E14042" t="s">
        <v>41941</v>
      </c>
    </row>
    <row r="14043" spans="1:5" x14ac:dyDescent="0.2">
      <c r="A14043" t="s">
        <v>41942</v>
      </c>
      <c r="B14043" t="s">
        <v>41943</v>
      </c>
      <c r="C14043" t="s">
        <v>41943</v>
      </c>
      <c r="D14043" t="str">
        <f>HYPERLINK("https://zfin.org/")</f>
        <v>https://zfin.org/</v>
      </c>
    </row>
    <row r="14044" spans="1:5" x14ac:dyDescent="0.2">
      <c r="A14044" t="s">
        <v>41944</v>
      </c>
      <c r="B14044" t="s">
        <v>41945</v>
      </c>
      <c r="C14044" t="s">
        <v>41945</v>
      </c>
      <c r="D14044" t="str">
        <f>HYPERLINK("https://zfin.org/")</f>
        <v>https://zfin.org/</v>
      </c>
      <c r="E14044" t="s">
        <v>41946</v>
      </c>
    </row>
    <row r="14045" spans="1:5" x14ac:dyDescent="0.2">
      <c r="A14045" t="s">
        <v>41947</v>
      </c>
      <c r="B14045" t="s">
        <v>41948</v>
      </c>
      <c r="C14045" t="s">
        <v>41949</v>
      </c>
      <c r="D14045" t="str">
        <f>HYPERLINK("https://zfin.org/")</f>
        <v>https://zfin.org/</v>
      </c>
      <c r="E14045" t="s">
        <v>41950</v>
      </c>
    </row>
    <row r="14046" spans="1:5" x14ac:dyDescent="0.2">
      <c r="A14046" t="s">
        <v>41951</v>
      </c>
      <c r="B14046" t="s">
        <v>41952</v>
      </c>
      <c r="C14046" t="s">
        <v>41952</v>
      </c>
      <c r="D14046" t="str">
        <f>HYPERLINK("https://zfin.org/ZDB-GENE-011212-6")</f>
        <v>https://zfin.org/ZDB-GENE-011212-6</v>
      </c>
      <c r="E14046" t="s">
        <v>41953</v>
      </c>
    </row>
    <row r="14047" spans="1:5" x14ac:dyDescent="0.2">
      <c r="A14047" t="s">
        <v>41954</v>
      </c>
      <c r="B14047" t="s">
        <v>41955</v>
      </c>
      <c r="C14047" t="s">
        <v>41955</v>
      </c>
      <c r="D14047" t="str">
        <f>HYPERLINK("https://zfin.org/")</f>
        <v>https://zfin.org/</v>
      </c>
      <c r="E14047" t="s">
        <v>41956</v>
      </c>
    </row>
    <row r="14048" spans="1:5" x14ac:dyDescent="0.2">
      <c r="A14048" t="s">
        <v>41957</v>
      </c>
      <c r="B14048" t="s">
        <v>41958</v>
      </c>
      <c r="C14048" t="s">
        <v>41958</v>
      </c>
      <c r="D14048" t="str">
        <f>HYPERLINK("https://zfin.org/ZDB-GENE-990415-52")</f>
        <v>https://zfin.org/ZDB-GENE-990415-52</v>
      </c>
      <c r="E14048" t="s">
        <v>41959</v>
      </c>
    </row>
    <row r="14049" spans="1:5" x14ac:dyDescent="0.2">
      <c r="A14049" t="s">
        <v>41960</v>
      </c>
      <c r="B14049" t="s">
        <v>41961</v>
      </c>
      <c r="C14049" t="s">
        <v>41961</v>
      </c>
      <c r="D14049" t="str">
        <f>HYPERLINK("https://zfin.org/")</f>
        <v>https://zfin.org/</v>
      </c>
      <c r="E14049" t="s">
        <v>41962</v>
      </c>
    </row>
    <row r="14050" spans="1:5" x14ac:dyDescent="0.2">
      <c r="A14050" t="s">
        <v>41963</v>
      </c>
      <c r="B14050" t="s">
        <v>41964</v>
      </c>
      <c r="C14050" t="s">
        <v>41964</v>
      </c>
      <c r="D14050" t="str">
        <f>HYPERLINK("https://zfin.org/ZDB-GENE-030131-7681")</f>
        <v>https://zfin.org/ZDB-GENE-030131-7681</v>
      </c>
      <c r="E14050" t="s">
        <v>41965</v>
      </c>
    </row>
    <row r="14051" spans="1:5" x14ac:dyDescent="0.2">
      <c r="A14051" t="s">
        <v>41966</v>
      </c>
      <c r="B14051" t="s">
        <v>41967</v>
      </c>
      <c r="C14051" t="s">
        <v>41967</v>
      </c>
      <c r="D14051" t="str">
        <f>HYPERLINK("https://zfin.org/ZDB-GENE-030131-4146")</f>
        <v>https://zfin.org/ZDB-GENE-030131-4146</v>
      </c>
      <c r="E14051" t="s">
        <v>41968</v>
      </c>
    </row>
    <row r="14052" spans="1:5" x14ac:dyDescent="0.2">
      <c r="A14052" t="s">
        <v>41969</v>
      </c>
      <c r="B14052" t="s">
        <v>41970</v>
      </c>
      <c r="C14052" t="s">
        <v>41970</v>
      </c>
      <c r="D14052" t="str">
        <f>HYPERLINK("https://zfin.org/")</f>
        <v>https://zfin.org/</v>
      </c>
      <c r="E14052" t="s">
        <v>41971</v>
      </c>
    </row>
    <row r="14053" spans="1:5" x14ac:dyDescent="0.2">
      <c r="A14053" t="s">
        <v>41972</v>
      </c>
      <c r="B14053" t="s">
        <v>41973</v>
      </c>
      <c r="C14053" t="s">
        <v>41973</v>
      </c>
      <c r="D14053" t="str">
        <f>HYPERLINK("https://zfin.org/ZDB-GENE-070209-164")</f>
        <v>https://zfin.org/ZDB-GENE-070209-164</v>
      </c>
      <c r="E14053" t="s">
        <v>41974</v>
      </c>
    </row>
    <row r="14054" spans="1:5" x14ac:dyDescent="0.2">
      <c r="A14054" t="s">
        <v>41975</v>
      </c>
      <c r="B14054" t="s">
        <v>41976</v>
      </c>
      <c r="C14054" t="s">
        <v>41976</v>
      </c>
      <c r="D14054" t="str">
        <f>HYPERLINK("https://zfin.org/ZDB-GENE-070801-2")</f>
        <v>https://zfin.org/ZDB-GENE-070801-2</v>
      </c>
      <c r="E14054" t="s">
        <v>41977</v>
      </c>
    </row>
    <row r="14055" spans="1:5" x14ac:dyDescent="0.2">
      <c r="A14055" t="s">
        <v>41978</v>
      </c>
      <c r="B14055" t="s">
        <v>41979</v>
      </c>
      <c r="C14055" t="s">
        <v>41979</v>
      </c>
      <c r="D14055" t="str">
        <f>HYPERLINK("https://zfin.org/ZDB-GENE-060130-2")</f>
        <v>https://zfin.org/ZDB-GENE-060130-2</v>
      </c>
      <c r="E14055" t="s">
        <v>41980</v>
      </c>
    </row>
    <row r="14056" spans="1:5" x14ac:dyDescent="0.2">
      <c r="A14056" t="s">
        <v>41981</v>
      </c>
      <c r="B14056" t="s">
        <v>41982</v>
      </c>
      <c r="C14056" t="s">
        <v>41982</v>
      </c>
      <c r="D14056" t="str">
        <f>HYPERLINK("https://zfin.org/ZDB-GENE-031001-5")</f>
        <v>https://zfin.org/ZDB-GENE-031001-5</v>
      </c>
      <c r="E14056" t="s">
        <v>41983</v>
      </c>
    </row>
    <row r="14057" spans="1:5" x14ac:dyDescent="0.2">
      <c r="A14057" t="s">
        <v>41984</v>
      </c>
      <c r="B14057" t="s">
        <v>41985</v>
      </c>
      <c r="C14057" t="s">
        <v>41985</v>
      </c>
      <c r="D14057" t="str">
        <f>HYPERLINK("https://zfin.org/ZDB-GENE-070112-992")</f>
        <v>https://zfin.org/ZDB-GENE-070112-992</v>
      </c>
      <c r="E14057" t="s">
        <v>41986</v>
      </c>
    </row>
    <row r="14058" spans="1:5" x14ac:dyDescent="0.2">
      <c r="A14058" t="s">
        <v>41987</v>
      </c>
      <c r="B14058" t="s">
        <v>41988</v>
      </c>
      <c r="C14058" t="s">
        <v>41988</v>
      </c>
      <c r="D14058" t="str">
        <f>HYPERLINK("https://zfin.org/ZDB-GENE-101017-1")</f>
        <v>https://zfin.org/ZDB-GENE-101017-1</v>
      </c>
      <c r="E14058" t="s">
        <v>41989</v>
      </c>
    </row>
    <row r="14059" spans="1:5" x14ac:dyDescent="0.2">
      <c r="A14059" t="s">
        <v>41990</v>
      </c>
      <c r="B14059" t="s">
        <v>41991</v>
      </c>
      <c r="C14059" t="s">
        <v>41991</v>
      </c>
      <c r="D14059" t="str">
        <f>HYPERLINK("https://zfin.org/")</f>
        <v>https://zfin.org/</v>
      </c>
    </row>
    <row r="14060" spans="1:5" x14ac:dyDescent="0.2">
      <c r="A14060" t="s">
        <v>41992</v>
      </c>
      <c r="B14060" t="s">
        <v>41993</v>
      </c>
      <c r="C14060" t="s">
        <v>41993</v>
      </c>
      <c r="D14060" t="str">
        <f>HYPERLINK("https://zfin.org/")</f>
        <v>https://zfin.org/</v>
      </c>
      <c r="E14060" t="s">
        <v>41994</v>
      </c>
    </row>
    <row r="14061" spans="1:5" x14ac:dyDescent="0.2">
      <c r="A14061" t="s">
        <v>41995</v>
      </c>
      <c r="B14061" t="s">
        <v>41996</v>
      </c>
      <c r="C14061" t="s">
        <v>41996</v>
      </c>
      <c r="D14061" t="str">
        <f>HYPERLINK("https://zfin.org/")</f>
        <v>https://zfin.org/</v>
      </c>
    </row>
    <row r="14062" spans="1:5" x14ac:dyDescent="0.2">
      <c r="A14062" t="s">
        <v>41997</v>
      </c>
      <c r="B14062" t="s">
        <v>41998</v>
      </c>
      <c r="C14062" t="s">
        <v>41998</v>
      </c>
      <c r="D14062" t="str">
        <f>HYPERLINK("https://zfin.org/")</f>
        <v>https://zfin.org/</v>
      </c>
      <c r="E14062" t="s">
        <v>41999</v>
      </c>
    </row>
    <row r="14063" spans="1:5" x14ac:dyDescent="0.2">
      <c r="A14063" t="s">
        <v>42000</v>
      </c>
      <c r="B14063" t="s">
        <v>42001</v>
      </c>
      <c r="C14063" t="s">
        <v>42001</v>
      </c>
      <c r="D14063" t="str">
        <f>HYPERLINK("https://zfin.org/ZDB-GENE-040426-721")</f>
        <v>https://zfin.org/ZDB-GENE-040426-721</v>
      </c>
      <c r="E14063" t="s">
        <v>42002</v>
      </c>
    </row>
    <row r="14064" spans="1:5" x14ac:dyDescent="0.2">
      <c r="A14064" t="s">
        <v>42003</v>
      </c>
      <c r="B14064" t="s">
        <v>42004</v>
      </c>
      <c r="C14064" t="s">
        <v>42004</v>
      </c>
      <c r="D14064" t="str">
        <f>HYPERLINK("https://zfin.org/")</f>
        <v>https://zfin.org/</v>
      </c>
      <c r="E14064" t="s">
        <v>42005</v>
      </c>
    </row>
    <row r="14065" spans="1:5" x14ac:dyDescent="0.2">
      <c r="A14065" t="s">
        <v>42006</v>
      </c>
      <c r="B14065" t="s">
        <v>42007</v>
      </c>
      <c r="C14065" t="s">
        <v>42007</v>
      </c>
      <c r="D14065" t="str">
        <f>HYPERLINK("https://zfin.org/ZDB-GENE-070912-382")</f>
        <v>https://zfin.org/ZDB-GENE-070912-382</v>
      </c>
      <c r="E14065" t="s">
        <v>42008</v>
      </c>
    </row>
    <row r="14066" spans="1:5" x14ac:dyDescent="0.2">
      <c r="A14066" t="s">
        <v>42009</v>
      </c>
      <c r="B14066" t="s">
        <v>42010</v>
      </c>
      <c r="C14066" t="s">
        <v>42010</v>
      </c>
      <c r="D14066" t="str">
        <f>HYPERLINK("https://zfin.org/")</f>
        <v>https://zfin.org/</v>
      </c>
      <c r="E14066" t="s">
        <v>42011</v>
      </c>
    </row>
    <row r="14067" spans="1:5" x14ac:dyDescent="0.2">
      <c r="A14067" t="s">
        <v>42012</v>
      </c>
      <c r="B14067" t="s">
        <v>42013</v>
      </c>
      <c r="C14067" t="s">
        <v>42013</v>
      </c>
      <c r="D14067" t="str">
        <f>HYPERLINK("https://zfin.org/ZDB-GENE-040426-1706")</f>
        <v>https://zfin.org/ZDB-GENE-040426-1706</v>
      </c>
      <c r="E14067" t="s">
        <v>42014</v>
      </c>
    </row>
    <row r="14068" spans="1:5" x14ac:dyDescent="0.2">
      <c r="A14068" t="s">
        <v>42015</v>
      </c>
      <c r="B14068" t="s">
        <v>42016</v>
      </c>
      <c r="C14068" t="s">
        <v>42016</v>
      </c>
      <c r="D14068" t="str">
        <f>HYPERLINK("https://zfin.org/")</f>
        <v>https://zfin.org/</v>
      </c>
    </row>
    <row r="14069" spans="1:5" x14ac:dyDescent="0.2">
      <c r="A14069" t="s">
        <v>42017</v>
      </c>
      <c r="B14069" t="s">
        <v>42018</v>
      </c>
      <c r="C14069" t="s">
        <v>42018</v>
      </c>
      <c r="D14069" t="str">
        <f>HYPERLINK("https://zfin.org/")</f>
        <v>https://zfin.org/</v>
      </c>
    </row>
    <row r="14070" spans="1:5" x14ac:dyDescent="0.2">
      <c r="A14070" t="s">
        <v>42019</v>
      </c>
      <c r="B14070" t="s">
        <v>42020</v>
      </c>
      <c r="C14070" t="s">
        <v>42020</v>
      </c>
      <c r="D14070" t="str">
        <f>HYPERLINK("https://zfin.org/")</f>
        <v>https://zfin.org/</v>
      </c>
    </row>
    <row r="14071" spans="1:5" x14ac:dyDescent="0.2">
      <c r="A14071" t="s">
        <v>42021</v>
      </c>
      <c r="B14071" t="s">
        <v>42022</v>
      </c>
      <c r="C14071" t="s">
        <v>42022</v>
      </c>
      <c r="D14071" t="str">
        <f>HYPERLINK("https://zfin.org/")</f>
        <v>https://zfin.org/</v>
      </c>
    </row>
    <row r="14072" spans="1:5" x14ac:dyDescent="0.2">
      <c r="A14072" t="s">
        <v>42023</v>
      </c>
      <c r="B14072" t="s">
        <v>42024</v>
      </c>
      <c r="C14072" t="s">
        <v>42024</v>
      </c>
      <c r="D14072" t="str">
        <f>HYPERLINK("https://zfin.org/")</f>
        <v>https://zfin.org/</v>
      </c>
    </row>
    <row r="14073" spans="1:5" x14ac:dyDescent="0.2">
      <c r="A14073" t="s">
        <v>42025</v>
      </c>
      <c r="B14073" t="s">
        <v>42026</v>
      </c>
      <c r="C14073" t="s">
        <v>42026</v>
      </c>
      <c r="D14073" t="str">
        <f>HYPERLINK("https://zfin.org/ZDB-GENE-030131-6284")</f>
        <v>https://zfin.org/ZDB-GENE-030131-6284</v>
      </c>
      <c r="E14073" t="s">
        <v>42027</v>
      </c>
    </row>
    <row r="14074" spans="1:5" x14ac:dyDescent="0.2">
      <c r="A14074" t="s">
        <v>42028</v>
      </c>
      <c r="B14074" t="s">
        <v>42029</v>
      </c>
      <c r="C14074" t="s">
        <v>42029</v>
      </c>
      <c r="D14074" t="str">
        <f>HYPERLINK("https://zfin.org/ZDB-GENE-080220-2")</f>
        <v>https://zfin.org/ZDB-GENE-080220-2</v>
      </c>
      <c r="E14074" t="s">
        <v>42030</v>
      </c>
    </row>
    <row r="14075" spans="1:5" x14ac:dyDescent="0.2">
      <c r="A14075" t="s">
        <v>42031</v>
      </c>
      <c r="B14075" t="s">
        <v>41626</v>
      </c>
      <c r="C14075" t="s">
        <v>42032</v>
      </c>
      <c r="D14075" t="str">
        <f>HYPERLINK("https://zfin.org/ZDB-GENE-040428-2")</f>
        <v>https://zfin.org/ZDB-GENE-040428-2</v>
      </c>
      <c r="E14075" t="s">
        <v>41627</v>
      </c>
    </row>
    <row r="14076" spans="1:5" x14ac:dyDescent="0.2">
      <c r="A14076" t="s">
        <v>42033</v>
      </c>
      <c r="B14076" t="s">
        <v>42034</v>
      </c>
      <c r="C14076" t="s">
        <v>42034</v>
      </c>
      <c r="D14076" t="str">
        <f>HYPERLINK("https://zfin.org/ZDB-GENE-020111-4")</f>
        <v>https://zfin.org/ZDB-GENE-020111-4</v>
      </c>
      <c r="E14076" t="s">
        <v>42035</v>
      </c>
    </row>
    <row r="14077" spans="1:5" x14ac:dyDescent="0.2">
      <c r="A14077" t="s">
        <v>42036</v>
      </c>
      <c r="B14077" t="s">
        <v>42037</v>
      </c>
      <c r="C14077" t="s">
        <v>42037</v>
      </c>
      <c r="D14077" t="str">
        <f>HYPERLINK("https://zfin.org/")</f>
        <v>https://zfin.org/</v>
      </c>
      <c r="E14077" t="s">
        <v>42038</v>
      </c>
    </row>
    <row r="14078" spans="1:5" x14ac:dyDescent="0.2">
      <c r="A14078" t="s">
        <v>42039</v>
      </c>
      <c r="B14078" t="s">
        <v>42040</v>
      </c>
      <c r="C14078" t="s">
        <v>42040</v>
      </c>
      <c r="D14078" t="str">
        <f>HYPERLINK("https://zfin.org/")</f>
        <v>https://zfin.org/</v>
      </c>
    </row>
    <row r="14079" spans="1:5" x14ac:dyDescent="0.2">
      <c r="A14079" t="s">
        <v>42041</v>
      </c>
      <c r="B14079" t="s">
        <v>42042</v>
      </c>
      <c r="C14079" t="s">
        <v>42042</v>
      </c>
      <c r="D14079" t="str">
        <f>HYPERLINK("https://zfin.org/")</f>
        <v>https://zfin.org/</v>
      </c>
    </row>
    <row r="14080" spans="1:5" x14ac:dyDescent="0.2">
      <c r="A14080" t="s">
        <v>42043</v>
      </c>
      <c r="B14080" t="s">
        <v>42044</v>
      </c>
      <c r="C14080" t="s">
        <v>42044</v>
      </c>
      <c r="D14080" t="str">
        <f>HYPERLINK("https://zfin.org/ZDB-GENE-131126-43")</f>
        <v>https://zfin.org/ZDB-GENE-131126-43</v>
      </c>
      <c r="E14080" t="s">
        <v>8649</v>
      </c>
    </row>
    <row r="14081" spans="1:5" x14ac:dyDescent="0.2">
      <c r="A14081" t="s">
        <v>42045</v>
      </c>
      <c r="B14081" t="s">
        <v>42046</v>
      </c>
      <c r="C14081" t="s">
        <v>42046</v>
      </c>
      <c r="D14081" t="str">
        <f>HYPERLINK("https://zfin.org/")</f>
        <v>https://zfin.org/</v>
      </c>
      <c r="E14081" t="s">
        <v>42047</v>
      </c>
    </row>
    <row r="14082" spans="1:5" x14ac:dyDescent="0.2">
      <c r="A14082" t="s">
        <v>42048</v>
      </c>
      <c r="B14082" t="s">
        <v>42049</v>
      </c>
      <c r="C14082" t="s">
        <v>42049</v>
      </c>
      <c r="D14082" t="str">
        <f>HYPERLINK("https://zfin.org/ZDB-GENE-090908-4")</f>
        <v>https://zfin.org/ZDB-GENE-090908-4</v>
      </c>
      <c r="E14082" t="s">
        <v>42050</v>
      </c>
    </row>
    <row r="14083" spans="1:5" x14ac:dyDescent="0.2">
      <c r="A14083" t="s">
        <v>42051</v>
      </c>
      <c r="B14083" t="s">
        <v>42052</v>
      </c>
      <c r="C14083" t="s">
        <v>42052</v>
      </c>
      <c r="D14083" t="str">
        <f>HYPERLINK("https://zfin.org/ZDB-GENE-061013-129")</f>
        <v>https://zfin.org/ZDB-GENE-061013-129</v>
      </c>
      <c r="E14083" t="s">
        <v>42053</v>
      </c>
    </row>
    <row r="14084" spans="1:5" x14ac:dyDescent="0.2">
      <c r="A14084" t="s">
        <v>42054</v>
      </c>
      <c r="B14084" t="s">
        <v>42055</v>
      </c>
      <c r="C14084" t="s">
        <v>42055</v>
      </c>
      <c r="D14084" t="str">
        <f>HYPERLINK("https://zfin.org/")</f>
        <v>https://zfin.org/</v>
      </c>
      <c r="E14084" t="s">
        <v>42056</v>
      </c>
    </row>
    <row r="14085" spans="1:5" x14ac:dyDescent="0.2">
      <c r="A14085" t="s">
        <v>42057</v>
      </c>
      <c r="B14085" t="s">
        <v>42058</v>
      </c>
      <c r="C14085" t="s">
        <v>42058</v>
      </c>
      <c r="D14085" t="str">
        <f>HYPERLINK("https://zfin.org/ZDB-GENE-060929-1046")</f>
        <v>https://zfin.org/ZDB-GENE-060929-1046</v>
      </c>
      <c r="E14085" t="s">
        <v>42059</v>
      </c>
    </row>
    <row r="14086" spans="1:5" x14ac:dyDescent="0.2">
      <c r="A14086" t="s">
        <v>42060</v>
      </c>
      <c r="B14086" t="s">
        <v>42061</v>
      </c>
      <c r="C14086" t="s">
        <v>42061</v>
      </c>
      <c r="D14086" t="str">
        <f>HYPERLINK("https://zfin.org/")</f>
        <v>https://zfin.org/</v>
      </c>
      <c r="E14086" t="s">
        <v>42062</v>
      </c>
    </row>
    <row r="14087" spans="1:5" x14ac:dyDescent="0.2">
      <c r="A14087" t="s">
        <v>42063</v>
      </c>
      <c r="B14087" t="s">
        <v>42064</v>
      </c>
      <c r="C14087" t="s">
        <v>42064</v>
      </c>
      <c r="D14087" t="str">
        <f>HYPERLINK("https://zfin.org/ZDB-GENE-070801-3")</f>
        <v>https://zfin.org/ZDB-GENE-070801-3</v>
      </c>
      <c r="E14087" t="s">
        <v>42065</v>
      </c>
    </row>
    <row r="14088" spans="1:5" x14ac:dyDescent="0.2">
      <c r="A14088" t="s">
        <v>42066</v>
      </c>
      <c r="B14088" t="s">
        <v>42067</v>
      </c>
      <c r="C14088" t="s">
        <v>42067</v>
      </c>
      <c r="D14088" t="str">
        <f>HYPERLINK("https://zfin.org/")</f>
        <v>https://zfin.org/</v>
      </c>
      <c r="E14088" t="s">
        <v>42068</v>
      </c>
    </row>
    <row r="14089" spans="1:5" x14ac:dyDescent="0.2">
      <c r="A14089" t="s">
        <v>42069</v>
      </c>
      <c r="B14089" t="s">
        <v>42070</v>
      </c>
      <c r="C14089" t="s">
        <v>42070</v>
      </c>
      <c r="D14089" t="str">
        <f>HYPERLINK("https://zfin.org/ZDB-GENE-030131-2977")</f>
        <v>https://zfin.org/ZDB-GENE-030131-2977</v>
      </c>
      <c r="E14089" t="s">
        <v>42071</v>
      </c>
    </row>
    <row r="14090" spans="1:5" x14ac:dyDescent="0.2">
      <c r="A14090" t="s">
        <v>42072</v>
      </c>
      <c r="B14090" t="s">
        <v>42073</v>
      </c>
      <c r="C14090" t="s">
        <v>42074</v>
      </c>
      <c r="D14090" t="str">
        <f>HYPERLINK("https://zfin.org/")</f>
        <v>https://zfin.org/</v>
      </c>
      <c r="E14090" t="s">
        <v>42075</v>
      </c>
    </row>
    <row r="14091" spans="1:5" x14ac:dyDescent="0.2">
      <c r="A14091" t="s">
        <v>42076</v>
      </c>
      <c r="B14091" t="s">
        <v>42077</v>
      </c>
      <c r="C14091" t="s">
        <v>42077</v>
      </c>
      <c r="D14091" t="str">
        <f>HYPERLINK("https://zfin.org/")</f>
        <v>https://zfin.org/</v>
      </c>
      <c r="E14091" t="s">
        <v>42078</v>
      </c>
    </row>
    <row r="14092" spans="1:5" x14ac:dyDescent="0.2">
      <c r="A14092" t="s">
        <v>42079</v>
      </c>
      <c r="B14092" t="s">
        <v>42080</v>
      </c>
      <c r="C14092" t="s">
        <v>42080</v>
      </c>
      <c r="D14092" t="str">
        <f>HYPERLINK("https://zfin.org/ZDB-GENE-030131-7279")</f>
        <v>https://zfin.org/ZDB-GENE-030131-7279</v>
      </c>
      <c r="E14092" t="s">
        <v>42081</v>
      </c>
    </row>
    <row r="14093" spans="1:5" x14ac:dyDescent="0.2">
      <c r="A14093" t="s">
        <v>42082</v>
      </c>
      <c r="B14093" t="s">
        <v>42083</v>
      </c>
      <c r="C14093" t="s">
        <v>42083</v>
      </c>
      <c r="D14093" t="str">
        <f>HYPERLINK("https://zfin.org/ZDB-GENE-030131-2066")</f>
        <v>https://zfin.org/ZDB-GENE-030131-2066</v>
      </c>
      <c r="E14093" t="s">
        <v>42084</v>
      </c>
    </row>
    <row r="14094" spans="1:5" x14ac:dyDescent="0.2">
      <c r="A14094" t="s">
        <v>42085</v>
      </c>
      <c r="B14094" t="s">
        <v>42086</v>
      </c>
      <c r="C14094" t="s">
        <v>42086</v>
      </c>
      <c r="D14094" t="str">
        <f>HYPERLINK("https://zfin.org/ZDB-GENE-021106-1")</f>
        <v>https://zfin.org/ZDB-GENE-021106-1</v>
      </c>
      <c r="E14094" t="s">
        <v>42087</v>
      </c>
    </row>
    <row r="14095" spans="1:5" x14ac:dyDescent="0.2">
      <c r="A14095" t="s">
        <v>42088</v>
      </c>
      <c r="B14095" t="s">
        <v>42089</v>
      </c>
      <c r="C14095" t="s">
        <v>42089</v>
      </c>
      <c r="D14095" t="str">
        <f>HYPERLINK("https://zfin.org/ZDB-GENE-040801-64")</f>
        <v>https://zfin.org/ZDB-GENE-040801-64</v>
      </c>
      <c r="E14095" t="s">
        <v>42090</v>
      </c>
    </row>
    <row r="14096" spans="1:5" x14ac:dyDescent="0.2">
      <c r="A14096" t="s">
        <v>42091</v>
      </c>
      <c r="B14096" t="s">
        <v>42092</v>
      </c>
      <c r="C14096" t="s">
        <v>42092</v>
      </c>
      <c r="D14096" t="str">
        <f>HYPERLINK("https://zfin.org/ZDB-GENE-041212-49")</f>
        <v>https://zfin.org/ZDB-GENE-041212-49</v>
      </c>
      <c r="E14096" t="s">
        <v>42093</v>
      </c>
    </row>
    <row r="14097" spans="1:5" x14ac:dyDescent="0.2">
      <c r="A14097" t="s">
        <v>42094</v>
      </c>
      <c r="B14097" t="s">
        <v>42095</v>
      </c>
      <c r="C14097" t="s">
        <v>42095</v>
      </c>
      <c r="D14097" t="str">
        <f>HYPERLINK("https://zfin.org/")</f>
        <v>https://zfin.org/</v>
      </c>
      <c r="E14097" t="s">
        <v>42096</v>
      </c>
    </row>
    <row r="14098" spans="1:5" x14ac:dyDescent="0.2">
      <c r="A14098" t="s">
        <v>42097</v>
      </c>
      <c r="B14098" t="s">
        <v>42098</v>
      </c>
      <c r="C14098" t="s">
        <v>42098</v>
      </c>
      <c r="D14098" t="str">
        <f>HYPERLINK("https://zfin.org/ZDB-GENE-030131-3756")</f>
        <v>https://zfin.org/ZDB-GENE-030131-3756</v>
      </c>
      <c r="E14098" t="s">
        <v>42099</v>
      </c>
    </row>
    <row r="14099" spans="1:5" x14ac:dyDescent="0.2">
      <c r="A14099" t="s">
        <v>42100</v>
      </c>
      <c r="B14099" t="s">
        <v>42101</v>
      </c>
      <c r="C14099" t="s">
        <v>42101</v>
      </c>
      <c r="D14099" t="str">
        <f>HYPERLINK("https://zfin.org/ZDB-GENE-070501-4")</f>
        <v>https://zfin.org/ZDB-GENE-070501-4</v>
      </c>
      <c r="E14099" t="s">
        <v>42102</v>
      </c>
    </row>
    <row r="14100" spans="1:5" x14ac:dyDescent="0.2">
      <c r="A14100" t="s">
        <v>42103</v>
      </c>
      <c r="B14100" t="s">
        <v>42104</v>
      </c>
      <c r="C14100" t="s">
        <v>42104</v>
      </c>
      <c r="D14100" t="str">
        <f>HYPERLINK("https://zfin.org/ZDB-GENE-030131-6529")</f>
        <v>https://zfin.org/ZDB-GENE-030131-6529</v>
      </c>
      <c r="E14100" t="s">
        <v>42105</v>
      </c>
    </row>
    <row r="14101" spans="1:5" x14ac:dyDescent="0.2">
      <c r="A14101" t="s">
        <v>42106</v>
      </c>
      <c r="B14101" t="s">
        <v>42107</v>
      </c>
      <c r="C14101" t="s">
        <v>42107</v>
      </c>
      <c r="D14101" t="str">
        <f>HYPERLINK("https://zfin.org/ZDB-GENE-070813-1")</f>
        <v>https://zfin.org/ZDB-GENE-070813-1</v>
      </c>
      <c r="E14101" t="s">
        <v>42108</v>
      </c>
    </row>
    <row r="14102" spans="1:5" x14ac:dyDescent="0.2">
      <c r="A14102" t="s">
        <v>42109</v>
      </c>
      <c r="B14102" t="s">
        <v>42110</v>
      </c>
      <c r="C14102" t="s">
        <v>42110</v>
      </c>
      <c r="D14102" t="str">
        <f>HYPERLINK("https://zfin.org/ZDB-GENE-040718-175")</f>
        <v>https://zfin.org/ZDB-GENE-040718-175</v>
      </c>
      <c r="E14102" t="s">
        <v>42111</v>
      </c>
    </row>
    <row r="14103" spans="1:5" x14ac:dyDescent="0.2">
      <c r="A14103" t="s">
        <v>42112</v>
      </c>
      <c r="B14103" t="s">
        <v>42113</v>
      </c>
      <c r="C14103" t="s">
        <v>42113</v>
      </c>
      <c r="D14103" t="str">
        <f>HYPERLINK("https://zfin.org/ZDB-GENE-120206-1")</f>
        <v>https://zfin.org/ZDB-GENE-120206-1</v>
      </c>
      <c r="E14103" t="s">
        <v>42114</v>
      </c>
    </row>
    <row r="14104" spans="1:5" x14ac:dyDescent="0.2">
      <c r="A14104" t="s">
        <v>42115</v>
      </c>
      <c r="B14104" t="s">
        <v>42116</v>
      </c>
      <c r="C14104" t="s">
        <v>42116</v>
      </c>
      <c r="D14104" t="str">
        <f>HYPERLINK("https://zfin.org/")</f>
        <v>https://zfin.org/</v>
      </c>
    </row>
    <row r="14105" spans="1:5" x14ac:dyDescent="0.2">
      <c r="A14105" t="s">
        <v>42117</v>
      </c>
      <c r="B14105" t="s">
        <v>42118</v>
      </c>
      <c r="C14105" t="s">
        <v>42118</v>
      </c>
      <c r="D14105" t="str">
        <f>HYPERLINK("https://zfin.org/")</f>
        <v>https://zfin.org/</v>
      </c>
      <c r="E14105" t="s">
        <v>42119</v>
      </c>
    </row>
    <row r="14106" spans="1:5" x14ac:dyDescent="0.2">
      <c r="A14106" t="s">
        <v>42120</v>
      </c>
      <c r="B14106" t="s">
        <v>42121</v>
      </c>
      <c r="C14106" t="s">
        <v>42121</v>
      </c>
      <c r="D14106" t="str">
        <f>HYPERLINK("https://zfin.org/")</f>
        <v>https://zfin.org/</v>
      </c>
      <c r="E14106" t="s">
        <v>42122</v>
      </c>
    </row>
    <row r="14107" spans="1:5" x14ac:dyDescent="0.2">
      <c r="A14107" t="s">
        <v>42123</v>
      </c>
      <c r="B14107" t="s">
        <v>42124</v>
      </c>
      <c r="C14107" t="s">
        <v>42124</v>
      </c>
      <c r="D14107" t="str">
        <f>HYPERLINK("https://zfin.org/ZDB-GENE-040426-1555")</f>
        <v>https://zfin.org/ZDB-GENE-040426-1555</v>
      </c>
      <c r="E14107" t="s">
        <v>42125</v>
      </c>
    </row>
    <row r="14108" spans="1:5" x14ac:dyDescent="0.2">
      <c r="A14108" t="s">
        <v>42126</v>
      </c>
      <c r="B14108" t="s">
        <v>8483</v>
      </c>
      <c r="C14108" t="s">
        <v>42127</v>
      </c>
      <c r="D14108" t="str">
        <f>HYPERLINK("https://zfin.org/ZDB-GENE-050417-65")</f>
        <v>https://zfin.org/ZDB-GENE-050417-65</v>
      </c>
      <c r="E14108" t="s">
        <v>8484</v>
      </c>
    </row>
    <row r="14109" spans="1:5" x14ac:dyDescent="0.2">
      <c r="A14109" t="s">
        <v>42128</v>
      </c>
      <c r="B14109" t="s">
        <v>42129</v>
      </c>
      <c r="C14109" t="s">
        <v>42129</v>
      </c>
      <c r="D14109" t="str">
        <f>HYPERLINK("https://zfin.org/ZDB-GENE-040426-928")</f>
        <v>https://zfin.org/ZDB-GENE-040426-928</v>
      </c>
      <c r="E14109" t="s">
        <v>42130</v>
      </c>
    </row>
    <row r="14110" spans="1:5" x14ac:dyDescent="0.2">
      <c r="A14110" t="s">
        <v>42131</v>
      </c>
      <c r="B14110" t="s">
        <v>42132</v>
      </c>
      <c r="C14110" t="s">
        <v>42132</v>
      </c>
      <c r="D14110" t="str">
        <f>HYPERLINK("https://zfin.org/")</f>
        <v>https://zfin.org/</v>
      </c>
    </row>
    <row r="14111" spans="1:5" x14ac:dyDescent="0.2">
      <c r="A14111" t="s">
        <v>42133</v>
      </c>
      <c r="B14111" t="s">
        <v>42134</v>
      </c>
      <c r="C14111" t="s">
        <v>42134</v>
      </c>
      <c r="D14111" t="str">
        <f>HYPERLINK("https://zfin.org/")</f>
        <v>https://zfin.org/</v>
      </c>
      <c r="E14111" t="s">
        <v>42135</v>
      </c>
    </row>
    <row r="14112" spans="1:5" x14ac:dyDescent="0.2">
      <c r="A14112" t="s">
        <v>42136</v>
      </c>
      <c r="B14112" t="s">
        <v>42137</v>
      </c>
      <c r="C14112" t="s">
        <v>42137</v>
      </c>
      <c r="D14112" t="str">
        <f>HYPERLINK("https://zfin.org/ZDB-GENE-060929-1062")</f>
        <v>https://zfin.org/ZDB-GENE-060929-1062</v>
      </c>
      <c r="E14112" t="s">
        <v>42138</v>
      </c>
    </row>
    <row r="14113" spans="1:5" x14ac:dyDescent="0.2">
      <c r="A14113" t="s">
        <v>42139</v>
      </c>
      <c r="B14113" t="s">
        <v>42140</v>
      </c>
      <c r="C14113" t="s">
        <v>42140</v>
      </c>
      <c r="D14113" t="str">
        <f t="shared" ref="D14113:D14118" si="2">HYPERLINK("https://zfin.org/")</f>
        <v>https://zfin.org/</v>
      </c>
    </row>
    <row r="14114" spans="1:5" x14ac:dyDescent="0.2">
      <c r="A14114" t="s">
        <v>42141</v>
      </c>
      <c r="B14114" t="s">
        <v>42142</v>
      </c>
      <c r="C14114" t="s">
        <v>42142</v>
      </c>
      <c r="D14114" t="str">
        <f t="shared" si="2"/>
        <v>https://zfin.org/</v>
      </c>
    </row>
    <row r="14115" spans="1:5" x14ac:dyDescent="0.2">
      <c r="A14115" t="s">
        <v>42143</v>
      </c>
      <c r="B14115" t="s">
        <v>42144</v>
      </c>
      <c r="C14115" t="s">
        <v>42144</v>
      </c>
      <c r="D14115" t="str">
        <f t="shared" si="2"/>
        <v>https://zfin.org/</v>
      </c>
    </row>
    <row r="14116" spans="1:5" x14ac:dyDescent="0.2">
      <c r="A14116" t="s">
        <v>42145</v>
      </c>
      <c r="B14116" t="s">
        <v>42146</v>
      </c>
      <c r="C14116" t="s">
        <v>42146</v>
      </c>
      <c r="D14116" t="str">
        <f t="shared" si="2"/>
        <v>https://zfin.org/</v>
      </c>
    </row>
    <row r="14117" spans="1:5" x14ac:dyDescent="0.2">
      <c r="A14117" t="s">
        <v>42147</v>
      </c>
      <c r="B14117" t="s">
        <v>42148</v>
      </c>
      <c r="C14117" t="s">
        <v>42148</v>
      </c>
      <c r="D14117" t="str">
        <f t="shared" si="2"/>
        <v>https://zfin.org/</v>
      </c>
    </row>
    <row r="14118" spans="1:5" x14ac:dyDescent="0.2">
      <c r="A14118" t="s">
        <v>42149</v>
      </c>
      <c r="B14118" t="s">
        <v>42150</v>
      </c>
      <c r="C14118" t="s">
        <v>42150</v>
      </c>
      <c r="D14118" t="str">
        <f t="shared" si="2"/>
        <v>https://zfin.org/</v>
      </c>
    </row>
    <row r="14119" spans="1:5" x14ac:dyDescent="0.2">
      <c r="A14119" t="s">
        <v>42151</v>
      </c>
      <c r="B14119" t="s">
        <v>42152</v>
      </c>
      <c r="C14119" t="s">
        <v>42152</v>
      </c>
      <c r="D14119" t="str">
        <f>HYPERLINK("https://zfin.org/ZDB-GENE-050522-90")</f>
        <v>https://zfin.org/ZDB-GENE-050522-90</v>
      </c>
      <c r="E14119" t="s">
        <v>42153</v>
      </c>
    </row>
    <row r="14120" spans="1:5" x14ac:dyDescent="0.2">
      <c r="A14120" t="s">
        <v>42154</v>
      </c>
      <c r="B14120" t="s">
        <v>42155</v>
      </c>
      <c r="C14120" t="s">
        <v>42155</v>
      </c>
      <c r="D14120" t="str">
        <f>HYPERLINK("https://zfin.org/")</f>
        <v>https://zfin.org/</v>
      </c>
    </row>
    <row r="14121" spans="1:5" x14ac:dyDescent="0.2">
      <c r="A14121" t="s">
        <v>42156</v>
      </c>
      <c r="B14121" t="s">
        <v>42157</v>
      </c>
      <c r="C14121" t="s">
        <v>42157</v>
      </c>
      <c r="D14121" t="str">
        <f>HYPERLINK("https://zfin.org/")</f>
        <v>https://zfin.org/</v>
      </c>
    </row>
    <row r="14122" spans="1:5" x14ac:dyDescent="0.2">
      <c r="A14122" t="s">
        <v>42158</v>
      </c>
      <c r="B14122" t="s">
        <v>42159</v>
      </c>
      <c r="C14122" t="s">
        <v>42159</v>
      </c>
      <c r="D14122" t="str">
        <f>HYPERLINK("https://zfin.org/ZDB-GENE-040426-1779")</f>
        <v>https://zfin.org/ZDB-GENE-040426-1779</v>
      </c>
      <c r="E14122" t="s">
        <v>42160</v>
      </c>
    </row>
    <row r="14123" spans="1:5" x14ac:dyDescent="0.2">
      <c r="A14123" t="s">
        <v>42161</v>
      </c>
      <c r="B14123" t="s">
        <v>42162</v>
      </c>
      <c r="C14123" t="s">
        <v>42162</v>
      </c>
      <c r="D14123" t="str">
        <f>HYPERLINK("https://zfin.org/ZDB-GENE-041111-49")</f>
        <v>https://zfin.org/ZDB-GENE-041111-49</v>
      </c>
      <c r="E14123" t="s">
        <v>42163</v>
      </c>
    </row>
    <row r="14124" spans="1:5" x14ac:dyDescent="0.2">
      <c r="A14124" t="s">
        <v>42164</v>
      </c>
      <c r="B14124" t="s">
        <v>42165</v>
      </c>
      <c r="C14124" t="s">
        <v>42165</v>
      </c>
      <c r="D14124" t="str">
        <f>HYPERLINK("https://zfin.org/ZDB-GENE-050522-414")</f>
        <v>https://zfin.org/ZDB-GENE-050522-414</v>
      </c>
      <c r="E14124" t="s">
        <v>42166</v>
      </c>
    </row>
    <row r="14125" spans="1:5" x14ac:dyDescent="0.2">
      <c r="A14125" t="s">
        <v>42167</v>
      </c>
      <c r="B14125" t="s">
        <v>42168</v>
      </c>
      <c r="C14125" t="s">
        <v>42168</v>
      </c>
      <c r="D14125" t="str">
        <f>HYPERLINK("https://zfin.org/")</f>
        <v>https://zfin.org/</v>
      </c>
      <c r="E14125" t="s">
        <v>42169</v>
      </c>
    </row>
    <row r="14126" spans="1:5" x14ac:dyDescent="0.2">
      <c r="A14126" t="s">
        <v>42170</v>
      </c>
      <c r="B14126" t="s">
        <v>42171</v>
      </c>
      <c r="C14126" t="s">
        <v>42171</v>
      </c>
      <c r="D14126" t="str">
        <f>HYPERLINK("https://zfin.org/ZDB-GENE-040426-1830")</f>
        <v>https://zfin.org/ZDB-GENE-040426-1830</v>
      </c>
      <c r="E14126" t="s">
        <v>42172</v>
      </c>
    </row>
    <row r="14127" spans="1:5" x14ac:dyDescent="0.2">
      <c r="A14127" t="s">
        <v>42173</v>
      </c>
      <c r="B14127" t="s">
        <v>42174</v>
      </c>
      <c r="C14127" t="s">
        <v>42174</v>
      </c>
      <c r="D14127" t="str">
        <f>HYPERLINK("https://zfin.org/ZDB-GENE-000517-1")</f>
        <v>https://zfin.org/ZDB-GENE-000517-1</v>
      </c>
      <c r="E14127" t="s">
        <v>42175</v>
      </c>
    </row>
    <row r="14128" spans="1:5" x14ac:dyDescent="0.2">
      <c r="A14128" t="s">
        <v>42176</v>
      </c>
      <c r="B14128" t="s">
        <v>42177</v>
      </c>
      <c r="C14128" t="s">
        <v>42177</v>
      </c>
      <c r="D14128" t="str">
        <f>HYPERLINK("https://zfin.org/")</f>
        <v>https://zfin.org/</v>
      </c>
      <c r="E14128" t="s">
        <v>42178</v>
      </c>
    </row>
    <row r="14129" spans="1:5" x14ac:dyDescent="0.2">
      <c r="A14129" t="s">
        <v>42179</v>
      </c>
      <c r="B14129" t="s">
        <v>23764</v>
      </c>
      <c r="C14129" t="s">
        <v>42180</v>
      </c>
      <c r="D14129" t="str">
        <f>HYPERLINK("https://zfin.org/")</f>
        <v>https://zfin.org/</v>
      </c>
      <c r="E14129" t="s">
        <v>42181</v>
      </c>
    </row>
    <row r="14130" spans="1:5" x14ac:dyDescent="0.2">
      <c r="A14130" t="s">
        <v>42182</v>
      </c>
      <c r="B14130" t="s">
        <v>42183</v>
      </c>
      <c r="C14130" t="s">
        <v>42183</v>
      </c>
      <c r="D14130" t="str">
        <f>HYPERLINK("https://zfin.org/ZDB-GENE-030131-5457")</f>
        <v>https://zfin.org/ZDB-GENE-030131-5457</v>
      </c>
      <c r="E14130" t="s">
        <v>42184</v>
      </c>
    </row>
    <row r="14131" spans="1:5" x14ac:dyDescent="0.2">
      <c r="A14131" t="s">
        <v>42185</v>
      </c>
      <c r="B14131" t="s">
        <v>42186</v>
      </c>
      <c r="C14131" t="s">
        <v>42186</v>
      </c>
      <c r="D14131" t="str">
        <f>HYPERLINK("https://zfin.org/")</f>
        <v>https://zfin.org/</v>
      </c>
    </row>
    <row r="14132" spans="1:5" x14ac:dyDescent="0.2">
      <c r="A14132" t="s">
        <v>42187</v>
      </c>
      <c r="B14132" t="s">
        <v>42188</v>
      </c>
      <c r="C14132" t="s">
        <v>42188</v>
      </c>
      <c r="D14132" t="str">
        <f>HYPERLINK("https://zfin.org/")</f>
        <v>https://zfin.org/</v>
      </c>
    </row>
    <row r="14133" spans="1:5" x14ac:dyDescent="0.2">
      <c r="A14133" t="s">
        <v>42189</v>
      </c>
      <c r="B14133" t="s">
        <v>42190</v>
      </c>
      <c r="C14133" t="s">
        <v>42190</v>
      </c>
      <c r="D14133" t="str">
        <f>HYPERLINK("https://zfin.org/")</f>
        <v>https://zfin.org/</v>
      </c>
    </row>
    <row r="14134" spans="1:5" x14ac:dyDescent="0.2">
      <c r="A14134" t="s">
        <v>42191</v>
      </c>
      <c r="B14134" t="s">
        <v>42192</v>
      </c>
      <c r="C14134" t="s">
        <v>42192</v>
      </c>
      <c r="D14134" t="str">
        <f>HYPERLINK("https://zfin.org/")</f>
        <v>https://zfin.org/</v>
      </c>
    </row>
    <row r="14135" spans="1:5" x14ac:dyDescent="0.2">
      <c r="A14135" t="s">
        <v>42193</v>
      </c>
      <c r="B14135" t="s">
        <v>42194</v>
      </c>
      <c r="C14135" t="s">
        <v>42194</v>
      </c>
      <c r="D14135" t="str">
        <f>HYPERLINK("https://zfin.org/")</f>
        <v>https://zfin.org/</v>
      </c>
    </row>
    <row r="14136" spans="1:5" x14ac:dyDescent="0.2">
      <c r="A14136" t="s">
        <v>42195</v>
      </c>
      <c r="B14136" t="s">
        <v>42196</v>
      </c>
      <c r="C14136" t="s">
        <v>42196</v>
      </c>
      <c r="D14136" t="str">
        <f>HYPERLINK("https://zfin.org/ZDB-GENE-030131-6325")</f>
        <v>https://zfin.org/ZDB-GENE-030131-6325</v>
      </c>
      <c r="E14136" t="s">
        <v>42197</v>
      </c>
    </row>
    <row r="14137" spans="1:5" x14ac:dyDescent="0.2">
      <c r="A14137" t="s">
        <v>42198</v>
      </c>
      <c r="B14137" t="s">
        <v>42199</v>
      </c>
      <c r="C14137" t="s">
        <v>42199</v>
      </c>
      <c r="D14137" t="str">
        <f>HYPERLINK("https://zfin.org/")</f>
        <v>https://zfin.org/</v>
      </c>
    </row>
    <row r="14138" spans="1:5" x14ac:dyDescent="0.2">
      <c r="A14138" t="s">
        <v>42200</v>
      </c>
      <c r="B14138" t="s">
        <v>42201</v>
      </c>
      <c r="C14138" t="s">
        <v>42201</v>
      </c>
      <c r="D14138" t="str">
        <f>HYPERLINK("https://zfin.org/")</f>
        <v>https://zfin.org/</v>
      </c>
    </row>
    <row r="14139" spans="1:5" x14ac:dyDescent="0.2">
      <c r="A14139" t="s">
        <v>42202</v>
      </c>
      <c r="B14139" t="s">
        <v>42203</v>
      </c>
      <c r="C14139" t="s">
        <v>42203</v>
      </c>
      <c r="D14139" t="str">
        <f>HYPERLINK("https://zfin.org/")</f>
        <v>https://zfin.org/</v>
      </c>
      <c r="E14139" t="s">
        <v>42204</v>
      </c>
    </row>
    <row r="14140" spans="1:5" x14ac:dyDescent="0.2">
      <c r="A14140" t="s">
        <v>42205</v>
      </c>
      <c r="B14140" t="s">
        <v>42206</v>
      </c>
      <c r="C14140" t="s">
        <v>42206</v>
      </c>
      <c r="D14140" t="str">
        <f>HYPERLINK("https://zfin.org/ZDB-GENE-060929-812")</f>
        <v>https://zfin.org/ZDB-GENE-060929-812</v>
      </c>
      <c r="E14140" t="s">
        <v>42207</v>
      </c>
    </row>
    <row r="14141" spans="1:5" x14ac:dyDescent="0.2">
      <c r="A14141" t="s">
        <v>42208</v>
      </c>
      <c r="B14141" t="s">
        <v>42209</v>
      </c>
      <c r="C14141" t="s">
        <v>42209</v>
      </c>
      <c r="D14141" t="str">
        <f>HYPERLINK("https://zfin.org/")</f>
        <v>https://zfin.org/</v>
      </c>
      <c r="E14141" t="s">
        <v>42210</v>
      </c>
    </row>
    <row r="14142" spans="1:5" x14ac:dyDescent="0.2">
      <c r="A14142" t="s">
        <v>42211</v>
      </c>
      <c r="B14142" t="s">
        <v>42212</v>
      </c>
      <c r="C14142" t="s">
        <v>42212</v>
      </c>
      <c r="D14142" t="str">
        <f>HYPERLINK("https://zfin.org/ZDB-GENE-080220-9")</f>
        <v>https://zfin.org/ZDB-GENE-080220-9</v>
      </c>
      <c r="E14142" t="s">
        <v>42213</v>
      </c>
    </row>
    <row r="14143" spans="1:5" x14ac:dyDescent="0.2">
      <c r="A14143" t="s">
        <v>42214</v>
      </c>
      <c r="B14143" t="s">
        <v>42215</v>
      </c>
      <c r="C14143" t="s">
        <v>42215</v>
      </c>
      <c r="D14143" t="str">
        <f>HYPERLINK("https://zfin.org/")</f>
        <v>https://zfin.org/</v>
      </c>
    </row>
    <row r="14144" spans="1:5" x14ac:dyDescent="0.2">
      <c r="A14144" t="s">
        <v>42216</v>
      </c>
      <c r="B14144" t="s">
        <v>42217</v>
      </c>
      <c r="C14144" t="s">
        <v>42217</v>
      </c>
      <c r="D14144" t="str">
        <f>HYPERLINK("https://zfin.org/ZDB-GENE-030912-5")</f>
        <v>https://zfin.org/ZDB-GENE-030912-5</v>
      </c>
      <c r="E14144" t="s">
        <v>42218</v>
      </c>
    </row>
    <row r="14145" spans="1:5" x14ac:dyDescent="0.2">
      <c r="A14145" t="s">
        <v>42219</v>
      </c>
      <c r="B14145" t="s">
        <v>42220</v>
      </c>
      <c r="C14145" t="s">
        <v>42220</v>
      </c>
      <c r="D14145" t="str">
        <f>HYPERLINK("https://zfin.org/ZDB-GENE-040426-2155")</f>
        <v>https://zfin.org/ZDB-GENE-040426-2155</v>
      </c>
      <c r="E14145" t="s">
        <v>42221</v>
      </c>
    </row>
    <row r="14146" spans="1:5" x14ac:dyDescent="0.2">
      <c r="A14146" t="s">
        <v>42222</v>
      </c>
      <c r="B14146" t="s">
        <v>42223</v>
      </c>
      <c r="C14146" t="s">
        <v>42223</v>
      </c>
      <c r="D14146" t="str">
        <f>HYPERLINK("https://zfin.org/ZDB-GENE-080723-62")</f>
        <v>https://zfin.org/ZDB-GENE-080723-62</v>
      </c>
      <c r="E14146" t="s">
        <v>42224</v>
      </c>
    </row>
    <row r="14147" spans="1:5" x14ac:dyDescent="0.2">
      <c r="A14147" t="s">
        <v>42225</v>
      </c>
      <c r="B14147" t="s">
        <v>42226</v>
      </c>
      <c r="C14147" t="s">
        <v>42226</v>
      </c>
      <c r="D14147" t="str">
        <f>HYPERLINK("https://zfin.org/")</f>
        <v>https://zfin.org/</v>
      </c>
      <c r="E14147" t="s">
        <v>42227</v>
      </c>
    </row>
    <row r="14148" spans="1:5" x14ac:dyDescent="0.2">
      <c r="A14148" t="s">
        <v>42228</v>
      </c>
      <c r="B14148" t="s">
        <v>42229</v>
      </c>
      <c r="C14148" t="s">
        <v>42229</v>
      </c>
      <c r="D14148" t="str">
        <f>HYPERLINK("https://zfin.org/")</f>
        <v>https://zfin.org/</v>
      </c>
      <c r="E14148" t="s">
        <v>42230</v>
      </c>
    </row>
    <row r="14149" spans="1:5" x14ac:dyDescent="0.2">
      <c r="A14149" t="s">
        <v>42231</v>
      </c>
      <c r="B14149" t="s">
        <v>42232</v>
      </c>
      <c r="C14149" t="s">
        <v>42232</v>
      </c>
      <c r="D14149" t="str">
        <f>HYPERLINK("https://zfin.org/ZDB-GENE-130107-1")</f>
        <v>https://zfin.org/ZDB-GENE-130107-1</v>
      </c>
      <c r="E14149" t="s">
        <v>42233</v>
      </c>
    </row>
    <row r="14150" spans="1:5" x14ac:dyDescent="0.2">
      <c r="A14150" t="s">
        <v>42234</v>
      </c>
      <c r="B14150" t="s">
        <v>42235</v>
      </c>
      <c r="C14150" t="s">
        <v>42235</v>
      </c>
      <c r="D14150" t="str">
        <f>HYPERLINK("https://zfin.org/ZDB-GENE-050913-82")</f>
        <v>https://zfin.org/ZDB-GENE-050913-82</v>
      </c>
      <c r="E14150" t="s">
        <v>42236</v>
      </c>
    </row>
    <row r="14151" spans="1:5" x14ac:dyDescent="0.2">
      <c r="A14151" t="s">
        <v>42237</v>
      </c>
      <c r="B14151" t="s">
        <v>42238</v>
      </c>
      <c r="C14151" t="s">
        <v>42238</v>
      </c>
      <c r="D14151" t="str">
        <f>HYPERLINK("https://zfin.org/")</f>
        <v>https://zfin.org/</v>
      </c>
      <c r="E14151" t="s">
        <v>42239</v>
      </c>
    </row>
    <row r="14152" spans="1:5" x14ac:dyDescent="0.2">
      <c r="A14152" t="s">
        <v>42240</v>
      </c>
      <c r="B14152" t="s">
        <v>42241</v>
      </c>
      <c r="C14152" t="s">
        <v>42241</v>
      </c>
      <c r="D14152" t="str">
        <f>HYPERLINK("https://zfin.org/")</f>
        <v>https://zfin.org/</v>
      </c>
      <c r="E14152" t="s">
        <v>42242</v>
      </c>
    </row>
    <row r="14153" spans="1:5" x14ac:dyDescent="0.2">
      <c r="A14153" t="s">
        <v>42243</v>
      </c>
      <c r="B14153" t="s">
        <v>42244</v>
      </c>
      <c r="C14153" t="s">
        <v>42244</v>
      </c>
      <c r="D14153" t="str">
        <f>HYPERLINK("https://zfin.org/ZDB-GENE-030131-9816")</f>
        <v>https://zfin.org/ZDB-GENE-030131-9816</v>
      </c>
      <c r="E14153" t="s">
        <v>42245</v>
      </c>
    </row>
    <row r="14154" spans="1:5" x14ac:dyDescent="0.2">
      <c r="A14154" t="s">
        <v>42246</v>
      </c>
      <c r="B14154" t="s">
        <v>42247</v>
      </c>
      <c r="C14154" t="s">
        <v>42247</v>
      </c>
      <c r="D14154" t="str">
        <f>HYPERLINK("https://zfin.org/")</f>
        <v>https://zfin.org/</v>
      </c>
      <c r="E14154" t="s">
        <v>42248</v>
      </c>
    </row>
    <row r="14155" spans="1:5" x14ac:dyDescent="0.2">
      <c r="A14155" t="s">
        <v>42249</v>
      </c>
      <c r="B14155" t="s">
        <v>42250</v>
      </c>
      <c r="C14155" t="s">
        <v>42250</v>
      </c>
      <c r="D14155" t="str">
        <f>HYPERLINK("https://zfin.org/")</f>
        <v>https://zfin.org/</v>
      </c>
    </row>
    <row r="14156" spans="1:5" x14ac:dyDescent="0.2">
      <c r="A14156" t="s">
        <v>42251</v>
      </c>
      <c r="B14156" t="s">
        <v>42252</v>
      </c>
      <c r="C14156" t="s">
        <v>42252</v>
      </c>
      <c r="D14156" t="str">
        <f>HYPERLINK("https://zfin.org/ZDB-GENE-030131-7660")</f>
        <v>https://zfin.org/ZDB-GENE-030131-7660</v>
      </c>
      <c r="E14156" t="s">
        <v>42253</v>
      </c>
    </row>
    <row r="14157" spans="1:5" x14ac:dyDescent="0.2">
      <c r="A14157" t="s">
        <v>42254</v>
      </c>
      <c r="B14157" t="s">
        <v>42255</v>
      </c>
      <c r="C14157" t="s">
        <v>42255</v>
      </c>
      <c r="D14157" t="str">
        <f>HYPERLINK("https://zfin.org/ZDB-GENE-060825-188")</f>
        <v>https://zfin.org/ZDB-GENE-060825-188</v>
      </c>
      <c r="E14157" t="s">
        <v>42256</v>
      </c>
    </row>
    <row r="14158" spans="1:5" x14ac:dyDescent="0.2">
      <c r="A14158" t="s">
        <v>42257</v>
      </c>
      <c r="B14158" t="s">
        <v>42258</v>
      </c>
      <c r="C14158" t="s">
        <v>42258</v>
      </c>
      <c r="D14158" t="str">
        <f>HYPERLINK("https://zfin.org/ZDB-GENE-040718-19")</f>
        <v>https://zfin.org/ZDB-GENE-040718-19</v>
      </c>
      <c r="E14158" t="s">
        <v>42259</v>
      </c>
    </row>
    <row r="14159" spans="1:5" x14ac:dyDescent="0.2">
      <c r="A14159" t="s">
        <v>42260</v>
      </c>
      <c r="B14159" t="s">
        <v>42261</v>
      </c>
      <c r="C14159" t="s">
        <v>42261</v>
      </c>
      <c r="D14159" t="str">
        <f>HYPERLINK("https://zfin.org/")</f>
        <v>https://zfin.org/</v>
      </c>
    </row>
    <row r="14160" spans="1:5" x14ac:dyDescent="0.2">
      <c r="A14160" t="s">
        <v>42262</v>
      </c>
      <c r="B14160" t="s">
        <v>42263</v>
      </c>
      <c r="C14160" t="s">
        <v>42263</v>
      </c>
      <c r="D14160" t="str">
        <f>HYPERLINK("https://zfin.org/")</f>
        <v>https://zfin.org/</v>
      </c>
      <c r="E14160" t="s">
        <v>42264</v>
      </c>
    </row>
    <row r="14161" spans="1:5" x14ac:dyDescent="0.2">
      <c r="A14161" t="s">
        <v>42265</v>
      </c>
      <c r="B14161" t="s">
        <v>42266</v>
      </c>
      <c r="C14161" t="s">
        <v>42266</v>
      </c>
      <c r="D14161" t="str">
        <f>HYPERLINK("https://zfin.org/ZDB-GENE-040426-1728")</f>
        <v>https://zfin.org/ZDB-GENE-040426-1728</v>
      </c>
      <c r="E14161" t="s">
        <v>42267</v>
      </c>
    </row>
    <row r="14162" spans="1:5" x14ac:dyDescent="0.2">
      <c r="A14162" t="s">
        <v>42268</v>
      </c>
      <c r="B14162" t="s">
        <v>42269</v>
      </c>
      <c r="C14162" t="s">
        <v>42269</v>
      </c>
      <c r="D14162" t="str">
        <f>HYPERLINK("https://zfin.org/")</f>
        <v>https://zfin.org/</v>
      </c>
    </row>
    <row r="14163" spans="1:5" x14ac:dyDescent="0.2">
      <c r="A14163" t="s">
        <v>42270</v>
      </c>
      <c r="B14163" t="s">
        <v>42271</v>
      </c>
      <c r="C14163" t="s">
        <v>42271</v>
      </c>
      <c r="D14163" t="str">
        <f>HYPERLINK("https://zfin.org/ZDB-GENE-071016-3")</f>
        <v>https://zfin.org/ZDB-GENE-071016-3</v>
      </c>
      <c r="E14163" t="s">
        <v>42272</v>
      </c>
    </row>
    <row r="14164" spans="1:5" x14ac:dyDescent="0.2">
      <c r="A14164" t="s">
        <v>42273</v>
      </c>
      <c r="B14164" t="s">
        <v>42274</v>
      </c>
      <c r="C14164" t="s">
        <v>42274</v>
      </c>
      <c r="D14164" t="str">
        <f>HYPERLINK("https://zfin.org/")</f>
        <v>https://zfin.org/</v>
      </c>
    </row>
    <row r="14165" spans="1:5" x14ac:dyDescent="0.2">
      <c r="A14165" t="s">
        <v>42275</v>
      </c>
      <c r="B14165" t="s">
        <v>42276</v>
      </c>
      <c r="C14165" t="s">
        <v>42276</v>
      </c>
      <c r="D14165" t="str">
        <f>HYPERLINK("https://zfin.org/ZDB-GENE-070117-2062")</f>
        <v>https://zfin.org/ZDB-GENE-070117-2062</v>
      </c>
      <c r="E14165" t="s">
        <v>42277</v>
      </c>
    </row>
    <row r="14166" spans="1:5" x14ac:dyDescent="0.2">
      <c r="A14166" t="s">
        <v>42278</v>
      </c>
      <c r="B14166" t="s">
        <v>42279</v>
      </c>
      <c r="C14166" t="s">
        <v>42279</v>
      </c>
      <c r="D14166" t="str">
        <f>HYPERLINK("https://zfin.org/ZDB-GENE-070119-3")</f>
        <v>https://zfin.org/ZDB-GENE-070119-3</v>
      </c>
      <c r="E14166" t="s">
        <v>42280</v>
      </c>
    </row>
    <row r="14167" spans="1:5" x14ac:dyDescent="0.2">
      <c r="A14167" t="s">
        <v>42281</v>
      </c>
      <c r="B14167" t="s">
        <v>42282</v>
      </c>
      <c r="C14167" t="s">
        <v>42282</v>
      </c>
      <c r="D14167" t="str">
        <f>HYPERLINK("https://zfin.org/ZDB-GENE-070706-1")</f>
        <v>https://zfin.org/ZDB-GENE-070706-1</v>
      </c>
      <c r="E14167" t="s">
        <v>42283</v>
      </c>
    </row>
    <row r="14168" spans="1:5" x14ac:dyDescent="0.2">
      <c r="A14168" t="s">
        <v>42284</v>
      </c>
      <c r="B14168" t="s">
        <v>42285</v>
      </c>
      <c r="C14168" t="s">
        <v>42285</v>
      </c>
      <c r="D14168" t="str">
        <f>HYPERLINK("https://zfin.org/ZDB-GENE-010724-5")</f>
        <v>https://zfin.org/ZDB-GENE-010724-5</v>
      </c>
      <c r="E14168" t="s">
        <v>42286</v>
      </c>
    </row>
    <row r="14169" spans="1:5" x14ac:dyDescent="0.2">
      <c r="A14169" t="s">
        <v>42287</v>
      </c>
      <c r="B14169" t="s">
        <v>42288</v>
      </c>
      <c r="C14169" t="s">
        <v>42288</v>
      </c>
      <c r="D14169" t="str">
        <f>HYPERLINK("https://zfin.org/")</f>
        <v>https://zfin.org/</v>
      </c>
      <c r="E14169" t="s">
        <v>42289</v>
      </c>
    </row>
    <row r="14170" spans="1:5" x14ac:dyDescent="0.2">
      <c r="A14170" t="s">
        <v>42290</v>
      </c>
      <c r="B14170" t="s">
        <v>42291</v>
      </c>
      <c r="C14170" t="s">
        <v>42291</v>
      </c>
      <c r="D14170" t="str">
        <f>HYPERLINK("https://zfin.org/ZDB-GENE-040704-40")</f>
        <v>https://zfin.org/ZDB-GENE-040704-40</v>
      </c>
      <c r="E14170" t="s">
        <v>42292</v>
      </c>
    </row>
    <row r="14171" spans="1:5" x14ac:dyDescent="0.2">
      <c r="A14171" t="s">
        <v>42293</v>
      </c>
      <c r="B14171" t="s">
        <v>42294</v>
      </c>
      <c r="C14171" t="s">
        <v>42294</v>
      </c>
      <c r="D14171" t="str">
        <f>HYPERLINK("https://zfin.org/ZDB-GENE-050506-106")</f>
        <v>https://zfin.org/ZDB-GENE-050506-106</v>
      </c>
      <c r="E14171" t="s">
        <v>42295</v>
      </c>
    </row>
    <row r="14172" spans="1:5" x14ac:dyDescent="0.2">
      <c r="A14172" t="s">
        <v>42296</v>
      </c>
      <c r="B14172" t="s">
        <v>42297</v>
      </c>
      <c r="C14172" t="s">
        <v>42297</v>
      </c>
      <c r="D14172" t="str">
        <f>HYPERLINK("https://zfin.org/ZDB-GENE-030131-497")</f>
        <v>https://zfin.org/ZDB-GENE-030131-497</v>
      </c>
      <c r="E14172" t="s">
        <v>42298</v>
      </c>
    </row>
    <row r="14173" spans="1:5" x14ac:dyDescent="0.2">
      <c r="A14173" t="s">
        <v>42299</v>
      </c>
      <c r="B14173" t="s">
        <v>42300</v>
      </c>
      <c r="C14173" t="s">
        <v>42300</v>
      </c>
      <c r="D14173" t="str">
        <f>HYPERLINK("https://zfin.org/")</f>
        <v>https://zfin.org/</v>
      </c>
    </row>
    <row r="14174" spans="1:5" x14ac:dyDescent="0.2">
      <c r="A14174" t="s">
        <v>42301</v>
      </c>
      <c r="B14174" t="s">
        <v>42302</v>
      </c>
      <c r="C14174" t="s">
        <v>42302</v>
      </c>
      <c r="D14174" t="str">
        <f>HYPERLINK("https://zfin.org/")</f>
        <v>https://zfin.org/</v>
      </c>
      <c r="E14174" t="s">
        <v>42303</v>
      </c>
    </row>
    <row r="14175" spans="1:5" x14ac:dyDescent="0.2">
      <c r="A14175" t="s">
        <v>42304</v>
      </c>
      <c r="B14175" t="s">
        <v>42305</v>
      </c>
      <c r="C14175" t="s">
        <v>42305</v>
      </c>
      <c r="D14175" t="str">
        <f>HYPERLINK("https://zfin.org/ZDB-GENE-070424-58")</f>
        <v>https://zfin.org/ZDB-GENE-070424-58</v>
      </c>
      <c r="E14175" t="s">
        <v>42306</v>
      </c>
    </row>
    <row r="14176" spans="1:5" x14ac:dyDescent="0.2">
      <c r="A14176" t="s">
        <v>42307</v>
      </c>
      <c r="B14176" t="s">
        <v>42308</v>
      </c>
      <c r="C14176" t="s">
        <v>42308</v>
      </c>
      <c r="D14176" t="str">
        <f>HYPERLINK("https://zfin.org/ZDB-GENE-120203-6")</f>
        <v>https://zfin.org/ZDB-GENE-120203-6</v>
      </c>
      <c r="E14176" t="s">
        <v>42309</v>
      </c>
    </row>
    <row r="14177" spans="1:5" x14ac:dyDescent="0.2">
      <c r="A14177" t="s">
        <v>42310</v>
      </c>
      <c r="B14177" t="s">
        <v>42311</v>
      </c>
      <c r="C14177" t="s">
        <v>42311</v>
      </c>
      <c r="D14177" t="str">
        <f>HYPERLINK("https://zfin.org/ZDB-GENE-081022-156")</f>
        <v>https://zfin.org/ZDB-GENE-081022-156</v>
      </c>
      <c r="E14177" t="s">
        <v>42312</v>
      </c>
    </row>
    <row r="14178" spans="1:5" x14ac:dyDescent="0.2">
      <c r="A14178" t="s">
        <v>42313</v>
      </c>
      <c r="B14178" t="s">
        <v>42314</v>
      </c>
      <c r="C14178" t="s">
        <v>42314</v>
      </c>
      <c r="D14178" t="str">
        <f>HYPERLINK("https://zfin.org/ZDB-GENE-030131-9008")</f>
        <v>https://zfin.org/ZDB-GENE-030131-9008</v>
      </c>
      <c r="E14178" t="s">
        <v>42315</v>
      </c>
    </row>
    <row r="14179" spans="1:5" x14ac:dyDescent="0.2">
      <c r="A14179" t="s">
        <v>42316</v>
      </c>
      <c r="B14179" t="s">
        <v>42317</v>
      </c>
      <c r="C14179" t="s">
        <v>42317</v>
      </c>
      <c r="D14179" t="str">
        <f>HYPERLINK("https://zfin.org/ZDB-GENE-030131-7799")</f>
        <v>https://zfin.org/ZDB-GENE-030131-7799</v>
      </c>
      <c r="E14179" t="s">
        <v>42318</v>
      </c>
    </row>
    <row r="14180" spans="1:5" x14ac:dyDescent="0.2">
      <c r="A14180" t="s">
        <v>42319</v>
      </c>
      <c r="B14180" t="s">
        <v>42320</v>
      </c>
      <c r="C14180" t="s">
        <v>42320</v>
      </c>
      <c r="D14180" t="str">
        <f>HYPERLINK("https://zfin.org/")</f>
        <v>https://zfin.org/</v>
      </c>
      <c r="E14180" t="s">
        <v>42321</v>
      </c>
    </row>
    <row r="14181" spans="1:5" x14ac:dyDescent="0.2">
      <c r="A14181" t="s">
        <v>42322</v>
      </c>
      <c r="B14181" t="s">
        <v>42323</v>
      </c>
      <c r="C14181" t="s">
        <v>42323</v>
      </c>
      <c r="D14181" t="str">
        <f>HYPERLINK("https://zfin.org/")</f>
        <v>https://zfin.org/</v>
      </c>
    </row>
    <row r="14182" spans="1:5" x14ac:dyDescent="0.2">
      <c r="A14182" t="s">
        <v>42324</v>
      </c>
      <c r="B14182" t="s">
        <v>42325</v>
      </c>
      <c r="C14182" t="s">
        <v>42325</v>
      </c>
      <c r="D14182" t="str">
        <f>HYPERLINK("https://zfin.org/ZDB-GENE-101001-2")</f>
        <v>https://zfin.org/ZDB-GENE-101001-2</v>
      </c>
      <c r="E14182" t="s">
        <v>42326</v>
      </c>
    </row>
    <row r="14183" spans="1:5" x14ac:dyDescent="0.2">
      <c r="A14183" t="s">
        <v>42327</v>
      </c>
      <c r="B14183" t="s">
        <v>42328</v>
      </c>
      <c r="C14183" t="s">
        <v>42328</v>
      </c>
      <c r="D14183" t="str">
        <f>HYPERLINK("https://zfin.org/ZDB-GENE-070410-84")</f>
        <v>https://zfin.org/ZDB-GENE-070410-84</v>
      </c>
      <c r="E14183" t="s">
        <v>42329</v>
      </c>
    </row>
    <row r="14184" spans="1:5" x14ac:dyDescent="0.2">
      <c r="A14184" t="s">
        <v>42330</v>
      </c>
      <c r="B14184" t="s">
        <v>42331</v>
      </c>
      <c r="C14184" t="s">
        <v>42331</v>
      </c>
      <c r="D14184" t="str">
        <f>HYPERLINK("https://zfin.org/")</f>
        <v>https://zfin.org/</v>
      </c>
      <c r="E14184" t="s">
        <v>42332</v>
      </c>
    </row>
    <row r="14185" spans="1:5" x14ac:dyDescent="0.2">
      <c r="A14185" t="s">
        <v>42333</v>
      </c>
      <c r="B14185" t="s">
        <v>42334</v>
      </c>
      <c r="C14185" t="s">
        <v>42334</v>
      </c>
      <c r="D14185" t="str">
        <f>HYPERLINK("https://zfin.org/ZDB-GENE-110203-3")</f>
        <v>https://zfin.org/ZDB-GENE-110203-3</v>
      </c>
      <c r="E14185" t="s">
        <v>42335</v>
      </c>
    </row>
    <row r="14186" spans="1:5" x14ac:dyDescent="0.2">
      <c r="A14186" t="s">
        <v>42336</v>
      </c>
      <c r="B14186" t="s">
        <v>42337</v>
      </c>
      <c r="C14186" t="s">
        <v>42337</v>
      </c>
      <c r="D14186" t="str">
        <f>HYPERLINK("https://zfin.org/")</f>
        <v>https://zfin.org/</v>
      </c>
    </row>
    <row r="14187" spans="1:5" x14ac:dyDescent="0.2">
      <c r="A14187" t="s">
        <v>42338</v>
      </c>
      <c r="B14187" t="s">
        <v>42339</v>
      </c>
      <c r="C14187" t="s">
        <v>42339</v>
      </c>
      <c r="D14187" t="str">
        <f>HYPERLINK("https://zfin.org/ZDB-GENE-031118-80")</f>
        <v>https://zfin.org/ZDB-GENE-031118-80</v>
      </c>
      <c r="E14187" t="s">
        <v>42340</v>
      </c>
    </row>
    <row r="14188" spans="1:5" x14ac:dyDescent="0.2">
      <c r="A14188" t="s">
        <v>42341</v>
      </c>
      <c r="B14188" t="s">
        <v>42342</v>
      </c>
      <c r="C14188" t="s">
        <v>42342</v>
      </c>
      <c r="D14188" t="str">
        <f>HYPERLINK("https://zfin.org/ZDB-GENE-040426-2098")</f>
        <v>https://zfin.org/ZDB-GENE-040426-2098</v>
      </c>
      <c r="E14188" t="s">
        <v>42343</v>
      </c>
    </row>
    <row r="14189" spans="1:5" x14ac:dyDescent="0.2">
      <c r="A14189" t="s">
        <v>42344</v>
      </c>
      <c r="B14189" t="s">
        <v>42345</v>
      </c>
      <c r="C14189" t="s">
        <v>42345</v>
      </c>
      <c r="D14189" t="str">
        <f>HYPERLINK("https://zfin.org/")</f>
        <v>https://zfin.org/</v>
      </c>
      <c r="E14189" t="s">
        <v>42346</v>
      </c>
    </row>
    <row r="14190" spans="1:5" x14ac:dyDescent="0.2">
      <c r="A14190" t="s">
        <v>42347</v>
      </c>
      <c r="B14190" t="s">
        <v>42348</v>
      </c>
      <c r="C14190" t="s">
        <v>42348</v>
      </c>
      <c r="D14190" t="str">
        <f>HYPERLINK("https://zfin.org/")</f>
        <v>https://zfin.org/</v>
      </c>
    </row>
    <row r="14191" spans="1:5" x14ac:dyDescent="0.2">
      <c r="A14191" t="s">
        <v>42349</v>
      </c>
      <c r="B14191" t="s">
        <v>42350</v>
      </c>
      <c r="C14191" t="s">
        <v>42350</v>
      </c>
      <c r="D14191" t="str">
        <f>HYPERLINK("https://zfin.org/ZDB-GENE-070626-3")</f>
        <v>https://zfin.org/ZDB-GENE-070626-3</v>
      </c>
      <c r="E14191" t="s">
        <v>42351</v>
      </c>
    </row>
    <row r="14192" spans="1:5" x14ac:dyDescent="0.2">
      <c r="A14192" t="s">
        <v>42352</v>
      </c>
      <c r="B14192" t="s">
        <v>42353</v>
      </c>
      <c r="C14192" t="s">
        <v>42353</v>
      </c>
      <c r="D14192" t="str">
        <f>HYPERLINK("https://zfin.org/")</f>
        <v>https://zfin.org/</v>
      </c>
    </row>
    <row r="14193" spans="1:5" x14ac:dyDescent="0.2">
      <c r="A14193" t="s">
        <v>42354</v>
      </c>
      <c r="B14193" t="s">
        <v>42355</v>
      </c>
      <c r="C14193" t="s">
        <v>42356</v>
      </c>
      <c r="D14193" t="str">
        <f>HYPERLINK("https://zfin.org/")</f>
        <v>https://zfin.org/</v>
      </c>
      <c r="E14193" t="s">
        <v>42357</v>
      </c>
    </row>
    <row r="14194" spans="1:5" x14ac:dyDescent="0.2">
      <c r="A14194" t="s">
        <v>42358</v>
      </c>
      <c r="B14194" t="s">
        <v>42359</v>
      </c>
      <c r="C14194" t="s">
        <v>42359</v>
      </c>
      <c r="D14194" t="str">
        <f>HYPERLINK("https://zfin.org/")</f>
        <v>https://zfin.org/</v>
      </c>
    </row>
    <row r="14195" spans="1:5" x14ac:dyDescent="0.2">
      <c r="A14195" t="s">
        <v>42360</v>
      </c>
      <c r="B14195" t="s">
        <v>42361</v>
      </c>
      <c r="C14195" t="s">
        <v>42361</v>
      </c>
      <c r="D14195" t="str">
        <f>HYPERLINK("https://zfin.org/ZDB-GENE-040718-482")</f>
        <v>https://zfin.org/ZDB-GENE-040718-482</v>
      </c>
      <c r="E14195" t="s">
        <v>42362</v>
      </c>
    </row>
    <row r="14196" spans="1:5" x14ac:dyDescent="0.2">
      <c r="A14196" t="s">
        <v>42363</v>
      </c>
      <c r="B14196" t="s">
        <v>42364</v>
      </c>
      <c r="C14196" t="s">
        <v>42364</v>
      </c>
      <c r="D14196" t="str">
        <f>HYPERLINK("https://zfin.org/")</f>
        <v>https://zfin.org/</v>
      </c>
      <c r="E14196" t="s">
        <v>42365</v>
      </c>
    </row>
    <row r="14197" spans="1:5" x14ac:dyDescent="0.2">
      <c r="A14197" t="s">
        <v>42366</v>
      </c>
      <c r="B14197" t="s">
        <v>42367</v>
      </c>
      <c r="C14197" t="s">
        <v>42367</v>
      </c>
      <c r="D14197" t="str">
        <f>HYPERLINK("https://zfin.org/")</f>
        <v>https://zfin.org/</v>
      </c>
    </row>
    <row r="14198" spans="1:5" x14ac:dyDescent="0.2">
      <c r="A14198" t="s">
        <v>42368</v>
      </c>
      <c r="B14198" t="s">
        <v>42369</v>
      </c>
      <c r="C14198" t="s">
        <v>42369</v>
      </c>
      <c r="D14198" t="str">
        <f>HYPERLINK("https://zfin.org/")</f>
        <v>https://zfin.org/</v>
      </c>
    </row>
    <row r="14199" spans="1:5" x14ac:dyDescent="0.2">
      <c r="A14199" t="s">
        <v>42370</v>
      </c>
      <c r="B14199" t="s">
        <v>42371</v>
      </c>
      <c r="C14199" t="s">
        <v>42371</v>
      </c>
      <c r="D14199" t="str">
        <f>HYPERLINK("https://zfin.org/")</f>
        <v>https://zfin.org/</v>
      </c>
      <c r="E14199" t="s">
        <v>42372</v>
      </c>
    </row>
    <row r="14200" spans="1:5" x14ac:dyDescent="0.2">
      <c r="A14200" t="s">
        <v>42373</v>
      </c>
      <c r="B14200" t="s">
        <v>42374</v>
      </c>
      <c r="C14200" t="s">
        <v>42374</v>
      </c>
      <c r="D14200" t="str">
        <f>HYPERLINK("https://zfin.org/ZDB-GENE-091130-1")</f>
        <v>https://zfin.org/ZDB-GENE-091130-1</v>
      </c>
      <c r="E14200" t="s">
        <v>42375</v>
      </c>
    </row>
    <row r="14201" spans="1:5" x14ac:dyDescent="0.2">
      <c r="A14201" t="s">
        <v>42376</v>
      </c>
      <c r="B14201" t="s">
        <v>42377</v>
      </c>
      <c r="C14201" t="s">
        <v>42377</v>
      </c>
      <c r="D14201" t="str">
        <f>HYPERLINK("https://zfin.org/ZDB-GENE-061215-132")</f>
        <v>https://zfin.org/ZDB-GENE-061215-132</v>
      </c>
      <c r="E14201" t="s">
        <v>42378</v>
      </c>
    </row>
    <row r="14202" spans="1:5" x14ac:dyDescent="0.2">
      <c r="A14202" t="s">
        <v>42379</v>
      </c>
      <c r="B14202" t="s">
        <v>42380</v>
      </c>
      <c r="C14202" t="s">
        <v>42380</v>
      </c>
      <c r="D14202" t="str">
        <f t="shared" ref="D14202:D14209" si="3">HYPERLINK("https://zfin.org/")</f>
        <v>https://zfin.org/</v>
      </c>
    </row>
    <row r="14203" spans="1:5" x14ac:dyDescent="0.2">
      <c r="A14203" t="s">
        <v>42381</v>
      </c>
      <c r="B14203" t="s">
        <v>42382</v>
      </c>
      <c r="C14203" t="s">
        <v>42382</v>
      </c>
      <c r="D14203" t="str">
        <f t="shared" si="3"/>
        <v>https://zfin.org/</v>
      </c>
    </row>
    <row r="14204" spans="1:5" x14ac:dyDescent="0.2">
      <c r="A14204" t="s">
        <v>42383</v>
      </c>
      <c r="B14204" t="s">
        <v>42384</v>
      </c>
      <c r="C14204" t="s">
        <v>42384</v>
      </c>
      <c r="D14204" t="str">
        <f t="shared" si="3"/>
        <v>https://zfin.org/</v>
      </c>
      <c r="E14204" t="s">
        <v>42385</v>
      </c>
    </row>
    <row r="14205" spans="1:5" x14ac:dyDescent="0.2">
      <c r="A14205" t="s">
        <v>42386</v>
      </c>
      <c r="B14205" t="s">
        <v>42387</v>
      </c>
      <c r="C14205" t="s">
        <v>42387</v>
      </c>
      <c r="D14205" t="str">
        <f t="shared" si="3"/>
        <v>https://zfin.org/</v>
      </c>
      <c r="E14205" t="s">
        <v>42388</v>
      </c>
    </row>
    <row r="14206" spans="1:5" x14ac:dyDescent="0.2">
      <c r="A14206" t="s">
        <v>42389</v>
      </c>
      <c r="B14206" t="s">
        <v>42390</v>
      </c>
      <c r="C14206" t="s">
        <v>42390</v>
      </c>
      <c r="D14206" t="str">
        <f t="shared" si="3"/>
        <v>https://zfin.org/</v>
      </c>
    </row>
    <row r="14207" spans="1:5" x14ac:dyDescent="0.2">
      <c r="A14207" t="s">
        <v>42391</v>
      </c>
      <c r="B14207" t="s">
        <v>42392</v>
      </c>
      <c r="C14207" t="s">
        <v>42392</v>
      </c>
      <c r="D14207" t="str">
        <f t="shared" si="3"/>
        <v>https://zfin.org/</v>
      </c>
      <c r="E14207" t="s">
        <v>42393</v>
      </c>
    </row>
    <row r="14208" spans="1:5" x14ac:dyDescent="0.2">
      <c r="A14208" t="s">
        <v>42394</v>
      </c>
      <c r="B14208" t="s">
        <v>42395</v>
      </c>
      <c r="C14208" t="s">
        <v>42395</v>
      </c>
      <c r="D14208" t="str">
        <f t="shared" si="3"/>
        <v>https://zfin.org/</v>
      </c>
    </row>
    <row r="14209" spans="1:5" x14ac:dyDescent="0.2">
      <c r="A14209" t="s">
        <v>42396</v>
      </c>
      <c r="B14209" t="s">
        <v>42397</v>
      </c>
      <c r="C14209" t="s">
        <v>42397</v>
      </c>
      <c r="D14209" t="str">
        <f t="shared" si="3"/>
        <v>https://zfin.org/</v>
      </c>
    </row>
    <row r="14210" spans="1:5" x14ac:dyDescent="0.2">
      <c r="A14210" t="s">
        <v>42398</v>
      </c>
      <c r="B14210" t="s">
        <v>42399</v>
      </c>
      <c r="C14210" t="s">
        <v>42399</v>
      </c>
      <c r="D14210" t="str">
        <f>HYPERLINK("https://zfin.org/ZDB-GENE-040426-2163")</f>
        <v>https://zfin.org/ZDB-GENE-040426-2163</v>
      </c>
      <c r="E14210" t="s">
        <v>42400</v>
      </c>
    </row>
    <row r="14211" spans="1:5" x14ac:dyDescent="0.2">
      <c r="A14211" t="s">
        <v>42401</v>
      </c>
      <c r="B14211" t="s">
        <v>42402</v>
      </c>
      <c r="C14211" t="s">
        <v>42402</v>
      </c>
      <c r="D14211" t="str">
        <f>HYPERLINK("https://zfin.org/ZDB-GENE-061013-802")</f>
        <v>https://zfin.org/ZDB-GENE-061013-802</v>
      </c>
      <c r="E14211" t="s">
        <v>42403</v>
      </c>
    </row>
    <row r="14212" spans="1:5" x14ac:dyDescent="0.2">
      <c r="A14212" t="s">
        <v>42404</v>
      </c>
      <c r="B14212" t="s">
        <v>42405</v>
      </c>
      <c r="C14212" t="s">
        <v>42405</v>
      </c>
      <c r="D14212" t="str">
        <f>HYPERLINK("https://zfin.org/")</f>
        <v>https://zfin.org/</v>
      </c>
      <c r="E14212" t="s">
        <v>42406</v>
      </c>
    </row>
    <row r="14213" spans="1:5" x14ac:dyDescent="0.2">
      <c r="A14213" t="s">
        <v>42407</v>
      </c>
      <c r="B14213" t="s">
        <v>42408</v>
      </c>
      <c r="C14213" t="s">
        <v>42408</v>
      </c>
      <c r="D14213" t="str">
        <f>HYPERLINK("https://zfin.org/ZDB-GENE-040426-895")</f>
        <v>https://zfin.org/ZDB-GENE-040426-895</v>
      </c>
      <c r="E14213" t="s">
        <v>42409</v>
      </c>
    </row>
    <row r="14214" spans="1:5" x14ac:dyDescent="0.2">
      <c r="A14214" t="s">
        <v>42410</v>
      </c>
      <c r="B14214" t="s">
        <v>42411</v>
      </c>
      <c r="C14214" t="s">
        <v>42411</v>
      </c>
      <c r="D14214" t="str">
        <f>HYPERLINK("https://zfin.org/ZDB-GENE-110719-1")</f>
        <v>https://zfin.org/ZDB-GENE-110719-1</v>
      </c>
      <c r="E14214" t="s">
        <v>42412</v>
      </c>
    </row>
    <row r="14215" spans="1:5" x14ac:dyDescent="0.2">
      <c r="A14215" t="s">
        <v>42413</v>
      </c>
      <c r="B14215" t="s">
        <v>42414</v>
      </c>
      <c r="C14215" t="s">
        <v>42414</v>
      </c>
      <c r="D14215" t="str">
        <f>HYPERLINK("https://zfin.org/")</f>
        <v>https://zfin.org/</v>
      </c>
      <c r="E14215" t="s">
        <v>42415</v>
      </c>
    </row>
    <row r="14216" spans="1:5" x14ac:dyDescent="0.2">
      <c r="A14216" t="s">
        <v>42416</v>
      </c>
      <c r="B14216" t="s">
        <v>42417</v>
      </c>
      <c r="C14216" t="s">
        <v>42417</v>
      </c>
      <c r="D14216" t="str">
        <f>HYPERLINK("https://zfin.org/ZDB-GENE-061013-547")</f>
        <v>https://zfin.org/ZDB-GENE-061013-547</v>
      </c>
      <c r="E14216" t="s">
        <v>42418</v>
      </c>
    </row>
    <row r="14217" spans="1:5" x14ac:dyDescent="0.2">
      <c r="A14217" t="s">
        <v>42419</v>
      </c>
      <c r="B14217" t="s">
        <v>42420</v>
      </c>
      <c r="C14217" t="s">
        <v>42420</v>
      </c>
      <c r="D14217" t="str">
        <f>HYPERLINK("https://zfin.org/")</f>
        <v>https://zfin.org/</v>
      </c>
      <c r="E14217" t="s">
        <v>42421</v>
      </c>
    </row>
    <row r="14218" spans="1:5" x14ac:dyDescent="0.2">
      <c r="A14218" t="s">
        <v>42422</v>
      </c>
      <c r="B14218" t="s">
        <v>42423</v>
      </c>
      <c r="C14218" t="s">
        <v>42423</v>
      </c>
      <c r="D14218" t="str">
        <f>HYPERLINK("https://zfin.org/")</f>
        <v>https://zfin.org/</v>
      </c>
    </row>
    <row r="14219" spans="1:5" x14ac:dyDescent="0.2">
      <c r="A14219" t="s">
        <v>42424</v>
      </c>
      <c r="B14219" t="s">
        <v>42425</v>
      </c>
      <c r="C14219" t="s">
        <v>42425</v>
      </c>
      <c r="D14219" t="str">
        <f>HYPERLINK("https://zfin.org/ZDB-GENE-040426-1732")</f>
        <v>https://zfin.org/ZDB-GENE-040426-1732</v>
      </c>
      <c r="E14219" t="s">
        <v>42426</v>
      </c>
    </row>
    <row r="14220" spans="1:5" x14ac:dyDescent="0.2">
      <c r="A14220" t="s">
        <v>42427</v>
      </c>
      <c r="B14220" t="s">
        <v>42428</v>
      </c>
      <c r="C14220" t="s">
        <v>42428</v>
      </c>
      <c r="D14220" t="str">
        <f>HYPERLINK("https://zfin.org/ZDB-GENE-041008-192")</f>
        <v>https://zfin.org/ZDB-GENE-041008-192</v>
      </c>
      <c r="E14220" t="s">
        <v>42429</v>
      </c>
    </row>
    <row r="14221" spans="1:5" x14ac:dyDescent="0.2">
      <c r="A14221" t="s">
        <v>42430</v>
      </c>
      <c r="B14221" t="s">
        <v>42431</v>
      </c>
      <c r="C14221" t="s">
        <v>42431</v>
      </c>
      <c r="D14221" t="str">
        <f>HYPERLINK("https://zfin.org/ZDB-GENE-020419-16")</f>
        <v>https://zfin.org/ZDB-GENE-020419-16</v>
      </c>
      <c r="E14221" t="s">
        <v>42432</v>
      </c>
    </row>
    <row r="14222" spans="1:5" x14ac:dyDescent="0.2">
      <c r="A14222" t="s">
        <v>42433</v>
      </c>
      <c r="B14222" t="s">
        <v>42434</v>
      </c>
      <c r="C14222" t="s">
        <v>42434</v>
      </c>
      <c r="D14222" t="str">
        <f>HYPERLINK("https://zfin.org/ZDB-GENE-040426-2572")</f>
        <v>https://zfin.org/ZDB-GENE-040426-2572</v>
      </c>
      <c r="E14222" t="s">
        <v>42435</v>
      </c>
    </row>
    <row r="14223" spans="1:5" x14ac:dyDescent="0.2">
      <c r="A14223" t="s">
        <v>42436</v>
      </c>
      <c r="B14223" t="s">
        <v>42437</v>
      </c>
      <c r="C14223" t="s">
        <v>42437</v>
      </c>
      <c r="D14223" t="str">
        <f>HYPERLINK("https://zfin.org/ZDB-GENE-040426-2657")</f>
        <v>https://zfin.org/ZDB-GENE-040426-2657</v>
      </c>
      <c r="E14223" t="s">
        <v>42438</v>
      </c>
    </row>
    <row r="14224" spans="1:5" x14ac:dyDescent="0.2">
      <c r="A14224" t="s">
        <v>42439</v>
      </c>
      <c r="B14224" t="s">
        <v>42440</v>
      </c>
      <c r="C14224" t="s">
        <v>42440</v>
      </c>
      <c r="D14224" t="str">
        <f>HYPERLINK("https://zfin.org/ZDB-GENE-081022-183")</f>
        <v>https://zfin.org/ZDB-GENE-081022-183</v>
      </c>
      <c r="E14224" t="s">
        <v>42441</v>
      </c>
    </row>
    <row r="14225" spans="1:5" x14ac:dyDescent="0.2">
      <c r="A14225" t="s">
        <v>42442</v>
      </c>
      <c r="B14225" t="s">
        <v>42443</v>
      </c>
      <c r="C14225" t="s">
        <v>42443</v>
      </c>
      <c r="D14225" t="str">
        <f>HYPERLINK("https://zfin.org/")</f>
        <v>https://zfin.org/</v>
      </c>
    </row>
    <row r="14226" spans="1:5" x14ac:dyDescent="0.2">
      <c r="A14226" t="s">
        <v>42444</v>
      </c>
      <c r="B14226" t="s">
        <v>42445</v>
      </c>
      <c r="C14226" t="s">
        <v>42445</v>
      </c>
      <c r="D14226" t="str">
        <f>HYPERLINK("https://zfin.org/")</f>
        <v>https://zfin.org/</v>
      </c>
      <c r="E14226" t="s">
        <v>42446</v>
      </c>
    </row>
    <row r="14227" spans="1:5" x14ac:dyDescent="0.2">
      <c r="A14227" t="s">
        <v>42447</v>
      </c>
      <c r="B14227" t="s">
        <v>42448</v>
      </c>
      <c r="C14227" t="s">
        <v>42448</v>
      </c>
      <c r="D14227" t="str">
        <f>HYPERLINK("https://zfin.org/ZDB-GENE-040426-932")</f>
        <v>https://zfin.org/ZDB-GENE-040426-932</v>
      </c>
      <c r="E14227" t="s">
        <v>42449</v>
      </c>
    </row>
    <row r="14228" spans="1:5" x14ac:dyDescent="0.2">
      <c r="A14228" t="s">
        <v>42450</v>
      </c>
      <c r="B14228" t="s">
        <v>42451</v>
      </c>
      <c r="C14228" t="s">
        <v>42451</v>
      </c>
      <c r="D14228" t="str">
        <f>HYPERLINK("https://zfin.org/")</f>
        <v>https://zfin.org/</v>
      </c>
      <c r="E14228" t="s">
        <v>42452</v>
      </c>
    </row>
    <row r="14229" spans="1:5" x14ac:dyDescent="0.2">
      <c r="A14229" t="s">
        <v>42453</v>
      </c>
      <c r="B14229" t="s">
        <v>42454</v>
      </c>
      <c r="C14229" t="s">
        <v>42454</v>
      </c>
      <c r="D14229" t="str">
        <f>HYPERLINK("https://zfin.org/")</f>
        <v>https://zfin.org/</v>
      </c>
    </row>
    <row r="14230" spans="1:5" x14ac:dyDescent="0.2">
      <c r="A14230" t="s">
        <v>42455</v>
      </c>
      <c r="B14230" t="s">
        <v>42456</v>
      </c>
      <c r="C14230" t="s">
        <v>42456</v>
      </c>
      <c r="D14230" t="str">
        <f>HYPERLINK("https://zfin.org/")</f>
        <v>https://zfin.org/</v>
      </c>
    </row>
    <row r="14231" spans="1:5" x14ac:dyDescent="0.2">
      <c r="A14231" t="s">
        <v>42457</v>
      </c>
      <c r="B14231" t="s">
        <v>42458</v>
      </c>
      <c r="C14231" t="s">
        <v>42458</v>
      </c>
      <c r="D14231" t="str">
        <f>HYPERLINK("https://zfin.org/ZDB-GENE-050320-37")</f>
        <v>https://zfin.org/ZDB-GENE-050320-37</v>
      </c>
      <c r="E14231" t="s">
        <v>42459</v>
      </c>
    </row>
    <row r="14232" spans="1:5" x14ac:dyDescent="0.2">
      <c r="A14232" t="s">
        <v>42460</v>
      </c>
      <c r="B14232" t="s">
        <v>42461</v>
      </c>
      <c r="C14232" t="s">
        <v>42461</v>
      </c>
      <c r="D14232" t="str">
        <f>HYPERLINK("https://zfin.org/ZDB-GENE-030131-6710")</f>
        <v>https://zfin.org/ZDB-GENE-030131-6710</v>
      </c>
      <c r="E14232" t="s">
        <v>42462</v>
      </c>
    </row>
    <row r="14233" spans="1:5" x14ac:dyDescent="0.2">
      <c r="A14233" t="s">
        <v>42463</v>
      </c>
      <c r="B14233" t="s">
        <v>42464</v>
      </c>
      <c r="C14233" t="s">
        <v>42464</v>
      </c>
      <c r="D14233" t="str">
        <f>HYPERLINK("https://zfin.org/ZDB-GENE-050417-338")</f>
        <v>https://zfin.org/ZDB-GENE-050417-338</v>
      </c>
      <c r="E14233" t="s">
        <v>42465</v>
      </c>
    </row>
    <row r="14234" spans="1:5" x14ac:dyDescent="0.2">
      <c r="A14234" t="s">
        <v>42466</v>
      </c>
      <c r="B14234" t="s">
        <v>42467</v>
      </c>
      <c r="C14234" t="s">
        <v>42467</v>
      </c>
      <c r="D14234" t="str">
        <f>HYPERLINK("https://zfin.org/")</f>
        <v>https://zfin.org/</v>
      </c>
      <c r="E14234" t="s">
        <v>42468</v>
      </c>
    </row>
    <row r="14235" spans="1:5" x14ac:dyDescent="0.2">
      <c r="A14235" t="s">
        <v>42469</v>
      </c>
      <c r="B14235" t="s">
        <v>42470</v>
      </c>
      <c r="C14235" t="s">
        <v>42470</v>
      </c>
      <c r="D14235" t="str">
        <f>HYPERLINK("https://zfin.org/")</f>
        <v>https://zfin.org/</v>
      </c>
      <c r="E14235" t="s">
        <v>42471</v>
      </c>
    </row>
    <row r="14236" spans="1:5" x14ac:dyDescent="0.2">
      <c r="A14236" t="s">
        <v>42472</v>
      </c>
      <c r="B14236" t="s">
        <v>42473</v>
      </c>
      <c r="C14236" t="s">
        <v>42473</v>
      </c>
      <c r="D14236" t="str">
        <f>HYPERLINK("https://zfin.org/")</f>
        <v>https://zfin.org/</v>
      </c>
      <c r="E14236" t="s">
        <v>42474</v>
      </c>
    </row>
    <row r="14237" spans="1:5" x14ac:dyDescent="0.2">
      <c r="A14237" t="s">
        <v>42475</v>
      </c>
      <c r="B14237" t="s">
        <v>42476</v>
      </c>
      <c r="C14237" t="s">
        <v>42476</v>
      </c>
      <c r="D14237" t="str">
        <f>HYPERLINK("https://zfin.org/")</f>
        <v>https://zfin.org/</v>
      </c>
      <c r="E14237" t="s">
        <v>42477</v>
      </c>
    </row>
    <row r="14238" spans="1:5" x14ac:dyDescent="0.2">
      <c r="A14238" t="s">
        <v>42478</v>
      </c>
      <c r="B14238" t="s">
        <v>42479</v>
      </c>
      <c r="C14238" t="s">
        <v>42479</v>
      </c>
      <c r="D14238" t="str">
        <f>HYPERLINK("https://zfin.org/")</f>
        <v>https://zfin.org/</v>
      </c>
      <c r="E14238" t="s">
        <v>42480</v>
      </c>
    </row>
    <row r="14239" spans="1:5" x14ac:dyDescent="0.2">
      <c r="A14239" t="s">
        <v>42481</v>
      </c>
      <c r="B14239" t="s">
        <v>42482</v>
      </c>
      <c r="C14239" t="s">
        <v>42482</v>
      </c>
      <c r="D14239" t="str">
        <f>HYPERLINK("https://zfin.org/ZDB-GENE-031112-11")</f>
        <v>https://zfin.org/ZDB-GENE-031112-11</v>
      </c>
      <c r="E14239" t="s">
        <v>42483</v>
      </c>
    </row>
    <row r="14240" spans="1:5" x14ac:dyDescent="0.2">
      <c r="A14240" t="s">
        <v>42484</v>
      </c>
      <c r="B14240" t="s">
        <v>42485</v>
      </c>
      <c r="C14240" t="s">
        <v>42485</v>
      </c>
      <c r="D14240" t="str">
        <f>HYPERLINK("https://zfin.org/ZDB-GENE-060929-88")</f>
        <v>https://zfin.org/ZDB-GENE-060929-88</v>
      </c>
      <c r="E14240" t="s">
        <v>42486</v>
      </c>
    </row>
    <row r="14241" spans="1:5" x14ac:dyDescent="0.2">
      <c r="A14241" t="s">
        <v>42487</v>
      </c>
      <c r="B14241" t="s">
        <v>42488</v>
      </c>
      <c r="C14241" t="s">
        <v>42488</v>
      </c>
      <c r="D14241" t="str">
        <f>HYPERLINK("https://zfin.org/")</f>
        <v>https://zfin.org/</v>
      </c>
      <c r="E14241" t="s">
        <v>42489</v>
      </c>
    </row>
    <row r="14242" spans="1:5" x14ac:dyDescent="0.2">
      <c r="A14242" t="s">
        <v>42490</v>
      </c>
      <c r="B14242" t="s">
        <v>42491</v>
      </c>
      <c r="C14242" t="s">
        <v>42491</v>
      </c>
      <c r="D14242" t="str">
        <f>HYPERLINK("https://zfin.org/")</f>
        <v>https://zfin.org/</v>
      </c>
    </row>
    <row r="14243" spans="1:5" x14ac:dyDescent="0.2">
      <c r="A14243" t="s">
        <v>42492</v>
      </c>
      <c r="B14243" t="s">
        <v>42493</v>
      </c>
      <c r="C14243" t="s">
        <v>42493</v>
      </c>
      <c r="D14243" t="str">
        <f>HYPERLINK("https://zfin.org/ZDB-GENE-081022-122")</f>
        <v>https://zfin.org/ZDB-GENE-081022-122</v>
      </c>
      <c r="E14243" t="s">
        <v>42494</v>
      </c>
    </row>
    <row r="14244" spans="1:5" x14ac:dyDescent="0.2">
      <c r="A14244" t="s">
        <v>42495</v>
      </c>
      <c r="B14244" t="s">
        <v>42496</v>
      </c>
      <c r="C14244" t="s">
        <v>42496</v>
      </c>
      <c r="D14244" t="str">
        <f>HYPERLINK("https://zfin.org/ZDB-GENE-060825-200")</f>
        <v>https://zfin.org/ZDB-GENE-060825-200</v>
      </c>
      <c r="E14244" t="s">
        <v>42497</v>
      </c>
    </row>
    <row r="14245" spans="1:5" x14ac:dyDescent="0.2">
      <c r="A14245" t="s">
        <v>42498</v>
      </c>
      <c r="B14245" t="s">
        <v>42499</v>
      </c>
      <c r="C14245" t="s">
        <v>42499</v>
      </c>
      <c r="D14245" t="str">
        <f>HYPERLINK("https://zfin.org/")</f>
        <v>https://zfin.org/</v>
      </c>
      <c r="E14245" t="s">
        <v>42500</v>
      </c>
    </row>
    <row r="14246" spans="1:5" x14ac:dyDescent="0.2">
      <c r="A14246" t="s">
        <v>42501</v>
      </c>
      <c r="B14246" t="s">
        <v>42502</v>
      </c>
      <c r="C14246" t="s">
        <v>42502</v>
      </c>
      <c r="D14246" t="str">
        <f>HYPERLINK("https://zfin.org/")</f>
        <v>https://zfin.org/</v>
      </c>
    </row>
    <row r="14247" spans="1:5" x14ac:dyDescent="0.2">
      <c r="A14247" t="s">
        <v>42503</v>
      </c>
      <c r="B14247" t="s">
        <v>42504</v>
      </c>
      <c r="C14247" t="s">
        <v>42504</v>
      </c>
      <c r="D14247" t="str">
        <f>HYPERLINK("https://zfin.org/")</f>
        <v>https://zfin.org/</v>
      </c>
      <c r="E14247" t="s">
        <v>42505</v>
      </c>
    </row>
    <row r="14248" spans="1:5" x14ac:dyDescent="0.2">
      <c r="A14248" t="s">
        <v>42506</v>
      </c>
      <c r="B14248" t="s">
        <v>26448</v>
      </c>
      <c r="C14248" t="s">
        <v>42507</v>
      </c>
      <c r="D14248" t="str">
        <f>HYPERLINK("https://zfin.org/ZDB-GENE-040426-1976")</f>
        <v>https://zfin.org/ZDB-GENE-040426-1976</v>
      </c>
      <c r="E14248" t="s">
        <v>26449</v>
      </c>
    </row>
    <row r="14249" spans="1:5" x14ac:dyDescent="0.2">
      <c r="A14249" t="s">
        <v>42508</v>
      </c>
      <c r="B14249" t="s">
        <v>42509</v>
      </c>
      <c r="C14249" t="s">
        <v>42509</v>
      </c>
      <c r="D14249" t="str">
        <f>HYPERLINK("https://zfin.org/ZDB-GENE-040426-1832")</f>
        <v>https://zfin.org/ZDB-GENE-040426-1832</v>
      </c>
      <c r="E14249" t="s">
        <v>42510</v>
      </c>
    </row>
    <row r="14250" spans="1:5" x14ac:dyDescent="0.2">
      <c r="A14250" t="s">
        <v>42511</v>
      </c>
      <c r="B14250" t="s">
        <v>42512</v>
      </c>
      <c r="C14250" t="s">
        <v>42512</v>
      </c>
      <c r="D14250" t="str">
        <f>HYPERLINK("https://zfin.org/")</f>
        <v>https://zfin.org/</v>
      </c>
      <c r="E14250" t="s">
        <v>42513</v>
      </c>
    </row>
    <row r="14251" spans="1:5" x14ac:dyDescent="0.2">
      <c r="A14251" t="s">
        <v>42514</v>
      </c>
      <c r="B14251" t="s">
        <v>42515</v>
      </c>
      <c r="C14251" t="s">
        <v>42515</v>
      </c>
      <c r="D14251" t="str">
        <f>HYPERLINK("https://zfin.org/")</f>
        <v>https://zfin.org/</v>
      </c>
      <c r="E14251" t="s">
        <v>42516</v>
      </c>
    </row>
    <row r="14252" spans="1:5" x14ac:dyDescent="0.2">
      <c r="A14252" t="s">
        <v>42517</v>
      </c>
      <c r="B14252" t="s">
        <v>42518</v>
      </c>
      <c r="C14252" t="s">
        <v>42518</v>
      </c>
      <c r="D14252" t="str">
        <f>HYPERLINK("https://zfin.org/")</f>
        <v>https://zfin.org/</v>
      </c>
      <c r="E14252" t="s">
        <v>42519</v>
      </c>
    </row>
    <row r="14253" spans="1:5" x14ac:dyDescent="0.2">
      <c r="A14253" t="s">
        <v>42520</v>
      </c>
      <c r="B14253" t="s">
        <v>42521</v>
      </c>
      <c r="C14253" t="s">
        <v>42521</v>
      </c>
      <c r="D14253" t="str">
        <f>HYPERLINK("https://zfin.org/ZDB-GENE-030131-2260")</f>
        <v>https://zfin.org/ZDB-GENE-030131-2260</v>
      </c>
      <c r="E14253" t="s">
        <v>42522</v>
      </c>
    </row>
    <row r="14254" spans="1:5" x14ac:dyDescent="0.2">
      <c r="A14254" t="s">
        <v>42523</v>
      </c>
      <c r="B14254" t="s">
        <v>42524</v>
      </c>
      <c r="C14254" t="s">
        <v>42524</v>
      </c>
      <c r="D14254" t="str">
        <f>HYPERLINK("https://zfin.org/")</f>
        <v>https://zfin.org/</v>
      </c>
      <c r="E14254" t="s">
        <v>42525</v>
      </c>
    </row>
    <row r="14255" spans="1:5" x14ac:dyDescent="0.2">
      <c r="A14255" t="s">
        <v>42526</v>
      </c>
      <c r="B14255" t="s">
        <v>42527</v>
      </c>
      <c r="C14255" t="s">
        <v>42527</v>
      </c>
      <c r="D14255" t="str">
        <f>HYPERLINK("https://zfin.org/ZDB-GENE-040426-1207")</f>
        <v>https://zfin.org/ZDB-GENE-040426-1207</v>
      </c>
      <c r="E14255" t="s">
        <v>42528</v>
      </c>
    </row>
    <row r="14256" spans="1:5" x14ac:dyDescent="0.2">
      <c r="A14256" t="s">
        <v>42529</v>
      </c>
      <c r="B14256" t="s">
        <v>42530</v>
      </c>
      <c r="C14256" t="s">
        <v>42530</v>
      </c>
      <c r="D14256" t="str">
        <f>HYPERLINK("https://zfin.org/ZDB-GENE-051113-64")</f>
        <v>https://zfin.org/ZDB-GENE-051113-64</v>
      </c>
      <c r="E14256" t="s">
        <v>42531</v>
      </c>
    </row>
    <row r="14257" spans="1:5" x14ac:dyDescent="0.2">
      <c r="A14257" t="s">
        <v>42532</v>
      </c>
      <c r="B14257" t="s">
        <v>22740</v>
      </c>
      <c r="C14257" t="s">
        <v>42533</v>
      </c>
      <c r="D14257" t="str">
        <f>HYPERLINK("https://zfin.org/ZDB-GENE-121214-308")</f>
        <v>https://zfin.org/ZDB-GENE-121214-308</v>
      </c>
      <c r="E14257" t="s">
        <v>22741</v>
      </c>
    </row>
    <row r="14258" spans="1:5" x14ac:dyDescent="0.2">
      <c r="A14258" t="s">
        <v>42534</v>
      </c>
      <c r="B14258" t="s">
        <v>42535</v>
      </c>
      <c r="C14258" t="s">
        <v>42535</v>
      </c>
      <c r="D14258" t="str">
        <f>HYPERLINK("https://zfin.org/ZDB-GENE-040702-2")</f>
        <v>https://zfin.org/ZDB-GENE-040702-2</v>
      </c>
      <c r="E14258" t="s">
        <v>42536</v>
      </c>
    </row>
    <row r="14259" spans="1:5" x14ac:dyDescent="0.2">
      <c r="A14259" t="s">
        <v>42537</v>
      </c>
      <c r="B14259" t="s">
        <v>42538</v>
      </c>
      <c r="C14259" t="s">
        <v>42538</v>
      </c>
      <c r="D14259" t="str">
        <f>HYPERLINK("https://zfin.org/ZDB-GENE-040426-2055")</f>
        <v>https://zfin.org/ZDB-GENE-040426-2055</v>
      </c>
      <c r="E14259" t="s">
        <v>42539</v>
      </c>
    </row>
    <row r="14260" spans="1:5" x14ac:dyDescent="0.2">
      <c r="A14260" t="s">
        <v>42540</v>
      </c>
      <c r="B14260" t="s">
        <v>42541</v>
      </c>
      <c r="C14260" t="s">
        <v>42541</v>
      </c>
      <c r="D14260" t="str">
        <f>HYPERLINK("https://zfin.org/")</f>
        <v>https://zfin.org/</v>
      </c>
      <c r="E14260" t="s">
        <v>42542</v>
      </c>
    </row>
    <row r="14261" spans="1:5" x14ac:dyDescent="0.2">
      <c r="A14261" t="s">
        <v>42543</v>
      </c>
      <c r="B14261" t="s">
        <v>42544</v>
      </c>
      <c r="C14261" t="s">
        <v>42544</v>
      </c>
      <c r="D14261" t="str">
        <f>HYPERLINK("https://zfin.org/ZDB-GENE-040801-5")</f>
        <v>https://zfin.org/ZDB-GENE-040801-5</v>
      </c>
      <c r="E14261" t="s">
        <v>42545</v>
      </c>
    </row>
    <row r="14262" spans="1:5" x14ac:dyDescent="0.2">
      <c r="A14262" t="s">
        <v>42546</v>
      </c>
      <c r="B14262" t="s">
        <v>42547</v>
      </c>
      <c r="C14262" t="s">
        <v>42547</v>
      </c>
      <c r="D14262" t="str">
        <f>HYPERLINK("https://zfin.org/ZDB-GENE-041105-2")</f>
        <v>https://zfin.org/ZDB-GENE-041105-2</v>
      </c>
      <c r="E14262" t="s">
        <v>42548</v>
      </c>
    </row>
    <row r="14263" spans="1:5" x14ac:dyDescent="0.2">
      <c r="A14263" t="s">
        <v>42549</v>
      </c>
      <c r="B14263" t="s">
        <v>42550</v>
      </c>
      <c r="C14263" t="s">
        <v>42550</v>
      </c>
      <c r="D14263" t="str">
        <f>HYPERLINK("https://zfin.org/ZDB-GENE-050522-351")</f>
        <v>https://zfin.org/ZDB-GENE-050522-351</v>
      </c>
      <c r="E14263" t="s">
        <v>42551</v>
      </c>
    </row>
    <row r="14264" spans="1:5" x14ac:dyDescent="0.2">
      <c r="A14264" t="s">
        <v>42552</v>
      </c>
      <c r="B14264" t="s">
        <v>42553</v>
      </c>
      <c r="C14264" t="s">
        <v>42553</v>
      </c>
      <c r="D14264" t="str">
        <f>HYPERLINK("https://zfin.org/ZDB-GENE-031118-76")</f>
        <v>https://zfin.org/ZDB-GENE-031118-76</v>
      </c>
      <c r="E14264" t="s">
        <v>42554</v>
      </c>
    </row>
    <row r="14265" spans="1:5" x14ac:dyDescent="0.2">
      <c r="A14265" t="s">
        <v>42555</v>
      </c>
      <c r="B14265" t="s">
        <v>42556</v>
      </c>
      <c r="C14265" t="s">
        <v>42556</v>
      </c>
      <c r="D14265" t="str">
        <f>HYPERLINK("https://zfin.org/ZDB-GENE-050417-82")</f>
        <v>https://zfin.org/ZDB-GENE-050417-82</v>
      </c>
      <c r="E14265" t="s">
        <v>42557</v>
      </c>
    </row>
    <row r="14266" spans="1:5" x14ac:dyDescent="0.2">
      <c r="A14266" t="s">
        <v>42558</v>
      </c>
      <c r="B14266" t="s">
        <v>42559</v>
      </c>
      <c r="C14266" t="s">
        <v>42559</v>
      </c>
      <c r="D14266" t="str">
        <f>HYPERLINK("https://zfin.org/ZDB-GENE-030131-823")</f>
        <v>https://zfin.org/ZDB-GENE-030131-823</v>
      </c>
      <c r="E14266" t="s">
        <v>42560</v>
      </c>
    </row>
    <row r="14267" spans="1:5" x14ac:dyDescent="0.2">
      <c r="A14267" t="s">
        <v>42561</v>
      </c>
      <c r="B14267" t="s">
        <v>42562</v>
      </c>
      <c r="C14267" t="s">
        <v>42562</v>
      </c>
      <c r="D14267" t="str">
        <f>HYPERLINK("https://zfin.org/ZDB-GENE-081022-66")</f>
        <v>https://zfin.org/ZDB-GENE-081022-66</v>
      </c>
      <c r="E14267" t="s">
        <v>42563</v>
      </c>
    </row>
    <row r="14268" spans="1:5" x14ac:dyDescent="0.2">
      <c r="A14268" t="s">
        <v>42564</v>
      </c>
      <c r="B14268" t="s">
        <v>42565</v>
      </c>
      <c r="C14268" t="s">
        <v>42565</v>
      </c>
      <c r="D14268" t="str">
        <f>HYPERLINK("https://zfin.org/ZDB-GENE-040426-2298")</f>
        <v>https://zfin.org/ZDB-GENE-040426-2298</v>
      </c>
      <c r="E14268" t="s">
        <v>42566</v>
      </c>
    </row>
    <row r="14269" spans="1:5" x14ac:dyDescent="0.2">
      <c r="A14269" t="s">
        <v>42567</v>
      </c>
      <c r="B14269" t="s">
        <v>42568</v>
      </c>
      <c r="C14269" t="s">
        <v>42568</v>
      </c>
      <c r="D14269" t="str">
        <f>HYPERLINK("https://zfin.org/ZDB-GENE-040426-1754")</f>
        <v>https://zfin.org/ZDB-GENE-040426-1754</v>
      </c>
      <c r="E14269" t="s">
        <v>42569</v>
      </c>
    </row>
    <row r="14270" spans="1:5" x14ac:dyDescent="0.2">
      <c r="A14270" t="s">
        <v>42570</v>
      </c>
      <c r="B14270" t="s">
        <v>42571</v>
      </c>
      <c r="C14270" t="s">
        <v>42571</v>
      </c>
      <c r="D14270" t="str">
        <f>HYPERLINK("https://zfin.org/ZDB-GENE-070112-2382")</f>
        <v>https://zfin.org/ZDB-GENE-070112-2382</v>
      </c>
      <c r="E14270" t="s">
        <v>42572</v>
      </c>
    </row>
    <row r="14271" spans="1:5" x14ac:dyDescent="0.2">
      <c r="A14271" t="s">
        <v>42573</v>
      </c>
      <c r="B14271" t="s">
        <v>42574</v>
      </c>
      <c r="C14271" t="s">
        <v>42574</v>
      </c>
      <c r="D14271" t="str">
        <f>HYPERLINK("https://zfin.org/")</f>
        <v>https://zfin.org/</v>
      </c>
    </row>
    <row r="14272" spans="1:5" x14ac:dyDescent="0.2">
      <c r="A14272" t="s">
        <v>42575</v>
      </c>
      <c r="B14272" t="s">
        <v>42576</v>
      </c>
      <c r="C14272" t="s">
        <v>42576</v>
      </c>
      <c r="D14272" t="str">
        <f>HYPERLINK("https://zfin.org/ZDB-GENE-040801-59")</f>
        <v>https://zfin.org/ZDB-GENE-040801-59</v>
      </c>
      <c r="E14272" t="s">
        <v>42577</v>
      </c>
    </row>
    <row r="14273" spans="1:5" x14ac:dyDescent="0.2">
      <c r="A14273" t="s">
        <v>42578</v>
      </c>
      <c r="B14273" t="s">
        <v>42579</v>
      </c>
      <c r="C14273" t="s">
        <v>42579</v>
      </c>
      <c r="D14273" t="str">
        <f>HYPERLINK("https://zfin.org/")</f>
        <v>https://zfin.org/</v>
      </c>
    </row>
    <row r="14274" spans="1:5" x14ac:dyDescent="0.2">
      <c r="A14274" t="s">
        <v>42580</v>
      </c>
      <c r="B14274" t="s">
        <v>42581</v>
      </c>
      <c r="C14274" t="s">
        <v>42581</v>
      </c>
      <c r="D14274" t="str">
        <f>HYPERLINK("https://zfin.org/")</f>
        <v>https://zfin.org/</v>
      </c>
    </row>
    <row r="14275" spans="1:5" x14ac:dyDescent="0.2">
      <c r="A14275" t="s">
        <v>42582</v>
      </c>
      <c r="B14275" t="s">
        <v>42583</v>
      </c>
      <c r="C14275" t="s">
        <v>42583</v>
      </c>
      <c r="D14275" t="str">
        <f>HYPERLINK("https://zfin.org/ZDB-GENE-050208-4")</f>
        <v>https://zfin.org/ZDB-GENE-050208-4</v>
      </c>
      <c r="E14275" t="s">
        <v>42584</v>
      </c>
    </row>
    <row r="14276" spans="1:5" x14ac:dyDescent="0.2">
      <c r="A14276" t="s">
        <v>42585</v>
      </c>
      <c r="B14276" t="s">
        <v>42586</v>
      </c>
      <c r="C14276" t="s">
        <v>42586</v>
      </c>
      <c r="D14276" t="str">
        <f>HYPERLINK("https://zfin.org/ZDB-GENE-081022-111")</f>
        <v>https://zfin.org/ZDB-GENE-081022-111</v>
      </c>
      <c r="E14276" t="s">
        <v>42587</v>
      </c>
    </row>
    <row r="14277" spans="1:5" x14ac:dyDescent="0.2">
      <c r="A14277" t="s">
        <v>42588</v>
      </c>
      <c r="B14277" t="s">
        <v>42589</v>
      </c>
      <c r="C14277" t="s">
        <v>42589</v>
      </c>
      <c r="D14277" t="str">
        <f>HYPERLINK("https://zfin.org/ZDB-GENE-061103-154")</f>
        <v>https://zfin.org/ZDB-GENE-061103-154</v>
      </c>
      <c r="E14277" t="s">
        <v>42590</v>
      </c>
    </row>
    <row r="14278" spans="1:5" x14ac:dyDescent="0.2">
      <c r="A14278" t="s">
        <v>42591</v>
      </c>
      <c r="B14278" t="s">
        <v>42592</v>
      </c>
      <c r="C14278" t="s">
        <v>42592</v>
      </c>
      <c r="D14278" t="str">
        <f>HYPERLINK("https://zfin.org/ZDB-GENE-030131-1069")</f>
        <v>https://zfin.org/ZDB-GENE-030131-1069</v>
      </c>
      <c r="E14278" t="s">
        <v>42593</v>
      </c>
    </row>
    <row r="14279" spans="1:5" x14ac:dyDescent="0.2">
      <c r="A14279" t="s">
        <v>42594</v>
      </c>
      <c r="B14279" t="s">
        <v>42595</v>
      </c>
      <c r="C14279" t="s">
        <v>42595</v>
      </c>
      <c r="D14279" t="str">
        <f>HYPERLINK("https://zfin.org/ZDB-GENE-060608-2")</f>
        <v>https://zfin.org/ZDB-GENE-060608-2</v>
      </c>
      <c r="E14279" t="s">
        <v>42596</v>
      </c>
    </row>
    <row r="14280" spans="1:5" x14ac:dyDescent="0.2">
      <c r="A14280" t="s">
        <v>42597</v>
      </c>
      <c r="B14280" t="s">
        <v>42598</v>
      </c>
      <c r="C14280" t="s">
        <v>42598</v>
      </c>
      <c r="D14280" t="str">
        <f t="shared" ref="D14280:D14288" si="4">HYPERLINK("https://zfin.org/")</f>
        <v>https://zfin.org/</v>
      </c>
      <c r="E14280" t="s">
        <v>42599</v>
      </c>
    </row>
    <row r="14281" spans="1:5" x14ac:dyDescent="0.2">
      <c r="A14281" t="s">
        <v>42600</v>
      </c>
      <c r="B14281" t="s">
        <v>42601</v>
      </c>
      <c r="C14281" t="s">
        <v>42601</v>
      </c>
      <c r="D14281" t="str">
        <f t="shared" si="4"/>
        <v>https://zfin.org/</v>
      </c>
    </row>
    <row r="14282" spans="1:5" x14ac:dyDescent="0.2">
      <c r="A14282" t="s">
        <v>42602</v>
      </c>
      <c r="B14282" t="s">
        <v>42603</v>
      </c>
      <c r="C14282" t="s">
        <v>42603</v>
      </c>
      <c r="D14282" t="str">
        <f t="shared" si="4"/>
        <v>https://zfin.org/</v>
      </c>
      <c r="E14282" t="s">
        <v>42604</v>
      </c>
    </row>
    <row r="14283" spans="1:5" x14ac:dyDescent="0.2">
      <c r="A14283" t="s">
        <v>42605</v>
      </c>
      <c r="B14283" t="s">
        <v>42606</v>
      </c>
      <c r="C14283" t="s">
        <v>42606</v>
      </c>
      <c r="D14283" t="str">
        <f t="shared" si="4"/>
        <v>https://zfin.org/</v>
      </c>
      <c r="E14283" t="s">
        <v>42607</v>
      </c>
    </row>
    <row r="14284" spans="1:5" x14ac:dyDescent="0.2">
      <c r="A14284" t="s">
        <v>42608</v>
      </c>
      <c r="B14284" t="s">
        <v>42609</v>
      </c>
      <c r="C14284" t="s">
        <v>42609</v>
      </c>
      <c r="D14284" t="str">
        <f t="shared" si="4"/>
        <v>https://zfin.org/</v>
      </c>
    </row>
    <row r="14285" spans="1:5" x14ac:dyDescent="0.2">
      <c r="A14285" t="s">
        <v>42610</v>
      </c>
      <c r="B14285" t="s">
        <v>42611</v>
      </c>
      <c r="C14285" t="s">
        <v>42611</v>
      </c>
      <c r="D14285" t="str">
        <f t="shared" si="4"/>
        <v>https://zfin.org/</v>
      </c>
    </row>
    <row r="14286" spans="1:5" x14ac:dyDescent="0.2">
      <c r="A14286" t="s">
        <v>42612</v>
      </c>
      <c r="B14286" t="s">
        <v>42613</v>
      </c>
      <c r="C14286" t="s">
        <v>42613</v>
      </c>
      <c r="D14286" t="str">
        <f t="shared" si="4"/>
        <v>https://zfin.org/</v>
      </c>
    </row>
    <row r="14287" spans="1:5" x14ac:dyDescent="0.2">
      <c r="A14287" t="s">
        <v>42614</v>
      </c>
      <c r="B14287" t="s">
        <v>42615</v>
      </c>
      <c r="C14287" t="s">
        <v>42615</v>
      </c>
      <c r="D14287" t="str">
        <f t="shared" si="4"/>
        <v>https://zfin.org/</v>
      </c>
      <c r="E14287" t="s">
        <v>42616</v>
      </c>
    </row>
    <row r="14288" spans="1:5" x14ac:dyDescent="0.2">
      <c r="A14288" t="s">
        <v>42617</v>
      </c>
      <c r="B14288" t="s">
        <v>12333</v>
      </c>
      <c r="C14288" t="s">
        <v>42618</v>
      </c>
      <c r="D14288" t="str">
        <f t="shared" si="4"/>
        <v>https://zfin.org/</v>
      </c>
      <c r="E14288" t="s">
        <v>42619</v>
      </c>
    </row>
    <row r="14289" spans="1:5" x14ac:dyDescent="0.2">
      <c r="A14289" t="s">
        <v>42620</v>
      </c>
      <c r="B14289" t="s">
        <v>42621</v>
      </c>
      <c r="C14289" t="s">
        <v>42622</v>
      </c>
      <c r="D14289" t="str">
        <f>HYPERLINK("https://zfin.org/ZDB-GENE-070912-226")</f>
        <v>https://zfin.org/ZDB-GENE-070912-226</v>
      </c>
      <c r="E14289" t="s">
        <v>42623</v>
      </c>
    </row>
    <row r="14290" spans="1:5" x14ac:dyDescent="0.2">
      <c r="A14290" t="s">
        <v>42624</v>
      </c>
      <c r="B14290" t="s">
        <v>42625</v>
      </c>
      <c r="C14290" t="s">
        <v>42625</v>
      </c>
      <c r="D14290" t="str">
        <f>HYPERLINK("https://zfin.org/ZDB-GENE-021220-2")</f>
        <v>https://zfin.org/ZDB-GENE-021220-2</v>
      </c>
      <c r="E14290" t="s">
        <v>42626</v>
      </c>
    </row>
    <row r="14291" spans="1:5" x14ac:dyDescent="0.2">
      <c r="A14291" t="s">
        <v>42627</v>
      </c>
      <c r="B14291" t="s">
        <v>42628</v>
      </c>
      <c r="C14291" t="s">
        <v>42628</v>
      </c>
      <c r="D14291" t="str">
        <f>HYPERLINK("https://zfin.org/")</f>
        <v>https://zfin.org/</v>
      </c>
      <c r="E14291" t="s">
        <v>42629</v>
      </c>
    </row>
    <row r="14292" spans="1:5" x14ac:dyDescent="0.2">
      <c r="A14292" t="s">
        <v>42630</v>
      </c>
      <c r="B14292" t="s">
        <v>42631</v>
      </c>
      <c r="C14292" t="s">
        <v>42631</v>
      </c>
      <c r="D14292" t="str">
        <f>HYPERLINK("https://zfin.org/ZDB-GENE-050208-132")</f>
        <v>https://zfin.org/ZDB-GENE-050208-132</v>
      </c>
      <c r="E14292" t="s">
        <v>42632</v>
      </c>
    </row>
    <row r="14293" spans="1:5" x14ac:dyDescent="0.2">
      <c r="A14293" t="s">
        <v>42633</v>
      </c>
      <c r="B14293" t="s">
        <v>42634</v>
      </c>
      <c r="C14293" t="s">
        <v>42634</v>
      </c>
      <c r="D14293" t="str">
        <f>HYPERLINK("https://zfin.org/")</f>
        <v>https://zfin.org/</v>
      </c>
      <c r="E14293" t="s">
        <v>42635</v>
      </c>
    </row>
    <row r="14294" spans="1:5" x14ac:dyDescent="0.2">
      <c r="A14294" t="s">
        <v>42636</v>
      </c>
      <c r="B14294" t="s">
        <v>42637</v>
      </c>
      <c r="C14294" t="s">
        <v>42637</v>
      </c>
      <c r="D14294" t="str">
        <f>HYPERLINK("https://zfin.org/ZDB-GENE-040724-264")</f>
        <v>https://zfin.org/ZDB-GENE-040724-264</v>
      </c>
      <c r="E14294" t="s">
        <v>42638</v>
      </c>
    </row>
    <row r="14295" spans="1:5" x14ac:dyDescent="0.2">
      <c r="A14295" t="s">
        <v>42639</v>
      </c>
      <c r="B14295" t="s">
        <v>42640</v>
      </c>
      <c r="C14295" t="s">
        <v>42640</v>
      </c>
      <c r="D14295" t="str">
        <f>HYPERLINK("https://zfin.org/")</f>
        <v>https://zfin.org/</v>
      </c>
      <c r="E14295" t="s">
        <v>42641</v>
      </c>
    </row>
    <row r="14296" spans="1:5" x14ac:dyDescent="0.2">
      <c r="A14296" t="s">
        <v>42642</v>
      </c>
      <c r="B14296" t="s">
        <v>42643</v>
      </c>
      <c r="C14296" t="s">
        <v>42643</v>
      </c>
      <c r="D14296" t="str">
        <f>HYPERLINK("https://zfin.org/ZDB-GENE-070928-19")</f>
        <v>https://zfin.org/ZDB-GENE-070928-19</v>
      </c>
      <c r="E14296" t="s">
        <v>42644</v>
      </c>
    </row>
    <row r="14297" spans="1:5" x14ac:dyDescent="0.2">
      <c r="A14297" t="s">
        <v>42645</v>
      </c>
      <c r="B14297" t="s">
        <v>42646</v>
      </c>
      <c r="C14297" t="s">
        <v>42646</v>
      </c>
      <c r="D14297" t="str">
        <f>HYPERLINK("https://zfin.org/")</f>
        <v>https://zfin.org/</v>
      </c>
    </row>
    <row r="14298" spans="1:5" x14ac:dyDescent="0.2">
      <c r="A14298" t="s">
        <v>42647</v>
      </c>
      <c r="B14298" t="s">
        <v>42648</v>
      </c>
      <c r="C14298" t="s">
        <v>42648</v>
      </c>
      <c r="D14298" t="str">
        <f>HYPERLINK("https://zfin.org/ZDB-GENE-040426-955")</f>
        <v>https://zfin.org/ZDB-GENE-040426-955</v>
      </c>
      <c r="E14298" t="s">
        <v>42649</v>
      </c>
    </row>
    <row r="14299" spans="1:5" x14ac:dyDescent="0.2">
      <c r="A14299" t="s">
        <v>42650</v>
      </c>
      <c r="B14299" t="s">
        <v>42651</v>
      </c>
      <c r="C14299" t="s">
        <v>42651</v>
      </c>
      <c r="D14299" t="str">
        <f>HYPERLINK("https://zfin.org/ZDB-GENE-030131-4139")</f>
        <v>https://zfin.org/ZDB-GENE-030131-4139</v>
      </c>
      <c r="E14299" t="s">
        <v>42652</v>
      </c>
    </row>
    <row r="14300" spans="1:5" x14ac:dyDescent="0.2">
      <c r="A14300" t="s">
        <v>42653</v>
      </c>
      <c r="B14300" t="s">
        <v>42654</v>
      </c>
      <c r="C14300" t="s">
        <v>42654</v>
      </c>
      <c r="D14300" t="str">
        <f>HYPERLINK("https://zfin.org/")</f>
        <v>https://zfin.org/</v>
      </c>
    </row>
    <row r="14301" spans="1:5" x14ac:dyDescent="0.2">
      <c r="A14301" t="s">
        <v>42655</v>
      </c>
      <c r="B14301" t="s">
        <v>42656</v>
      </c>
      <c r="C14301" t="s">
        <v>42656</v>
      </c>
      <c r="D14301" t="str">
        <f>HYPERLINK("https://zfin.org/ZDB-GENE-120511-4")</f>
        <v>https://zfin.org/ZDB-GENE-120511-4</v>
      </c>
      <c r="E14301" t="s">
        <v>42657</v>
      </c>
    </row>
    <row r="14302" spans="1:5" x14ac:dyDescent="0.2">
      <c r="A14302" t="s">
        <v>42658</v>
      </c>
      <c r="B14302" t="s">
        <v>42659</v>
      </c>
      <c r="C14302" t="s">
        <v>42659</v>
      </c>
      <c r="D14302" t="str">
        <f>HYPERLINK("https://zfin.org/")</f>
        <v>https://zfin.org/</v>
      </c>
      <c r="E14302" t="s">
        <v>42660</v>
      </c>
    </row>
    <row r="14303" spans="1:5" x14ac:dyDescent="0.2">
      <c r="A14303" t="s">
        <v>42661</v>
      </c>
      <c r="B14303" t="s">
        <v>42662</v>
      </c>
      <c r="C14303" t="s">
        <v>42662</v>
      </c>
      <c r="D14303" t="str">
        <f>HYPERLINK("https://zfin.org/")</f>
        <v>https://zfin.org/</v>
      </c>
      <c r="E14303" t="s">
        <v>42663</v>
      </c>
    </row>
    <row r="14304" spans="1:5" x14ac:dyDescent="0.2">
      <c r="A14304" t="s">
        <v>42664</v>
      </c>
      <c r="B14304" t="s">
        <v>42665</v>
      </c>
      <c r="C14304" t="s">
        <v>42665</v>
      </c>
      <c r="D14304" t="str">
        <f>HYPERLINK("https://zfin.org/ZDB-GENE-030131-7676")</f>
        <v>https://zfin.org/ZDB-GENE-030131-7676</v>
      </c>
      <c r="E14304" t="s">
        <v>42666</v>
      </c>
    </row>
    <row r="14305" spans="1:5" x14ac:dyDescent="0.2">
      <c r="A14305" t="s">
        <v>42667</v>
      </c>
      <c r="B14305" t="s">
        <v>42668</v>
      </c>
      <c r="C14305" t="s">
        <v>42668</v>
      </c>
      <c r="D14305" t="str">
        <f>HYPERLINK("https://zfin.org/ZDB-GENE-041210-205")</f>
        <v>https://zfin.org/ZDB-GENE-041210-205</v>
      </c>
      <c r="E14305" t="s">
        <v>42669</v>
      </c>
    </row>
    <row r="14306" spans="1:5" x14ac:dyDescent="0.2">
      <c r="A14306" t="s">
        <v>42670</v>
      </c>
      <c r="B14306" t="s">
        <v>42671</v>
      </c>
      <c r="C14306" t="s">
        <v>42671</v>
      </c>
      <c r="D14306" t="str">
        <f>HYPERLINK("https://zfin.org/ZDB-GENE-100712-2")</f>
        <v>https://zfin.org/ZDB-GENE-100712-2</v>
      </c>
      <c r="E14306" t="s">
        <v>42672</v>
      </c>
    </row>
    <row r="14307" spans="1:5" x14ac:dyDescent="0.2">
      <c r="A14307" t="s">
        <v>42673</v>
      </c>
      <c r="B14307" t="s">
        <v>42674</v>
      </c>
      <c r="C14307" t="s">
        <v>42674</v>
      </c>
      <c r="D14307" t="str">
        <f>HYPERLINK("https://zfin.org/")</f>
        <v>https://zfin.org/</v>
      </c>
    </row>
    <row r="14308" spans="1:5" x14ac:dyDescent="0.2">
      <c r="A14308" t="s">
        <v>42675</v>
      </c>
      <c r="B14308" t="s">
        <v>42676</v>
      </c>
      <c r="C14308" t="s">
        <v>42676</v>
      </c>
      <c r="D14308" t="str">
        <f>HYPERLINK("https://zfin.org/")</f>
        <v>https://zfin.org/</v>
      </c>
    </row>
    <row r="14309" spans="1:5" x14ac:dyDescent="0.2">
      <c r="A14309" t="s">
        <v>42677</v>
      </c>
      <c r="B14309" t="s">
        <v>42678</v>
      </c>
      <c r="C14309" t="s">
        <v>42678</v>
      </c>
      <c r="D14309" t="str">
        <f>HYPERLINK("https://zfin.org/")</f>
        <v>https://zfin.org/</v>
      </c>
      <c r="E14309" t="s">
        <v>42679</v>
      </c>
    </row>
    <row r="14310" spans="1:5" x14ac:dyDescent="0.2">
      <c r="A14310" t="s">
        <v>42680</v>
      </c>
      <c r="B14310" t="s">
        <v>42681</v>
      </c>
      <c r="C14310" t="s">
        <v>42681</v>
      </c>
      <c r="D14310" t="str">
        <f>HYPERLINK("https://zfin.org/ZDB-GENE-041212-9")</f>
        <v>https://zfin.org/ZDB-GENE-041212-9</v>
      </c>
      <c r="E14310" t="s">
        <v>42682</v>
      </c>
    </row>
    <row r="14311" spans="1:5" x14ac:dyDescent="0.2">
      <c r="A14311" t="s">
        <v>42683</v>
      </c>
      <c r="B14311" t="s">
        <v>42684</v>
      </c>
      <c r="C14311" t="s">
        <v>42684</v>
      </c>
      <c r="D14311" t="str">
        <f>HYPERLINK("https://zfin.org/ZDB-GENE-071128-2")</f>
        <v>https://zfin.org/ZDB-GENE-071128-2</v>
      </c>
      <c r="E14311" t="s">
        <v>42685</v>
      </c>
    </row>
    <row r="14312" spans="1:5" x14ac:dyDescent="0.2">
      <c r="A14312" t="s">
        <v>42686</v>
      </c>
      <c r="B14312" t="s">
        <v>42687</v>
      </c>
      <c r="C14312" t="s">
        <v>42687</v>
      </c>
      <c r="D14312" t="str">
        <f>HYPERLINK("https://zfin.org/")</f>
        <v>https://zfin.org/</v>
      </c>
      <c r="E14312" t="s">
        <v>42688</v>
      </c>
    </row>
    <row r="14313" spans="1:5" x14ac:dyDescent="0.2">
      <c r="A14313" t="s">
        <v>42689</v>
      </c>
      <c r="B14313" t="s">
        <v>42690</v>
      </c>
      <c r="C14313" t="s">
        <v>42690</v>
      </c>
      <c r="D14313" t="str">
        <f>HYPERLINK("https://zfin.org/ZDB-GENE-030131-2291")</f>
        <v>https://zfin.org/ZDB-GENE-030131-2291</v>
      </c>
      <c r="E14313" t="s">
        <v>42691</v>
      </c>
    </row>
    <row r="14314" spans="1:5" x14ac:dyDescent="0.2">
      <c r="A14314" t="s">
        <v>42692</v>
      </c>
      <c r="B14314" t="s">
        <v>42693</v>
      </c>
      <c r="C14314" t="s">
        <v>42693</v>
      </c>
      <c r="D14314" t="str">
        <f>HYPERLINK("https://zfin.org/ZDB-GENE-130819-1")</f>
        <v>https://zfin.org/ZDB-GENE-130819-1</v>
      </c>
      <c r="E14314" t="s">
        <v>42694</v>
      </c>
    </row>
    <row r="14315" spans="1:5" x14ac:dyDescent="0.2">
      <c r="A14315" t="s">
        <v>42695</v>
      </c>
      <c r="B14315" t="s">
        <v>42696</v>
      </c>
      <c r="C14315" t="s">
        <v>42696</v>
      </c>
      <c r="D14315" t="str">
        <f>HYPERLINK("https://zfin.org/ZDB-GENE-040718-86")</f>
        <v>https://zfin.org/ZDB-GENE-040718-86</v>
      </c>
      <c r="E14315" t="s">
        <v>42697</v>
      </c>
    </row>
    <row r="14316" spans="1:5" x14ac:dyDescent="0.2">
      <c r="A14316" t="s">
        <v>42698</v>
      </c>
      <c r="B14316" t="s">
        <v>42699</v>
      </c>
      <c r="C14316" t="s">
        <v>42699</v>
      </c>
      <c r="D14316" t="str">
        <f>HYPERLINK("https://zfin.org/")</f>
        <v>https://zfin.org/</v>
      </c>
    </row>
    <row r="14317" spans="1:5" x14ac:dyDescent="0.2">
      <c r="A14317" t="s">
        <v>42700</v>
      </c>
      <c r="B14317" t="s">
        <v>42701</v>
      </c>
      <c r="C14317" t="s">
        <v>42701</v>
      </c>
      <c r="D14317" t="str">
        <f>HYPERLINK("https://zfin.org/ZDB-GENE-040808-68")</f>
        <v>https://zfin.org/ZDB-GENE-040808-68</v>
      </c>
      <c r="E14317" t="s">
        <v>42702</v>
      </c>
    </row>
    <row r="14318" spans="1:5" x14ac:dyDescent="0.2">
      <c r="A14318" t="s">
        <v>42703</v>
      </c>
      <c r="B14318" t="s">
        <v>42704</v>
      </c>
      <c r="C14318" t="s">
        <v>42704</v>
      </c>
      <c r="D14318" t="str">
        <f>HYPERLINK("https://zfin.org/")</f>
        <v>https://zfin.org/</v>
      </c>
      <c r="E14318" t="s">
        <v>42705</v>
      </c>
    </row>
    <row r="14319" spans="1:5" x14ac:dyDescent="0.2">
      <c r="A14319" t="s">
        <v>42706</v>
      </c>
      <c r="B14319" t="s">
        <v>42707</v>
      </c>
      <c r="C14319" t="s">
        <v>42707</v>
      </c>
      <c r="D14319" t="str">
        <f>HYPERLINK("https://zfin.org/ZDB-GENE-050913-131")</f>
        <v>https://zfin.org/ZDB-GENE-050913-131</v>
      </c>
      <c r="E14319" t="s">
        <v>42708</v>
      </c>
    </row>
    <row r="14320" spans="1:5" x14ac:dyDescent="0.2">
      <c r="A14320" t="s">
        <v>42709</v>
      </c>
      <c r="B14320" t="s">
        <v>42710</v>
      </c>
      <c r="C14320" t="s">
        <v>42710</v>
      </c>
      <c r="D14320" t="str">
        <f>HYPERLINK("https://zfin.org/")</f>
        <v>https://zfin.org/</v>
      </c>
      <c r="E14320" t="s">
        <v>42711</v>
      </c>
    </row>
    <row r="14321" spans="1:5" x14ac:dyDescent="0.2">
      <c r="A14321" t="s">
        <v>42712</v>
      </c>
      <c r="B14321" t="s">
        <v>42713</v>
      </c>
      <c r="C14321" t="s">
        <v>42713</v>
      </c>
      <c r="D14321" t="str">
        <f>HYPERLINK("https://zfin.org/ZDB-GENE-040121-5")</f>
        <v>https://zfin.org/ZDB-GENE-040121-5</v>
      </c>
      <c r="E14321" t="s">
        <v>42714</v>
      </c>
    </row>
    <row r="14322" spans="1:5" x14ac:dyDescent="0.2">
      <c r="A14322" t="s">
        <v>42715</v>
      </c>
      <c r="B14322" t="s">
        <v>42716</v>
      </c>
      <c r="C14322" t="s">
        <v>42716</v>
      </c>
      <c r="D14322" t="str">
        <f>HYPERLINK("https://zfin.org/")</f>
        <v>https://zfin.org/</v>
      </c>
      <c r="E14322" t="s">
        <v>42717</v>
      </c>
    </row>
    <row r="14323" spans="1:5" x14ac:dyDescent="0.2">
      <c r="A14323" t="s">
        <v>42718</v>
      </c>
      <c r="B14323" t="s">
        <v>42719</v>
      </c>
      <c r="C14323" t="s">
        <v>42719</v>
      </c>
      <c r="D14323" t="str">
        <f>HYPERLINK("https://zfin.org/")</f>
        <v>https://zfin.org/</v>
      </c>
    </row>
    <row r="14324" spans="1:5" x14ac:dyDescent="0.2">
      <c r="A14324" t="s">
        <v>42720</v>
      </c>
      <c r="B14324" t="s">
        <v>42721</v>
      </c>
      <c r="C14324" t="s">
        <v>42721</v>
      </c>
      <c r="D14324" t="str">
        <f>HYPERLINK("https://zfin.org/")</f>
        <v>https://zfin.org/</v>
      </c>
      <c r="E14324" t="s">
        <v>42722</v>
      </c>
    </row>
    <row r="14325" spans="1:5" x14ac:dyDescent="0.2">
      <c r="A14325" t="s">
        <v>42723</v>
      </c>
      <c r="B14325" t="s">
        <v>42724</v>
      </c>
      <c r="C14325" t="s">
        <v>42724</v>
      </c>
      <c r="D14325" t="str">
        <f>HYPERLINK("https://zfin.org/")</f>
        <v>https://zfin.org/</v>
      </c>
      <c r="E14325" t="s">
        <v>42725</v>
      </c>
    </row>
    <row r="14326" spans="1:5" x14ac:dyDescent="0.2">
      <c r="A14326" t="s">
        <v>42726</v>
      </c>
      <c r="B14326" t="s">
        <v>42727</v>
      </c>
      <c r="C14326" t="s">
        <v>42727</v>
      </c>
      <c r="D14326" t="str">
        <f>HYPERLINK("https://zfin.org/")</f>
        <v>https://zfin.org/</v>
      </c>
      <c r="E14326" t="s">
        <v>42728</v>
      </c>
    </row>
    <row r="14327" spans="1:5" x14ac:dyDescent="0.2">
      <c r="A14327" t="s">
        <v>42729</v>
      </c>
      <c r="B14327" t="s">
        <v>42730</v>
      </c>
      <c r="C14327" t="s">
        <v>42730</v>
      </c>
      <c r="D14327" t="str">
        <f>HYPERLINK("https://zfin.org/ZDB-GENE-040930-11")</f>
        <v>https://zfin.org/ZDB-GENE-040930-11</v>
      </c>
      <c r="E14327" t="s">
        <v>42731</v>
      </c>
    </row>
    <row r="14328" spans="1:5" x14ac:dyDescent="0.2">
      <c r="A14328" t="s">
        <v>42732</v>
      </c>
      <c r="B14328" t="s">
        <v>42733</v>
      </c>
      <c r="C14328" t="s">
        <v>42733</v>
      </c>
      <c r="D14328" t="str">
        <f>HYPERLINK("https://zfin.org/")</f>
        <v>https://zfin.org/</v>
      </c>
    </row>
    <row r="14329" spans="1:5" x14ac:dyDescent="0.2">
      <c r="A14329" t="s">
        <v>42734</v>
      </c>
      <c r="B14329" t="s">
        <v>42735</v>
      </c>
      <c r="C14329" t="s">
        <v>42735</v>
      </c>
      <c r="D14329" t="str">
        <f>HYPERLINK("https://zfin.org/ZDB-GENE-070620-18")</f>
        <v>https://zfin.org/ZDB-GENE-070620-18</v>
      </c>
      <c r="E14329" t="s">
        <v>42736</v>
      </c>
    </row>
    <row r="14330" spans="1:5" x14ac:dyDescent="0.2">
      <c r="A14330" t="s">
        <v>42737</v>
      </c>
      <c r="B14330" t="s">
        <v>42738</v>
      </c>
      <c r="C14330" t="s">
        <v>42738</v>
      </c>
      <c r="D14330" t="str">
        <f>HYPERLINK("https://zfin.org/ZDB-GENE-050913-29")</f>
        <v>https://zfin.org/ZDB-GENE-050913-29</v>
      </c>
      <c r="E14330" t="s">
        <v>42739</v>
      </c>
    </row>
    <row r="14331" spans="1:5" x14ac:dyDescent="0.2">
      <c r="A14331" t="s">
        <v>42740</v>
      </c>
      <c r="B14331" t="s">
        <v>42741</v>
      </c>
      <c r="C14331" t="s">
        <v>42741</v>
      </c>
      <c r="D14331" t="str">
        <f>HYPERLINK("https://zfin.org/ZDB-GENE-040426-2729")</f>
        <v>https://zfin.org/ZDB-GENE-040426-2729</v>
      </c>
      <c r="E14331" t="s">
        <v>42742</v>
      </c>
    </row>
    <row r="14332" spans="1:5" x14ac:dyDescent="0.2">
      <c r="A14332" t="s">
        <v>42743</v>
      </c>
      <c r="B14332" t="s">
        <v>42744</v>
      </c>
      <c r="C14332" t="s">
        <v>42744</v>
      </c>
      <c r="D14332" t="str">
        <f>HYPERLINK("https://zfin.org/ZDB-GENE-040426-1224")</f>
        <v>https://zfin.org/ZDB-GENE-040426-1224</v>
      </c>
      <c r="E14332" t="s">
        <v>42745</v>
      </c>
    </row>
    <row r="14333" spans="1:5" x14ac:dyDescent="0.2">
      <c r="A14333" t="s">
        <v>42746</v>
      </c>
      <c r="B14333" t="s">
        <v>42747</v>
      </c>
      <c r="C14333" t="s">
        <v>42747</v>
      </c>
      <c r="D14333" t="str">
        <f>HYPERLINK("https://zfin.org/ZDB-GENE-070620-16")</f>
        <v>https://zfin.org/ZDB-GENE-070620-16</v>
      </c>
      <c r="E14333" t="s">
        <v>42748</v>
      </c>
    </row>
    <row r="14334" spans="1:5" x14ac:dyDescent="0.2">
      <c r="A14334" t="s">
        <v>42749</v>
      </c>
      <c r="B14334" t="s">
        <v>42750</v>
      </c>
      <c r="C14334" t="s">
        <v>42750</v>
      </c>
      <c r="D14334" t="str">
        <f>HYPERLINK("https://zfin.org/")</f>
        <v>https://zfin.org/</v>
      </c>
      <c r="E14334" t="s">
        <v>42751</v>
      </c>
    </row>
    <row r="14335" spans="1:5" x14ac:dyDescent="0.2">
      <c r="A14335" t="s">
        <v>42752</v>
      </c>
      <c r="B14335" t="s">
        <v>42753</v>
      </c>
      <c r="C14335" t="s">
        <v>42753</v>
      </c>
      <c r="D14335" t="str">
        <f>HYPERLINK("https://zfin.org/")</f>
        <v>https://zfin.org/</v>
      </c>
      <c r="E14335" t="s">
        <v>42754</v>
      </c>
    </row>
    <row r="14336" spans="1:5" x14ac:dyDescent="0.2">
      <c r="A14336" t="s">
        <v>42755</v>
      </c>
      <c r="B14336" t="s">
        <v>42756</v>
      </c>
      <c r="C14336" t="s">
        <v>42756</v>
      </c>
      <c r="D14336" t="str">
        <f>HYPERLINK("https://zfin.org/ZDB-GENE-040704-37")</f>
        <v>https://zfin.org/ZDB-GENE-040704-37</v>
      </c>
      <c r="E14336" t="s">
        <v>42757</v>
      </c>
    </row>
    <row r="14337" spans="1:5" x14ac:dyDescent="0.2">
      <c r="A14337" t="s">
        <v>42758</v>
      </c>
      <c r="B14337" t="s">
        <v>42759</v>
      </c>
      <c r="C14337" t="s">
        <v>42759</v>
      </c>
      <c r="D14337" t="str">
        <f>HYPERLINK("https://zfin.org/")</f>
        <v>https://zfin.org/</v>
      </c>
      <c r="E14337" t="s">
        <v>42760</v>
      </c>
    </row>
    <row r="14338" spans="1:5" x14ac:dyDescent="0.2">
      <c r="A14338" t="s">
        <v>42761</v>
      </c>
      <c r="B14338" t="s">
        <v>42762</v>
      </c>
      <c r="C14338" t="s">
        <v>42762</v>
      </c>
      <c r="D14338" t="str">
        <f>HYPERLINK("https://zfin.org/")</f>
        <v>https://zfin.org/</v>
      </c>
      <c r="E14338" t="s">
        <v>42763</v>
      </c>
    </row>
    <row r="14339" spans="1:5" x14ac:dyDescent="0.2">
      <c r="A14339" t="s">
        <v>42764</v>
      </c>
      <c r="B14339" t="s">
        <v>42765</v>
      </c>
      <c r="C14339" t="s">
        <v>42765</v>
      </c>
      <c r="D14339" t="str">
        <f>HYPERLINK("https://zfin.org/")</f>
        <v>https://zfin.org/</v>
      </c>
    </row>
    <row r="14340" spans="1:5" x14ac:dyDescent="0.2">
      <c r="A14340" t="s">
        <v>42766</v>
      </c>
      <c r="B14340" t="s">
        <v>42767</v>
      </c>
      <c r="C14340" t="s">
        <v>42767</v>
      </c>
      <c r="D14340" t="str">
        <f>HYPERLINK("https://zfin.org/")</f>
        <v>https://zfin.org/</v>
      </c>
      <c r="E14340" t="s">
        <v>42768</v>
      </c>
    </row>
    <row r="14341" spans="1:5" x14ac:dyDescent="0.2">
      <c r="A14341" t="s">
        <v>42769</v>
      </c>
      <c r="B14341" t="s">
        <v>42770</v>
      </c>
      <c r="C14341" t="s">
        <v>42770</v>
      </c>
      <c r="D14341" t="str">
        <f>HYPERLINK("https://zfin.org/")</f>
        <v>https://zfin.org/</v>
      </c>
    </row>
    <row r="14342" spans="1:5" x14ac:dyDescent="0.2">
      <c r="A14342" t="s">
        <v>42771</v>
      </c>
      <c r="B14342" t="s">
        <v>42772</v>
      </c>
      <c r="C14342" t="s">
        <v>42772</v>
      </c>
      <c r="D14342" t="str">
        <f>HYPERLINK("https://zfin.org/ZDB-GENE-040426-2418")</f>
        <v>https://zfin.org/ZDB-GENE-040426-2418</v>
      </c>
      <c r="E14342" t="s">
        <v>42773</v>
      </c>
    </row>
    <row r="14343" spans="1:5" x14ac:dyDescent="0.2">
      <c r="A14343" t="s">
        <v>42774</v>
      </c>
      <c r="B14343" t="s">
        <v>42775</v>
      </c>
      <c r="C14343" t="s">
        <v>42775</v>
      </c>
      <c r="D14343" t="str">
        <f>HYPERLINK("https://zfin.org/ZDB-GENE-040426-2014")</f>
        <v>https://zfin.org/ZDB-GENE-040426-2014</v>
      </c>
      <c r="E14343" t="s">
        <v>42776</v>
      </c>
    </row>
    <row r="14344" spans="1:5" x14ac:dyDescent="0.2">
      <c r="A14344" t="s">
        <v>42777</v>
      </c>
      <c r="B14344" t="s">
        <v>42778</v>
      </c>
      <c r="C14344" t="s">
        <v>42778</v>
      </c>
      <c r="D14344" t="str">
        <f>HYPERLINK("https://zfin.org/")</f>
        <v>https://zfin.org/</v>
      </c>
    </row>
    <row r="14345" spans="1:5" x14ac:dyDescent="0.2">
      <c r="A14345" t="s">
        <v>42779</v>
      </c>
      <c r="B14345" t="s">
        <v>42780</v>
      </c>
      <c r="C14345" t="s">
        <v>42780</v>
      </c>
      <c r="D14345" t="str">
        <f>HYPERLINK("https://zfin.org/ZDB-GENE-040426-2296")</f>
        <v>https://zfin.org/ZDB-GENE-040426-2296</v>
      </c>
      <c r="E14345" t="s">
        <v>42781</v>
      </c>
    </row>
    <row r="14346" spans="1:5" x14ac:dyDescent="0.2">
      <c r="A14346" t="s">
        <v>42782</v>
      </c>
      <c r="B14346" t="s">
        <v>42783</v>
      </c>
      <c r="C14346" t="s">
        <v>42783</v>
      </c>
      <c r="D14346" t="str">
        <f t="shared" ref="D14346:D14351" si="5">HYPERLINK("https://zfin.org/")</f>
        <v>https://zfin.org/</v>
      </c>
      <c r="E14346" t="s">
        <v>42784</v>
      </c>
    </row>
    <row r="14347" spans="1:5" x14ac:dyDescent="0.2">
      <c r="A14347" t="s">
        <v>42785</v>
      </c>
      <c r="B14347" t="s">
        <v>42786</v>
      </c>
      <c r="C14347" t="s">
        <v>42786</v>
      </c>
      <c r="D14347" t="str">
        <f t="shared" si="5"/>
        <v>https://zfin.org/</v>
      </c>
    </row>
    <row r="14348" spans="1:5" x14ac:dyDescent="0.2">
      <c r="A14348" t="s">
        <v>42787</v>
      </c>
      <c r="B14348" t="s">
        <v>42788</v>
      </c>
      <c r="C14348" t="s">
        <v>42788</v>
      </c>
      <c r="D14348" t="str">
        <f t="shared" si="5"/>
        <v>https://zfin.org/</v>
      </c>
      <c r="E14348" t="s">
        <v>42789</v>
      </c>
    </row>
    <row r="14349" spans="1:5" x14ac:dyDescent="0.2">
      <c r="A14349" t="s">
        <v>42790</v>
      </c>
      <c r="B14349" t="s">
        <v>42791</v>
      </c>
      <c r="C14349" t="s">
        <v>42791</v>
      </c>
      <c r="D14349" t="str">
        <f t="shared" si="5"/>
        <v>https://zfin.org/</v>
      </c>
    </row>
    <row r="14350" spans="1:5" x14ac:dyDescent="0.2">
      <c r="A14350" t="s">
        <v>42792</v>
      </c>
      <c r="B14350" t="s">
        <v>42793</v>
      </c>
      <c r="C14350" t="s">
        <v>42793</v>
      </c>
      <c r="D14350" t="str">
        <f t="shared" si="5"/>
        <v>https://zfin.org/</v>
      </c>
      <c r="E14350" t="s">
        <v>42794</v>
      </c>
    </row>
    <row r="14351" spans="1:5" x14ac:dyDescent="0.2">
      <c r="A14351" t="s">
        <v>42795</v>
      </c>
      <c r="B14351" t="s">
        <v>42796</v>
      </c>
      <c r="C14351" t="s">
        <v>42796</v>
      </c>
      <c r="D14351" t="str">
        <f t="shared" si="5"/>
        <v>https://zfin.org/</v>
      </c>
      <c r="E14351" t="s">
        <v>42797</v>
      </c>
    </row>
    <row r="14352" spans="1:5" x14ac:dyDescent="0.2">
      <c r="A14352" t="s">
        <v>42798</v>
      </c>
      <c r="B14352" t="s">
        <v>42799</v>
      </c>
      <c r="C14352" t="s">
        <v>42799</v>
      </c>
      <c r="D14352" t="str">
        <f>HYPERLINK("https://zfin.org/ZDB-GENE-080424-5")</f>
        <v>https://zfin.org/ZDB-GENE-080424-5</v>
      </c>
      <c r="E14352" t="s">
        <v>42800</v>
      </c>
    </row>
    <row r="14353" spans="1:5" x14ac:dyDescent="0.2">
      <c r="A14353" t="s">
        <v>42801</v>
      </c>
      <c r="B14353" t="s">
        <v>42802</v>
      </c>
      <c r="C14353" t="s">
        <v>42802</v>
      </c>
      <c r="D14353" t="str">
        <f>HYPERLINK("https://zfin.org/")</f>
        <v>https://zfin.org/</v>
      </c>
      <c r="E14353" t="s">
        <v>42803</v>
      </c>
    </row>
    <row r="14354" spans="1:5" x14ac:dyDescent="0.2">
      <c r="A14354" t="s">
        <v>42804</v>
      </c>
      <c r="B14354" t="s">
        <v>42805</v>
      </c>
      <c r="C14354" t="s">
        <v>42805</v>
      </c>
      <c r="D14354" t="str">
        <f>HYPERLINK("https://zfin.org/")</f>
        <v>https://zfin.org/</v>
      </c>
      <c r="E14354" t="s">
        <v>42806</v>
      </c>
    </row>
    <row r="14355" spans="1:5" x14ac:dyDescent="0.2">
      <c r="A14355" t="s">
        <v>42807</v>
      </c>
      <c r="B14355" t="s">
        <v>42808</v>
      </c>
      <c r="C14355" t="s">
        <v>42808</v>
      </c>
      <c r="D14355" t="str">
        <f>HYPERLINK("https://zfin.org/ZDB-GENE-050417-80")</f>
        <v>https://zfin.org/ZDB-GENE-050417-80</v>
      </c>
      <c r="E14355" t="s">
        <v>42809</v>
      </c>
    </row>
    <row r="14356" spans="1:5" x14ac:dyDescent="0.2">
      <c r="A14356" t="s">
        <v>42810</v>
      </c>
      <c r="B14356" t="s">
        <v>42811</v>
      </c>
      <c r="C14356" t="s">
        <v>42811</v>
      </c>
      <c r="D14356" t="str">
        <f>HYPERLINK("https://zfin.org/")</f>
        <v>https://zfin.org/</v>
      </c>
      <c r="E14356" t="s">
        <v>42812</v>
      </c>
    </row>
    <row r="14357" spans="1:5" x14ac:dyDescent="0.2">
      <c r="A14357" t="s">
        <v>42813</v>
      </c>
      <c r="B14357" t="s">
        <v>42814</v>
      </c>
      <c r="C14357" t="s">
        <v>42814</v>
      </c>
      <c r="D14357" t="str">
        <f>HYPERLINK("https://zfin.org/ZDB-GENE-030131-3782")</f>
        <v>https://zfin.org/ZDB-GENE-030131-3782</v>
      </c>
      <c r="E14357" t="s">
        <v>42815</v>
      </c>
    </row>
    <row r="14358" spans="1:5" x14ac:dyDescent="0.2">
      <c r="A14358" t="s">
        <v>42816</v>
      </c>
      <c r="B14358" t="s">
        <v>42817</v>
      </c>
      <c r="C14358" t="s">
        <v>42817</v>
      </c>
      <c r="D14358" t="str">
        <f>HYPERLINK("https://zfin.org/ZDB-GENE-061027-225")</f>
        <v>https://zfin.org/ZDB-GENE-061027-225</v>
      </c>
      <c r="E14358" t="s">
        <v>42818</v>
      </c>
    </row>
    <row r="14359" spans="1:5" x14ac:dyDescent="0.2">
      <c r="A14359" t="s">
        <v>42819</v>
      </c>
      <c r="B14359" t="s">
        <v>42820</v>
      </c>
      <c r="C14359" t="s">
        <v>42820</v>
      </c>
      <c r="D14359" t="str">
        <f>HYPERLINK("https://zfin.org/ZDB-GENE-050610-31")</f>
        <v>https://zfin.org/ZDB-GENE-050610-31</v>
      </c>
      <c r="E14359" t="s">
        <v>42821</v>
      </c>
    </row>
    <row r="14360" spans="1:5" x14ac:dyDescent="0.2">
      <c r="A14360" t="s">
        <v>42822</v>
      </c>
      <c r="B14360" t="s">
        <v>42823</v>
      </c>
      <c r="C14360" t="s">
        <v>42823</v>
      </c>
      <c r="D14360" t="str">
        <f t="shared" ref="D14360:D14369" si="6">HYPERLINK("https://zfin.org/")</f>
        <v>https://zfin.org/</v>
      </c>
    </row>
    <row r="14361" spans="1:5" x14ac:dyDescent="0.2">
      <c r="A14361" t="s">
        <v>42824</v>
      </c>
      <c r="B14361" t="s">
        <v>42825</v>
      </c>
      <c r="C14361" t="s">
        <v>42825</v>
      </c>
      <c r="D14361" t="str">
        <f t="shared" si="6"/>
        <v>https://zfin.org/</v>
      </c>
    </row>
    <row r="14362" spans="1:5" x14ac:dyDescent="0.2">
      <c r="A14362" t="s">
        <v>42826</v>
      </c>
      <c r="B14362" t="s">
        <v>42827</v>
      </c>
      <c r="C14362" t="s">
        <v>42827</v>
      </c>
      <c r="D14362" t="str">
        <f t="shared" si="6"/>
        <v>https://zfin.org/</v>
      </c>
    </row>
    <row r="14363" spans="1:5" x14ac:dyDescent="0.2">
      <c r="A14363" t="s">
        <v>42828</v>
      </c>
      <c r="B14363" t="s">
        <v>42829</v>
      </c>
      <c r="C14363" t="s">
        <v>42829</v>
      </c>
      <c r="D14363" t="str">
        <f t="shared" si="6"/>
        <v>https://zfin.org/</v>
      </c>
    </row>
    <row r="14364" spans="1:5" x14ac:dyDescent="0.2">
      <c r="A14364" t="s">
        <v>42830</v>
      </c>
      <c r="B14364" t="s">
        <v>42831</v>
      </c>
      <c r="C14364" t="s">
        <v>42831</v>
      </c>
      <c r="D14364" t="str">
        <f t="shared" si="6"/>
        <v>https://zfin.org/</v>
      </c>
    </row>
    <row r="14365" spans="1:5" x14ac:dyDescent="0.2">
      <c r="A14365" t="s">
        <v>42832</v>
      </c>
      <c r="B14365" t="s">
        <v>42833</v>
      </c>
      <c r="C14365" t="s">
        <v>42833</v>
      </c>
      <c r="D14365" t="str">
        <f t="shared" si="6"/>
        <v>https://zfin.org/</v>
      </c>
    </row>
    <row r="14366" spans="1:5" x14ac:dyDescent="0.2">
      <c r="A14366" t="s">
        <v>42834</v>
      </c>
      <c r="B14366" t="s">
        <v>42835</v>
      </c>
      <c r="C14366" t="s">
        <v>42835</v>
      </c>
      <c r="D14366" t="str">
        <f t="shared" si="6"/>
        <v>https://zfin.org/</v>
      </c>
      <c r="E14366" t="s">
        <v>42836</v>
      </c>
    </row>
    <row r="14367" spans="1:5" x14ac:dyDescent="0.2">
      <c r="A14367" t="s">
        <v>42837</v>
      </c>
      <c r="B14367" t="s">
        <v>42838</v>
      </c>
      <c r="C14367" t="s">
        <v>42838</v>
      </c>
      <c r="D14367" t="str">
        <f t="shared" si="6"/>
        <v>https://zfin.org/</v>
      </c>
    </row>
    <row r="14368" spans="1:5" x14ac:dyDescent="0.2">
      <c r="A14368" t="s">
        <v>42839</v>
      </c>
      <c r="B14368" t="s">
        <v>42840</v>
      </c>
      <c r="C14368" t="s">
        <v>42840</v>
      </c>
      <c r="D14368" t="str">
        <f t="shared" si="6"/>
        <v>https://zfin.org/</v>
      </c>
    </row>
    <row r="14369" spans="1:5" x14ac:dyDescent="0.2">
      <c r="A14369" t="s">
        <v>42841</v>
      </c>
      <c r="B14369" t="s">
        <v>42842</v>
      </c>
      <c r="C14369" t="s">
        <v>42842</v>
      </c>
      <c r="D14369" t="str">
        <f t="shared" si="6"/>
        <v>https://zfin.org/</v>
      </c>
    </row>
    <row r="14370" spans="1:5" x14ac:dyDescent="0.2">
      <c r="A14370" t="s">
        <v>42843</v>
      </c>
      <c r="B14370" t="s">
        <v>42844</v>
      </c>
      <c r="C14370" t="s">
        <v>42844</v>
      </c>
      <c r="D14370" t="str">
        <f>HYPERLINK("https://zfin.org/ZDB-GENE-040426-2517")</f>
        <v>https://zfin.org/ZDB-GENE-040426-2517</v>
      </c>
      <c r="E14370" t="s">
        <v>42845</v>
      </c>
    </row>
    <row r="14371" spans="1:5" x14ac:dyDescent="0.2">
      <c r="A14371" t="s">
        <v>42846</v>
      </c>
      <c r="B14371" t="s">
        <v>42847</v>
      </c>
      <c r="C14371" t="s">
        <v>42847</v>
      </c>
      <c r="D14371" t="str">
        <f>HYPERLINK("https://zfin.org/")</f>
        <v>https://zfin.org/</v>
      </c>
    </row>
    <row r="14372" spans="1:5" x14ac:dyDescent="0.2">
      <c r="A14372" t="s">
        <v>42848</v>
      </c>
      <c r="B14372" t="s">
        <v>42849</v>
      </c>
      <c r="C14372" t="s">
        <v>42849</v>
      </c>
      <c r="D14372" t="str">
        <f>HYPERLINK("https://zfin.org/")</f>
        <v>https://zfin.org/</v>
      </c>
    </row>
    <row r="14373" spans="1:5" x14ac:dyDescent="0.2">
      <c r="A14373" t="s">
        <v>42850</v>
      </c>
      <c r="B14373" t="s">
        <v>42851</v>
      </c>
      <c r="C14373" t="s">
        <v>42851</v>
      </c>
      <c r="D14373" t="str">
        <f>HYPERLINK("https://zfin.org/ZDB-GENE-060526-14")</f>
        <v>https://zfin.org/ZDB-GENE-060526-14</v>
      </c>
      <c r="E14373" t="s">
        <v>42852</v>
      </c>
    </row>
    <row r="14374" spans="1:5" x14ac:dyDescent="0.2">
      <c r="A14374" t="s">
        <v>42853</v>
      </c>
      <c r="B14374" t="s">
        <v>42854</v>
      </c>
      <c r="C14374" t="s">
        <v>42854</v>
      </c>
      <c r="D14374" t="str">
        <f>HYPERLINK("https://zfin.org/")</f>
        <v>https://zfin.org/</v>
      </c>
    </row>
    <row r="14375" spans="1:5" x14ac:dyDescent="0.2">
      <c r="A14375" t="s">
        <v>42855</v>
      </c>
      <c r="B14375" t="s">
        <v>42856</v>
      </c>
      <c r="C14375" t="s">
        <v>42856</v>
      </c>
      <c r="D14375" t="str">
        <f>HYPERLINK("https://zfin.org/ZDB-GENE-090812-3")</f>
        <v>https://zfin.org/ZDB-GENE-090812-3</v>
      </c>
      <c r="E14375" t="s">
        <v>42857</v>
      </c>
    </row>
    <row r="14376" spans="1:5" x14ac:dyDescent="0.2">
      <c r="A14376" t="s">
        <v>42858</v>
      </c>
      <c r="B14376" t="s">
        <v>42859</v>
      </c>
      <c r="C14376" t="s">
        <v>42859</v>
      </c>
      <c r="D14376" t="str">
        <f>HYPERLINK("https://zfin.org/ZDB-GENE-030616-587")</f>
        <v>https://zfin.org/ZDB-GENE-030616-587</v>
      </c>
      <c r="E14376" t="s">
        <v>42860</v>
      </c>
    </row>
    <row r="14377" spans="1:5" x14ac:dyDescent="0.2">
      <c r="A14377" t="s">
        <v>42861</v>
      </c>
      <c r="B14377" t="s">
        <v>42862</v>
      </c>
      <c r="C14377" t="s">
        <v>42862</v>
      </c>
      <c r="D14377" t="str">
        <f>HYPERLINK("https://zfin.org/ZDB-GENE-040426-1704")</f>
        <v>https://zfin.org/ZDB-GENE-040426-1704</v>
      </c>
      <c r="E14377" t="s">
        <v>42863</v>
      </c>
    </row>
    <row r="14378" spans="1:5" x14ac:dyDescent="0.2">
      <c r="A14378" t="s">
        <v>42864</v>
      </c>
      <c r="B14378" t="s">
        <v>42865</v>
      </c>
      <c r="C14378" t="s">
        <v>42865</v>
      </c>
      <c r="D14378" t="str">
        <f>HYPERLINK("https://zfin.org/")</f>
        <v>https://zfin.org/</v>
      </c>
      <c r="E14378" t="s">
        <v>42866</v>
      </c>
    </row>
    <row r="14379" spans="1:5" x14ac:dyDescent="0.2">
      <c r="A14379" t="s">
        <v>42867</v>
      </c>
      <c r="B14379" t="s">
        <v>42868</v>
      </c>
      <c r="C14379" t="s">
        <v>42869</v>
      </c>
      <c r="D14379" t="str">
        <f>HYPERLINK("https://zfin.org/")</f>
        <v>https://zfin.org/</v>
      </c>
      <c r="E14379" t="s">
        <v>42870</v>
      </c>
    </row>
    <row r="14380" spans="1:5" x14ac:dyDescent="0.2">
      <c r="A14380" t="s">
        <v>42871</v>
      </c>
      <c r="B14380" t="s">
        <v>42872</v>
      </c>
      <c r="C14380" t="s">
        <v>42872</v>
      </c>
      <c r="D14380" t="str">
        <f>HYPERLINK("https://zfin.org/")</f>
        <v>https://zfin.org/</v>
      </c>
    </row>
    <row r="14381" spans="1:5" x14ac:dyDescent="0.2">
      <c r="A14381" t="s">
        <v>42873</v>
      </c>
      <c r="B14381" t="s">
        <v>42874</v>
      </c>
      <c r="C14381" t="s">
        <v>42874</v>
      </c>
      <c r="D14381" t="str">
        <f>HYPERLINK("https://zfin.org/ZDB-GENE-081211-2")</f>
        <v>https://zfin.org/ZDB-GENE-081211-2</v>
      </c>
      <c r="E14381" t="s">
        <v>42875</v>
      </c>
    </row>
    <row r="14382" spans="1:5" x14ac:dyDescent="0.2">
      <c r="A14382" t="s">
        <v>42876</v>
      </c>
      <c r="B14382" t="s">
        <v>42877</v>
      </c>
      <c r="C14382" t="s">
        <v>42877</v>
      </c>
      <c r="D14382" t="str">
        <f>HYPERLINK("https://zfin.org/ZDB-GENE-050809-120")</f>
        <v>https://zfin.org/ZDB-GENE-050809-120</v>
      </c>
      <c r="E14382" t="s">
        <v>42878</v>
      </c>
    </row>
    <row r="14383" spans="1:5" x14ac:dyDescent="0.2">
      <c r="A14383" t="s">
        <v>42879</v>
      </c>
      <c r="B14383" t="s">
        <v>42880</v>
      </c>
      <c r="C14383" t="s">
        <v>42880</v>
      </c>
      <c r="D14383" t="str">
        <f>HYPERLINK("https://zfin.org/")</f>
        <v>https://zfin.org/</v>
      </c>
      <c r="E14383" t="s">
        <v>42881</v>
      </c>
    </row>
    <row r="14384" spans="1:5" x14ac:dyDescent="0.2">
      <c r="A14384" t="s">
        <v>42882</v>
      </c>
      <c r="B14384" t="s">
        <v>42883</v>
      </c>
      <c r="C14384" t="s">
        <v>42883</v>
      </c>
      <c r="D14384" t="str">
        <f>HYPERLINK("https://zfin.org/")</f>
        <v>https://zfin.org/</v>
      </c>
      <c r="E14384" t="s">
        <v>42884</v>
      </c>
    </row>
    <row r="14385" spans="1:5" x14ac:dyDescent="0.2">
      <c r="A14385" t="s">
        <v>42885</v>
      </c>
      <c r="B14385" t="s">
        <v>42886</v>
      </c>
      <c r="C14385" t="s">
        <v>42886</v>
      </c>
      <c r="D14385" t="str">
        <f>HYPERLINK("https://zfin.org/")</f>
        <v>https://zfin.org/</v>
      </c>
      <c r="E14385" t="s">
        <v>42887</v>
      </c>
    </row>
    <row r="14386" spans="1:5" x14ac:dyDescent="0.2">
      <c r="A14386" t="s">
        <v>42888</v>
      </c>
      <c r="B14386" t="s">
        <v>42889</v>
      </c>
      <c r="C14386" t="s">
        <v>42889</v>
      </c>
      <c r="D14386" t="str">
        <f>HYPERLINK("https://zfin.org/ZDB-GENE-050522-349")</f>
        <v>https://zfin.org/ZDB-GENE-050522-349</v>
      </c>
      <c r="E14386" t="s">
        <v>42890</v>
      </c>
    </row>
    <row r="14387" spans="1:5" x14ac:dyDescent="0.2">
      <c r="A14387" t="s">
        <v>42891</v>
      </c>
      <c r="B14387" t="s">
        <v>42892</v>
      </c>
      <c r="C14387" t="s">
        <v>42892</v>
      </c>
      <c r="D14387" t="str">
        <f>HYPERLINK("https://zfin.org/ZDB-GENE-110208-1")</f>
        <v>https://zfin.org/ZDB-GENE-110208-1</v>
      </c>
      <c r="E14387" t="s">
        <v>42893</v>
      </c>
    </row>
    <row r="14388" spans="1:5" x14ac:dyDescent="0.2">
      <c r="A14388" t="s">
        <v>42894</v>
      </c>
      <c r="B14388" t="s">
        <v>42895</v>
      </c>
      <c r="C14388" t="s">
        <v>42896</v>
      </c>
      <c r="D14388" t="str">
        <f>HYPERLINK("https://zfin.org/")</f>
        <v>https://zfin.org/</v>
      </c>
      <c r="E14388" t="s">
        <v>42897</v>
      </c>
    </row>
    <row r="14389" spans="1:5" x14ac:dyDescent="0.2">
      <c r="A14389" t="s">
        <v>42898</v>
      </c>
      <c r="B14389" t="s">
        <v>42899</v>
      </c>
      <c r="C14389" t="s">
        <v>42899</v>
      </c>
      <c r="D14389" t="str">
        <f>HYPERLINK("https://zfin.org/")</f>
        <v>https://zfin.org/</v>
      </c>
      <c r="E14389" t="s">
        <v>42900</v>
      </c>
    </row>
    <row r="14390" spans="1:5" x14ac:dyDescent="0.2">
      <c r="A14390" t="s">
        <v>42901</v>
      </c>
      <c r="B14390" t="s">
        <v>42902</v>
      </c>
      <c r="C14390" t="s">
        <v>42902</v>
      </c>
      <c r="D14390" t="str">
        <f>HYPERLINK("https://zfin.org/")</f>
        <v>https://zfin.org/</v>
      </c>
    </row>
    <row r="14391" spans="1:5" x14ac:dyDescent="0.2">
      <c r="A14391" t="s">
        <v>42903</v>
      </c>
      <c r="B14391" t="s">
        <v>42904</v>
      </c>
      <c r="C14391" t="s">
        <v>42904</v>
      </c>
      <c r="D14391" t="str">
        <f>HYPERLINK("https://zfin.org/ZDB-GENE-030131-5485")</f>
        <v>https://zfin.org/ZDB-GENE-030131-5485</v>
      </c>
      <c r="E14391" t="s">
        <v>42905</v>
      </c>
    </row>
    <row r="14392" spans="1:5" x14ac:dyDescent="0.2">
      <c r="A14392" t="s">
        <v>42906</v>
      </c>
      <c r="B14392" t="s">
        <v>42907</v>
      </c>
      <c r="C14392" t="s">
        <v>42907</v>
      </c>
      <c r="D14392" t="str">
        <f>HYPERLINK("https://zfin.org/")</f>
        <v>https://zfin.org/</v>
      </c>
      <c r="E14392" t="s">
        <v>42908</v>
      </c>
    </row>
    <row r="14393" spans="1:5" x14ac:dyDescent="0.2">
      <c r="A14393" t="s">
        <v>42909</v>
      </c>
      <c r="B14393" t="s">
        <v>42910</v>
      </c>
      <c r="C14393" t="s">
        <v>42910</v>
      </c>
      <c r="D14393" t="str">
        <f>HYPERLINK("https://zfin.org/")</f>
        <v>https://zfin.org/</v>
      </c>
      <c r="E14393" t="s">
        <v>42911</v>
      </c>
    </row>
    <row r="14394" spans="1:5" x14ac:dyDescent="0.2">
      <c r="A14394" t="s">
        <v>42912</v>
      </c>
      <c r="B14394" t="s">
        <v>42913</v>
      </c>
      <c r="C14394" t="s">
        <v>42913</v>
      </c>
      <c r="D14394" t="str">
        <f>HYPERLINK("https://zfin.org/ZDB-GENE-070112-2042")</f>
        <v>https://zfin.org/ZDB-GENE-070112-2042</v>
      </c>
      <c r="E14394" t="s">
        <v>42914</v>
      </c>
    </row>
    <row r="14395" spans="1:5" x14ac:dyDescent="0.2">
      <c r="A14395" t="s">
        <v>42915</v>
      </c>
      <c r="B14395" t="s">
        <v>42916</v>
      </c>
      <c r="C14395" t="s">
        <v>42916</v>
      </c>
      <c r="D14395" t="str">
        <f>HYPERLINK("https://zfin.org/ZDB-GENE-030131-5877")</f>
        <v>https://zfin.org/ZDB-GENE-030131-5877</v>
      </c>
      <c r="E14395" t="s">
        <v>42917</v>
      </c>
    </row>
    <row r="14396" spans="1:5" x14ac:dyDescent="0.2">
      <c r="A14396" t="s">
        <v>42918</v>
      </c>
      <c r="B14396" t="s">
        <v>42919</v>
      </c>
      <c r="C14396" t="s">
        <v>42919</v>
      </c>
      <c r="D14396" t="str">
        <f>HYPERLINK("https://zfin.org/ZDB-GENE-060720-30")</f>
        <v>https://zfin.org/ZDB-GENE-060720-30</v>
      </c>
      <c r="E14396" t="s">
        <v>42920</v>
      </c>
    </row>
    <row r="14397" spans="1:5" x14ac:dyDescent="0.2">
      <c r="A14397" t="s">
        <v>42921</v>
      </c>
      <c r="B14397" t="s">
        <v>42922</v>
      </c>
      <c r="C14397" t="s">
        <v>42922</v>
      </c>
      <c r="D14397" t="str">
        <f>HYPERLINK("https://zfin.org/ZDB-GENE-030829-51")</f>
        <v>https://zfin.org/ZDB-GENE-030829-51</v>
      </c>
      <c r="E14397" t="s">
        <v>42923</v>
      </c>
    </row>
    <row r="14398" spans="1:5" x14ac:dyDescent="0.2">
      <c r="A14398" t="s">
        <v>42924</v>
      </c>
      <c r="B14398" t="s">
        <v>42925</v>
      </c>
      <c r="C14398" t="s">
        <v>42925</v>
      </c>
      <c r="D14398" t="str">
        <f>HYPERLINK("https://zfin.org/ZDB-GENE-010328-11")</f>
        <v>https://zfin.org/ZDB-GENE-010328-11</v>
      </c>
      <c r="E14398" t="s">
        <v>42926</v>
      </c>
    </row>
    <row r="14399" spans="1:5" x14ac:dyDescent="0.2">
      <c r="A14399" t="s">
        <v>42927</v>
      </c>
      <c r="B14399" t="s">
        <v>42928</v>
      </c>
      <c r="C14399" t="s">
        <v>42928</v>
      </c>
      <c r="D14399" t="str">
        <f>HYPERLINK("https://zfin.org/")</f>
        <v>https://zfin.org/</v>
      </c>
    </row>
    <row r="14400" spans="1:5" x14ac:dyDescent="0.2">
      <c r="A14400" t="s">
        <v>42929</v>
      </c>
      <c r="B14400" t="s">
        <v>42930</v>
      </c>
      <c r="C14400" t="s">
        <v>42930</v>
      </c>
      <c r="D14400" t="str">
        <f>HYPERLINK("https://zfin.org/ZDB-GENE-070117-2501")</f>
        <v>https://zfin.org/ZDB-GENE-070117-2501</v>
      </c>
      <c r="E14400" t="s">
        <v>42931</v>
      </c>
    </row>
    <row r="14401" spans="1:5" x14ac:dyDescent="0.2">
      <c r="A14401" t="s">
        <v>42932</v>
      </c>
      <c r="B14401" t="s">
        <v>42933</v>
      </c>
      <c r="C14401" t="s">
        <v>42933</v>
      </c>
      <c r="D14401" t="str">
        <f>HYPERLINK("https://zfin.org/")</f>
        <v>https://zfin.org/</v>
      </c>
    </row>
    <row r="14402" spans="1:5" x14ac:dyDescent="0.2">
      <c r="A14402" t="s">
        <v>42934</v>
      </c>
      <c r="B14402" t="s">
        <v>42935</v>
      </c>
      <c r="C14402" t="s">
        <v>42935</v>
      </c>
      <c r="D14402" t="str">
        <f>HYPERLINK("https://zfin.org/")</f>
        <v>https://zfin.org/</v>
      </c>
      <c r="E14402" t="s">
        <v>42936</v>
      </c>
    </row>
    <row r="14403" spans="1:5" x14ac:dyDescent="0.2">
      <c r="A14403" t="s">
        <v>42937</v>
      </c>
      <c r="B14403" t="s">
        <v>42938</v>
      </c>
      <c r="C14403" t="s">
        <v>42938</v>
      </c>
      <c r="D14403" t="str">
        <f>HYPERLINK("https://zfin.org/")</f>
        <v>https://zfin.org/</v>
      </c>
      <c r="E14403" t="s">
        <v>42939</v>
      </c>
    </row>
    <row r="14404" spans="1:5" x14ac:dyDescent="0.2">
      <c r="A14404" t="s">
        <v>42940</v>
      </c>
      <c r="B14404" t="s">
        <v>42941</v>
      </c>
      <c r="C14404" t="s">
        <v>42941</v>
      </c>
      <c r="D14404" t="str">
        <f>HYPERLINK("https://zfin.org/ZDB-GENE-111019-1")</f>
        <v>https://zfin.org/ZDB-GENE-111019-1</v>
      </c>
      <c r="E14404" t="s">
        <v>42942</v>
      </c>
    </row>
    <row r="14405" spans="1:5" x14ac:dyDescent="0.2">
      <c r="A14405" t="s">
        <v>42943</v>
      </c>
      <c r="B14405" t="s">
        <v>42944</v>
      </c>
      <c r="C14405" t="s">
        <v>42944</v>
      </c>
      <c r="D14405" t="str">
        <f>HYPERLINK("https://zfin.org/ZDB-GENE-030131-5333")</f>
        <v>https://zfin.org/ZDB-GENE-030131-5333</v>
      </c>
      <c r="E14405" t="s">
        <v>42945</v>
      </c>
    </row>
    <row r="14406" spans="1:5" x14ac:dyDescent="0.2">
      <c r="A14406" t="s">
        <v>42946</v>
      </c>
      <c r="B14406" t="s">
        <v>42947</v>
      </c>
      <c r="C14406" t="s">
        <v>42947</v>
      </c>
      <c r="D14406" t="str">
        <f>HYPERLINK("https://zfin.org/")</f>
        <v>https://zfin.org/</v>
      </c>
    </row>
    <row r="14407" spans="1:5" x14ac:dyDescent="0.2">
      <c r="A14407" t="s">
        <v>42948</v>
      </c>
      <c r="B14407" t="s">
        <v>42949</v>
      </c>
      <c r="C14407" t="s">
        <v>42949</v>
      </c>
      <c r="D14407" t="str">
        <f>HYPERLINK("https://zfin.org/")</f>
        <v>https://zfin.org/</v>
      </c>
      <c r="E14407" t="s">
        <v>42950</v>
      </c>
    </row>
    <row r="14408" spans="1:5" x14ac:dyDescent="0.2">
      <c r="A14408" t="s">
        <v>42951</v>
      </c>
      <c r="B14408" t="s">
        <v>42952</v>
      </c>
      <c r="C14408" t="s">
        <v>42952</v>
      </c>
      <c r="D14408" t="str">
        <f>HYPERLINK("https://zfin.org/ZDB-GENE-080204-95")</f>
        <v>https://zfin.org/ZDB-GENE-080204-95</v>
      </c>
      <c r="E14408" t="s">
        <v>42953</v>
      </c>
    </row>
    <row r="14409" spans="1:5" x14ac:dyDescent="0.2">
      <c r="A14409" t="s">
        <v>42954</v>
      </c>
      <c r="B14409" t="s">
        <v>42955</v>
      </c>
      <c r="C14409" t="s">
        <v>42955</v>
      </c>
      <c r="D14409" t="str">
        <f>HYPERLINK("https://zfin.org/")</f>
        <v>https://zfin.org/</v>
      </c>
    </row>
    <row r="14410" spans="1:5" x14ac:dyDescent="0.2">
      <c r="A14410" t="s">
        <v>42956</v>
      </c>
      <c r="B14410" t="s">
        <v>42957</v>
      </c>
      <c r="C14410" t="s">
        <v>42957</v>
      </c>
      <c r="D14410" t="str">
        <f>HYPERLINK("https://zfin.org/")</f>
        <v>https://zfin.org/</v>
      </c>
    </row>
    <row r="14411" spans="1:5" x14ac:dyDescent="0.2">
      <c r="A14411" t="s">
        <v>42958</v>
      </c>
      <c r="B14411" t="s">
        <v>42959</v>
      </c>
      <c r="C14411" t="s">
        <v>42959</v>
      </c>
      <c r="D14411" t="str">
        <f>HYPERLINK("https://zfin.org/")</f>
        <v>https://zfin.org/</v>
      </c>
      <c r="E14411" t="s">
        <v>42960</v>
      </c>
    </row>
    <row r="14412" spans="1:5" x14ac:dyDescent="0.2">
      <c r="A14412" t="s">
        <v>42961</v>
      </c>
      <c r="B14412" t="s">
        <v>42962</v>
      </c>
      <c r="C14412" t="s">
        <v>42962</v>
      </c>
      <c r="D14412" t="str">
        <f>HYPERLINK("https://zfin.org/ZDB-GENE-130924-1")</f>
        <v>https://zfin.org/ZDB-GENE-130924-1</v>
      </c>
      <c r="E14412" t="s">
        <v>42963</v>
      </c>
    </row>
    <row r="14413" spans="1:5" x14ac:dyDescent="0.2">
      <c r="A14413" t="s">
        <v>42964</v>
      </c>
      <c r="B14413" t="s">
        <v>42965</v>
      </c>
      <c r="C14413" t="s">
        <v>42965</v>
      </c>
      <c r="D14413" t="str">
        <f>HYPERLINK("https://zfin.org/")</f>
        <v>https://zfin.org/</v>
      </c>
      <c r="E14413" t="s">
        <v>42966</v>
      </c>
    </row>
    <row r="14414" spans="1:5" x14ac:dyDescent="0.2">
      <c r="A14414" t="s">
        <v>42967</v>
      </c>
      <c r="B14414" t="s">
        <v>42968</v>
      </c>
      <c r="C14414" t="s">
        <v>42968</v>
      </c>
      <c r="D14414" t="str">
        <f>HYPERLINK("https://zfin.org/ZDB-GENE-041026-2")</f>
        <v>https://zfin.org/ZDB-GENE-041026-2</v>
      </c>
      <c r="E14414" t="s">
        <v>42969</v>
      </c>
    </row>
    <row r="14415" spans="1:5" x14ac:dyDescent="0.2">
      <c r="A14415" t="s">
        <v>42970</v>
      </c>
      <c r="B14415" t="s">
        <v>42971</v>
      </c>
      <c r="C14415" t="s">
        <v>42971</v>
      </c>
      <c r="D14415" t="str">
        <f>HYPERLINK("https://zfin.org/ZDB-GENE-040718-228")</f>
        <v>https://zfin.org/ZDB-GENE-040718-228</v>
      </c>
      <c r="E14415" t="s">
        <v>42972</v>
      </c>
    </row>
    <row r="14416" spans="1:5" x14ac:dyDescent="0.2">
      <c r="A14416" t="s">
        <v>42973</v>
      </c>
      <c r="B14416" t="s">
        <v>10422</v>
      </c>
      <c r="C14416" t="s">
        <v>42974</v>
      </c>
      <c r="D14416" t="str">
        <f>HYPERLINK("https://zfin.org/ZDB-GENE-130530-771")</f>
        <v>https://zfin.org/ZDB-GENE-130530-771</v>
      </c>
      <c r="E14416" t="s">
        <v>42975</v>
      </c>
    </row>
    <row r="14417" spans="1:5" x14ac:dyDescent="0.2">
      <c r="A14417" t="s">
        <v>42976</v>
      </c>
      <c r="B14417" t="s">
        <v>42977</v>
      </c>
      <c r="C14417" t="s">
        <v>42977</v>
      </c>
      <c r="D14417" t="str">
        <f>HYPERLINK("https://zfin.org/ZDB-GENE-081022-79")</f>
        <v>https://zfin.org/ZDB-GENE-081022-79</v>
      </c>
      <c r="E14417" t="s">
        <v>42978</v>
      </c>
    </row>
    <row r="14418" spans="1:5" x14ac:dyDescent="0.2">
      <c r="A14418" t="s">
        <v>42979</v>
      </c>
      <c r="B14418" t="s">
        <v>42980</v>
      </c>
      <c r="C14418" t="s">
        <v>42980</v>
      </c>
      <c r="D14418" t="str">
        <f>HYPERLINK("https://zfin.org/")</f>
        <v>https://zfin.org/</v>
      </c>
    </row>
    <row r="14419" spans="1:5" x14ac:dyDescent="0.2">
      <c r="A14419" t="s">
        <v>42981</v>
      </c>
      <c r="B14419" t="s">
        <v>42982</v>
      </c>
      <c r="C14419" t="s">
        <v>42982</v>
      </c>
      <c r="D14419" t="str">
        <f>HYPERLINK("https://zfin.org/")</f>
        <v>https://zfin.org/</v>
      </c>
      <c r="E14419" t="s">
        <v>42983</v>
      </c>
    </row>
    <row r="14420" spans="1:5" x14ac:dyDescent="0.2">
      <c r="A14420" t="s">
        <v>42984</v>
      </c>
      <c r="B14420" t="s">
        <v>42985</v>
      </c>
      <c r="C14420" t="s">
        <v>42985</v>
      </c>
      <c r="D14420" t="str">
        <f>HYPERLINK("https://zfin.org/")</f>
        <v>https://zfin.org/</v>
      </c>
      <c r="E14420" t="s">
        <v>42986</v>
      </c>
    </row>
    <row r="14421" spans="1:5" x14ac:dyDescent="0.2">
      <c r="A14421" t="s">
        <v>42987</v>
      </c>
      <c r="B14421" t="s">
        <v>42988</v>
      </c>
      <c r="C14421" t="s">
        <v>42988</v>
      </c>
      <c r="D14421" t="str">
        <f>HYPERLINK("https://zfin.org/ZDB-GENE-050306-48")</f>
        <v>https://zfin.org/ZDB-GENE-050306-48</v>
      </c>
      <c r="E14421" t="s">
        <v>42989</v>
      </c>
    </row>
    <row r="14422" spans="1:5" x14ac:dyDescent="0.2">
      <c r="A14422" t="s">
        <v>42990</v>
      </c>
      <c r="B14422" t="s">
        <v>42991</v>
      </c>
      <c r="C14422" t="s">
        <v>42991</v>
      </c>
      <c r="D14422" t="str">
        <f>HYPERLINK("https://zfin.org/ZDB-GENE-081022-99")</f>
        <v>https://zfin.org/ZDB-GENE-081022-99</v>
      </c>
      <c r="E14422" t="s">
        <v>42992</v>
      </c>
    </row>
    <row r="14423" spans="1:5" x14ac:dyDescent="0.2">
      <c r="A14423" t="s">
        <v>42993</v>
      </c>
      <c r="B14423" t="s">
        <v>42994</v>
      </c>
      <c r="C14423" t="s">
        <v>42994</v>
      </c>
      <c r="D14423" t="str">
        <f>HYPERLINK("https://zfin.org/ZDB-GENE-130326-2")</f>
        <v>https://zfin.org/ZDB-GENE-130326-2</v>
      </c>
      <c r="E14423" t="s">
        <v>42995</v>
      </c>
    </row>
    <row r="14424" spans="1:5" x14ac:dyDescent="0.2">
      <c r="A14424" t="s">
        <v>42996</v>
      </c>
      <c r="B14424" t="s">
        <v>42997</v>
      </c>
      <c r="C14424" t="s">
        <v>42997</v>
      </c>
      <c r="D14424" t="str">
        <f>HYPERLINK("https://zfin.org/")</f>
        <v>https://zfin.org/</v>
      </c>
      <c r="E14424" t="s">
        <v>42998</v>
      </c>
    </row>
    <row r="14425" spans="1:5" x14ac:dyDescent="0.2">
      <c r="A14425" t="s">
        <v>42999</v>
      </c>
      <c r="B14425" t="s">
        <v>43000</v>
      </c>
      <c r="C14425" t="s">
        <v>43000</v>
      </c>
      <c r="D14425" t="str">
        <f>HYPERLINK("https://zfin.org/")</f>
        <v>https://zfin.org/</v>
      </c>
      <c r="E14425" t="s">
        <v>43001</v>
      </c>
    </row>
    <row r="14426" spans="1:5" x14ac:dyDescent="0.2">
      <c r="A14426" t="s">
        <v>43002</v>
      </c>
      <c r="B14426" t="s">
        <v>43003</v>
      </c>
      <c r="C14426" t="s">
        <v>43003</v>
      </c>
      <c r="D14426" t="str">
        <f>HYPERLINK("https://zfin.org/")</f>
        <v>https://zfin.org/</v>
      </c>
      <c r="E14426" t="s">
        <v>43004</v>
      </c>
    </row>
    <row r="14427" spans="1:5" x14ac:dyDescent="0.2">
      <c r="A14427" t="s">
        <v>43005</v>
      </c>
      <c r="B14427" t="s">
        <v>43006</v>
      </c>
      <c r="C14427" t="s">
        <v>43006</v>
      </c>
      <c r="D14427" t="str">
        <f>HYPERLINK("https://zfin.org/")</f>
        <v>https://zfin.org/</v>
      </c>
    </row>
    <row r="14428" spans="1:5" x14ac:dyDescent="0.2">
      <c r="A14428" t="s">
        <v>43007</v>
      </c>
      <c r="B14428" t="s">
        <v>43008</v>
      </c>
      <c r="C14428" t="s">
        <v>43008</v>
      </c>
      <c r="D14428" t="str">
        <f>HYPERLINK("https://zfin.org/")</f>
        <v>https://zfin.org/</v>
      </c>
      <c r="E14428" t="s">
        <v>43009</v>
      </c>
    </row>
    <row r="14429" spans="1:5" x14ac:dyDescent="0.2">
      <c r="A14429" t="s">
        <v>43010</v>
      </c>
      <c r="B14429" t="s">
        <v>43011</v>
      </c>
      <c r="C14429" t="s">
        <v>43011</v>
      </c>
      <c r="D14429" t="str">
        <f>HYPERLINK("https://zfin.org/ZDB-GENE-040426-2307")</f>
        <v>https://zfin.org/ZDB-GENE-040426-2307</v>
      </c>
      <c r="E14429" t="s">
        <v>43012</v>
      </c>
    </row>
    <row r="14430" spans="1:5" x14ac:dyDescent="0.2">
      <c r="A14430" t="s">
        <v>43013</v>
      </c>
      <c r="B14430" t="s">
        <v>43014</v>
      </c>
      <c r="C14430" t="s">
        <v>43014</v>
      </c>
      <c r="D14430" t="str">
        <f>HYPERLINK("https://zfin.org/")</f>
        <v>https://zfin.org/</v>
      </c>
      <c r="E14430" t="s">
        <v>43015</v>
      </c>
    </row>
    <row r="14431" spans="1:5" x14ac:dyDescent="0.2">
      <c r="A14431" t="s">
        <v>43016</v>
      </c>
      <c r="B14431" t="s">
        <v>43017</v>
      </c>
      <c r="C14431" t="s">
        <v>43017</v>
      </c>
      <c r="D14431" t="str">
        <f>HYPERLINK("https://zfin.org/ZDB-GENE-030131-2159")</f>
        <v>https://zfin.org/ZDB-GENE-030131-2159</v>
      </c>
      <c r="E14431" t="s">
        <v>43018</v>
      </c>
    </row>
    <row r="14432" spans="1:5" x14ac:dyDescent="0.2">
      <c r="A14432" t="s">
        <v>43019</v>
      </c>
      <c r="B14432" t="s">
        <v>43020</v>
      </c>
      <c r="C14432" t="s">
        <v>43020</v>
      </c>
      <c r="D14432" t="str">
        <f>HYPERLINK("https://zfin.org/ZDB-GENE-041114-8")</f>
        <v>https://zfin.org/ZDB-GENE-041114-8</v>
      </c>
      <c r="E14432" t="s">
        <v>43021</v>
      </c>
    </row>
    <row r="14433" spans="1:5" x14ac:dyDescent="0.2">
      <c r="A14433" t="s">
        <v>43022</v>
      </c>
      <c r="B14433" t="s">
        <v>43023</v>
      </c>
      <c r="C14433" t="s">
        <v>43023</v>
      </c>
      <c r="D14433" t="str">
        <f>HYPERLINK("https://zfin.org/ZDB-GENE-050417-449")</f>
        <v>https://zfin.org/ZDB-GENE-050417-449</v>
      </c>
      <c r="E14433" t="s">
        <v>43024</v>
      </c>
    </row>
    <row r="14434" spans="1:5" x14ac:dyDescent="0.2">
      <c r="A14434" t="s">
        <v>43025</v>
      </c>
      <c r="B14434" t="s">
        <v>43026</v>
      </c>
      <c r="C14434" t="s">
        <v>43026</v>
      </c>
      <c r="D14434" t="str">
        <f>HYPERLINK("https://zfin.org/ZDB-GENE-060825-156")</f>
        <v>https://zfin.org/ZDB-GENE-060825-156</v>
      </c>
      <c r="E14434" t="s">
        <v>43027</v>
      </c>
    </row>
    <row r="14435" spans="1:5" x14ac:dyDescent="0.2">
      <c r="A14435" t="s">
        <v>43028</v>
      </c>
      <c r="B14435" t="s">
        <v>43029</v>
      </c>
      <c r="C14435" t="s">
        <v>43029</v>
      </c>
      <c r="D14435" t="str">
        <f>HYPERLINK("https://zfin.org/ZDB-GENE-041111-196")</f>
        <v>https://zfin.org/ZDB-GENE-041111-196</v>
      </c>
      <c r="E14435" t="s">
        <v>43030</v>
      </c>
    </row>
    <row r="14436" spans="1:5" x14ac:dyDescent="0.2">
      <c r="A14436" t="s">
        <v>43031</v>
      </c>
      <c r="B14436" t="s">
        <v>43032</v>
      </c>
      <c r="C14436" t="s">
        <v>43032</v>
      </c>
      <c r="D14436" t="str">
        <f>HYPERLINK("https://zfin.org/")</f>
        <v>https://zfin.org/</v>
      </c>
      <c r="E14436" t="s">
        <v>43033</v>
      </c>
    </row>
    <row r="14437" spans="1:5" x14ac:dyDescent="0.2">
      <c r="A14437" t="s">
        <v>43034</v>
      </c>
      <c r="B14437" t="s">
        <v>43035</v>
      </c>
      <c r="C14437" t="s">
        <v>43035</v>
      </c>
      <c r="D14437" t="str">
        <f>HYPERLINK("https://zfin.org/ZDB-GENE-980526-562")</f>
        <v>https://zfin.org/ZDB-GENE-980526-562</v>
      </c>
      <c r="E14437" t="s">
        <v>43036</v>
      </c>
    </row>
    <row r="14438" spans="1:5" x14ac:dyDescent="0.2">
      <c r="A14438" t="s">
        <v>43037</v>
      </c>
      <c r="B14438" t="s">
        <v>43038</v>
      </c>
      <c r="C14438" t="s">
        <v>43038</v>
      </c>
      <c r="D14438" t="str">
        <f>HYPERLINK("https://zfin.org/ZDB-GENE-050522-460")</f>
        <v>https://zfin.org/ZDB-GENE-050522-460</v>
      </c>
      <c r="E14438" t="s">
        <v>43039</v>
      </c>
    </row>
    <row r="14439" spans="1:5" x14ac:dyDescent="0.2">
      <c r="A14439" t="s">
        <v>43040</v>
      </c>
      <c r="B14439" t="s">
        <v>43041</v>
      </c>
      <c r="C14439" t="s">
        <v>43041</v>
      </c>
      <c r="D14439" t="str">
        <f>HYPERLINK("https://zfin.org/ZDB-GENE-070820-4")</f>
        <v>https://zfin.org/ZDB-GENE-070820-4</v>
      </c>
      <c r="E14439" t="s">
        <v>43042</v>
      </c>
    </row>
    <row r="14440" spans="1:5" x14ac:dyDescent="0.2">
      <c r="A14440" t="s">
        <v>43043</v>
      </c>
      <c r="B14440" t="s">
        <v>43044</v>
      </c>
      <c r="C14440" t="s">
        <v>43044</v>
      </c>
      <c r="D14440" t="str">
        <f>HYPERLINK("https://zfin.org/ZDB-GENE-050706-119")</f>
        <v>https://zfin.org/ZDB-GENE-050706-119</v>
      </c>
      <c r="E14440" t="s">
        <v>43045</v>
      </c>
    </row>
    <row r="14441" spans="1:5" x14ac:dyDescent="0.2">
      <c r="A14441" t="s">
        <v>43046</v>
      </c>
      <c r="B14441" t="s">
        <v>43047</v>
      </c>
      <c r="C14441" t="s">
        <v>43047</v>
      </c>
      <c r="D14441" t="str">
        <f>HYPERLINK("https://zfin.org/ZDB-GENE-030131-7023")</f>
        <v>https://zfin.org/ZDB-GENE-030131-7023</v>
      </c>
      <c r="E14441" t="s">
        <v>43048</v>
      </c>
    </row>
    <row r="14442" spans="1:5" x14ac:dyDescent="0.2">
      <c r="A14442" t="s">
        <v>43049</v>
      </c>
      <c r="B14442" t="s">
        <v>43050</v>
      </c>
      <c r="C14442" t="s">
        <v>43050</v>
      </c>
      <c r="D14442" t="str">
        <f>HYPERLINK("https://zfin.org/ZDB-GENE-060503-141")</f>
        <v>https://zfin.org/ZDB-GENE-060503-141</v>
      </c>
      <c r="E14442" t="s">
        <v>43051</v>
      </c>
    </row>
    <row r="14443" spans="1:5" x14ac:dyDescent="0.2">
      <c r="A14443" t="s">
        <v>43052</v>
      </c>
      <c r="B14443" t="s">
        <v>43053</v>
      </c>
      <c r="C14443" t="s">
        <v>43053</v>
      </c>
      <c r="D14443" t="str">
        <f>HYPERLINK("https://zfin.org/")</f>
        <v>https://zfin.org/</v>
      </c>
    </row>
    <row r="14444" spans="1:5" x14ac:dyDescent="0.2">
      <c r="A14444" t="s">
        <v>43054</v>
      </c>
      <c r="B14444" t="s">
        <v>43055</v>
      </c>
      <c r="C14444" t="s">
        <v>43055</v>
      </c>
      <c r="D14444" t="str">
        <f>HYPERLINK("https://zfin.org/ZDB-GENE-030131-4968")</f>
        <v>https://zfin.org/ZDB-GENE-030131-4968</v>
      </c>
      <c r="E14444" t="s">
        <v>43056</v>
      </c>
    </row>
    <row r="14445" spans="1:5" x14ac:dyDescent="0.2">
      <c r="A14445" t="s">
        <v>43057</v>
      </c>
      <c r="B14445" t="s">
        <v>43058</v>
      </c>
      <c r="C14445" t="s">
        <v>43059</v>
      </c>
      <c r="D14445" t="str">
        <f>HYPERLINK("https://zfin.org/")</f>
        <v>https://zfin.org/</v>
      </c>
      <c r="E14445" t="s">
        <v>43060</v>
      </c>
    </row>
    <row r="14446" spans="1:5" x14ac:dyDescent="0.2">
      <c r="A14446" t="s">
        <v>43061</v>
      </c>
      <c r="B14446" t="s">
        <v>43062</v>
      </c>
      <c r="C14446" t="s">
        <v>43062</v>
      </c>
      <c r="D14446" t="str">
        <f>HYPERLINK("https://zfin.org/ZDB-GENE-030131-5162")</f>
        <v>https://zfin.org/ZDB-GENE-030131-5162</v>
      </c>
      <c r="E14446" t="s">
        <v>43063</v>
      </c>
    </row>
    <row r="14447" spans="1:5" x14ac:dyDescent="0.2">
      <c r="A14447" t="s">
        <v>43064</v>
      </c>
      <c r="B14447" t="s">
        <v>43065</v>
      </c>
      <c r="C14447" t="s">
        <v>43065</v>
      </c>
      <c r="D14447" t="str">
        <f>HYPERLINK("https://zfin.org/ZDB-GENE-031113-14")</f>
        <v>https://zfin.org/ZDB-GENE-031113-14</v>
      </c>
      <c r="E14447" t="s">
        <v>43066</v>
      </c>
    </row>
    <row r="14448" spans="1:5" x14ac:dyDescent="0.2">
      <c r="A14448" t="s">
        <v>43067</v>
      </c>
      <c r="B14448" t="s">
        <v>43068</v>
      </c>
      <c r="C14448" t="s">
        <v>43068</v>
      </c>
      <c r="D14448" t="str">
        <f>HYPERLINK("https://zfin.org/")</f>
        <v>https://zfin.org/</v>
      </c>
      <c r="E14448" t="s">
        <v>43069</v>
      </c>
    </row>
    <row r="14449" spans="1:5" x14ac:dyDescent="0.2">
      <c r="A14449" t="s">
        <v>43070</v>
      </c>
      <c r="B14449" t="s">
        <v>43071</v>
      </c>
      <c r="C14449" t="s">
        <v>43071</v>
      </c>
      <c r="D14449" t="str">
        <f>HYPERLINK("https://zfin.org/")</f>
        <v>https://zfin.org/</v>
      </c>
      <c r="E14449" t="s">
        <v>43072</v>
      </c>
    </row>
    <row r="14450" spans="1:5" x14ac:dyDescent="0.2">
      <c r="A14450" t="s">
        <v>43073</v>
      </c>
      <c r="B14450" t="s">
        <v>43074</v>
      </c>
      <c r="C14450" t="s">
        <v>43074</v>
      </c>
      <c r="D14450" t="str">
        <f>HYPERLINK("https://zfin.org/ZDB-GENE-041111-14")</f>
        <v>https://zfin.org/ZDB-GENE-041111-14</v>
      </c>
      <c r="E14450" t="s">
        <v>43075</v>
      </c>
    </row>
    <row r="14451" spans="1:5" x14ac:dyDescent="0.2">
      <c r="A14451" t="s">
        <v>43076</v>
      </c>
      <c r="B14451" t="s">
        <v>43077</v>
      </c>
      <c r="C14451" t="s">
        <v>43077</v>
      </c>
      <c r="D14451" t="str">
        <f>HYPERLINK("https://zfin.org/")</f>
        <v>https://zfin.org/</v>
      </c>
    </row>
    <row r="14452" spans="1:5" x14ac:dyDescent="0.2">
      <c r="A14452" t="s">
        <v>43078</v>
      </c>
      <c r="B14452" t="s">
        <v>43079</v>
      </c>
      <c r="C14452" t="s">
        <v>43079</v>
      </c>
      <c r="D14452" t="str">
        <f>HYPERLINK("https://zfin.org/")</f>
        <v>https://zfin.org/</v>
      </c>
    </row>
    <row r="14453" spans="1:5" x14ac:dyDescent="0.2">
      <c r="A14453" t="s">
        <v>43080</v>
      </c>
      <c r="B14453" t="s">
        <v>43081</v>
      </c>
      <c r="C14453" t="s">
        <v>43081</v>
      </c>
      <c r="D14453" t="str">
        <f>HYPERLINK("https://zfin.org/ZDB-GENE-070410-107")</f>
        <v>https://zfin.org/ZDB-GENE-070410-107</v>
      </c>
      <c r="E14453" t="s">
        <v>43082</v>
      </c>
    </row>
    <row r="14454" spans="1:5" x14ac:dyDescent="0.2">
      <c r="A14454" t="s">
        <v>43083</v>
      </c>
      <c r="B14454" t="s">
        <v>43084</v>
      </c>
      <c r="C14454" t="s">
        <v>43084</v>
      </c>
      <c r="D14454" t="str">
        <f>HYPERLINK("https://zfin.org/ZDB-GENE-040625-182")</f>
        <v>https://zfin.org/ZDB-GENE-040625-182</v>
      </c>
      <c r="E14454" t="s">
        <v>43085</v>
      </c>
    </row>
    <row r="14455" spans="1:5" x14ac:dyDescent="0.2">
      <c r="A14455" t="s">
        <v>43086</v>
      </c>
      <c r="B14455" t="s">
        <v>43087</v>
      </c>
      <c r="C14455" t="s">
        <v>43087</v>
      </c>
      <c r="D14455" t="str">
        <f>HYPERLINK("https://zfin.org/ZDB-GENE-071004-104")</f>
        <v>https://zfin.org/ZDB-GENE-071004-104</v>
      </c>
      <c r="E14455" t="s">
        <v>43088</v>
      </c>
    </row>
    <row r="14456" spans="1:5" x14ac:dyDescent="0.2">
      <c r="A14456" t="s">
        <v>43089</v>
      </c>
      <c r="B14456" t="s">
        <v>43090</v>
      </c>
      <c r="C14456" t="s">
        <v>43090</v>
      </c>
      <c r="D14456" t="str">
        <f>HYPERLINK("https://zfin.org/ZDB-GENE-030131-1158")</f>
        <v>https://zfin.org/ZDB-GENE-030131-1158</v>
      </c>
      <c r="E14456" t="s">
        <v>43091</v>
      </c>
    </row>
    <row r="14457" spans="1:5" x14ac:dyDescent="0.2">
      <c r="A14457" t="s">
        <v>43092</v>
      </c>
      <c r="B14457" t="s">
        <v>43093</v>
      </c>
      <c r="C14457" t="s">
        <v>43093</v>
      </c>
      <c r="D14457" t="str">
        <f>HYPERLINK("https://zfin.org/")</f>
        <v>https://zfin.org/</v>
      </c>
      <c r="E14457" t="s">
        <v>43094</v>
      </c>
    </row>
    <row r="14458" spans="1:5" x14ac:dyDescent="0.2">
      <c r="A14458" t="s">
        <v>43095</v>
      </c>
      <c r="B14458" t="s">
        <v>43096</v>
      </c>
      <c r="C14458" t="s">
        <v>43096</v>
      </c>
      <c r="D14458" t="str">
        <f>HYPERLINK("https://zfin.org/")</f>
        <v>https://zfin.org/</v>
      </c>
      <c r="E14458" t="s">
        <v>43097</v>
      </c>
    </row>
    <row r="14459" spans="1:5" x14ac:dyDescent="0.2">
      <c r="A14459" t="s">
        <v>43098</v>
      </c>
      <c r="B14459" t="s">
        <v>43099</v>
      </c>
      <c r="C14459" t="s">
        <v>43099</v>
      </c>
      <c r="D14459" t="str">
        <f>HYPERLINK("https://zfin.org/")</f>
        <v>https://zfin.org/</v>
      </c>
    </row>
    <row r="14460" spans="1:5" x14ac:dyDescent="0.2">
      <c r="A14460" t="s">
        <v>43100</v>
      </c>
      <c r="B14460" t="s">
        <v>43101</v>
      </c>
      <c r="C14460" t="s">
        <v>43101</v>
      </c>
      <c r="D14460" t="str">
        <f>HYPERLINK("https://zfin.org/ZDB-GENE-030131-9884")</f>
        <v>https://zfin.org/ZDB-GENE-030131-9884</v>
      </c>
      <c r="E14460" t="s">
        <v>43102</v>
      </c>
    </row>
    <row r="14461" spans="1:5" x14ac:dyDescent="0.2">
      <c r="A14461" t="s">
        <v>43103</v>
      </c>
      <c r="B14461" t="s">
        <v>43104</v>
      </c>
      <c r="C14461" t="s">
        <v>43104</v>
      </c>
      <c r="D14461" t="str">
        <f>HYPERLINK("https://zfin.org/ZDB-GENE-040718-303")</f>
        <v>https://zfin.org/ZDB-GENE-040718-303</v>
      </c>
      <c r="E14461" t="s">
        <v>43105</v>
      </c>
    </row>
    <row r="14462" spans="1:5" x14ac:dyDescent="0.2">
      <c r="A14462" t="s">
        <v>43106</v>
      </c>
      <c r="B14462" t="s">
        <v>43107</v>
      </c>
      <c r="C14462" t="s">
        <v>43107</v>
      </c>
      <c r="D14462" t="str">
        <f>HYPERLINK("https://zfin.org/")</f>
        <v>https://zfin.org/</v>
      </c>
      <c r="E14462" t="s">
        <v>43108</v>
      </c>
    </row>
    <row r="14463" spans="1:5" x14ac:dyDescent="0.2">
      <c r="A14463" t="s">
        <v>43109</v>
      </c>
      <c r="B14463" t="s">
        <v>43110</v>
      </c>
      <c r="C14463" t="s">
        <v>43110</v>
      </c>
      <c r="D14463" t="str">
        <f>HYPERLINK("https://zfin.org/")</f>
        <v>https://zfin.org/</v>
      </c>
    </row>
    <row r="14464" spans="1:5" x14ac:dyDescent="0.2">
      <c r="A14464" t="s">
        <v>43111</v>
      </c>
      <c r="B14464" t="s">
        <v>43112</v>
      </c>
      <c r="C14464" t="s">
        <v>43112</v>
      </c>
      <c r="D14464" t="str">
        <f>HYPERLINK("https://zfin.org/ZDB-GENE-031006-1")</f>
        <v>https://zfin.org/ZDB-GENE-031006-1</v>
      </c>
      <c r="E14464" t="s">
        <v>43113</v>
      </c>
    </row>
    <row r="14465" spans="1:5" x14ac:dyDescent="0.2">
      <c r="A14465" t="s">
        <v>43114</v>
      </c>
      <c r="B14465" t="s">
        <v>43115</v>
      </c>
      <c r="C14465" t="s">
        <v>43115</v>
      </c>
      <c r="D14465" t="str">
        <f>HYPERLINK("https://zfin.org/")</f>
        <v>https://zfin.org/</v>
      </c>
    </row>
    <row r="14466" spans="1:5" x14ac:dyDescent="0.2">
      <c r="A14466" t="s">
        <v>43116</v>
      </c>
      <c r="B14466" t="s">
        <v>43117</v>
      </c>
      <c r="C14466" t="s">
        <v>43117</v>
      </c>
      <c r="D14466" t="str">
        <f>HYPERLINK("https://zfin.org/ZDB-GENE-020419-2")</f>
        <v>https://zfin.org/ZDB-GENE-020419-2</v>
      </c>
      <c r="E14466" t="s">
        <v>43118</v>
      </c>
    </row>
    <row r="14467" spans="1:5" x14ac:dyDescent="0.2">
      <c r="A14467" t="s">
        <v>43119</v>
      </c>
      <c r="B14467" t="s">
        <v>43120</v>
      </c>
      <c r="C14467" t="s">
        <v>43120</v>
      </c>
      <c r="D14467" t="str">
        <f>HYPERLINK("https://zfin.org/")</f>
        <v>https://zfin.org/</v>
      </c>
      <c r="E14467" t="s">
        <v>43121</v>
      </c>
    </row>
    <row r="14468" spans="1:5" x14ac:dyDescent="0.2">
      <c r="A14468" t="s">
        <v>43122</v>
      </c>
      <c r="B14468" t="s">
        <v>43123</v>
      </c>
      <c r="C14468" t="s">
        <v>43123</v>
      </c>
      <c r="D14468" t="str">
        <f>HYPERLINK("https://zfin.org/ZDB-GENE-030131-1009")</f>
        <v>https://zfin.org/ZDB-GENE-030131-1009</v>
      </c>
      <c r="E14468" t="s">
        <v>43124</v>
      </c>
    </row>
    <row r="14469" spans="1:5" x14ac:dyDescent="0.2">
      <c r="A14469" t="s">
        <v>43125</v>
      </c>
      <c r="B14469" t="s">
        <v>43126</v>
      </c>
      <c r="C14469" t="s">
        <v>43126</v>
      </c>
      <c r="D14469" t="str">
        <f>HYPERLINK("https://zfin.org/")</f>
        <v>https://zfin.org/</v>
      </c>
      <c r="E14469" t="s">
        <v>43127</v>
      </c>
    </row>
    <row r="14470" spans="1:5" x14ac:dyDescent="0.2">
      <c r="A14470" t="s">
        <v>43128</v>
      </c>
      <c r="B14470" t="s">
        <v>43129</v>
      </c>
      <c r="C14470" t="s">
        <v>43129</v>
      </c>
      <c r="D14470" t="str">
        <f>HYPERLINK("https://zfin.org/ZDB-GENE-030711-4")</f>
        <v>https://zfin.org/ZDB-GENE-030711-4</v>
      </c>
      <c r="E14470" t="s">
        <v>43130</v>
      </c>
    </row>
    <row r="14471" spans="1:5" x14ac:dyDescent="0.2">
      <c r="A14471" t="s">
        <v>43131</v>
      </c>
      <c r="B14471" t="s">
        <v>43132</v>
      </c>
      <c r="C14471" t="s">
        <v>43132</v>
      </c>
      <c r="D14471" t="str">
        <f>HYPERLINK("https://zfin.org/ZDB-GENE-030131-9225")</f>
        <v>https://zfin.org/ZDB-GENE-030131-9225</v>
      </c>
      <c r="E14471" t="s">
        <v>43133</v>
      </c>
    </row>
    <row r="14472" spans="1:5" x14ac:dyDescent="0.2">
      <c r="A14472" t="s">
        <v>43134</v>
      </c>
      <c r="B14472" t="s">
        <v>43135</v>
      </c>
      <c r="C14472" t="s">
        <v>43135</v>
      </c>
      <c r="D14472" t="str">
        <f>HYPERLINK("https://zfin.org/ZDB-GENE-060929-248")</f>
        <v>https://zfin.org/ZDB-GENE-060929-248</v>
      </c>
      <c r="E14472" t="s">
        <v>43136</v>
      </c>
    </row>
    <row r="14473" spans="1:5" x14ac:dyDescent="0.2">
      <c r="A14473" t="s">
        <v>43137</v>
      </c>
      <c r="B14473" t="s">
        <v>43138</v>
      </c>
      <c r="C14473" t="s">
        <v>43138</v>
      </c>
      <c r="D14473" t="str">
        <f>HYPERLINK("https://zfin.org/")</f>
        <v>https://zfin.org/</v>
      </c>
      <c r="E14473" t="s">
        <v>43139</v>
      </c>
    </row>
    <row r="14474" spans="1:5" x14ac:dyDescent="0.2">
      <c r="A14474" t="s">
        <v>43140</v>
      </c>
      <c r="B14474" t="s">
        <v>43141</v>
      </c>
      <c r="C14474" t="s">
        <v>43141</v>
      </c>
      <c r="D14474" t="str">
        <f>HYPERLINK("https://zfin.org/ZDB-GENE-041212-79")</f>
        <v>https://zfin.org/ZDB-GENE-041212-79</v>
      </c>
      <c r="E14474" t="s">
        <v>43142</v>
      </c>
    </row>
    <row r="14475" spans="1:5" x14ac:dyDescent="0.2">
      <c r="A14475" t="s">
        <v>43143</v>
      </c>
      <c r="B14475" t="s">
        <v>43144</v>
      </c>
      <c r="C14475" t="s">
        <v>43144</v>
      </c>
      <c r="D14475" t="str">
        <f>HYPERLINK("https://zfin.org/")</f>
        <v>https://zfin.org/</v>
      </c>
    </row>
    <row r="14476" spans="1:5" x14ac:dyDescent="0.2">
      <c r="A14476" t="s">
        <v>43145</v>
      </c>
      <c r="B14476" t="s">
        <v>43146</v>
      </c>
      <c r="C14476" t="s">
        <v>43146</v>
      </c>
      <c r="D14476" t="str">
        <f>HYPERLINK("https://zfin.org/")</f>
        <v>https://zfin.org/</v>
      </c>
      <c r="E14476" t="s">
        <v>43147</v>
      </c>
    </row>
    <row r="14477" spans="1:5" x14ac:dyDescent="0.2">
      <c r="A14477" t="s">
        <v>43148</v>
      </c>
      <c r="B14477" t="s">
        <v>43149</v>
      </c>
      <c r="C14477" t="s">
        <v>43149</v>
      </c>
      <c r="D14477" t="str">
        <f>HYPERLINK("https://zfin.org/ZDB-GENE-070424-91")</f>
        <v>https://zfin.org/ZDB-GENE-070424-91</v>
      </c>
      <c r="E14477" t="s">
        <v>43150</v>
      </c>
    </row>
    <row r="14478" spans="1:5" x14ac:dyDescent="0.2">
      <c r="A14478" t="s">
        <v>43151</v>
      </c>
      <c r="B14478" t="s">
        <v>43152</v>
      </c>
      <c r="C14478" t="s">
        <v>43152</v>
      </c>
      <c r="D14478" t="str">
        <f>HYPERLINK("https://zfin.org/")</f>
        <v>https://zfin.org/</v>
      </c>
    </row>
    <row r="14479" spans="1:5" x14ac:dyDescent="0.2">
      <c r="A14479" t="s">
        <v>43153</v>
      </c>
      <c r="B14479" t="s">
        <v>43154</v>
      </c>
      <c r="C14479" t="s">
        <v>43155</v>
      </c>
      <c r="D14479" t="str">
        <f>HYPERLINK("https://zfin.org/")</f>
        <v>https://zfin.org/</v>
      </c>
      <c r="E14479" t="s">
        <v>43156</v>
      </c>
    </row>
    <row r="14480" spans="1:5" x14ac:dyDescent="0.2">
      <c r="A14480" t="s">
        <v>43157</v>
      </c>
      <c r="B14480" t="s">
        <v>43158</v>
      </c>
      <c r="C14480" t="s">
        <v>43158</v>
      </c>
      <c r="D14480" t="str">
        <f>HYPERLINK("https://zfin.org/ZDB-GENE-040801-48")</f>
        <v>https://zfin.org/ZDB-GENE-040801-48</v>
      </c>
      <c r="E14480" t="s">
        <v>43159</v>
      </c>
    </row>
    <row r="14481" spans="1:5" x14ac:dyDescent="0.2">
      <c r="A14481" t="s">
        <v>43160</v>
      </c>
      <c r="B14481" t="s">
        <v>43161</v>
      </c>
      <c r="C14481" t="s">
        <v>43161</v>
      </c>
      <c r="D14481" t="str">
        <f>HYPERLINK("https://zfin.org/ZDB-GENE-030131-9105")</f>
        <v>https://zfin.org/ZDB-GENE-030131-9105</v>
      </c>
      <c r="E14481" t="s">
        <v>43162</v>
      </c>
    </row>
    <row r="14482" spans="1:5" x14ac:dyDescent="0.2">
      <c r="A14482" t="s">
        <v>43163</v>
      </c>
      <c r="B14482" t="s">
        <v>43164</v>
      </c>
      <c r="C14482" t="s">
        <v>43164</v>
      </c>
      <c r="D14482" t="str">
        <f>HYPERLINK("https://zfin.org/ZDB-GENE-041114-49")</f>
        <v>https://zfin.org/ZDB-GENE-041114-49</v>
      </c>
      <c r="E14482" t="s">
        <v>43165</v>
      </c>
    </row>
    <row r="14483" spans="1:5" x14ac:dyDescent="0.2">
      <c r="A14483" t="s">
        <v>43166</v>
      </c>
      <c r="B14483" t="s">
        <v>43167</v>
      </c>
      <c r="C14483" t="s">
        <v>43167</v>
      </c>
      <c r="D14483" t="str">
        <f>HYPERLINK("https://zfin.org/")</f>
        <v>https://zfin.org/</v>
      </c>
      <c r="E14483" t="s">
        <v>43168</v>
      </c>
    </row>
    <row r="14484" spans="1:5" x14ac:dyDescent="0.2">
      <c r="A14484" t="s">
        <v>43169</v>
      </c>
      <c r="B14484" t="s">
        <v>43170</v>
      </c>
      <c r="C14484" t="s">
        <v>43170</v>
      </c>
      <c r="D14484" t="str">
        <f>HYPERLINK("https://zfin.org/")</f>
        <v>https://zfin.org/</v>
      </c>
      <c r="E14484" t="s">
        <v>43171</v>
      </c>
    </row>
    <row r="14485" spans="1:5" x14ac:dyDescent="0.2">
      <c r="A14485" t="s">
        <v>43172</v>
      </c>
      <c r="B14485" t="s">
        <v>43173</v>
      </c>
      <c r="C14485" t="s">
        <v>43173</v>
      </c>
      <c r="D14485" t="str">
        <f>HYPERLINK("https://zfin.org/")</f>
        <v>https://zfin.org/</v>
      </c>
      <c r="E14485" t="s">
        <v>43174</v>
      </c>
    </row>
    <row r="14486" spans="1:5" x14ac:dyDescent="0.2">
      <c r="A14486" t="s">
        <v>43175</v>
      </c>
      <c r="B14486" t="s">
        <v>43176</v>
      </c>
      <c r="C14486" t="s">
        <v>43176</v>
      </c>
      <c r="D14486" t="str">
        <f>HYPERLINK("https://zfin.org/")</f>
        <v>https://zfin.org/</v>
      </c>
    </row>
    <row r="14487" spans="1:5" x14ac:dyDescent="0.2">
      <c r="A14487" t="s">
        <v>43177</v>
      </c>
      <c r="B14487" t="s">
        <v>43178</v>
      </c>
      <c r="C14487" t="s">
        <v>43178</v>
      </c>
      <c r="D14487" t="str">
        <f>HYPERLINK("https://zfin.org/ZDB-GENE-071004-31")</f>
        <v>https://zfin.org/ZDB-GENE-071004-31</v>
      </c>
      <c r="E14487" t="s">
        <v>43179</v>
      </c>
    </row>
    <row r="14488" spans="1:5" x14ac:dyDescent="0.2">
      <c r="A14488" t="s">
        <v>43180</v>
      </c>
      <c r="B14488" t="s">
        <v>43181</v>
      </c>
      <c r="C14488" t="s">
        <v>43181</v>
      </c>
      <c r="D14488" t="str">
        <f>HYPERLINK("https://zfin.org/ZDB-GENE-030710-5")</f>
        <v>https://zfin.org/ZDB-GENE-030710-5</v>
      </c>
      <c r="E14488" t="s">
        <v>43182</v>
      </c>
    </row>
    <row r="14489" spans="1:5" x14ac:dyDescent="0.2">
      <c r="A14489" t="s">
        <v>43183</v>
      </c>
      <c r="B14489" t="s">
        <v>43184</v>
      </c>
      <c r="C14489" t="s">
        <v>43184</v>
      </c>
      <c r="D14489" t="str">
        <f>HYPERLINK("https://zfin.org/ZDB-GENE-060503-47")</f>
        <v>https://zfin.org/ZDB-GENE-060503-47</v>
      </c>
      <c r="E14489" t="s">
        <v>43185</v>
      </c>
    </row>
    <row r="14490" spans="1:5" x14ac:dyDescent="0.2">
      <c r="A14490" t="s">
        <v>43186</v>
      </c>
      <c r="B14490" t="s">
        <v>43187</v>
      </c>
      <c r="C14490" t="s">
        <v>43187</v>
      </c>
      <c r="D14490" t="str">
        <f>HYPERLINK("https://zfin.org/")</f>
        <v>https://zfin.org/</v>
      </c>
      <c r="E14490" t="s">
        <v>43188</v>
      </c>
    </row>
    <row r="14491" spans="1:5" x14ac:dyDescent="0.2">
      <c r="A14491" t="s">
        <v>43189</v>
      </c>
      <c r="B14491" t="s">
        <v>43190</v>
      </c>
      <c r="C14491" t="s">
        <v>43190</v>
      </c>
      <c r="D14491" t="str">
        <f>HYPERLINK("https://zfin.org/")</f>
        <v>https://zfin.org/</v>
      </c>
      <c r="E14491" t="s">
        <v>43191</v>
      </c>
    </row>
    <row r="14492" spans="1:5" x14ac:dyDescent="0.2">
      <c r="A14492" t="s">
        <v>43192</v>
      </c>
      <c r="B14492" t="s">
        <v>43193</v>
      </c>
      <c r="C14492" t="s">
        <v>43193</v>
      </c>
      <c r="D14492" t="str">
        <f>HYPERLINK("https://zfin.org/ZDB-GENE-030131-6315")</f>
        <v>https://zfin.org/ZDB-GENE-030131-6315</v>
      </c>
      <c r="E14492" t="s">
        <v>43194</v>
      </c>
    </row>
    <row r="14493" spans="1:5" x14ac:dyDescent="0.2">
      <c r="A14493" t="s">
        <v>43195</v>
      </c>
      <c r="B14493" t="s">
        <v>43196</v>
      </c>
      <c r="C14493" t="s">
        <v>43196</v>
      </c>
      <c r="D14493" t="str">
        <f>HYPERLINK("https://zfin.org/")</f>
        <v>https://zfin.org/</v>
      </c>
      <c r="E14493" t="s">
        <v>43197</v>
      </c>
    </row>
    <row r="14494" spans="1:5" x14ac:dyDescent="0.2">
      <c r="A14494" t="s">
        <v>43198</v>
      </c>
      <c r="B14494" t="s">
        <v>43199</v>
      </c>
      <c r="C14494" t="s">
        <v>43199</v>
      </c>
      <c r="D14494" t="str">
        <f>HYPERLINK("https://zfin.org/ZDB-GENE-030131-5387")</f>
        <v>https://zfin.org/ZDB-GENE-030131-5387</v>
      </c>
      <c r="E14494" t="s">
        <v>43200</v>
      </c>
    </row>
    <row r="14495" spans="1:5" x14ac:dyDescent="0.2">
      <c r="A14495" t="s">
        <v>43201</v>
      </c>
      <c r="B14495" t="s">
        <v>43202</v>
      </c>
      <c r="C14495" t="s">
        <v>43202</v>
      </c>
      <c r="D14495" t="str">
        <f>HYPERLINK("https://zfin.org/")</f>
        <v>https://zfin.org/</v>
      </c>
    </row>
    <row r="14496" spans="1:5" x14ac:dyDescent="0.2">
      <c r="A14496" t="s">
        <v>43203</v>
      </c>
      <c r="B14496" t="s">
        <v>43204</v>
      </c>
      <c r="C14496" t="s">
        <v>43204</v>
      </c>
      <c r="D14496" t="str">
        <f>HYPERLINK("https://zfin.org/")</f>
        <v>https://zfin.org/</v>
      </c>
      <c r="E14496" t="s">
        <v>43205</v>
      </c>
    </row>
    <row r="14497" spans="1:5" x14ac:dyDescent="0.2">
      <c r="A14497" t="s">
        <v>43206</v>
      </c>
      <c r="B14497" t="s">
        <v>43207</v>
      </c>
      <c r="C14497" t="s">
        <v>43207</v>
      </c>
      <c r="D14497" t="str">
        <f>HYPERLINK("https://zfin.org/")</f>
        <v>https://zfin.org/</v>
      </c>
      <c r="E14497" t="s">
        <v>43208</v>
      </c>
    </row>
    <row r="14498" spans="1:5" x14ac:dyDescent="0.2">
      <c r="A14498" t="s">
        <v>43209</v>
      </c>
      <c r="B14498" t="s">
        <v>43210</v>
      </c>
      <c r="C14498" t="s">
        <v>43210</v>
      </c>
      <c r="D14498" t="str">
        <f>HYPERLINK("https://zfin.org/ZDB-GENE-050506-92")</f>
        <v>https://zfin.org/ZDB-GENE-050506-92</v>
      </c>
      <c r="E14498" t="s">
        <v>43211</v>
      </c>
    </row>
    <row r="14499" spans="1:5" x14ac:dyDescent="0.2">
      <c r="A14499" t="s">
        <v>43212</v>
      </c>
      <c r="B14499" t="s">
        <v>43213</v>
      </c>
      <c r="C14499" t="s">
        <v>43213</v>
      </c>
      <c r="D14499" t="str">
        <f>HYPERLINK("https://zfin.org/")</f>
        <v>https://zfin.org/</v>
      </c>
      <c r="E14499" t="s">
        <v>43214</v>
      </c>
    </row>
    <row r="14500" spans="1:5" x14ac:dyDescent="0.2">
      <c r="A14500" t="s">
        <v>43215</v>
      </c>
      <c r="B14500" t="s">
        <v>43216</v>
      </c>
      <c r="C14500" t="s">
        <v>43216</v>
      </c>
      <c r="D14500" t="str">
        <f>HYPERLINK("https://zfin.org/")</f>
        <v>https://zfin.org/</v>
      </c>
      <c r="E14500" t="s">
        <v>43217</v>
      </c>
    </row>
    <row r="14501" spans="1:5" x14ac:dyDescent="0.2">
      <c r="A14501" t="s">
        <v>43218</v>
      </c>
      <c r="B14501" t="s">
        <v>43219</v>
      </c>
      <c r="C14501" t="s">
        <v>43219</v>
      </c>
      <c r="D14501" t="str">
        <f>HYPERLINK("https://zfin.org/ZDB-GENE-050208-103")</f>
        <v>https://zfin.org/ZDB-GENE-050208-103</v>
      </c>
      <c r="E14501" t="s">
        <v>43220</v>
      </c>
    </row>
    <row r="14502" spans="1:5" x14ac:dyDescent="0.2">
      <c r="A14502" t="s">
        <v>43221</v>
      </c>
      <c r="B14502" t="s">
        <v>43222</v>
      </c>
      <c r="C14502" t="s">
        <v>43222</v>
      </c>
      <c r="D14502" t="str">
        <f>HYPERLINK("https://zfin.org/ZDB-GENE-040426-2017")</f>
        <v>https://zfin.org/ZDB-GENE-040426-2017</v>
      </c>
      <c r="E14502" t="s">
        <v>43223</v>
      </c>
    </row>
    <row r="14503" spans="1:5" x14ac:dyDescent="0.2">
      <c r="A14503" t="s">
        <v>43224</v>
      </c>
      <c r="B14503" t="s">
        <v>43225</v>
      </c>
      <c r="C14503" t="s">
        <v>43225</v>
      </c>
      <c r="D14503" t="str">
        <f>HYPERLINK("https://zfin.org/ZDB-GENE-050522-159")</f>
        <v>https://zfin.org/ZDB-GENE-050522-159</v>
      </c>
      <c r="E14503" t="s">
        <v>43226</v>
      </c>
    </row>
    <row r="14504" spans="1:5" x14ac:dyDescent="0.2">
      <c r="A14504" t="s">
        <v>43227</v>
      </c>
      <c r="B14504" t="s">
        <v>43228</v>
      </c>
      <c r="C14504" t="s">
        <v>43228</v>
      </c>
      <c r="D14504" t="str">
        <f>HYPERLINK("https://zfin.org/ZDB-GENE-070112-1792")</f>
        <v>https://zfin.org/ZDB-GENE-070112-1792</v>
      </c>
      <c r="E14504" t="s">
        <v>43229</v>
      </c>
    </row>
    <row r="14505" spans="1:5" x14ac:dyDescent="0.2">
      <c r="A14505" t="s">
        <v>43230</v>
      </c>
      <c r="B14505" t="s">
        <v>43231</v>
      </c>
      <c r="C14505" t="s">
        <v>43231</v>
      </c>
      <c r="D14505" t="str">
        <f>HYPERLINK("https://zfin.org/")</f>
        <v>https://zfin.org/</v>
      </c>
      <c r="E14505" t="s">
        <v>43232</v>
      </c>
    </row>
    <row r="14506" spans="1:5" x14ac:dyDescent="0.2">
      <c r="A14506" t="s">
        <v>43233</v>
      </c>
      <c r="B14506" t="s">
        <v>43234</v>
      </c>
      <c r="C14506" t="s">
        <v>43234</v>
      </c>
      <c r="D14506" t="str">
        <f>HYPERLINK("https://zfin.org/")</f>
        <v>https://zfin.org/</v>
      </c>
    </row>
    <row r="14507" spans="1:5" x14ac:dyDescent="0.2">
      <c r="A14507" t="s">
        <v>43235</v>
      </c>
      <c r="B14507" t="s">
        <v>43236</v>
      </c>
      <c r="C14507" t="s">
        <v>43236</v>
      </c>
      <c r="D14507" t="str">
        <f>HYPERLINK("https://zfin.org/ZDB-GENE-030131-5127")</f>
        <v>https://zfin.org/ZDB-GENE-030131-5127</v>
      </c>
      <c r="E14507" t="s">
        <v>43237</v>
      </c>
    </row>
    <row r="14508" spans="1:5" x14ac:dyDescent="0.2">
      <c r="A14508" t="s">
        <v>43238</v>
      </c>
      <c r="B14508" t="s">
        <v>43239</v>
      </c>
      <c r="C14508" t="s">
        <v>43239</v>
      </c>
      <c r="D14508" t="str">
        <f>HYPERLINK("https://zfin.org/ZDB-GENE-050417-331")</f>
        <v>https://zfin.org/ZDB-GENE-050417-331</v>
      </c>
      <c r="E14508" t="s">
        <v>43240</v>
      </c>
    </row>
    <row r="14509" spans="1:5" x14ac:dyDescent="0.2">
      <c r="A14509" t="s">
        <v>43241</v>
      </c>
      <c r="B14509" t="s">
        <v>43242</v>
      </c>
      <c r="C14509" t="s">
        <v>43242</v>
      </c>
      <c r="D14509" t="str">
        <f>HYPERLINK("https://zfin.org/ZDB-GENE-140106-191")</f>
        <v>https://zfin.org/ZDB-GENE-140106-191</v>
      </c>
      <c r="E14509" t="s">
        <v>43243</v>
      </c>
    </row>
    <row r="14510" spans="1:5" x14ac:dyDescent="0.2">
      <c r="A14510" t="s">
        <v>43244</v>
      </c>
      <c r="B14510" t="s">
        <v>43245</v>
      </c>
      <c r="C14510" t="s">
        <v>43245</v>
      </c>
      <c r="D14510" t="str">
        <f>HYPERLINK("https://zfin.org/")</f>
        <v>https://zfin.org/</v>
      </c>
      <c r="E14510" t="s">
        <v>43246</v>
      </c>
    </row>
    <row r="14511" spans="1:5" x14ac:dyDescent="0.2">
      <c r="A14511" t="s">
        <v>43247</v>
      </c>
      <c r="B14511" t="s">
        <v>43248</v>
      </c>
      <c r="C14511" t="s">
        <v>43248</v>
      </c>
      <c r="D14511" t="str">
        <f>HYPERLINK("https://zfin.org/ZDB-GENE-030131-5559")</f>
        <v>https://zfin.org/ZDB-GENE-030131-5559</v>
      </c>
      <c r="E14511" t="s">
        <v>43249</v>
      </c>
    </row>
    <row r="14512" spans="1:5" x14ac:dyDescent="0.2">
      <c r="A14512" t="s">
        <v>43250</v>
      </c>
      <c r="B14512" t="s">
        <v>43251</v>
      </c>
      <c r="C14512" t="s">
        <v>43251</v>
      </c>
      <c r="D14512" t="str">
        <f>HYPERLINK("https://zfin.org/")</f>
        <v>https://zfin.org/</v>
      </c>
      <c r="E14512" t="s">
        <v>43252</v>
      </c>
    </row>
    <row r="14513" spans="1:5" x14ac:dyDescent="0.2">
      <c r="A14513" t="s">
        <v>43253</v>
      </c>
      <c r="B14513" t="s">
        <v>43254</v>
      </c>
      <c r="C14513" t="s">
        <v>43254</v>
      </c>
      <c r="D14513" t="str">
        <f>HYPERLINK("https://zfin.org/ZDB-GENE-030131-6218")</f>
        <v>https://zfin.org/ZDB-GENE-030131-6218</v>
      </c>
      <c r="E14513" t="s">
        <v>43255</v>
      </c>
    </row>
    <row r="14514" spans="1:5" x14ac:dyDescent="0.2">
      <c r="A14514" t="s">
        <v>43256</v>
      </c>
      <c r="B14514" t="s">
        <v>43257</v>
      </c>
      <c r="C14514" t="s">
        <v>43257</v>
      </c>
      <c r="D14514" t="str">
        <f>HYPERLINK("https://zfin.org/ZDB-GENE-060929-332")</f>
        <v>https://zfin.org/ZDB-GENE-060929-332</v>
      </c>
      <c r="E14514" t="s">
        <v>43258</v>
      </c>
    </row>
    <row r="14515" spans="1:5" x14ac:dyDescent="0.2">
      <c r="A14515" t="s">
        <v>43259</v>
      </c>
      <c r="B14515" t="s">
        <v>43260</v>
      </c>
      <c r="C14515" t="s">
        <v>43260</v>
      </c>
      <c r="D14515" t="str">
        <f>HYPERLINK("https://zfin.org/ZDB-GENE-040426-2193")</f>
        <v>https://zfin.org/ZDB-GENE-040426-2193</v>
      </c>
      <c r="E14515" t="s">
        <v>43261</v>
      </c>
    </row>
    <row r="14516" spans="1:5" x14ac:dyDescent="0.2">
      <c r="A14516" t="s">
        <v>43262</v>
      </c>
      <c r="B14516" t="s">
        <v>43263</v>
      </c>
      <c r="C14516" t="s">
        <v>43263</v>
      </c>
      <c r="D14516" t="str">
        <f>HYPERLINK("https://zfin.org/ZDB-GENE-040426-1690")</f>
        <v>https://zfin.org/ZDB-GENE-040426-1690</v>
      </c>
      <c r="E14516" t="s">
        <v>43264</v>
      </c>
    </row>
    <row r="14517" spans="1:5" x14ac:dyDescent="0.2">
      <c r="A14517" t="s">
        <v>43265</v>
      </c>
      <c r="B14517" t="s">
        <v>43266</v>
      </c>
      <c r="C14517" t="s">
        <v>43266</v>
      </c>
      <c r="D14517" t="str">
        <f>HYPERLINK("https://zfin.org/")</f>
        <v>https://zfin.org/</v>
      </c>
      <c r="E14517" t="s">
        <v>43267</v>
      </c>
    </row>
    <row r="14518" spans="1:5" x14ac:dyDescent="0.2">
      <c r="A14518" t="s">
        <v>43268</v>
      </c>
      <c r="B14518" t="s">
        <v>43269</v>
      </c>
      <c r="C14518" t="s">
        <v>43269</v>
      </c>
      <c r="D14518" t="str">
        <f>HYPERLINK("https://zfin.org/ZDB-GENE-050417-342")</f>
        <v>https://zfin.org/ZDB-GENE-050417-342</v>
      </c>
      <c r="E14518" t="s">
        <v>43270</v>
      </c>
    </row>
    <row r="14519" spans="1:5" x14ac:dyDescent="0.2">
      <c r="A14519" t="s">
        <v>43271</v>
      </c>
      <c r="B14519" t="s">
        <v>43272</v>
      </c>
      <c r="C14519" t="s">
        <v>43272</v>
      </c>
      <c r="D14519" t="str">
        <f>HYPERLINK("https://zfin.org/ZDB-GENE-011015-1")</f>
        <v>https://zfin.org/ZDB-GENE-011015-1</v>
      </c>
      <c r="E14519" t="s">
        <v>43273</v>
      </c>
    </row>
    <row r="14520" spans="1:5" x14ac:dyDescent="0.2">
      <c r="A14520" t="s">
        <v>43274</v>
      </c>
      <c r="B14520" t="s">
        <v>43275</v>
      </c>
      <c r="C14520" t="s">
        <v>43275</v>
      </c>
      <c r="D14520" t="str">
        <f>HYPERLINK("https://zfin.org/")</f>
        <v>https://zfin.org/</v>
      </c>
      <c r="E14520" t="s">
        <v>43276</v>
      </c>
    </row>
    <row r="14521" spans="1:5" x14ac:dyDescent="0.2">
      <c r="A14521" t="s">
        <v>43277</v>
      </c>
      <c r="B14521" t="s">
        <v>43278</v>
      </c>
      <c r="C14521" t="s">
        <v>43278</v>
      </c>
      <c r="D14521" t="str">
        <f>HYPERLINK("https://zfin.org/ZDB-GENE-041114-105")</f>
        <v>https://zfin.org/ZDB-GENE-041114-105</v>
      </c>
      <c r="E14521" t="s">
        <v>43279</v>
      </c>
    </row>
    <row r="14522" spans="1:5" x14ac:dyDescent="0.2">
      <c r="A14522" t="s">
        <v>43280</v>
      </c>
      <c r="B14522" t="s">
        <v>43281</v>
      </c>
      <c r="C14522" t="s">
        <v>43281</v>
      </c>
      <c r="D14522" t="str">
        <f>HYPERLINK("https://zfin.org/ZDB-GENE-040527-2")</f>
        <v>https://zfin.org/ZDB-GENE-040527-2</v>
      </c>
      <c r="E14522" t="s">
        <v>43282</v>
      </c>
    </row>
    <row r="14523" spans="1:5" x14ac:dyDescent="0.2">
      <c r="A14523" t="s">
        <v>43283</v>
      </c>
      <c r="B14523" t="s">
        <v>43284</v>
      </c>
      <c r="C14523" t="s">
        <v>43284</v>
      </c>
      <c r="D14523" t="str">
        <f>HYPERLINK("https://zfin.org/")</f>
        <v>https://zfin.org/</v>
      </c>
      <c r="E14523" t="s">
        <v>43285</v>
      </c>
    </row>
    <row r="14524" spans="1:5" x14ac:dyDescent="0.2">
      <c r="A14524" t="s">
        <v>43286</v>
      </c>
      <c r="B14524" t="s">
        <v>43287</v>
      </c>
      <c r="C14524" t="s">
        <v>43287</v>
      </c>
      <c r="D14524" t="str">
        <f>HYPERLINK("https://zfin.org/ZDB-GENE-030131-8076")</f>
        <v>https://zfin.org/ZDB-GENE-030131-8076</v>
      </c>
      <c r="E14524" t="s">
        <v>43288</v>
      </c>
    </row>
    <row r="14525" spans="1:5" x14ac:dyDescent="0.2">
      <c r="A14525" t="s">
        <v>43289</v>
      </c>
      <c r="B14525" t="s">
        <v>43290</v>
      </c>
      <c r="C14525" t="s">
        <v>43290</v>
      </c>
      <c r="D14525" t="str">
        <f>HYPERLINK("https://zfin.org/")</f>
        <v>https://zfin.org/</v>
      </c>
      <c r="E14525" t="s">
        <v>43291</v>
      </c>
    </row>
    <row r="14526" spans="1:5" x14ac:dyDescent="0.2">
      <c r="A14526" t="s">
        <v>43292</v>
      </c>
      <c r="B14526" t="s">
        <v>43293</v>
      </c>
      <c r="C14526" t="s">
        <v>43293</v>
      </c>
      <c r="D14526" t="str">
        <f>HYPERLINK("https://zfin.org/ZDB-GENE-120209-2")</f>
        <v>https://zfin.org/ZDB-GENE-120209-2</v>
      </c>
      <c r="E14526" t="s">
        <v>43294</v>
      </c>
    </row>
    <row r="14527" spans="1:5" x14ac:dyDescent="0.2">
      <c r="A14527" t="s">
        <v>43295</v>
      </c>
      <c r="B14527" t="s">
        <v>43296</v>
      </c>
      <c r="C14527" t="s">
        <v>43296</v>
      </c>
      <c r="D14527" t="str">
        <f>HYPERLINK("https://zfin.org/ZDB-GENE-090617-1")</f>
        <v>https://zfin.org/ZDB-GENE-090617-1</v>
      </c>
      <c r="E14527" t="s">
        <v>43297</v>
      </c>
    </row>
    <row r="14528" spans="1:5" x14ac:dyDescent="0.2">
      <c r="A14528" t="s">
        <v>43298</v>
      </c>
      <c r="B14528" t="s">
        <v>43299</v>
      </c>
      <c r="C14528" t="s">
        <v>43299</v>
      </c>
      <c r="D14528" t="str">
        <f>HYPERLINK("https://zfin.org/ZDB-GENE-040426-2138")</f>
        <v>https://zfin.org/ZDB-GENE-040426-2138</v>
      </c>
      <c r="E14528" t="s">
        <v>43300</v>
      </c>
    </row>
    <row r="14529" spans="1:5" x14ac:dyDescent="0.2">
      <c r="A14529" t="s">
        <v>43301</v>
      </c>
      <c r="B14529" t="s">
        <v>43302</v>
      </c>
      <c r="C14529" t="s">
        <v>43302</v>
      </c>
      <c r="D14529" t="str">
        <f>HYPERLINK("https://zfin.org/")</f>
        <v>https://zfin.org/</v>
      </c>
      <c r="E14529" t="s">
        <v>43303</v>
      </c>
    </row>
    <row r="14530" spans="1:5" x14ac:dyDescent="0.2">
      <c r="A14530" t="s">
        <v>43304</v>
      </c>
      <c r="B14530" t="s">
        <v>43305</v>
      </c>
      <c r="C14530" t="s">
        <v>43305</v>
      </c>
      <c r="D14530" t="str">
        <f>HYPERLINK("https://zfin.org/ZDB-GENE-030131-9907")</f>
        <v>https://zfin.org/ZDB-GENE-030131-9907</v>
      </c>
      <c r="E14530" t="s">
        <v>43306</v>
      </c>
    </row>
    <row r="14531" spans="1:5" x14ac:dyDescent="0.2">
      <c r="A14531" t="s">
        <v>43307</v>
      </c>
      <c r="B14531" t="s">
        <v>43308</v>
      </c>
      <c r="C14531" t="s">
        <v>43308</v>
      </c>
      <c r="D14531" t="str">
        <f>HYPERLINK("https://zfin.org/")</f>
        <v>https://zfin.org/</v>
      </c>
    </row>
    <row r="14532" spans="1:5" x14ac:dyDescent="0.2">
      <c r="A14532" t="s">
        <v>43309</v>
      </c>
      <c r="B14532" t="s">
        <v>43310</v>
      </c>
      <c r="C14532" t="s">
        <v>43310</v>
      </c>
      <c r="D14532" t="str">
        <f>HYPERLINK("https://zfin.org/")</f>
        <v>https://zfin.org/</v>
      </c>
      <c r="E14532" t="s">
        <v>43311</v>
      </c>
    </row>
    <row r="14533" spans="1:5" x14ac:dyDescent="0.2">
      <c r="A14533" t="s">
        <v>43312</v>
      </c>
      <c r="B14533" t="s">
        <v>43313</v>
      </c>
      <c r="C14533" t="s">
        <v>43313</v>
      </c>
      <c r="D14533" t="str">
        <f>HYPERLINK("https://zfin.org/ZDB-GENE-030131-7914")</f>
        <v>https://zfin.org/ZDB-GENE-030131-7914</v>
      </c>
      <c r="E14533" t="s">
        <v>43314</v>
      </c>
    </row>
    <row r="14534" spans="1:5" x14ac:dyDescent="0.2">
      <c r="A14534" t="s">
        <v>43315</v>
      </c>
      <c r="B14534" t="s">
        <v>43316</v>
      </c>
      <c r="C14534" t="s">
        <v>43316</v>
      </c>
      <c r="D14534" t="str">
        <f>HYPERLINK("https://zfin.org/ZDB-GENE-040625-147")</f>
        <v>https://zfin.org/ZDB-GENE-040625-147</v>
      </c>
      <c r="E14534" t="s">
        <v>43317</v>
      </c>
    </row>
    <row r="14535" spans="1:5" x14ac:dyDescent="0.2">
      <c r="A14535" t="s">
        <v>43318</v>
      </c>
      <c r="B14535" t="s">
        <v>43319</v>
      </c>
      <c r="C14535" t="s">
        <v>43319</v>
      </c>
      <c r="D14535" t="str">
        <f>HYPERLINK("https://zfin.org/ZDB-GENE-050913-28")</f>
        <v>https://zfin.org/ZDB-GENE-050913-28</v>
      </c>
      <c r="E14535" t="s">
        <v>43320</v>
      </c>
    </row>
    <row r="14536" spans="1:5" x14ac:dyDescent="0.2">
      <c r="A14536" t="s">
        <v>43321</v>
      </c>
      <c r="B14536" t="s">
        <v>43322</v>
      </c>
      <c r="C14536" t="s">
        <v>43322</v>
      </c>
      <c r="D14536" t="str">
        <f>HYPERLINK("https://zfin.org/ZDB-GENE-081022-9")</f>
        <v>https://zfin.org/ZDB-GENE-081022-9</v>
      </c>
      <c r="E14536" t="s">
        <v>43323</v>
      </c>
    </row>
    <row r="14537" spans="1:5" x14ac:dyDescent="0.2">
      <c r="A14537" t="s">
        <v>43324</v>
      </c>
      <c r="B14537" t="s">
        <v>43325</v>
      </c>
      <c r="C14537" t="s">
        <v>43325</v>
      </c>
      <c r="D14537" t="str">
        <f>HYPERLINK("https://zfin.org/ZDB-GENE-070112-1112")</f>
        <v>https://zfin.org/ZDB-GENE-070112-1112</v>
      </c>
      <c r="E14537" t="s">
        <v>43326</v>
      </c>
    </row>
    <row r="14538" spans="1:5" x14ac:dyDescent="0.2">
      <c r="A14538" t="s">
        <v>43327</v>
      </c>
      <c r="B14538" t="s">
        <v>43328</v>
      </c>
      <c r="C14538" t="s">
        <v>43328</v>
      </c>
      <c r="D14538" t="str">
        <f>HYPERLINK("https://zfin.org/ZDB-GENE-080924-2")</f>
        <v>https://zfin.org/ZDB-GENE-080924-2</v>
      </c>
      <c r="E14538" t="s">
        <v>43329</v>
      </c>
    </row>
    <row r="14539" spans="1:5" x14ac:dyDescent="0.2">
      <c r="A14539" t="s">
        <v>43330</v>
      </c>
      <c r="B14539" t="s">
        <v>15985</v>
      </c>
      <c r="C14539" t="s">
        <v>43331</v>
      </c>
      <c r="D14539" t="str">
        <f>HYPERLINK("https://zfin.org/")</f>
        <v>https://zfin.org/</v>
      </c>
      <c r="E14539" t="s">
        <v>43332</v>
      </c>
    </row>
    <row r="14540" spans="1:5" x14ac:dyDescent="0.2">
      <c r="A14540" t="s">
        <v>43333</v>
      </c>
      <c r="B14540" t="s">
        <v>43334</v>
      </c>
      <c r="C14540" t="s">
        <v>43334</v>
      </c>
      <c r="D14540" t="str">
        <f>HYPERLINK("https://zfin.org/")</f>
        <v>https://zfin.org/</v>
      </c>
      <c r="E14540" t="s">
        <v>43335</v>
      </c>
    </row>
    <row r="14541" spans="1:5" x14ac:dyDescent="0.2">
      <c r="A14541" t="s">
        <v>43336</v>
      </c>
      <c r="B14541" t="s">
        <v>43337</v>
      </c>
      <c r="C14541" t="s">
        <v>43337</v>
      </c>
      <c r="D14541" t="str">
        <f>HYPERLINK("https://zfin.org/ZDB-GENE-040426-697")</f>
        <v>https://zfin.org/ZDB-GENE-040426-697</v>
      </c>
      <c r="E14541" t="s">
        <v>43338</v>
      </c>
    </row>
    <row r="14542" spans="1:5" x14ac:dyDescent="0.2">
      <c r="A14542" t="s">
        <v>43339</v>
      </c>
      <c r="B14542" t="s">
        <v>43340</v>
      </c>
      <c r="C14542" t="s">
        <v>43340</v>
      </c>
      <c r="D14542" t="str">
        <f>HYPERLINK("https://zfin.org/ZDB-GENE-040718-307")</f>
        <v>https://zfin.org/ZDB-GENE-040718-307</v>
      </c>
      <c r="E14542" t="s">
        <v>43341</v>
      </c>
    </row>
    <row r="14543" spans="1:5" x14ac:dyDescent="0.2">
      <c r="A14543" t="s">
        <v>43342</v>
      </c>
      <c r="B14543" t="s">
        <v>43343</v>
      </c>
      <c r="C14543" t="s">
        <v>43343</v>
      </c>
      <c r="D14543" t="str">
        <f>HYPERLINK("https://zfin.org/")</f>
        <v>https://zfin.org/</v>
      </c>
      <c r="E14543" t="s">
        <v>43344</v>
      </c>
    </row>
    <row r="14544" spans="1:5" x14ac:dyDescent="0.2">
      <c r="A14544" t="s">
        <v>43345</v>
      </c>
      <c r="B14544" t="s">
        <v>43346</v>
      </c>
      <c r="C14544" t="s">
        <v>43346</v>
      </c>
      <c r="D14544" t="str">
        <f>HYPERLINK("https://zfin.org/ZDB-GENE-030131-5723")</f>
        <v>https://zfin.org/ZDB-GENE-030131-5723</v>
      </c>
      <c r="E14544" t="s">
        <v>43347</v>
      </c>
    </row>
    <row r="14545" spans="1:5" x14ac:dyDescent="0.2">
      <c r="A14545" t="s">
        <v>43348</v>
      </c>
      <c r="B14545" t="s">
        <v>43349</v>
      </c>
      <c r="C14545" t="s">
        <v>43349</v>
      </c>
      <c r="D14545" t="str">
        <f>HYPERLINK("https://zfin.org/ZDB-GENE-111104-2")</f>
        <v>https://zfin.org/ZDB-GENE-111104-2</v>
      </c>
      <c r="E14545" t="s">
        <v>43350</v>
      </c>
    </row>
    <row r="14546" spans="1:5" x14ac:dyDescent="0.2">
      <c r="A14546" t="s">
        <v>43351</v>
      </c>
      <c r="B14546" t="s">
        <v>43352</v>
      </c>
      <c r="C14546" t="s">
        <v>43352</v>
      </c>
      <c r="D14546" t="str">
        <f>HYPERLINK("https://zfin.org/ZDB-GENE-050523-1")</f>
        <v>https://zfin.org/ZDB-GENE-050523-1</v>
      </c>
      <c r="E14546" t="s">
        <v>43353</v>
      </c>
    </row>
    <row r="14547" spans="1:5" x14ac:dyDescent="0.2">
      <c r="A14547" t="s">
        <v>43354</v>
      </c>
      <c r="B14547" t="s">
        <v>43355</v>
      </c>
      <c r="C14547" t="s">
        <v>43355</v>
      </c>
      <c r="D14547" t="str">
        <f>HYPERLINK("https://zfin.org/ZDB-GENE-030131-5357")</f>
        <v>https://zfin.org/ZDB-GENE-030131-5357</v>
      </c>
      <c r="E14547" t="s">
        <v>43356</v>
      </c>
    </row>
    <row r="14548" spans="1:5" x14ac:dyDescent="0.2">
      <c r="A14548" t="s">
        <v>43357</v>
      </c>
      <c r="B14548" t="s">
        <v>43358</v>
      </c>
      <c r="C14548" t="s">
        <v>43358</v>
      </c>
      <c r="D14548" t="str">
        <f>HYPERLINK("https://zfin.org/")</f>
        <v>https://zfin.org/</v>
      </c>
      <c r="E14548" t="s">
        <v>43359</v>
      </c>
    </row>
    <row r="14549" spans="1:5" x14ac:dyDescent="0.2">
      <c r="A14549" t="s">
        <v>43360</v>
      </c>
      <c r="B14549" t="s">
        <v>43361</v>
      </c>
      <c r="C14549" t="s">
        <v>43361</v>
      </c>
      <c r="D14549" t="str">
        <f>HYPERLINK("https://zfin.org/")</f>
        <v>https://zfin.org/</v>
      </c>
    </row>
    <row r="14550" spans="1:5" x14ac:dyDescent="0.2">
      <c r="A14550" t="s">
        <v>43362</v>
      </c>
      <c r="B14550" t="s">
        <v>43363</v>
      </c>
      <c r="C14550" t="s">
        <v>43363</v>
      </c>
      <c r="D14550" t="str">
        <f>HYPERLINK("https://zfin.org/")</f>
        <v>https://zfin.org/</v>
      </c>
    </row>
    <row r="14551" spans="1:5" x14ac:dyDescent="0.2">
      <c r="A14551" t="s">
        <v>43364</v>
      </c>
      <c r="B14551" t="s">
        <v>43365</v>
      </c>
      <c r="C14551" t="s">
        <v>43365</v>
      </c>
      <c r="D14551" t="str">
        <f>HYPERLINK("https://zfin.org/")</f>
        <v>https://zfin.org/</v>
      </c>
      <c r="E14551" t="s">
        <v>43366</v>
      </c>
    </row>
    <row r="14552" spans="1:5" x14ac:dyDescent="0.2">
      <c r="A14552" t="s">
        <v>43367</v>
      </c>
      <c r="B14552" t="s">
        <v>43368</v>
      </c>
      <c r="C14552" t="s">
        <v>43368</v>
      </c>
      <c r="D14552" t="str">
        <f>HYPERLINK("https://zfin.org/")</f>
        <v>https://zfin.org/</v>
      </c>
      <c r="E14552" t="s">
        <v>43369</v>
      </c>
    </row>
    <row r="14553" spans="1:5" x14ac:dyDescent="0.2">
      <c r="A14553" t="s">
        <v>43370</v>
      </c>
      <c r="B14553" t="s">
        <v>43371</v>
      </c>
      <c r="C14553" t="s">
        <v>43371</v>
      </c>
      <c r="D14553" t="str">
        <f>HYPERLINK("https://zfin.org/ZDB-GENE-050913-95")</f>
        <v>https://zfin.org/ZDB-GENE-050913-95</v>
      </c>
      <c r="E14553" t="s">
        <v>43372</v>
      </c>
    </row>
    <row r="14554" spans="1:5" x14ac:dyDescent="0.2">
      <c r="A14554" t="s">
        <v>43373</v>
      </c>
      <c r="B14554" t="s">
        <v>43374</v>
      </c>
      <c r="C14554" t="s">
        <v>43374</v>
      </c>
      <c r="D14554" t="str">
        <f>HYPERLINK("https://zfin.org/ZDB-GENE-070410-60")</f>
        <v>https://zfin.org/ZDB-GENE-070410-60</v>
      </c>
      <c r="E14554" t="s">
        <v>43375</v>
      </c>
    </row>
    <row r="14555" spans="1:5" x14ac:dyDescent="0.2">
      <c r="A14555" t="s">
        <v>43376</v>
      </c>
      <c r="B14555" t="s">
        <v>43377</v>
      </c>
      <c r="C14555" t="s">
        <v>43377</v>
      </c>
      <c r="D14555" t="str">
        <f>HYPERLINK("https://zfin.org/ZDB-GENE-040426-1850")</f>
        <v>https://zfin.org/ZDB-GENE-040426-1850</v>
      </c>
      <c r="E14555" t="s">
        <v>43378</v>
      </c>
    </row>
    <row r="14556" spans="1:5" x14ac:dyDescent="0.2">
      <c r="A14556" t="s">
        <v>43379</v>
      </c>
      <c r="B14556" t="s">
        <v>43380</v>
      </c>
      <c r="C14556" t="s">
        <v>43380</v>
      </c>
      <c r="D14556" t="str">
        <f>HYPERLINK("https://zfin.org/")</f>
        <v>https://zfin.org/</v>
      </c>
      <c r="E14556" t="s">
        <v>40534</v>
      </c>
    </row>
    <row r="14557" spans="1:5" x14ac:dyDescent="0.2">
      <c r="A14557" t="s">
        <v>43381</v>
      </c>
      <c r="B14557" t="s">
        <v>43382</v>
      </c>
      <c r="C14557" t="s">
        <v>43382</v>
      </c>
      <c r="D14557" t="str">
        <f>HYPERLINK("https://zfin.org/ZDB-GENE-050913-136")</f>
        <v>https://zfin.org/ZDB-GENE-050913-136</v>
      </c>
      <c r="E14557" t="s">
        <v>43383</v>
      </c>
    </row>
    <row r="14558" spans="1:5" x14ac:dyDescent="0.2">
      <c r="A14558" t="s">
        <v>43384</v>
      </c>
      <c r="B14558" t="s">
        <v>43385</v>
      </c>
      <c r="C14558" t="s">
        <v>43385</v>
      </c>
      <c r="D14558" t="str">
        <f>HYPERLINK("https://zfin.org/ZDB-GENE-030131-2173")</f>
        <v>https://zfin.org/ZDB-GENE-030131-2173</v>
      </c>
      <c r="E14558" t="s">
        <v>43386</v>
      </c>
    </row>
    <row r="14559" spans="1:5" x14ac:dyDescent="0.2">
      <c r="A14559" t="s">
        <v>43387</v>
      </c>
      <c r="B14559" t="s">
        <v>43388</v>
      </c>
      <c r="C14559" t="s">
        <v>43388</v>
      </c>
      <c r="D14559" t="str">
        <f>HYPERLINK("https://zfin.org/ZDB-GENE-061110-97")</f>
        <v>https://zfin.org/ZDB-GENE-061110-97</v>
      </c>
      <c r="E14559" t="s">
        <v>43389</v>
      </c>
    </row>
    <row r="14560" spans="1:5" x14ac:dyDescent="0.2">
      <c r="A14560" t="s">
        <v>43390</v>
      </c>
      <c r="B14560" t="s">
        <v>43391</v>
      </c>
      <c r="C14560" t="s">
        <v>43391</v>
      </c>
      <c r="D14560" t="str">
        <f>HYPERLINK("https://zfin.org/ZDB-GENE-060929-1178")</f>
        <v>https://zfin.org/ZDB-GENE-060929-1178</v>
      </c>
      <c r="E14560" t="s">
        <v>43392</v>
      </c>
    </row>
    <row r="14561" spans="1:5" x14ac:dyDescent="0.2">
      <c r="A14561" t="s">
        <v>43393</v>
      </c>
      <c r="B14561" t="s">
        <v>43394</v>
      </c>
      <c r="C14561" t="s">
        <v>43394</v>
      </c>
      <c r="D14561" t="str">
        <f t="shared" ref="D14561:D14570" si="7">HYPERLINK("https://zfin.org/")</f>
        <v>https://zfin.org/</v>
      </c>
    </row>
    <row r="14562" spans="1:5" x14ac:dyDescent="0.2">
      <c r="A14562" t="s">
        <v>43395</v>
      </c>
      <c r="B14562" t="s">
        <v>43396</v>
      </c>
      <c r="C14562" t="s">
        <v>43396</v>
      </c>
      <c r="D14562" t="str">
        <f t="shared" si="7"/>
        <v>https://zfin.org/</v>
      </c>
    </row>
    <row r="14563" spans="1:5" x14ac:dyDescent="0.2">
      <c r="A14563" t="s">
        <v>43397</v>
      </c>
      <c r="B14563" t="s">
        <v>43398</v>
      </c>
      <c r="C14563" t="s">
        <v>43398</v>
      </c>
      <c r="D14563" t="str">
        <f t="shared" si="7"/>
        <v>https://zfin.org/</v>
      </c>
    </row>
    <row r="14564" spans="1:5" x14ac:dyDescent="0.2">
      <c r="A14564" t="s">
        <v>43399</v>
      </c>
      <c r="B14564" t="s">
        <v>43400</v>
      </c>
      <c r="C14564" t="s">
        <v>43400</v>
      </c>
      <c r="D14564" t="str">
        <f t="shared" si="7"/>
        <v>https://zfin.org/</v>
      </c>
    </row>
    <row r="14565" spans="1:5" x14ac:dyDescent="0.2">
      <c r="A14565" t="s">
        <v>43401</v>
      </c>
      <c r="B14565" t="s">
        <v>43402</v>
      </c>
      <c r="C14565" t="s">
        <v>43402</v>
      </c>
      <c r="D14565" t="str">
        <f t="shared" si="7"/>
        <v>https://zfin.org/</v>
      </c>
      <c r="E14565" t="s">
        <v>43403</v>
      </c>
    </row>
    <row r="14566" spans="1:5" x14ac:dyDescent="0.2">
      <c r="A14566" t="s">
        <v>43404</v>
      </c>
      <c r="B14566" t="s">
        <v>43405</v>
      </c>
      <c r="C14566" t="s">
        <v>43405</v>
      </c>
      <c r="D14566" t="str">
        <f t="shared" si="7"/>
        <v>https://zfin.org/</v>
      </c>
    </row>
    <row r="14567" spans="1:5" x14ac:dyDescent="0.2">
      <c r="A14567" t="s">
        <v>43406</v>
      </c>
      <c r="B14567" t="s">
        <v>43407</v>
      </c>
      <c r="C14567" t="s">
        <v>43407</v>
      </c>
      <c r="D14567" t="str">
        <f t="shared" si="7"/>
        <v>https://zfin.org/</v>
      </c>
      <c r="E14567" t="s">
        <v>43408</v>
      </c>
    </row>
    <row r="14568" spans="1:5" x14ac:dyDescent="0.2">
      <c r="A14568" t="s">
        <v>43409</v>
      </c>
      <c r="B14568" t="s">
        <v>43410</v>
      </c>
      <c r="C14568" t="s">
        <v>43410</v>
      </c>
      <c r="D14568" t="str">
        <f t="shared" si="7"/>
        <v>https://zfin.org/</v>
      </c>
      <c r="E14568" t="s">
        <v>43411</v>
      </c>
    </row>
    <row r="14569" spans="1:5" x14ac:dyDescent="0.2">
      <c r="A14569" t="s">
        <v>43412</v>
      </c>
      <c r="B14569" t="s">
        <v>43413</v>
      </c>
      <c r="C14569" t="s">
        <v>43413</v>
      </c>
      <c r="D14569" t="str">
        <f t="shared" si="7"/>
        <v>https://zfin.org/</v>
      </c>
    </row>
    <row r="14570" spans="1:5" x14ac:dyDescent="0.2">
      <c r="A14570" t="s">
        <v>43414</v>
      </c>
      <c r="B14570" t="s">
        <v>43415</v>
      </c>
      <c r="C14570" t="s">
        <v>43415</v>
      </c>
      <c r="D14570" t="str">
        <f t="shared" si="7"/>
        <v>https://zfin.org/</v>
      </c>
      <c r="E14570" t="s">
        <v>43416</v>
      </c>
    </row>
    <row r="14571" spans="1:5" x14ac:dyDescent="0.2">
      <c r="A14571" t="s">
        <v>43417</v>
      </c>
      <c r="B14571" t="s">
        <v>43418</v>
      </c>
      <c r="C14571" t="s">
        <v>43418</v>
      </c>
      <c r="D14571" t="str">
        <f>HYPERLINK("https://zfin.org/ZDB-GENE-030131-6203")</f>
        <v>https://zfin.org/ZDB-GENE-030131-6203</v>
      </c>
      <c r="E14571" t="s">
        <v>43419</v>
      </c>
    </row>
    <row r="14572" spans="1:5" x14ac:dyDescent="0.2">
      <c r="A14572" t="s">
        <v>43420</v>
      </c>
      <c r="B14572" t="s">
        <v>43421</v>
      </c>
      <c r="C14572" t="s">
        <v>43421</v>
      </c>
      <c r="D14572" t="str">
        <f>HYPERLINK("https://zfin.org/ZDB-GENE-050417-218")</f>
        <v>https://zfin.org/ZDB-GENE-050417-218</v>
      </c>
      <c r="E14572" t="s">
        <v>43422</v>
      </c>
    </row>
    <row r="14573" spans="1:5" x14ac:dyDescent="0.2">
      <c r="A14573" t="s">
        <v>43423</v>
      </c>
      <c r="B14573" t="s">
        <v>43424</v>
      </c>
      <c r="C14573" t="s">
        <v>43424</v>
      </c>
      <c r="D14573" t="str">
        <f>HYPERLINK("https://zfin.org/")</f>
        <v>https://zfin.org/</v>
      </c>
    </row>
    <row r="14574" spans="1:5" x14ac:dyDescent="0.2">
      <c r="A14574" t="s">
        <v>43425</v>
      </c>
      <c r="B14574" t="s">
        <v>43426</v>
      </c>
      <c r="C14574" t="s">
        <v>43426</v>
      </c>
      <c r="D14574" t="str">
        <f>HYPERLINK("https://zfin.org/ZDB-GENE-050301-2")</f>
        <v>https://zfin.org/ZDB-GENE-050301-2</v>
      </c>
      <c r="E14574" t="s">
        <v>43427</v>
      </c>
    </row>
    <row r="14575" spans="1:5" x14ac:dyDescent="0.2">
      <c r="A14575" t="s">
        <v>43428</v>
      </c>
      <c r="B14575" t="s">
        <v>43429</v>
      </c>
      <c r="C14575" t="s">
        <v>43429</v>
      </c>
      <c r="D14575" t="str">
        <f>HYPERLINK("https://zfin.org/")</f>
        <v>https://zfin.org/</v>
      </c>
      <c r="E14575" t="s">
        <v>43430</v>
      </c>
    </row>
    <row r="14576" spans="1:5" x14ac:dyDescent="0.2">
      <c r="A14576" t="s">
        <v>43431</v>
      </c>
      <c r="B14576" t="s">
        <v>43432</v>
      </c>
      <c r="C14576" t="s">
        <v>43432</v>
      </c>
      <c r="D14576" t="str">
        <f>HYPERLINK("https://zfin.org/")</f>
        <v>https://zfin.org/</v>
      </c>
      <c r="E14576" t="s">
        <v>43433</v>
      </c>
    </row>
    <row r="14577" spans="1:5" x14ac:dyDescent="0.2">
      <c r="A14577" t="s">
        <v>43434</v>
      </c>
      <c r="B14577" t="s">
        <v>43435</v>
      </c>
      <c r="C14577" t="s">
        <v>43435</v>
      </c>
      <c r="D14577" t="str">
        <f>HYPERLINK("https://zfin.org/ZDB-GENE-050417-423")</f>
        <v>https://zfin.org/ZDB-GENE-050417-423</v>
      </c>
      <c r="E14577" t="s">
        <v>43436</v>
      </c>
    </row>
    <row r="14578" spans="1:5" x14ac:dyDescent="0.2">
      <c r="A14578" t="s">
        <v>43437</v>
      </c>
      <c r="B14578" t="s">
        <v>43438</v>
      </c>
      <c r="C14578" t="s">
        <v>43438</v>
      </c>
      <c r="D14578" t="str">
        <f>HYPERLINK("https://zfin.org/")</f>
        <v>https://zfin.org/</v>
      </c>
      <c r="E14578" t="s">
        <v>43439</v>
      </c>
    </row>
    <row r="14579" spans="1:5" x14ac:dyDescent="0.2">
      <c r="A14579" t="s">
        <v>43440</v>
      </c>
      <c r="B14579" t="s">
        <v>43441</v>
      </c>
      <c r="C14579" t="s">
        <v>43441</v>
      </c>
      <c r="D14579" t="str">
        <f>HYPERLINK("https://zfin.org/")</f>
        <v>https://zfin.org/</v>
      </c>
    </row>
    <row r="14580" spans="1:5" x14ac:dyDescent="0.2">
      <c r="A14580" t="s">
        <v>43442</v>
      </c>
      <c r="B14580" t="s">
        <v>43443</v>
      </c>
      <c r="C14580" t="s">
        <v>43443</v>
      </c>
      <c r="D14580" t="str">
        <f>HYPERLINK("https://zfin.org/")</f>
        <v>https://zfin.org/</v>
      </c>
    </row>
    <row r="14581" spans="1:5" x14ac:dyDescent="0.2">
      <c r="A14581" t="s">
        <v>43444</v>
      </c>
      <c r="B14581" t="s">
        <v>43445</v>
      </c>
      <c r="C14581" t="s">
        <v>43445</v>
      </c>
      <c r="D14581" t="str">
        <f>HYPERLINK("https://zfin.org/")</f>
        <v>https://zfin.org/</v>
      </c>
    </row>
    <row r="14582" spans="1:5" x14ac:dyDescent="0.2">
      <c r="A14582" t="s">
        <v>43446</v>
      </c>
      <c r="B14582" t="s">
        <v>43447</v>
      </c>
      <c r="C14582" t="s">
        <v>43447</v>
      </c>
      <c r="D14582" t="str">
        <f>HYPERLINK("https://zfin.org/ZDB-GENE-030131-1346")</f>
        <v>https://zfin.org/ZDB-GENE-030131-1346</v>
      </c>
      <c r="E14582" t="s">
        <v>43448</v>
      </c>
    </row>
    <row r="14583" spans="1:5" x14ac:dyDescent="0.2">
      <c r="A14583" t="s">
        <v>43449</v>
      </c>
      <c r="B14583" t="s">
        <v>43450</v>
      </c>
      <c r="C14583" t="s">
        <v>43450</v>
      </c>
      <c r="D14583" t="str">
        <f t="shared" ref="D14583:D14588" si="8">HYPERLINK("https://zfin.org/")</f>
        <v>https://zfin.org/</v>
      </c>
      <c r="E14583" t="s">
        <v>43451</v>
      </c>
    </row>
    <row r="14584" spans="1:5" x14ac:dyDescent="0.2">
      <c r="A14584" t="s">
        <v>43452</v>
      </c>
      <c r="B14584" t="s">
        <v>43453</v>
      </c>
      <c r="C14584" t="s">
        <v>43453</v>
      </c>
      <c r="D14584" t="str">
        <f t="shared" si="8"/>
        <v>https://zfin.org/</v>
      </c>
    </row>
    <row r="14585" spans="1:5" x14ac:dyDescent="0.2">
      <c r="A14585" t="s">
        <v>43454</v>
      </c>
      <c r="B14585" t="s">
        <v>43455</v>
      </c>
      <c r="C14585" t="s">
        <v>43455</v>
      </c>
      <c r="D14585" t="str">
        <f t="shared" si="8"/>
        <v>https://zfin.org/</v>
      </c>
      <c r="E14585" t="s">
        <v>43456</v>
      </c>
    </row>
    <row r="14586" spans="1:5" x14ac:dyDescent="0.2">
      <c r="A14586" t="s">
        <v>43457</v>
      </c>
      <c r="B14586" t="s">
        <v>43458</v>
      </c>
      <c r="C14586" t="s">
        <v>43458</v>
      </c>
      <c r="D14586" t="str">
        <f t="shared" si="8"/>
        <v>https://zfin.org/</v>
      </c>
      <c r="E14586" t="s">
        <v>43459</v>
      </c>
    </row>
    <row r="14587" spans="1:5" x14ac:dyDescent="0.2">
      <c r="A14587" t="s">
        <v>43460</v>
      </c>
      <c r="B14587" t="s">
        <v>43461</v>
      </c>
      <c r="C14587" t="s">
        <v>43461</v>
      </c>
      <c r="D14587" t="str">
        <f t="shared" si="8"/>
        <v>https://zfin.org/</v>
      </c>
    </row>
    <row r="14588" spans="1:5" x14ac:dyDescent="0.2">
      <c r="A14588" t="s">
        <v>43462</v>
      </c>
      <c r="B14588" t="s">
        <v>43463</v>
      </c>
      <c r="C14588" t="s">
        <v>43463</v>
      </c>
      <c r="D14588" t="str">
        <f t="shared" si="8"/>
        <v>https://zfin.org/</v>
      </c>
    </row>
    <row r="14589" spans="1:5" x14ac:dyDescent="0.2">
      <c r="A14589" t="s">
        <v>43464</v>
      </c>
      <c r="B14589" t="s">
        <v>43465</v>
      </c>
      <c r="C14589" t="s">
        <v>43465</v>
      </c>
      <c r="D14589" t="str">
        <f>HYPERLINK("https://zfin.org/ZDB-GENE-050522-339")</f>
        <v>https://zfin.org/ZDB-GENE-050522-339</v>
      </c>
      <c r="E14589" t="s">
        <v>43466</v>
      </c>
    </row>
    <row r="14590" spans="1:5" x14ac:dyDescent="0.2">
      <c r="A14590" t="s">
        <v>43467</v>
      </c>
      <c r="B14590" t="s">
        <v>43468</v>
      </c>
      <c r="C14590" t="s">
        <v>43468</v>
      </c>
      <c r="D14590" t="str">
        <f>HYPERLINK("https://zfin.org/ZDB-GENE-041010-188")</f>
        <v>https://zfin.org/ZDB-GENE-041010-188</v>
      </c>
      <c r="E14590" t="s">
        <v>43469</v>
      </c>
    </row>
    <row r="14591" spans="1:5" x14ac:dyDescent="0.2">
      <c r="A14591" t="s">
        <v>43470</v>
      </c>
      <c r="B14591" t="s">
        <v>43471</v>
      </c>
      <c r="C14591" t="s">
        <v>43471</v>
      </c>
      <c r="D14591" t="str">
        <f>HYPERLINK("https://zfin.org/ZDB-GENE-050706-122")</f>
        <v>https://zfin.org/ZDB-GENE-050706-122</v>
      </c>
      <c r="E14591" t="s">
        <v>43472</v>
      </c>
    </row>
    <row r="14592" spans="1:5" x14ac:dyDescent="0.2">
      <c r="A14592" t="s">
        <v>43473</v>
      </c>
      <c r="B14592" t="s">
        <v>43474</v>
      </c>
      <c r="C14592" t="s">
        <v>43474</v>
      </c>
      <c r="D14592" t="str">
        <f>HYPERLINK("https://zfin.org/")</f>
        <v>https://zfin.org/</v>
      </c>
    </row>
    <row r="14593" spans="1:5" x14ac:dyDescent="0.2">
      <c r="A14593" t="s">
        <v>43475</v>
      </c>
      <c r="B14593" t="s">
        <v>43476</v>
      </c>
      <c r="C14593" t="s">
        <v>43476</v>
      </c>
      <c r="D14593" t="str">
        <f>HYPERLINK("https://zfin.org/")</f>
        <v>https://zfin.org/</v>
      </c>
      <c r="E14593" t="s">
        <v>43477</v>
      </c>
    </row>
    <row r="14594" spans="1:5" x14ac:dyDescent="0.2">
      <c r="A14594" t="s">
        <v>43478</v>
      </c>
      <c r="B14594" t="s">
        <v>43479</v>
      </c>
      <c r="C14594" t="s">
        <v>43479</v>
      </c>
      <c r="D14594" t="str">
        <f>HYPERLINK("https://zfin.org/ZDB-GENE-040801-150")</f>
        <v>https://zfin.org/ZDB-GENE-040801-150</v>
      </c>
      <c r="E14594" t="s">
        <v>43480</v>
      </c>
    </row>
    <row r="14595" spans="1:5" x14ac:dyDescent="0.2">
      <c r="A14595" t="s">
        <v>43481</v>
      </c>
      <c r="B14595" t="s">
        <v>43482</v>
      </c>
      <c r="C14595" t="s">
        <v>43482</v>
      </c>
      <c r="D14595" t="str">
        <f>HYPERLINK("https://zfin.org/")</f>
        <v>https://zfin.org/</v>
      </c>
    </row>
    <row r="14596" spans="1:5" x14ac:dyDescent="0.2">
      <c r="A14596" t="s">
        <v>43483</v>
      </c>
      <c r="B14596" t="s">
        <v>43484</v>
      </c>
      <c r="C14596" t="s">
        <v>43484</v>
      </c>
      <c r="D14596" t="str">
        <f>HYPERLINK("https://zfin.org/ZDB-GENE-080515-6")</f>
        <v>https://zfin.org/ZDB-GENE-080515-6</v>
      </c>
      <c r="E14596" t="s">
        <v>43485</v>
      </c>
    </row>
    <row r="14597" spans="1:5" x14ac:dyDescent="0.2">
      <c r="A14597" t="s">
        <v>43486</v>
      </c>
      <c r="B14597" t="s">
        <v>43487</v>
      </c>
      <c r="C14597" t="s">
        <v>43487</v>
      </c>
      <c r="D14597" t="str">
        <f>HYPERLINK("https://zfin.org/")</f>
        <v>https://zfin.org/</v>
      </c>
    </row>
    <row r="14598" spans="1:5" x14ac:dyDescent="0.2">
      <c r="A14598" t="s">
        <v>43488</v>
      </c>
      <c r="B14598" t="s">
        <v>43489</v>
      </c>
      <c r="C14598" t="s">
        <v>43489</v>
      </c>
      <c r="D14598" t="str">
        <f>HYPERLINK("https://zfin.org/")</f>
        <v>https://zfin.org/</v>
      </c>
    </row>
    <row r="14599" spans="1:5" x14ac:dyDescent="0.2">
      <c r="A14599" t="s">
        <v>43490</v>
      </c>
      <c r="B14599" t="s">
        <v>43491</v>
      </c>
      <c r="C14599" t="s">
        <v>43491</v>
      </c>
      <c r="D14599" t="str">
        <f>HYPERLINK("https://zfin.org/ZDB-GENE-081215-2")</f>
        <v>https://zfin.org/ZDB-GENE-081215-2</v>
      </c>
      <c r="E14599" t="s">
        <v>43492</v>
      </c>
    </row>
    <row r="14600" spans="1:5" x14ac:dyDescent="0.2">
      <c r="A14600" t="s">
        <v>43493</v>
      </c>
      <c r="B14600" t="s">
        <v>43494</v>
      </c>
      <c r="C14600" t="s">
        <v>43494</v>
      </c>
      <c r="D14600" t="str">
        <f>HYPERLINK("https://zfin.org/")</f>
        <v>https://zfin.org/</v>
      </c>
    </row>
    <row r="14601" spans="1:5" x14ac:dyDescent="0.2">
      <c r="A14601" t="s">
        <v>43495</v>
      </c>
      <c r="B14601" t="s">
        <v>43496</v>
      </c>
      <c r="C14601" t="s">
        <v>43496</v>
      </c>
      <c r="D14601" t="str">
        <f>HYPERLINK("https://zfin.org/")</f>
        <v>https://zfin.org/</v>
      </c>
      <c r="E14601" t="s">
        <v>43497</v>
      </c>
    </row>
    <row r="14602" spans="1:5" x14ac:dyDescent="0.2">
      <c r="A14602" t="s">
        <v>43498</v>
      </c>
      <c r="B14602" t="s">
        <v>43499</v>
      </c>
      <c r="C14602" t="s">
        <v>43499</v>
      </c>
      <c r="D14602" t="str">
        <f>HYPERLINK("https://zfin.org/")</f>
        <v>https://zfin.org/</v>
      </c>
      <c r="E14602" t="s">
        <v>43500</v>
      </c>
    </row>
    <row r="14603" spans="1:5" x14ac:dyDescent="0.2">
      <c r="A14603" t="s">
        <v>43501</v>
      </c>
      <c r="B14603" t="s">
        <v>43502</v>
      </c>
      <c r="C14603" t="s">
        <v>43502</v>
      </c>
      <c r="D14603" t="str">
        <f>HYPERLINK("https://zfin.org/")</f>
        <v>https://zfin.org/</v>
      </c>
      <c r="E14603" t="s">
        <v>43503</v>
      </c>
    </row>
    <row r="14604" spans="1:5" x14ac:dyDescent="0.2">
      <c r="A14604" t="s">
        <v>43504</v>
      </c>
      <c r="B14604" t="s">
        <v>43154</v>
      </c>
      <c r="C14604" t="s">
        <v>43505</v>
      </c>
      <c r="D14604" t="str">
        <f>HYPERLINK("https://zfin.org/")</f>
        <v>https://zfin.org/</v>
      </c>
      <c r="E14604" t="s">
        <v>43156</v>
      </c>
    </row>
    <row r="14605" spans="1:5" x14ac:dyDescent="0.2">
      <c r="A14605" t="s">
        <v>43506</v>
      </c>
      <c r="B14605" t="s">
        <v>43507</v>
      </c>
      <c r="C14605" t="s">
        <v>43507</v>
      </c>
      <c r="D14605" t="str">
        <f>HYPERLINK("https://zfin.org/ZDB-GENE-081022-189")</f>
        <v>https://zfin.org/ZDB-GENE-081022-189</v>
      </c>
      <c r="E14605" t="s">
        <v>43508</v>
      </c>
    </row>
    <row r="14606" spans="1:5" x14ac:dyDescent="0.2">
      <c r="A14606" t="s">
        <v>43509</v>
      </c>
      <c r="B14606" t="s">
        <v>43510</v>
      </c>
      <c r="C14606" t="s">
        <v>43510</v>
      </c>
      <c r="D14606" t="str">
        <f>HYPERLINK("https://zfin.org/")</f>
        <v>https://zfin.org/</v>
      </c>
    </row>
    <row r="14607" spans="1:5" x14ac:dyDescent="0.2">
      <c r="A14607" t="s">
        <v>43511</v>
      </c>
      <c r="B14607" t="s">
        <v>43512</v>
      </c>
      <c r="C14607" t="s">
        <v>43512</v>
      </c>
      <c r="D14607" t="str">
        <f>HYPERLINK("https://zfin.org/")</f>
        <v>https://zfin.org/</v>
      </c>
    </row>
    <row r="14608" spans="1:5" x14ac:dyDescent="0.2">
      <c r="A14608" t="s">
        <v>43513</v>
      </c>
      <c r="B14608" t="s">
        <v>43514</v>
      </c>
      <c r="C14608" t="s">
        <v>43514</v>
      </c>
      <c r="D14608" t="str">
        <f>HYPERLINK("https://zfin.org/ZDB-GENE-040426-2665")</f>
        <v>https://zfin.org/ZDB-GENE-040426-2665</v>
      </c>
      <c r="E14608" t="s">
        <v>43515</v>
      </c>
    </row>
    <row r="14609" spans="1:5" x14ac:dyDescent="0.2">
      <c r="A14609" t="s">
        <v>43516</v>
      </c>
      <c r="B14609" t="s">
        <v>43517</v>
      </c>
      <c r="C14609" t="s">
        <v>43517</v>
      </c>
      <c r="D14609" t="str">
        <f>HYPERLINK("https://zfin.org/ZDB-GENE-080220-25")</f>
        <v>https://zfin.org/ZDB-GENE-080220-25</v>
      </c>
      <c r="E14609" t="s">
        <v>43518</v>
      </c>
    </row>
    <row r="14610" spans="1:5" x14ac:dyDescent="0.2">
      <c r="A14610" t="s">
        <v>43519</v>
      </c>
      <c r="B14610" t="s">
        <v>43520</v>
      </c>
      <c r="C14610" t="s">
        <v>43520</v>
      </c>
      <c r="D14610" t="str">
        <f>HYPERLINK("https://zfin.org/ZDB-GENE-030131-1772")</f>
        <v>https://zfin.org/ZDB-GENE-030131-1772</v>
      </c>
      <c r="E14610" t="s">
        <v>43521</v>
      </c>
    </row>
    <row r="14611" spans="1:5" x14ac:dyDescent="0.2">
      <c r="A14611" t="s">
        <v>43522</v>
      </c>
      <c r="B14611" t="s">
        <v>43523</v>
      </c>
      <c r="C14611" t="s">
        <v>43523</v>
      </c>
      <c r="D14611" t="str">
        <f>HYPERLINK("https://zfin.org/")</f>
        <v>https://zfin.org/</v>
      </c>
    </row>
    <row r="14612" spans="1:5" x14ac:dyDescent="0.2">
      <c r="A14612" t="s">
        <v>43524</v>
      </c>
      <c r="B14612" t="s">
        <v>43525</v>
      </c>
      <c r="C14612" t="s">
        <v>43525</v>
      </c>
      <c r="D14612" t="str">
        <f>HYPERLINK("https://zfin.org/ZDB-GENE-070719-7")</f>
        <v>https://zfin.org/ZDB-GENE-070719-7</v>
      </c>
      <c r="E14612" t="s">
        <v>43526</v>
      </c>
    </row>
    <row r="14613" spans="1:5" x14ac:dyDescent="0.2">
      <c r="A14613" t="s">
        <v>43527</v>
      </c>
      <c r="B14613" t="s">
        <v>43528</v>
      </c>
      <c r="C14613" t="s">
        <v>43528</v>
      </c>
      <c r="D14613" t="str">
        <f>HYPERLINK("https://zfin.org/")</f>
        <v>https://zfin.org/</v>
      </c>
      <c r="E14613" t="s">
        <v>43529</v>
      </c>
    </row>
    <row r="14614" spans="1:5" x14ac:dyDescent="0.2">
      <c r="A14614" t="s">
        <v>43530</v>
      </c>
      <c r="B14614" t="s">
        <v>43531</v>
      </c>
      <c r="C14614" t="s">
        <v>43531</v>
      </c>
      <c r="D14614" t="str">
        <f>HYPERLINK("https://zfin.org/")</f>
        <v>https://zfin.org/</v>
      </c>
    </row>
    <row r="14615" spans="1:5" x14ac:dyDescent="0.2">
      <c r="A14615" t="s">
        <v>43532</v>
      </c>
      <c r="B14615" t="s">
        <v>43533</v>
      </c>
      <c r="C14615" t="s">
        <v>43533</v>
      </c>
      <c r="D14615" t="str">
        <f>HYPERLINK("https://zfin.org/")</f>
        <v>https://zfin.org/</v>
      </c>
    </row>
    <row r="14616" spans="1:5" x14ac:dyDescent="0.2">
      <c r="A14616" t="s">
        <v>43534</v>
      </c>
      <c r="B14616" t="s">
        <v>43535</v>
      </c>
      <c r="C14616" t="s">
        <v>43536</v>
      </c>
      <c r="D14616" t="str">
        <f>HYPERLINK("https://zfin.org/")</f>
        <v>https://zfin.org/</v>
      </c>
      <c r="E14616" t="s">
        <v>43537</v>
      </c>
    </row>
    <row r="14617" spans="1:5" x14ac:dyDescent="0.2">
      <c r="A14617" t="s">
        <v>43538</v>
      </c>
      <c r="B14617" t="s">
        <v>43539</v>
      </c>
      <c r="C14617" t="s">
        <v>43539</v>
      </c>
      <c r="D14617" t="str">
        <f>HYPERLINK("https://zfin.org/ZDB-GENE-030131-5781")</f>
        <v>https://zfin.org/ZDB-GENE-030131-5781</v>
      </c>
      <c r="E14617" t="s">
        <v>43540</v>
      </c>
    </row>
    <row r="14618" spans="1:5" x14ac:dyDescent="0.2">
      <c r="A14618" t="s">
        <v>43541</v>
      </c>
      <c r="B14618" t="s">
        <v>43542</v>
      </c>
      <c r="C14618" t="s">
        <v>43542</v>
      </c>
      <c r="D14618" t="str">
        <f>HYPERLINK("https://zfin.org/ZDB-GENE-090323-1")</f>
        <v>https://zfin.org/ZDB-GENE-090323-1</v>
      </c>
      <c r="E14618" t="s">
        <v>43543</v>
      </c>
    </row>
    <row r="14619" spans="1:5" x14ac:dyDescent="0.2">
      <c r="A14619" t="s">
        <v>43544</v>
      </c>
      <c r="B14619" t="s">
        <v>43545</v>
      </c>
      <c r="C14619" t="s">
        <v>43545</v>
      </c>
      <c r="D14619" t="str">
        <f>HYPERLINK("https://zfin.org/")</f>
        <v>https://zfin.org/</v>
      </c>
    </row>
    <row r="14620" spans="1:5" x14ac:dyDescent="0.2">
      <c r="A14620" t="s">
        <v>43546</v>
      </c>
      <c r="B14620" t="s">
        <v>43547</v>
      </c>
      <c r="C14620" t="s">
        <v>43547</v>
      </c>
      <c r="D14620" t="str">
        <f>HYPERLINK("https://zfin.org/")</f>
        <v>https://zfin.org/</v>
      </c>
      <c r="E14620" t="s">
        <v>43548</v>
      </c>
    </row>
    <row r="14621" spans="1:5" x14ac:dyDescent="0.2">
      <c r="A14621" t="s">
        <v>43549</v>
      </c>
      <c r="B14621" t="s">
        <v>43550</v>
      </c>
      <c r="C14621" t="s">
        <v>43551</v>
      </c>
      <c r="D14621" t="str">
        <f>HYPERLINK("https://zfin.org/ZDB-GENE-060929-1114")</f>
        <v>https://zfin.org/ZDB-GENE-060929-1114</v>
      </c>
      <c r="E14621" t="s">
        <v>43552</v>
      </c>
    </row>
    <row r="14622" spans="1:5" x14ac:dyDescent="0.2">
      <c r="A14622" t="s">
        <v>43553</v>
      </c>
      <c r="B14622" t="s">
        <v>43554</v>
      </c>
      <c r="C14622" t="s">
        <v>43554</v>
      </c>
      <c r="D14622" t="str">
        <f>HYPERLINK("https://zfin.org/")</f>
        <v>https://zfin.org/</v>
      </c>
      <c r="E14622" t="s">
        <v>43555</v>
      </c>
    </row>
    <row r="14623" spans="1:5" x14ac:dyDescent="0.2">
      <c r="A14623" t="s">
        <v>43556</v>
      </c>
      <c r="B14623" t="s">
        <v>43557</v>
      </c>
      <c r="C14623" t="s">
        <v>43557</v>
      </c>
      <c r="D14623" t="str">
        <f>HYPERLINK("https://zfin.org/")</f>
        <v>https://zfin.org/</v>
      </c>
      <c r="E14623" t="s">
        <v>43558</v>
      </c>
    </row>
    <row r="14624" spans="1:5" x14ac:dyDescent="0.2">
      <c r="A14624" t="s">
        <v>43559</v>
      </c>
      <c r="B14624" t="s">
        <v>43560</v>
      </c>
      <c r="C14624" t="s">
        <v>43560</v>
      </c>
      <c r="D14624" t="str">
        <f>HYPERLINK("https://zfin.org/")</f>
        <v>https://zfin.org/</v>
      </c>
    </row>
    <row r="14625" spans="1:5" x14ac:dyDescent="0.2">
      <c r="A14625" t="s">
        <v>43561</v>
      </c>
      <c r="B14625" t="s">
        <v>43562</v>
      </c>
      <c r="C14625" t="s">
        <v>43562</v>
      </c>
      <c r="D14625" t="str">
        <f>HYPERLINK("https://zfin.org/")</f>
        <v>https://zfin.org/</v>
      </c>
    </row>
    <row r="14626" spans="1:5" x14ac:dyDescent="0.2">
      <c r="A14626" t="s">
        <v>43563</v>
      </c>
      <c r="B14626" t="s">
        <v>43564</v>
      </c>
      <c r="C14626" t="s">
        <v>43564</v>
      </c>
      <c r="D14626" t="str">
        <f>HYPERLINK("https://zfin.org/")</f>
        <v>https://zfin.org/</v>
      </c>
      <c r="E14626" t="s">
        <v>43565</v>
      </c>
    </row>
    <row r="14627" spans="1:5" x14ac:dyDescent="0.2">
      <c r="A14627" t="s">
        <v>43566</v>
      </c>
      <c r="B14627" t="s">
        <v>43567</v>
      </c>
      <c r="C14627" t="s">
        <v>43567</v>
      </c>
      <c r="D14627" t="str">
        <f>HYPERLINK("https://zfin.org/ZDB-GENE-040426-1611")</f>
        <v>https://zfin.org/ZDB-GENE-040426-1611</v>
      </c>
      <c r="E14627" t="s">
        <v>43568</v>
      </c>
    </row>
    <row r="14628" spans="1:5" x14ac:dyDescent="0.2">
      <c r="A14628" t="s">
        <v>43569</v>
      </c>
      <c r="B14628" t="s">
        <v>43570</v>
      </c>
      <c r="C14628" t="s">
        <v>43570</v>
      </c>
      <c r="D14628" t="str">
        <f>HYPERLINK("https://zfin.org/")</f>
        <v>https://zfin.org/</v>
      </c>
    </row>
    <row r="14629" spans="1:5" x14ac:dyDescent="0.2">
      <c r="A14629" t="s">
        <v>43571</v>
      </c>
      <c r="B14629" t="s">
        <v>43572</v>
      </c>
      <c r="C14629" t="s">
        <v>43572</v>
      </c>
      <c r="D14629" t="str">
        <f>HYPERLINK("https://zfin.org/ZDB-GENE-060503-509")</f>
        <v>https://zfin.org/ZDB-GENE-060503-509</v>
      </c>
      <c r="E14629" t="s">
        <v>43573</v>
      </c>
    </row>
    <row r="14630" spans="1:5" x14ac:dyDescent="0.2">
      <c r="A14630" t="s">
        <v>43574</v>
      </c>
      <c r="B14630" t="s">
        <v>43575</v>
      </c>
      <c r="C14630" t="s">
        <v>43575</v>
      </c>
      <c r="D14630" t="str">
        <f>HYPERLINK("https://zfin.org/ZDB-GENE-040426-1871")</f>
        <v>https://zfin.org/ZDB-GENE-040426-1871</v>
      </c>
      <c r="E14630" t="s">
        <v>43576</v>
      </c>
    </row>
    <row r="14631" spans="1:5" x14ac:dyDescent="0.2">
      <c r="A14631" t="s">
        <v>43577</v>
      </c>
      <c r="B14631" t="s">
        <v>43578</v>
      </c>
      <c r="C14631" t="s">
        <v>43578</v>
      </c>
      <c r="D14631" t="str">
        <f>HYPERLINK("https://zfin.org/")</f>
        <v>https://zfin.org/</v>
      </c>
      <c r="E14631" t="s">
        <v>43579</v>
      </c>
    </row>
    <row r="14632" spans="1:5" x14ac:dyDescent="0.2">
      <c r="A14632" t="s">
        <v>43580</v>
      </c>
      <c r="B14632" t="s">
        <v>43581</v>
      </c>
      <c r="C14632" t="s">
        <v>43581</v>
      </c>
      <c r="D14632" t="str">
        <f>HYPERLINK("https://zfin.org/ZDB-GENE-990415-198")</f>
        <v>https://zfin.org/ZDB-GENE-990415-198</v>
      </c>
      <c r="E14632" t="s">
        <v>43582</v>
      </c>
    </row>
    <row r="14633" spans="1:5" x14ac:dyDescent="0.2">
      <c r="A14633" t="s">
        <v>43583</v>
      </c>
      <c r="B14633" t="s">
        <v>43584</v>
      </c>
      <c r="C14633" t="s">
        <v>43584</v>
      </c>
      <c r="D14633" t="str">
        <f>HYPERLINK("https://zfin.org/")</f>
        <v>https://zfin.org/</v>
      </c>
    </row>
    <row r="14634" spans="1:5" x14ac:dyDescent="0.2">
      <c r="A14634" t="s">
        <v>43585</v>
      </c>
      <c r="B14634" t="s">
        <v>43586</v>
      </c>
      <c r="C14634" t="s">
        <v>43587</v>
      </c>
      <c r="D14634" t="str">
        <f>HYPERLINK("https://zfin.org/ZDB-GENE-030131-1927")</f>
        <v>https://zfin.org/ZDB-GENE-030131-1927</v>
      </c>
      <c r="E14634" t="s">
        <v>43588</v>
      </c>
    </row>
    <row r="14635" spans="1:5" x14ac:dyDescent="0.2">
      <c r="A14635" t="s">
        <v>43589</v>
      </c>
      <c r="B14635" t="s">
        <v>43590</v>
      </c>
      <c r="C14635" t="s">
        <v>43591</v>
      </c>
      <c r="D14635" t="str">
        <f>HYPERLINK("https://zfin.org/ZDB-GENE-071004-118")</f>
        <v>https://zfin.org/ZDB-GENE-071004-118</v>
      </c>
      <c r="E14635" t="s">
        <v>43592</v>
      </c>
    </row>
    <row r="14636" spans="1:5" x14ac:dyDescent="0.2">
      <c r="A14636" t="s">
        <v>43593</v>
      </c>
      <c r="B14636" t="s">
        <v>43594</v>
      </c>
      <c r="C14636" t="s">
        <v>43594</v>
      </c>
      <c r="D14636" t="str">
        <f t="shared" ref="D14636:D14641" si="9">HYPERLINK("https://zfin.org/")</f>
        <v>https://zfin.org/</v>
      </c>
    </row>
    <row r="14637" spans="1:5" x14ac:dyDescent="0.2">
      <c r="A14637" t="s">
        <v>43595</v>
      </c>
      <c r="B14637" t="s">
        <v>43596</v>
      </c>
      <c r="C14637" t="s">
        <v>43596</v>
      </c>
      <c r="D14637" t="str">
        <f t="shared" si="9"/>
        <v>https://zfin.org/</v>
      </c>
    </row>
    <row r="14638" spans="1:5" x14ac:dyDescent="0.2">
      <c r="A14638" t="s">
        <v>43597</v>
      </c>
      <c r="B14638" t="s">
        <v>43598</v>
      </c>
      <c r="C14638" t="s">
        <v>43598</v>
      </c>
      <c r="D14638" t="str">
        <f t="shared" si="9"/>
        <v>https://zfin.org/</v>
      </c>
      <c r="E14638" t="s">
        <v>43599</v>
      </c>
    </row>
    <row r="14639" spans="1:5" x14ac:dyDescent="0.2">
      <c r="A14639" t="s">
        <v>43600</v>
      </c>
      <c r="B14639" t="s">
        <v>43601</v>
      </c>
      <c r="C14639" t="s">
        <v>43602</v>
      </c>
      <c r="D14639" t="str">
        <f t="shared" si="9"/>
        <v>https://zfin.org/</v>
      </c>
      <c r="E14639" t="s">
        <v>43603</v>
      </c>
    </row>
    <row r="14640" spans="1:5" x14ac:dyDescent="0.2">
      <c r="A14640" t="s">
        <v>43604</v>
      </c>
      <c r="B14640" t="s">
        <v>43605</v>
      </c>
      <c r="C14640" t="s">
        <v>43605</v>
      </c>
      <c r="D14640" t="str">
        <f t="shared" si="9"/>
        <v>https://zfin.org/</v>
      </c>
      <c r="E14640" t="s">
        <v>43606</v>
      </c>
    </row>
    <row r="14641" spans="1:5" x14ac:dyDescent="0.2">
      <c r="A14641" t="s">
        <v>43607</v>
      </c>
      <c r="B14641" t="s">
        <v>41638</v>
      </c>
      <c r="C14641" t="s">
        <v>43608</v>
      </c>
      <c r="D14641" t="str">
        <f t="shared" si="9"/>
        <v>https://zfin.org/</v>
      </c>
      <c r="E14641" t="s">
        <v>41639</v>
      </c>
    </row>
    <row r="14642" spans="1:5" x14ac:dyDescent="0.2">
      <c r="A14642" t="s">
        <v>43609</v>
      </c>
      <c r="B14642" t="s">
        <v>43610</v>
      </c>
      <c r="C14642" t="s">
        <v>43610</v>
      </c>
      <c r="D14642" t="str">
        <f>HYPERLINK("https://zfin.org/ZDB-GENE-060526-381")</f>
        <v>https://zfin.org/ZDB-GENE-060526-381</v>
      </c>
      <c r="E14642" t="s">
        <v>43611</v>
      </c>
    </row>
    <row r="14643" spans="1:5" x14ac:dyDescent="0.2">
      <c r="A14643" t="s">
        <v>43612</v>
      </c>
      <c r="B14643" t="s">
        <v>43613</v>
      </c>
      <c r="C14643" t="s">
        <v>43613</v>
      </c>
      <c r="D14643" t="str">
        <f>HYPERLINK("https://zfin.org/")</f>
        <v>https://zfin.org/</v>
      </c>
    </row>
    <row r="14644" spans="1:5" x14ac:dyDescent="0.2">
      <c r="A14644" t="s">
        <v>43614</v>
      </c>
      <c r="B14644" t="s">
        <v>43615</v>
      </c>
      <c r="C14644" t="s">
        <v>43615</v>
      </c>
      <c r="D14644" t="str">
        <f>HYPERLINK("https://zfin.org/ZDB-GENE-121116-1")</f>
        <v>https://zfin.org/ZDB-GENE-121116-1</v>
      </c>
      <c r="E14644" t="s">
        <v>43616</v>
      </c>
    </row>
    <row r="14645" spans="1:5" x14ac:dyDescent="0.2">
      <c r="A14645" t="s">
        <v>43617</v>
      </c>
      <c r="B14645" t="s">
        <v>43618</v>
      </c>
      <c r="C14645" t="s">
        <v>43618</v>
      </c>
      <c r="D14645" t="str">
        <f>HYPERLINK("https://zfin.org/")</f>
        <v>https://zfin.org/</v>
      </c>
    </row>
    <row r="14646" spans="1:5" x14ac:dyDescent="0.2">
      <c r="A14646" t="s">
        <v>43619</v>
      </c>
      <c r="B14646" t="s">
        <v>43620</v>
      </c>
      <c r="C14646" t="s">
        <v>43620</v>
      </c>
      <c r="D14646" t="str">
        <f>HYPERLINK("https://zfin.org/ZDB-GENE-130517-8")</f>
        <v>https://zfin.org/ZDB-GENE-130517-8</v>
      </c>
      <c r="E14646" t="s">
        <v>43621</v>
      </c>
    </row>
    <row r="14647" spans="1:5" x14ac:dyDescent="0.2">
      <c r="A14647" t="s">
        <v>43622</v>
      </c>
      <c r="B14647" t="s">
        <v>43623</v>
      </c>
      <c r="C14647" t="s">
        <v>43623</v>
      </c>
      <c r="D14647" t="str">
        <f>HYPERLINK("https://zfin.org/")</f>
        <v>https://zfin.org/</v>
      </c>
    </row>
    <row r="14648" spans="1:5" x14ac:dyDescent="0.2">
      <c r="A14648" t="s">
        <v>43624</v>
      </c>
      <c r="B14648" t="s">
        <v>43625</v>
      </c>
      <c r="C14648" t="s">
        <v>43625</v>
      </c>
      <c r="D14648" t="str">
        <f>HYPERLINK("https://zfin.org/")</f>
        <v>https://zfin.org/</v>
      </c>
    </row>
    <row r="14649" spans="1:5" x14ac:dyDescent="0.2">
      <c r="A14649" t="s">
        <v>43626</v>
      </c>
      <c r="B14649" t="s">
        <v>43627</v>
      </c>
      <c r="C14649" t="s">
        <v>43627</v>
      </c>
      <c r="D14649" t="str">
        <f>HYPERLINK("https://zfin.org/ZDB-GENE-050506-101")</f>
        <v>https://zfin.org/ZDB-GENE-050506-101</v>
      </c>
      <c r="E14649" t="s">
        <v>43628</v>
      </c>
    </row>
    <row r="14650" spans="1:5" x14ac:dyDescent="0.2">
      <c r="A14650" t="s">
        <v>43629</v>
      </c>
      <c r="B14650" t="s">
        <v>43630</v>
      </c>
      <c r="C14650" t="s">
        <v>43630</v>
      </c>
      <c r="D14650" t="str">
        <f>HYPERLINK("https://zfin.org/ZDB-GENE-070112-990")</f>
        <v>https://zfin.org/ZDB-GENE-070112-990</v>
      </c>
      <c r="E14650" t="s">
        <v>43631</v>
      </c>
    </row>
    <row r="14651" spans="1:5" x14ac:dyDescent="0.2">
      <c r="A14651" t="s">
        <v>43632</v>
      </c>
      <c r="B14651" t="s">
        <v>43633</v>
      </c>
      <c r="C14651" t="s">
        <v>43633</v>
      </c>
      <c r="D14651" t="str">
        <f>HYPERLINK("https://zfin.org/")</f>
        <v>https://zfin.org/</v>
      </c>
    </row>
    <row r="14652" spans="1:5" x14ac:dyDescent="0.2">
      <c r="A14652" t="s">
        <v>43634</v>
      </c>
      <c r="B14652" t="s">
        <v>43635</v>
      </c>
      <c r="C14652" t="s">
        <v>43635</v>
      </c>
      <c r="D14652" t="str">
        <f>HYPERLINK("https://zfin.org/ZDB-GENE-050417-151")</f>
        <v>https://zfin.org/ZDB-GENE-050417-151</v>
      </c>
      <c r="E14652" t="s">
        <v>43636</v>
      </c>
    </row>
    <row r="14653" spans="1:5" x14ac:dyDescent="0.2">
      <c r="A14653" t="s">
        <v>43637</v>
      </c>
      <c r="B14653" t="s">
        <v>43638</v>
      </c>
      <c r="C14653" t="s">
        <v>43638</v>
      </c>
      <c r="D14653" t="str">
        <f>HYPERLINK("https://zfin.org/ZDB-GENE-030131-2575")</f>
        <v>https://zfin.org/ZDB-GENE-030131-2575</v>
      </c>
      <c r="E14653" t="s">
        <v>43639</v>
      </c>
    </row>
    <row r="14654" spans="1:5" x14ac:dyDescent="0.2">
      <c r="A14654" t="s">
        <v>43640</v>
      </c>
      <c r="B14654" t="s">
        <v>43641</v>
      </c>
      <c r="C14654" t="s">
        <v>43641</v>
      </c>
      <c r="D14654" t="str">
        <f>HYPERLINK("https://zfin.org/")</f>
        <v>https://zfin.org/</v>
      </c>
      <c r="E14654" t="s">
        <v>43642</v>
      </c>
    </row>
    <row r="14655" spans="1:5" x14ac:dyDescent="0.2">
      <c r="A14655" t="s">
        <v>43643</v>
      </c>
      <c r="B14655" t="s">
        <v>43644</v>
      </c>
      <c r="C14655" t="s">
        <v>43644</v>
      </c>
      <c r="D14655" t="str">
        <f>HYPERLINK("https://zfin.org/")</f>
        <v>https://zfin.org/</v>
      </c>
      <c r="E14655" t="s">
        <v>43645</v>
      </c>
    </row>
    <row r="14656" spans="1:5" x14ac:dyDescent="0.2">
      <c r="A14656" t="s">
        <v>43646</v>
      </c>
      <c r="B14656" t="s">
        <v>43647</v>
      </c>
      <c r="C14656" t="s">
        <v>43647</v>
      </c>
      <c r="D14656" t="str">
        <f>HYPERLINK("https://zfin.org/ZDB-GENE-041201-1")</f>
        <v>https://zfin.org/ZDB-GENE-041201-1</v>
      </c>
      <c r="E14656" t="s">
        <v>43648</v>
      </c>
    </row>
    <row r="14657" spans="1:5" x14ac:dyDescent="0.2">
      <c r="A14657" t="s">
        <v>43649</v>
      </c>
      <c r="B14657" t="s">
        <v>43650</v>
      </c>
      <c r="C14657" t="s">
        <v>43650</v>
      </c>
      <c r="D14657" t="str">
        <f>HYPERLINK("https://zfin.org/ZDB-GENE-111111-1")</f>
        <v>https://zfin.org/ZDB-GENE-111111-1</v>
      </c>
      <c r="E14657" t="s">
        <v>43651</v>
      </c>
    </row>
    <row r="14658" spans="1:5" x14ac:dyDescent="0.2">
      <c r="A14658" t="s">
        <v>43652</v>
      </c>
      <c r="B14658" t="s">
        <v>43653</v>
      </c>
      <c r="C14658" t="s">
        <v>43653</v>
      </c>
      <c r="D14658" t="str">
        <f>HYPERLINK("https://zfin.org/ZDB-GENE-030131-1623")</f>
        <v>https://zfin.org/ZDB-GENE-030131-1623</v>
      </c>
      <c r="E14658" t="s">
        <v>43654</v>
      </c>
    </row>
    <row r="14659" spans="1:5" x14ac:dyDescent="0.2">
      <c r="A14659" t="s">
        <v>43655</v>
      </c>
      <c r="B14659" t="s">
        <v>43656</v>
      </c>
      <c r="C14659" t="s">
        <v>43656</v>
      </c>
      <c r="D14659" t="str">
        <f>HYPERLINK("https://zfin.org/")</f>
        <v>https://zfin.org/</v>
      </c>
      <c r="E14659" t="s">
        <v>43657</v>
      </c>
    </row>
    <row r="14660" spans="1:5" x14ac:dyDescent="0.2">
      <c r="A14660" t="s">
        <v>43658</v>
      </c>
      <c r="B14660" t="s">
        <v>43659</v>
      </c>
      <c r="C14660" t="s">
        <v>43659</v>
      </c>
      <c r="D14660" t="str">
        <f>HYPERLINK("https://zfin.org/ZDB-GENE-990714-24")</f>
        <v>https://zfin.org/ZDB-GENE-990714-24</v>
      </c>
      <c r="E14660" t="s">
        <v>43660</v>
      </c>
    </row>
    <row r="14661" spans="1:5" x14ac:dyDescent="0.2">
      <c r="A14661" t="s">
        <v>43661</v>
      </c>
      <c r="B14661" t="s">
        <v>43662</v>
      </c>
      <c r="C14661" t="s">
        <v>43662</v>
      </c>
      <c r="D14661" t="str">
        <f>HYPERLINK("https://zfin.org/")</f>
        <v>https://zfin.org/</v>
      </c>
    </row>
    <row r="14662" spans="1:5" x14ac:dyDescent="0.2">
      <c r="A14662" t="s">
        <v>43663</v>
      </c>
      <c r="B14662" t="s">
        <v>43664</v>
      </c>
      <c r="C14662" t="s">
        <v>43664</v>
      </c>
      <c r="D14662" t="str">
        <f>HYPERLINK("https://zfin.org/")</f>
        <v>https://zfin.org/</v>
      </c>
      <c r="E14662" t="s">
        <v>43665</v>
      </c>
    </row>
    <row r="14663" spans="1:5" x14ac:dyDescent="0.2">
      <c r="A14663" t="s">
        <v>43666</v>
      </c>
      <c r="B14663" t="s">
        <v>43667</v>
      </c>
      <c r="C14663" t="s">
        <v>43667</v>
      </c>
      <c r="D14663" t="str">
        <f>HYPERLINK("https://zfin.org/ZDB-GENE-030616-253")</f>
        <v>https://zfin.org/ZDB-GENE-030616-253</v>
      </c>
      <c r="E14663" t="s">
        <v>43668</v>
      </c>
    </row>
    <row r="14664" spans="1:5" x14ac:dyDescent="0.2">
      <c r="A14664" t="s">
        <v>43669</v>
      </c>
      <c r="B14664" t="s">
        <v>43670</v>
      </c>
      <c r="C14664" t="s">
        <v>43670</v>
      </c>
      <c r="D14664" t="str">
        <f>HYPERLINK("https://zfin.org/ZDB-GENE-030131-6657")</f>
        <v>https://zfin.org/ZDB-GENE-030131-6657</v>
      </c>
      <c r="E14664" t="s">
        <v>43671</v>
      </c>
    </row>
    <row r="14665" spans="1:5" x14ac:dyDescent="0.2">
      <c r="A14665" t="s">
        <v>43672</v>
      </c>
      <c r="B14665" t="s">
        <v>43673</v>
      </c>
      <c r="C14665" t="s">
        <v>43673</v>
      </c>
      <c r="D14665" t="str">
        <f>HYPERLINK("https://zfin.org/")</f>
        <v>https://zfin.org/</v>
      </c>
      <c r="E14665" t="s">
        <v>43674</v>
      </c>
    </row>
    <row r="14666" spans="1:5" x14ac:dyDescent="0.2">
      <c r="A14666" t="s">
        <v>43675</v>
      </c>
      <c r="B14666" t="s">
        <v>43676</v>
      </c>
      <c r="C14666" t="s">
        <v>43676</v>
      </c>
      <c r="D14666" t="str">
        <f>HYPERLINK("https://zfin.org/")</f>
        <v>https://zfin.org/</v>
      </c>
      <c r="E14666" t="s">
        <v>43677</v>
      </c>
    </row>
    <row r="14667" spans="1:5" x14ac:dyDescent="0.2">
      <c r="A14667" t="s">
        <v>43678</v>
      </c>
      <c r="B14667" t="s">
        <v>43679</v>
      </c>
      <c r="C14667" t="s">
        <v>43679</v>
      </c>
      <c r="D14667" t="str">
        <f>HYPERLINK("https://zfin.org/")</f>
        <v>https://zfin.org/</v>
      </c>
      <c r="E14667" t="s">
        <v>43680</v>
      </c>
    </row>
    <row r="14668" spans="1:5" x14ac:dyDescent="0.2">
      <c r="A14668" t="s">
        <v>43681</v>
      </c>
      <c r="B14668" t="s">
        <v>43682</v>
      </c>
      <c r="C14668" t="s">
        <v>43682</v>
      </c>
      <c r="D14668" t="str">
        <f>HYPERLINK("https://zfin.org/ZDB-GENE-041010-15")</f>
        <v>https://zfin.org/ZDB-GENE-041010-15</v>
      </c>
      <c r="E14668" t="s">
        <v>43683</v>
      </c>
    </row>
    <row r="14669" spans="1:5" x14ac:dyDescent="0.2">
      <c r="A14669" t="s">
        <v>43684</v>
      </c>
      <c r="B14669" t="s">
        <v>43685</v>
      </c>
      <c r="C14669" t="s">
        <v>43685</v>
      </c>
      <c r="D14669" t="str">
        <f>HYPERLINK("https://zfin.org/")</f>
        <v>https://zfin.org/</v>
      </c>
      <c r="E14669" t="s">
        <v>43686</v>
      </c>
    </row>
    <row r="14670" spans="1:5" x14ac:dyDescent="0.2">
      <c r="A14670" t="s">
        <v>43687</v>
      </c>
      <c r="B14670" t="s">
        <v>43688</v>
      </c>
      <c r="C14670" t="s">
        <v>43688</v>
      </c>
      <c r="D14670" t="str">
        <f>HYPERLINK("https://zfin.org/ZDB-GENE-070912-63")</f>
        <v>https://zfin.org/ZDB-GENE-070912-63</v>
      </c>
      <c r="E14670" t="s">
        <v>43689</v>
      </c>
    </row>
    <row r="14671" spans="1:5" x14ac:dyDescent="0.2">
      <c r="A14671" t="s">
        <v>43690</v>
      </c>
      <c r="B14671" t="s">
        <v>43691</v>
      </c>
      <c r="C14671" t="s">
        <v>43691</v>
      </c>
      <c r="D14671" t="str">
        <f>HYPERLINK("https://zfin.org/")</f>
        <v>https://zfin.org/</v>
      </c>
      <c r="E14671" t="s">
        <v>43692</v>
      </c>
    </row>
    <row r="14672" spans="1:5" x14ac:dyDescent="0.2">
      <c r="A14672" t="s">
        <v>43693</v>
      </c>
      <c r="B14672" t="s">
        <v>43694</v>
      </c>
      <c r="C14672" t="s">
        <v>43694</v>
      </c>
      <c r="D14672" t="str">
        <f>HYPERLINK("https://zfin.org/ZDB-GENE-030131-4960")</f>
        <v>https://zfin.org/ZDB-GENE-030131-4960</v>
      </c>
      <c r="E14672" t="s">
        <v>43695</v>
      </c>
    </row>
    <row r="14673" spans="1:5" x14ac:dyDescent="0.2">
      <c r="A14673" t="s">
        <v>43696</v>
      </c>
      <c r="B14673" t="s">
        <v>43697</v>
      </c>
      <c r="C14673" t="s">
        <v>43697</v>
      </c>
      <c r="D14673" t="str">
        <f>HYPERLINK("https://zfin.org/ZDB-GENE-000906-3")</f>
        <v>https://zfin.org/ZDB-GENE-000906-3</v>
      </c>
      <c r="E14673" t="s">
        <v>43698</v>
      </c>
    </row>
    <row r="14674" spans="1:5" x14ac:dyDescent="0.2">
      <c r="A14674" t="s">
        <v>43699</v>
      </c>
      <c r="B14674" t="s">
        <v>43700</v>
      </c>
      <c r="C14674" t="s">
        <v>43700</v>
      </c>
      <c r="D14674" t="str">
        <f>HYPERLINK("https://zfin.org/ZDB-GENE-040426-1175")</f>
        <v>https://zfin.org/ZDB-GENE-040426-1175</v>
      </c>
      <c r="E14674" t="s">
        <v>43701</v>
      </c>
    </row>
    <row r="14675" spans="1:5" x14ac:dyDescent="0.2">
      <c r="A14675" t="s">
        <v>43702</v>
      </c>
      <c r="B14675" t="s">
        <v>43703</v>
      </c>
      <c r="C14675" t="s">
        <v>43703</v>
      </c>
      <c r="D14675" t="str">
        <f>HYPERLINK("https://zfin.org/ZDB-GENE-030131-8453")</f>
        <v>https://zfin.org/ZDB-GENE-030131-8453</v>
      </c>
      <c r="E14675" t="s">
        <v>43704</v>
      </c>
    </row>
    <row r="14676" spans="1:5" x14ac:dyDescent="0.2">
      <c r="A14676" t="s">
        <v>43705</v>
      </c>
      <c r="B14676" t="s">
        <v>43706</v>
      </c>
      <c r="C14676" t="s">
        <v>43706</v>
      </c>
      <c r="D14676" t="str">
        <f>HYPERLINK("https://zfin.org/")</f>
        <v>https://zfin.org/</v>
      </c>
      <c r="E14676" t="s">
        <v>43707</v>
      </c>
    </row>
    <row r="14677" spans="1:5" x14ac:dyDescent="0.2">
      <c r="A14677" t="s">
        <v>43708</v>
      </c>
      <c r="B14677" t="s">
        <v>43709</v>
      </c>
      <c r="C14677" t="s">
        <v>43709</v>
      </c>
      <c r="D14677" t="str">
        <f>HYPERLINK("https://zfin.org/ZDB-GENE-050522-69")</f>
        <v>https://zfin.org/ZDB-GENE-050522-69</v>
      </c>
      <c r="E14677" t="s">
        <v>43710</v>
      </c>
    </row>
    <row r="14678" spans="1:5" x14ac:dyDescent="0.2">
      <c r="A14678" t="s">
        <v>43711</v>
      </c>
      <c r="B14678" t="s">
        <v>43712</v>
      </c>
      <c r="C14678" t="s">
        <v>43712</v>
      </c>
      <c r="D14678" t="str">
        <f>HYPERLINK("https://zfin.org/")</f>
        <v>https://zfin.org/</v>
      </c>
    </row>
    <row r="14679" spans="1:5" x14ac:dyDescent="0.2">
      <c r="A14679" t="s">
        <v>43713</v>
      </c>
      <c r="B14679" t="s">
        <v>6364</v>
      </c>
      <c r="C14679" t="s">
        <v>43714</v>
      </c>
      <c r="D14679" t="str">
        <f>HYPERLINK("https://zfin.org/ZDB-GENE-050417-170")</f>
        <v>https://zfin.org/ZDB-GENE-050417-170</v>
      </c>
      <c r="E14679" t="s">
        <v>6365</v>
      </c>
    </row>
    <row r="14680" spans="1:5" x14ac:dyDescent="0.2">
      <c r="A14680" t="s">
        <v>43715</v>
      </c>
      <c r="B14680" t="s">
        <v>43716</v>
      </c>
      <c r="C14680" t="s">
        <v>43716</v>
      </c>
      <c r="D14680" t="str">
        <f>HYPERLINK("https://zfin.org/")</f>
        <v>https://zfin.org/</v>
      </c>
      <c r="E14680" t="s">
        <v>43717</v>
      </c>
    </row>
    <row r="14681" spans="1:5" x14ac:dyDescent="0.2">
      <c r="A14681" t="s">
        <v>43718</v>
      </c>
      <c r="B14681" t="s">
        <v>43719</v>
      </c>
      <c r="C14681" t="s">
        <v>43719</v>
      </c>
      <c r="D14681" t="str">
        <f>HYPERLINK("https://zfin.org/")</f>
        <v>https://zfin.org/</v>
      </c>
    </row>
    <row r="14682" spans="1:5" x14ac:dyDescent="0.2">
      <c r="A14682" t="s">
        <v>43720</v>
      </c>
      <c r="B14682" t="s">
        <v>26622</v>
      </c>
      <c r="C14682" t="s">
        <v>43721</v>
      </c>
      <c r="D14682" t="str">
        <f>HYPERLINK("https://zfin.org/")</f>
        <v>https://zfin.org/</v>
      </c>
      <c r="E14682" t="s">
        <v>43722</v>
      </c>
    </row>
    <row r="14683" spans="1:5" x14ac:dyDescent="0.2">
      <c r="A14683" t="s">
        <v>43723</v>
      </c>
      <c r="B14683" t="s">
        <v>43724</v>
      </c>
      <c r="C14683" t="s">
        <v>43724</v>
      </c>
      <c r="D14683" t="str">
        <f>HYPERLINK("https://zfin.org/ZDB-GENE-040426-2813")</f>
        <v>https://zfin.org/ZDB-GENE-040426-2813</v>
      </c>
      <c r="E14683" t="s">
        <v>43725</v>
      </c>
    </row>
    <row r="14684" spans="1:5" x14ac:dyDescent="0.2">
      <c r="A14684" t="s">
        <v>43726</v>
      </c>
      <c r="B14684" t="s">
        <v>43727</v>
      </c>
      <c r="C14684" t="s">
        <v>43727</v>
      </c>
      <c r="D14684" t="str">
        <f>HYPERLINK("https://zfin.org/ZDB-GENE-070112-1172")</f>
        <v>https://zfin.org/ZDB-GENE-070112-1172</v>
      </c>
      <c r="E14684" t="s">
        <v>43728</v>
      </c>
    </row>
    <row r="14685" spans="1:5" x14ac:dyDescent="0.2">
      <c r="A14685" t="s">
        <v>43729</v>
      </c>
      <c r="B14685" t="s">
        <v>43730</v>
      </c>
      <c r="C14685" t="s">
        <v>43730</v>
      </c>
      <c r="D14685" t="str">
        <f>HYPERLINK("https://zfin.org/")</f>
        <v>https://zfin.org/</v>
      </c>
    </row>
    <row r="14686" spans="1:5" x14ac:dyDescent="0.2">
      <c r="A14686" t="s">
        <v>43731</v>
      </c>
      <c r="B14686" t="s">
        <v>43732</v>
      </c>
      <c r="C14686" t="s">
        <v>43732</v>
      </c>
      <c r="D14686" t="str">
        <f>HYPERLINK("https://zfin.org/ZDB-GENE-040426-2822")</f>
        <v>https://zfin.org/ZDB-GENE-040426-2822</v>
      </c>
      <c r="E14686" t="s">
        <v>43733</v>
      </c>
    </row>
    <row r="14687" spans="1:5" x14ac:dyDescent="0.2">
      <c r="A14687" t="s">
        <v>43734</v>
      </c>
      <c r="B14687" t="s">
        <v>43735</v>
      </c>
      <c r="C14687" t="s">
        <v>43735</v>
      </c>
      <c r="D14687" t="str">
        <f>HYPERLINK("https://zfin.org/ZDB-GENE-040426-2334")</f>
        <v>https://zfin.org/ZDB-GENE-040426-2334</v>
      </c>
      <c r="E14687" t="s">
        <v>43736</v>
      </c>
    </row>
    <row r="14688" spans="1:5" x14ac:dyDescent="0.2">
      <c r="A14688" t="s">
        <v>43737</v>
      </c>
      <c r="B14688" t="s">
        <v>43738</v>
      </c>
      <c r="C14688" t="s">
        <v>43738</v>
      </c>
      <c r="D14688" t="str">
        <f>HYPERLINK("https://zfin.org/ZDB-GENE-040426-2638")</f>
        <v>https://zfin.org/ZDB-GENE-040426-2638</v>
      </c>
      <c r="E14688" t="s">
        <v>43739</v>
      </c>
    </row>
    <row r="14689" spans="1:5" x14ac:dyDescent="0.2">
      <c r="A14689" t="s">
        <v>43740</v>
      </c>
      <c r="B14689" t="s">
        <v>43741</v>
      </c>
      <c r="C14689" t="s">
        <v>43741</v>
      </c>
      <c r="D14689" t="str">
        <f>HYPERLINK("https://zfin.org/")</f>
        <v>https://zfin.org/</v>
      </c>
    </row>
    <row r="14690" spans="1:5" x14ac:dyDescent="0.2">
      <c r="A14690" t="s">
        <v>43742</v>
      </c>
      <c r="B14690" t="s">
        <v>15599</v>
      </c>
      <c r="C14690" t="s">
        <v>43743</v>
      </c>
      <c r="D14690" t="str">
        <f>HYPERLINK("https://zfin.org/ZDB-GENE-050417-9")</f>
        <v>https://zfin.org/ZDB-GENE-050417-9</v>
      </c>
      <c r="E14690" t="s">
        <v>15600</v>
      </c>
    </row>
    <row r="14691" spans="1:5" x14ac:dyDescent="0.2">
      <c r="A14691" t="s">
        <v>43744</v>
      </c>
      <c r="B14691" t="s">
        <v>43745</v>
      </c>
      <c r="C14691" t="s">
        <v>43745</v>
      </c>
      <c r="D14691" t="str">
        <f>HYPERLINK("https://zfin.org/")</f>
        <v>https://zfin.org/</v>
      </c>
      <c r="E14691" t="s">
        <v>43746</v>
      </c>
    </row>
    <row r="14692" spans="1:5" x14ac:dyDescent="0.2">
      <c r="A14692" t="s">
        <v>43747</v>
      </c>
      <c r="B14692" t="s">
        <v>43748</v>
      </c>
      <c r="C14692" t="s">
        <v>43748</v>
      </c>
      <c r="D14692" t="str">
        <f>HYPERLINK("https://zfin.org/ZDB-GENE-060825-37")</f>
        <v>https://zfin.org/ZDB-GENE-060825-37</v>
      </c>
      <c r="E14692" t="s">
        <v>43749</v>
      </c>
    </row>
    <row r="14693" spans="1:5" x14ac:dyDescent="0.2">
      <c r="A14693" t="s">
        <v>43750</v>
      </c>
      <c r="B14693" t="s">
        <v>43751</v>
      </c>
      <c r="C14693" t="s">
        <v>43751</v>
      </c>
      <c r="D14693" t="str">
        <f>HYPERLINK("https://zfin.org/ZDB-GENE-030131-2378")</f>
        <v>https://zfin.org/ZDB-GENE-030131-2378</v>
      </c>
      <c r="E14693" t="s">
        <v>43752</v>
      </c>
    </row>
    <row r="14694" spans="1:5" x14ac:dyDescent="0.2">
      <c r="A14694" t="s">
        <v>43753</v>
      </c>
      <c r="B14694" t="s">
        <v>43754</v>
      </c>
      <c r="C14694" t="s">
        <v>43754</v>
      </c>
      <c r="D14694" t="str">
        <f>HYPERLINK("https://zfin.org/")</f>
        <v>https://zfin.org/</v>
      </c>
      <c r="E14694" t="s">
        <v>43755</v>
      </c>
    </row>
    <row r="14695" spans="1:5" x14ac:dyDescent="0.2">
      <c r="A14695" t="s">
        <v>43756</v>
      </c>
      <c r="B14695" t="s">
        <v>43757</v>
      </c>
      <c r="C14695" t="s">
        <v>43757</v>
      </c>
      <c r="D14695" t="str">
        <f>HYPERLINK("https://zfin.org/")</f>
        <v>https://zfin.org/</v>
      </c>
      <c r="E14695" t="s">
        <v>43758</v>
      </c>
    </row>
    <row r="14696" spans="1:5" x14ac:dyDescent="0.2">
      <c r="A14696" t="s">
        <v>43759</v>
      </c>
      <c r="B14696" t="s">
        <v>43760</v>
      </c>
      <c r="C14696" t="s">
        <v>43760</v>
      </c>
      <c r="D14696" t="str">
        <f>HYPERLINK("https://zfin.org/ZDB-GENE-030131-3695")</f>
        <v>https://zfin.org/ZDB-GENE-030131-3695</v>
      </c>
      <c r="E14696" t="s">
        <v>43761</v>
      </c>
    </row>
    <row r="14697" spans="1:5" x14ac:dyDescent="0.2">
      <c r="A14697" t="s">
        <v>43762</v>
      </c>
      <c r="B14697" t="s">
        <v>43763</v>
      </c>
      <c r="C14697" t="s">
        <v>43763</v>
      </c>
      <c r="D14697" t="str">
        <f>HYPERLINK("https://zfin.org/ZDB-GENE-070928-37")</f>
        <v>https://zfin.org/ZDB-GENE-070928-37</v>
      </c>
      <c r="E14697" t="s">
        <v>43764</v>
      </c>
    </row>
    <row r="14698" spans="1:5" x14ac:dyDescent="0.2">
      <c r="A14698" t="s">
        <v>43765</v>
      </c>
      <c r="B14698" t="s">
        <v>43766</v>
      </c>
      <c r="C14698" t="s">
        <v>43766</v>
      </c>
      <c r="D14698" t="str">
        <f>HYPERLINK("https://zfin.org/ZDB-GENE-110718-2")</f>
        <v>https://zfin.org/ZDB-GENE-110718-2</v>
      </c>
      <c r="E14698" t="s">
        <v>43767</v>
      </c>
    </row>
    <row r="14699" spans="1:5" x14ac:dyDescent="0.2">
      <c r="A14699" t="s">
        <v>43768</v>
      </c>
      <c r="B14699" t="s">
        <v>43769</v>
      </c>
      <c r="C14699" t="s">
        <v>43769</v>
      </c>
      <c r="D14699" t="str">
        <f>HYPERLINK("https://zfin.org/ZDB-GENE-040426-1413")</f>
        <v>https://zfin.org/ZDB-GENE-040426-1413</v>
      </c>
      <c r="E14699" t="s">
        <v>43770</v>
      </c>
    </row>
    <row r="14700" spans="1:5" x14ac:dyDescent="0.2">
      <c r="A14700" t="s">
        <v>43771</v>
      </c>
      <c r="B14700" t="s">
        <v>43772</v>
      </c>
      <c r="C14700" t="s">
        <v>43772</v>
      </c>
      <c r="D14700" t="str">
        <f>HYPERLINK("https://zfin.org/ZDB-GENE-000210-15")</f>
        <v>https://zfin.org/ZDB-GENE-000210-15</v>
      </c>
      <c r="E14700" t="s">
        <v>43773</v>
      </c>
    </row>
    <row r="14701" spans="1:5" x14ac:dyDescent="0.2">
      <c r="A14701" t="s">
        <v>43774</v>
      </c>
      <c r="B14701" t="s">
        <v>43775</v>
      </c>
      <c r="C14701" t="s">
        <v>43775</v>
      </c>
      <c r="D14701" t="str">
        <f>HYPERLINK("https://zfin.org/")</f>
        <v>https://zfin.org/</v>
      </c>
      <c r="E14701" t="s">
        <v>43776</v>
      </c>
    </row>
    <row r="14702" spans="1:5" x14ac:dyDescent="0.2">
      <c r="A14702" t="s">
        <v>43777</v>
      </c>
      <c r="B14702" t="s">
        <v>22988</v>
      </c>
      <c r="C14702" t="s">
        <v>43778</v>
      </c>
      <c r="D14702" t="str">
        <f>HYPERLINK("https://zfin.org/ZDB-GENE-040625-53")</f>
        <v>https://zfin.org/ZDB-GENE-040625-53</v>
      </c>
      <c r="E14702" t="s">
        <v>22989</v>
      </c>
    </row>
    <row r="14703" spans="1:5" x14ac:dyDescent="0.2">
      <c r="A14703" t="s">
        <v>43779</v>
      </c>
      <c r="B14703" t="s">
        <v>43780</v>
      </c>
      <c r="C14703" t="s">
        <v>43780</v>
      </c>
      <c r="D14703" t="str">
        <f>HYPERLINK("https://zfin.org/ZDB-GENE-081022-182")</f>
        <v>https://zfin.org/ZDB-GENE-081022-182</v>
      </c>
      <c r="E14703" t="s">
        <v>43781</v>
      </c>
    </row>
    <row r="14704" spans="1:5" x14ac:dyDescent="0.2">
      <c r="A14704" t="s">
        <v>43782</v>
      </c>
      <c r="B14704" t="s">
        <v>43783</v>
      </c>
      <c r="C14704" t="s">
        <v>43783</v>
      </c>
      <c r="D14704" t="str">
        <f>HYPERLINK("https://zfin.org/ZDB-GENE-040426-2104")</f>
        <v>https://zfin.org/ZDB-GENE-040426-2104</v>
      </c>
      <c r="E14704" t="s">
        <v>43784</v>
      </c>
    </row>
    <row r="14705" spans="1:5" x14ac:dyDescent="0.2">
      <c r="A14705" t="s">
        <v>43785</v>
      </c>
      <c r="B14705" t="s">
        <v>43786</v>
      </c>
      <c r="C14705" t="s">
        <v>43786</v>
      </c>
      <c r="D14705" t="str">
        <f>HYPERLINK("https://zfin.org/ZDB-GENE-040426-2219")</f>
        <v>https://zfin.org/ZDB-GENE-040426-2219</v>
      </c>
      <c r="E14705" t="s">
        <v>43787</v>
      </c>
    </row>
    <row r="14706" spans="1:5" x14ac:dyDescent="0.2">
      <c r="A14706" t="s">
        <v>43788</v>
      </c>
      <c r="B14706" t="s">
        <v>43789</v>
      </c>
      <c r="C14706" t="s">
        <v>43789</v>
      </c>
      <c r="D14706" t="str">
        <f>HYPERLINK("https://zfin.org/")</f>
        <v>https://zfin.org/</v>
      </c>
    </row>
    <row r="14707" spans="1:5" x14ac:dyDescent="0.2">
      <c r="A14707" t="s">
        <v>43790</v>
      </c>
      <c r="B14707" t="s">
        <v>43791</v>
      </c>
      <c r="C14707" t="s">
        <v>43791</v>
      </c>
      <c r="D14707" t="str">
        <f>HYPERLINK("https://zfin.org/")</f>
        <v>https://zfin.org/</v>
      </c>
    </row>
    <row r="14708" spans="1:5" x14ac:dyDescent="0.2">
      <c r="A14708" t="s">
        <v>43792</v>
      </c>
      <c r="B14708" t="s">
        <v>43793</v>
      </c>
      <c r="C14708" t="s">
        <v>43793</v>
      </c>
      <c r="D14708" t="str">
        <f>HYPERLINK("https://zfin.org/")</f>
        <v>https://zfin.org/</v>
      </c>
    </row>
    <row r="14709" spans="1:5" x14ac:dyDescent="0.2">
      <c r="A14709" t="s">
        <v>43794</v>
      </c>
      <c r="B14709" t="s">
        <v>43795</v>
      </c>
      <c r="C14709" t="s">
        <v>43795</v>
      </c>
      <c r="D14709" t="str">
        <f>HYPERLINK("https://zfin.org/")</f>
        <v>https://zfin.org/</v>
      </c>
    </row>
    <row r="14710" spans="1:5" x14ac:dyDescent="0.2">
      <c r="A14710" t="s">
        <v>43796</v>
      </c>
      <c r="B14710" t="s">
        <v>43797</v>
      </c>
      <c r="C14710" t="s">
        <v>43797</v>
      </c>
      <c r="D14710" t="str">
        <f>HYPERLINK("https://zfin.org/ZDB-GENE-071004-105")</f>
        <v>https://zfin.org/ZDB-GENE-071004-105</v>
      </c>
      <c r="E14710" t="s">
        <v>43798</v>
      </c>
    </row>
    <row r="14711" spans="1:5" x14ac:dyDescent="0.2">
      <c r="A14711" t="s">
        <v>43799</v>
      </c>
      <c r="B14711" t="s">
        <v>43800</v>
      </c>
      <c r="C14711" t="s">
        <v>43800</v>
      </c>
      <c r="D14711" t="str">
        <f>HYPERLINK("https://zfin.org/")</f>
        <v>https://zfin.org/</v>
      </c>
    </row>
    <row r="14712" spans="1:5" x14ac:dyDescent="0.2">
      <c r="A14712" t="s">
        <v>43801</v>
      </c>
      <c r="B14712" t="s">
        <v>43802</v>
      </c>
      <c r="C14712" t="s">
        <v>43802</v>
      </c>
      <c r="D14712" t="str">
        <f>HYPERLINK("https://zfin.org/")</f>
        <v>https://zfin.org/</v>
      </c>
    </row>
    <row r="14713" spans="1:5" x14ac:dyDescent="0.2">
      <c r="A14713" t="s">
        <v>43803</v>
      </c>
      <c r="B14713" t="s">
        <v>43804</v>
      </c>
      <c r="C14713" t="s">
        <v>43804</v>
      </c>
      <c r="D14713" t="str">
        <f>HYPERLINK("https://zfin.org/")</f>
        <v>https://zfin.org/</v>
      </c>
    </row>
    <row r="14714" spans="1:5" x14ac:dyDescent="0.2">
      <c r="A14714" t="s">
        <v>43805</v>
      </c>
      <c r="B14714" t="s">
        <v>43806</v>
      </c>
      <c r="C14714" t="s">
        <v>43806</v>
      </c>
      <c r="D14714" t="str">
        <f>HYPERLINK("https://zfin.org/ZDB-GENE-050417-292")</f>
        <v>https://zfin.org/ZDB-GENE-050417-292</v>
      </c>
      <c r="E14714" t="s">
        <v>43807</v>
      </c>
    </row>
    <row r="14715" spans="1:5" x14ac:dyDescent="0.2">
      <c r="A14715" t="s">
        <v>43808</v>
      </c>
      <c r="B14715" t="s">
        <v>43809</v>
      </c>
      <c r="C14715" t="s">
        <v>43809</v>
      </c>
      <c r="D14715" t="str">
        <f>HYPERLINK("https://zfin.org/")</f>
        <v>https://zfin.org/</v>
      </c>
      <c r="E14715" t="s">
        <v>43810</v>
      </c>
    </row>
    <row r="14716" spans="1:5" x14ac:dyDescent="0.2">
      <c r="A14716" t="s">
        <v>43811</v>
      </c>
      <c r="B14716" t="s">
        <v>43812</v>
      </c>
      <c r="C14716" t="s">
        <v>43812</v>
      </c>
      <c r="D14716" t="str">
        <f>HYPERLINK("https://zfin.org/")</f>
        <v>https://zfin.org/</v>
      </c>
    </row>
    <row r="14717" spans="1:5" x14ac:dyDescent="0.2">
      <c r="A14717" t="s">
        <v>43813</v>
      </c>
      <c r="B14717" t="s">
        <v>43814</v>
      </c>
      <c r="C14717" t="s">
        <v>43814</v>
      </c>
      <c r="D14717" t="str">
        <f>HYPERLINK("https://zfin.org/ZDB-GENE-030131-7811")</f>
        <v>https://zfin.org/ZDB-GENE-030131-7811</v>
      </c>
      <c r="E14717" t="s">
        <v>43815</v>
      </c>
    </row>
    <row r="14718" spans="1:5" x14ac:dyDescent="0.2">
      <c r="A14718" t="s">
        <v>43816</v>
      </c>
      <c r="B14718" t="s">
        <v>43817</v>
      </c>
      <c r="C14718" t="s">
        <v>43817</v>
      </c>
      <c r="D14718" t="str">
        <f>HYPERLINK("https://zfin.org/ZDB-GENE-040718-304")</f>
        <v>https://zfin.org/ZDB-GENE-040718-304</v>
      </c>
      <c r="E14718" t="s">
        <v>43818</v>
      </c>
    </row>
    <row r="14719" spans="1:5" x14ac:dyDescent="0.2">
      <c r="A14719" t="s">
        <v>43819</v>
      </c>
      <c r="B14719" t="s">
        <v>43820</v>
      </c>
      <c r="C14719" t="s">
        <v>43820</v>
      </c>
      <c r="D14719" t="str">
        <f>HYPERLINK("https://zfin.org/ZDB-GENE-080219-39")</f>
        <v>https://zfin.org/ZDB-GENE-080219-39</v>
      </c>
      <c r="E14719" t="s">
        <v>43821</v>
      </c>
    </row>
    <row r="14720" spans="1:5" x14ac:dyDescent="0.2">
      <c r="A14720" t="s">
        <v>43822</v>
      </c>
      <c r="B14720" t="s">
        <v>43823</v>
      </c>
      <c r="C14720" t="s">
        <v>43823</v>
      </c>
      <c r="D14720" t="str">
        <f>HYPERLINK("https://zfin.org/ZDB-GENE-000607-58")</f>
        <v>https://zfin.org/ZDB-GENE-000607-58</v>
      </c>
      <c r="E14720" t="s">
        <v>43824</v>
      </c>
    </row>
    <row r="14721" spans="1:5" x14ac:dyDescent="0.2">
      <c r="A14721" t="s">
        <v>43825</v>
      </c>
      <c r="B14721" t="s">
        <v>43826</v>
      </c>
      <c r="C14721" t="s">
        <v>43826</v>
      </c>
      <c r="D14721" t="str">
        <f>HYPERLINK("https://zfin.org/")</f>
        <v>https://zfin.org/</v>
      </c>
      <c r="E14721" t="s">
        <v>43827</v>
      </c>
    </row>
    <row r="14722" spans="1:5" x14ac:dyDescent="0.2">
      <c r="A14722" t="s">
        <v>43828</v>
      </c>
      <c r="B14722" t="s">
        <v>43829</v>
      </c>
      <c r="C14722" t="s">
        <v>43829</v>
      </c>
      <c r="D14722" t="str">
        <f>HYPERLINK("https://zfin.org/")</f>
        <v>https://zfin.org/</v>
      </c>
    </row>
    <row r="14723" spans="1:5" x14ac:dyDescent="0.2">
      <c r="A14723" t="s">
        <v>43830</v>
      </c>
      <c r="B14723" t="s">
        <v>43831</v>
      </c>
      <c r="C14723" t="s">
        <v>43831</v>
      </c>
      <c r="D14723" t="str">
        <f>HYPERLINK("https://zfin.org/ZDB-GENE-040426-1189")</f>
        <v>https://zfin.org/ZDB-GENE-040426-1189</v>
      </c>
      <c r="E14723" t="s">
        <v>43832</v>
      </c>
    </row>
    <row r="14724" spans="1:5" x14ac:dyDescent="0.2">
      <c r="A14724" t="s">
        <v>43833</v>
      </c>
      <c r="B14724" t="s">
        <v>43834</v>
      </c>
      <c r="C14724" t="s">
        <v>43834</v>
      </c>
      <c r="D14724" t="str">
        <f>HYPERLINK("https://zfin.org/")</f>
        <v>https://zfin.org/</v>
      </c>
    </row>
    <row r="14725" spans="1:5" x14ac:dyDescent="0.2">
      <c r="A14725" t="s">
        <v>43835</v>
      </c>
      <c r="B14725" t="s">
        <v>43836</v>
      </c>
      <c r="C14725" t="s">
        <v>43836</v>
      </c>
      <c r="D14725" t="str">
        <f>HYPERLINK("https://zfin.org/")</f>
        <v>https://zfin.org/</v>
      </c>
      <c r="E14725" t="s">
        <v>43837</v>
      </c>
    </row>
    <row r="14726" spans="1:5" x14ac:dyDescent="0.2">
      <c r="A14726" t="s">
        <v>43838</v>
      </c>
      <c r="B14726" t="s">
        <v>43839</v>
      </c>
      <c r="C14726" t="s">
        <v>43839</v>
      </c>
      <c r="D14726" t="str">
        <f>HYPERLINK("https://zfin.org/ZDB-GENE-040426-1747")</f>
        <v>https://zfin.org/ZDB-GENE-040426-1747</v>
      </c>
      <c r="E14726" t="s">
        <v>43840</v>
      </c>
    </row>
    <row r="14727" spans="1:5" x14ac:dyDescent="0.2">
      <c r="A14727" t="s">
        <v>43841</v>
      </c>
      <c r="B14727" t="s">
        <v>43842</v>
      </c>
      <c r="C14727" t="s">
        <v>43842</v>
      </c>
      <c r="D14727" t="str">
        <f>HYPERLINK("https://zfin.org/ZDB-GENE-050417-451")</f>
        <v>https://zfin.org/ZDB-GENE-050417-451</v>
      </c>
      <c r="E14727" t="s">
        <v>43843</v>
      </c>
    </row>
    <row r="14728" spans="1:5" x14ac:dyDescent="0.2">
      <c r="A14728" t="s">
        <v>43844</v>
      </c>
      <c r="B14728" t="s">
        <v>43845</v>
      </c>
      <c r="C14728" t="s">
        <v>43845</v>
      </c>
      <c r="D14728" t="str">
        <f>HYPERLINK("https://zfin.org/")</f>
        <v>https://zfin.org/</v>
      </c>
    </row>
    <row r="14729" spans="1:5" x14ac:dyDescent="0.2">
      <c r="A14729" t="s">
        <v>43846</v>
      </c>
      <c r="B14729" t="s">
        <v>43847</v>
      </c>
      <c r="C14729" t="s">
        <v>43847</v>
      </c>
      <c r="D14729" t="str">
        <f>HYPERLINK("https://zfin.org/ZDB-GENE-070719-2")</f>
        <v>https://zfin.org/ZDB-GENE-070719-2</v>
      </c>
      <c r="E14729" t="s">
        <v>43848</v>
      </c>
    </row>
    <row r="14730" spans="1:5" x14ac:dyDescent="0.2">
      <c r="A14730" t="s">
        <v>43849</v>
      </c>
      <c r="B14730" t="s">
        <v>43850</v>
      </c>
      <c r="C14730" t="s">
        <v>43850</v>
      </c>
      <c r="D14730" t="str">
        <f>HYPERLINK("https://zfin.org/")</f>
        <v>https://zfin.org/</v>
      </c>
      <c r="E14730" t="s">
        <v>43851</v>
      </c>
    </row>
    <row r="14731" spans="1:5" x14ac:dyDescent="0.2">
      <c r="A14731" t="s">
        <v>43852</v>
      </c>
      <c r="B14731" t="s">
        <v>43853</v>
      </c>
      <c r="C14731" t="s">
        <v>43853</v>
      </c>
      <c r="D14731" t="str">
        <f>HYPERLINK("https://zfin.org/ZDB-GENE-030131-3077")</f>
        <v>https://zfin.org/ZDB-GENE-030131-3077</v>
      </c>
      <c r="E14731" t="s">
        <v>43854</v>
      </c>
    </row>
    <row r="14732" spans="1:5" x14ac:dyDescent="0.2">
      <c r="A14732" t="s">
        <v>43855</v>
      </c>
      <c r="B14732" t="s">
        <v>43856</v>
      </c>
      <c r="C14732" t="s">
        <v>43856</v>
      </c>
      <c r="D14732" t="str">
        <f>HYPERLINK("https://zfin.org/")</f>
        <v>https://zfin.org/</v>
      </c>
    </row>
    <row r="14733" spans="1:5" x14ac:dyDescent="0.2">
      <c r="A14733" t="s">
        <v>43857</v>
      </c>
      <c r="B14733" t="s">
        <v>43858</v>
      </c>
      <c r="C14733" t="s">
        <v>43858</v>
      </c>
      <c r="D14733" t="str">
        <f>HYPERLINK("https://zfin.org/")</f>
        <v>https://zfin.org/</v>
      </c>
      <c r="E14733" t="s">
        <v>43859</v>
      </c>
    </row>
    <row r="14734" spans="1:5" x14ac:dyDescent="0.2">
      <c r="A14734" t="s">
        <v>43860</v>
      </c>
      <c r="B14734" t="s">
        <v>43861</v>
      </c>
      <c r="C14734" t="s">
        <v>43861</v>
      </c>
      <c r="D14734" t="str">
        <f>HYPERLINK("https://zfin.org/ZDB-GENE-041010-87")</f>
        <v>https://zfin.org/ZDB-GENE-041010-87</v>
      </c>
      <c r="E14734" t="s">
        <v>43862</v>
      </c>
    </row>
    <row r="14735" spans="1:5" x14ac:dyDescent="0.2">
      <c r="A14735" t="s">
        <v>43863</v>
      </c>
      <c r="B14735" t="s">
        <v>43864</v>
      </c>
      <c r="C14735" t="s">
        <v>43864</v>
      </c>
      <c r="D14735" t="str">
        <f>HYPERLINK("https://zfin.org/")</f>
        <v>https://zfin.org/</v>
      </c>
      <c r="E14735" t="s">
        <v>43865</v>
      </c>
    </row>
    <row r="14736" spans="1:5" x14ac:dyDescent="0.2">
      <c r="A14736" t="s">
        <v>43866</v>
      </c>
      <c r="B14736" t="s">
        <v>43867</v>
      </c>
      <c r="C14736" t="s">
        <v>43867</v>
      </c>
      <c r="D14736" t="str">
        <f>HYPERLINK("https://zfin.org/ZDB-GENE-040426-778")</f>
        <v>https://zfin.org/ZDB-GENE-040426-778</v>
      </c>
      <c r="E14736" t="s">
        <v>43868</v>
      </c>
    </row>
    <row r="14737" spans="1:5" x14ac:dyDescent="0.2">
      <c r="A14737" t="s">
        <v>43869</v>
      </c>
      <c r="B14737" t="s">
        <v>43870</v>
      </c>
      <c r="C14737" t="s">
        <v>43870</v>
      </c>
      <c r="D14737" t="str">
        <f>HYPERLINK("https://zfin.org/")</f>
        <v>https://zfin.org/</v>
      </c>
    </row>
    <row r="14738" spans="1:5" x14ac:dyDescent="0.2">
      <c r="A14738" t="s">
        <v>43871</v>
      </c>
      <c r="B14738" t="s">
        <v>43872</v>
      </c>
      <c r="C14738" t="s">
        <v>43872</v>
      </c>
      <c r="D14738" t="str">
        <f>HYPERLINK("https://zfin.org/ZDB-GENE-040426-2195")</f>
        <v>https://zfin.org/ZDB-GENE-040426-2195</v>
      </c>
      <c r="E14738" t="s">
        <v>43873</v>
      </c>
    </row>
    <row r="14739" spans="1:5" x14ac:dyDescent="0.2">
      <c r="A14739" t="s">
        <v>43874</v>
      </c>
      <c r="B14739" t="s">
        <v>43875</v>
      </c>
      <c r="C14739" t="s">
        <v>43875</v>
      </c>
      <c r="D14739" t="str">
        <f>HYPERLINK("https://zfin.org/ZDB-GENE-040426-2340")</f>
        <v>https://zfin.org/ZDB-GENE-040426-2340</v>
      </c>
      <c r="E14739" t="s">
        <v>43876</v>
      </c>
    </row>
    <row r="14740" spans="1:5" x14ac:dyDescent="0.2">
      <c r="A14740" t="s">
        <v>43877</v>
      </c>
      <c r="B14740" t="s">
        <v>43878</v>
      </c>
      <c r="C14740" t="s">
        <v>43878</v>
      </c>
      <c r="D14740" t="str">
        <f>HYPERLINK("https://zfin.org/ZDB-GENE-050417-421")</f>
        <v>https://zfin.org/ZDB-GENE-050417-421</v>
      </c>
      <c r="E14740" t="s">
        <v>43879</v>
      </c>
    </row>
    <row r="14741" spans="1:5" x14ac:dyDescent="0.2">
      <c r="A14741" t="s">
        <v>43880</v>
      </c>
      <c r="B14741" t="s">
        <v>43881</v>
      </c>
      <c r="C14741" t="s">
        <v>43881</v>
      </c>
      <c r="D14741" t="str">
        <f>HYPERLINK("https://zfin.org/")</f>
        <v>https://zfin.org/</v>
      </c>
      <c r="E14741" t="s">
        <v>43882</v>
      </c>
    </row>
    <row r="14742" spans="1:5" x14ac:dyDescent="0.2">
      <c r="A14742" t="s">
        <v>43883</v>
      </c>
      <c r="B14742" t="s">
        <v>43884</v>
      </c>
      <c r="C14742" t="s">
        <v>43884</v>
      </c>
      <c r="D14742" t="str">
        <f>HYPERLINK("https://zfin.org/")</f>
        <v>https://zfin.org/</v>
      </c>
      <c r="E14742" t="s">
        <v>43885</v>
      </c>
    </row>
    <row r="14743" spans="1:5" x14ac:dyDescent="0.2">
      <c r="A14743" t="s">
        <v>43886</v>
      </c>
      <c r="B14743" t="s">
        <v>43887</v>
      </c>
      <c r="C14743" t="s">
        <v>43887</v>
      </c>
      <c r="D14743" t="str">
        <f>HYPERLINK("https://zfin.org/ZDB-GENE-050107-3")</f>
        <v>https://zfin.org/ZDB-GENE-050107-3</v>
      </c>
      <c r="E14743" t="s">
        <v>43888</v>
      </c>
    </row>
    <row r="14744" spans="1:5" x14ac:dyDescent="0.2">
      <c r="A14744" t="s">
        <v>43889</v>
      </c>
      <c r="B14744" t="s">
        <v>43890</v>
      </c>
      <c r="C14744" t="s">
        <v>43890</v>
      </c>
      <c r="D14744" t="str">
        <f>HYPERLINK("https://zfin.org/")</f>
        <v>https://zfin.org/</v>
      </c>
    </row>
    <row r="14745" spans="1:5" x14ac:dyDescent="0.2">
      <c r="A14745" t="s">
        <v>43891</v>
      </c>
      <c r="B14745" t="s">
        <v>43892</v>
      </c>
      <c r="C14745" t="s">
        <v>43892</v>
      </c>
      <c r="D14745" t="str">
        <f>HYPERLINK("https://zfin.org/")</f>
        <v>https://zfin.org/</v>
      </c>
      <c r="E14745" t="s">
        <v>43893</v>
      </c>
    </row>
    <row r="14746" spans="1:5" x14ac:dyDescent="0.2">
      <c r="A14746" t="s">
        <v>43894</v>
      </c>
      <c r="B14746" t="s">
        <v>43895</v>
      </c>
      <c r="C14746" t="s">
        <v>43895</v>
      </c>
      <c r="D14746" t="str">
        <f>HYPERLINK("https://zfin.org/ZDB-GENE-030131-9341")</f>
        <v>https://zfin.org/ZDB-GENE-030131-9341</v>
      </c>
      <c r="E14746" t="s">
        <v>43896</v>
      </c>
    </row>
    <row r="14747" spans="1:5" x14ac:dyDescent="0.2">
      <c r="A14747" t="s">
        <v>43897</v>
      </c>
      <c r="B14747" t="s">
        <v>43898</v>
      </c>
      <c r="C14747" t="s">
        <v>43898</v>
      </c>
      <c r="D14747" t="str">
        <f>HYPERLINK("https://zfin.org/ZDB-GENE-070209-292")</f>
        <v>https://zfin.org/ZDB-GENE-070209-292</v>
      </c>
      <c r="E14747" t="s">
        <v>43899</v>
      </c>
    </row>
    <row r="14748" spans="1:5" x14ac:dyDescent="0.2">
      <c r="A14748" t="s">
        <v>43900</v>
      </c>
      <c r="B14748" t="s">
        <v>43901</v>
      </c>
      <c r="C14748" t="s">
        <v>43901</v>
      </c>
      <c r="D14748" t="str">
        <f>HYPERLINK("https://zfin.org/ZDB-GENE-030131-341")</f>
        <v>https://zfin.org/ZDB-GENE-030131-341</v>
      </c>
      <c r="E14748" t="s">
        <v>43902</v>
      </c>
    </row>
    <row r="14749" spans="1:5" x14ac:dyDescent="0.2">
      <c r="A14749" t="s">
        <v>43903</v>
      </c>
      <c r="B14749" t="s">
        <v>43904</v>
      </c>
      <c r="C14749" t="s">
        <v>43904</v>
      </c>
      <c r="D14749" t="str">
        <f>HYPERLINK("https://zfin.org/ZDB-GENE-050417-222")</f>
        <v>https://zfin.org/ZDB-GENE-050417-222</v>
      </c>
      <c r="E14749" t="s">
        <v>43905</v>
      </c>
    </row>
    <row r="14750" spans="1:5" x14ac:dyDescent="0.2">
      <c r="A14750" t="s">
        <v>43906</v>
      </c>
      <c r="B14750" t="s">
        <v>43907</v>
      </c>
      <c r="C14750" t="s">
        <v>43907</v>
      </c>
      <c r="D14750" t="str">
        <f>HYPERLINK("https://zfin.org/ZDB-GENE-030710-2")</f>
        <v>https://zfin.org/ZDB-GENE-030710-2</v>
      </c>
      <c r="E14750" t="s">
        <v>43908</v>
      </c>
    </row>
    <row r="14751" spans="1:5" x14ac:dyDescent="0.2">
      <c r="A14751" t="s">
        <v>43909</v>
      </c>
      <c r="B14751" t="s">
        <v>43910</v>
      </c>
      <c r="C14751" t="s">
        <v>43910</v>
      </c>
      <c r="D14751" t="str">
        <f>HYPERLINK("https://zfin.org/")</f>
        <v>https://zfin.org/</v>
      </c>
      <c r="E14751" t="s">
        <v>43911</v>
      </c>
    </row>
    <row r="14752" spans="1:5" x14ac:dyDescent="0.2">
      <c r="A14752" t="s">
        <v>43912</v>
      </c>
      <c r="B14752" t="s">
        <v>20638</v>
      </c>
      <c r="C14752" t="s">
        <v>43913</v>
      </c>
      <c r="D14752" t="str">
        <f>HYPERLINK("https://zfin.org/ZDB-GENE-110913-180")</f>
        <v>https://zfin.org/ZDB-GENE-110913-180</v>
      </c>
      <c r="E14752" t="s">
        <v>20639</v>
      </c>
    </row>
    <row r="14753" spans="1:5" x14ac:dyDescent="0.2">
      <c r="A14753" t="s">
        <v>43914</v>
      </c>
      <c r="B14753" t="s">
        <v>43915</v>
      </c>
      <c r="C14753" t="s">
        <v>43915</v>
      </c>
      <c r="D14753" t="str">
        <f>HYPERLINK("https://zfin.org/ZDB-GENE-040219-4")</f>
        <v>https://zfin.org/ZDB-GENE-040219-4</v>
      </c>
      <c r="E14753" t="s">
        <v>43916</v>
      </c>
    </row>
    <row r="14754" spans="1:5" x14ac:dyDescent="0.2">
      <c r="A14754" t="s">
        <v>43917</v>
      </c>
      <c r="B14754" t="s">
        <v>43918</v>
      </c>
      <c r="C14754" t="s">
        <v>43918</v>
      </c>
      <c r="D14754" t="str">
        <f>HYPERLINK("https://zfin.org/ZDB-GENE-060421-5765")</f>
        <v>https://zfin.org/ZDB-GENE-060421-5765</v>
      </c>
      <c r="E14754" t="s">
        <v>43919</v>
      </c>
    </row>
    <row r="14755" spans="1:5" x14ac:dyDescent="0.2">
      <c r="A14755" t="s">
        <v>43920</v>
      </c>
      <c r="B14755" t="s">
        <v>43921</v>
      </c>
      <c r="C14755" t="s">
        <v>43921</v>
      </c>
      <c r="D14755" t="str">
        <f>HYPERLINK("https://zfin.org/")</f>
        <v>https://zfin.org/</v>
      </c>
      <c r="E14755" t="s">
        <v>43922</v>
      </c>
    </row>
    <row r="14756" spans="1:5" x14ac:dyDescent="0.2">
      <c r="A14756" t="s">
        <v>43923</v>
      </c>
      <c r="B14756" t="s">
        <v>43924</v>
      </c>
      <c r="C14756" t="s">
        <v>43924</v>
      </c>
      <c r="D14756" t="str">
        <f>HYPERLINK("https://zfin.org/")</f>
        <v>https://zfin.org/</v>
      </c>
    </row>
    <row r="14757" spans="1:5" x14ac:dyDescent="0.2">
      <c r="A14757" t="s">
        <v>43925</v>
      </c>
      <c r="B14757" t="s">
        <v>43926</v>
      </c>
      <c r="C14757" t="s">
        <v>43926</v>
      </c>
      <c r="D14757" t="str">
        <f>HYPERLINK("https://zfin.org/ZDB-GENE-061027-53")</f>
        <v>https://zfin.org/ZDB-GENE-061027-53</v>
      </c>
      <c r="E14757" t="s">
        <v>43927</v>
      </c>
    </row>
    <row r="14758" spans="1:5" x14ac:dyDescent="0.2">
      <c r="A14758" t="s">
        <v>43928</v>
      </c>
      <c r="B14758" t="s">
        <v>43929</v>
      </c>
      <c r="C14758" t="s">
        <v>43929</v>
      </c>
      <c r="D14758" t="str">
        <f>HYPERLINK("https://zfin.org/")</f>
        <v>https://zfin.org/</v>
      </c>
      <c r="E14758" t="s">
        <v>43930</v>
      </c>
    </row>
    <row r="14759" spans="1:5" x14ac:dyDescent="0.2">
      <c r="A14759" t="s">
        <v>43931</v>
      </c>
      <c r="B14759" t="s">
        <v>43932</v>
      </c>
      <c r="C14759" t="s">
        <v>43932</v>
      </c>
      <c r="D14759" t="str">
        <f>HYPERLINK("https://zfin.org/ZDB-GENE-060929-1034")</f>
        <v>https://zfin.org/ZDB-GENE-060929-1034</v>
      </c>
      <c r="E14759" t="s">
        <v>43933</v>
      </c>
    </row>
    <row r="14760" spans="1:5" x14ac:dyDescent="0.2">
      <c r="A14760" t="s">
        <v>43934</v>
      </c>
      <c r="B14760" t="s">
        <v>43935</v>
      </c>
      <c r="C14760" t="s">
        <v>43935</v>
      </c>
      <c r="D14760" t="str">
        <f>HYPERLINK("https://zfin.org/ZDB-GENE-000209-3")</f>
        <v>https://zfin.org/ZDB-GENE-000209-3</v>
      </c>
      <c r="E14760" t="s">
        <v>43936</v>
      </c>
    </row>
    <row r="14761" spans="1:5" x14ac:dyDescent="0.2">
      <c r="A14761" t="s">
        <v>43937</v>
      </c>
      <c r="B14761" t="s">
        <v>43938</v>
      </c>
      <c r="C14761" t="s">
        <v>43938</v>
      </c>
      <c r="D14761" t="str">
        <f>HYPERLINK("https://zfin.org/")</f>
        <v>https://zfin.org/</v>
      </c>
    </row>
    <row r="14762" spans="1:5" x14ac:dyDescent="0.2">
      <c r="A14762" t="s">
        <v>43939</v>
      </c>
      <c r="B14762" t="s">
        <v>43940</v>
      </c>
      <c r="C14762" t="s">
        <v>43940</v>
      </c>
      <c r="D14762" t="str">
        <f>HYPERLINK("https://zfin.org/ZDB-GENE-040426-1283")</f>
        <v>https://zfin.org/ZDB-GENE-040426-1283</v>
      </c>
      <c r="E14762" t="s">
        <v>43941</v>
      </c>
    </row>
    <row r="14763" spans="1:5" x14ac:dyDescent="0.2">
      <c r="A14763" t="s">
        <v>43942</v>
      </c>
      <c r="B14763" t="s">
        <v>43943</v>
      </c>
      <c r="C14763" t="s">
        <v>43943</v>
      </c>
      <c r="D14763" t="str">
        <f>HYPERLINK("https://zfin.org/")</f>
        <v>https://zfin.org/</v>
      </c>
      <c r="E14763" t="s">
        <v>43944</v>
      </c>
    </row>
    <row r="14764" spans="1:5" x14ac:dyDescent="0.2">
      <c r="A14764" t="s">
        <v>43945</v>
      </c>
      <c r="B14764" t="s">
        <v>43946</v>
      </c>
      <c r="C14764" t="s">
        <v>43946</v>
      </c>
      <c r="D14764" t="str">
        <f>HYPERLINK("https://zfin.org/")</f>
        <v>https://zfin.org/</v>
      </c>
    </row>
    <row r="14765" spans="1:5" x14ac:dyDescent="0.2">
      <c r="A14765" t="s">
        <v>43947</v>
      </c>
      <c r="B14765" t="s">
        <v>43948</v>
      </c>
      <c r="C14765" t="s">
        <v>43948</v>
      </c>
      <c r="D14765" t="str">
        <f>HYPERLINK("https://zfin.org/")</f>
        <v>https://zfin.org/</v>
      </c>
    </row>
    <row r="14766" spans="1:5" x14ac:dyDescent="0.2">
      <c r="A14766" t="s">
        <v>43949</v>
      </c>
      <c r="B14766" t="s">
        <v>43950</v>
      </c>
      <c r="C14766" t="s">
        <v>43950</v>
      </c>
      <c r="D14766" t="str">
        <f>HYPERLINK("https://zfin.org/ZDB-GENE-050417-152")</f>
        <v>https://zfin.org/ZDB-GENE-050417-152</v>
      </c>
      <c r="E14766" t="s">
        <v>43951</v>
      </c>
    </row>
    <row r="14767" spans="1:5" x14ac:dyDescent="0.2">
      <c r="A14767" t="s">
        <v>43952</v>
      </c>
      <c r="B14767" t="s">
        <v>43953</v>
      </c>
      <c r="C14767" t="s">
        <v>43953</v>
      </c>
      <c r="D14767" t="str">
        <f>HYPERLINK("https://zfin.org/ZDB-GENE-040801-151")</f>
        <v>https://zfin.org/ZDB-GENE-040801-151</v>
      </c>
      <c r="E14767" t="s">
        <v>43954</v>
      </c>
    </row>
    <row r="14768" spans="1:5" x14ac:dyDescent="0.2">
      <c r="A14768" t="s">
        <v>43955</v>
      </c>
      <c r="B14768" t="s">
        <v>43956</v>
      </c>
      <c r="C14768" t="s">
        <v>43956</v>
      </c>
      <c r="D14768" t="str">
        <f>HYPERLINK("https://zfin.org/")</f>
        <v>https://zfin.org/</v>
      </c>
    </row>
    <row r="14769" spans="1:5" x14ac:dyDescent="0.2">
      <c r="A14769" t="s">
        <v>43957</v>
      </c>
      <c r="B14769" t="s">
        <v>43958</v>
      </c>
      <c r="C14769" t="s">
        <v>43958</v>
      </c>
      <c r="D14769" t="str">
        <f>HYPERLINK("https://zfin.org/")</f>
        <v>https://zfin.org/</v>
      </c>
    </row>
    <row r="14770" spans="1:5" x14ac:dyDescent="0.2">
      <c r="A14770" t="s">
        <v>43959</v>
      </c>
      <c r="B14770" t="s">
        <v>43960</v>
      </c>
      <c r="C14770" t="s">
        <v>43960</v>
      </c>
      <c r="D14770" t="str">
        <f>HYPERLINK("https://zfin.org/")</f>
        <v>https://zfin.org/</v>
      </c>
      <c r="E14770" t="s">
        <v>43961</v>
      </c>
    </row>
    <row r="14771" spans="1:5" x14ac:dyDescent="0.2">
      <c r="A14771" t="s">
        <v>43962</v>
      </c>
      <c r="B14771" t="s">
        <v>43963</v>
      </c>
      <c r="C14771" t="s">
        <v>43964</v>
      </c>
      <c r="D14771" t="str">
        <f>HYPERLINK("https://zfin.org/ZDB-GENE-040718-157")</f>
        <v>https://zfin.org/ZDB-GENE-040718-157</v>
      </c>
      <c r="E14771" t="s">
        <v>43965</v>
      </c>
    </row>
    <row r="14772" spans="1:5" x14ac:dyDescent="0.2">
      <c r="A14772" t="s">
        <v>43966</v>
      </c>
      <c r="B14772" t="s">
        <v>43967</v>
      </c>
      <c r="C14772" t="s">
        <v>43967</v>
      </c>
      <c r="D14772" t="str">
        <f>HYPERLINK("https://zfin.org/ZDB-GENE-040426-694")</f>
        <v>https://zfin.org/ZDB-GENE-040426-694</v>
      </c>
      <c r="E14772" t="s">
        <v>43968</v>
      </c>
    </row>
    <row r="14773" spans="1:5" x14ac:dyDescent="0.2">
      <c r="A14773" t="s">
        <v>43969</v>
      </c>
      <c r="B14773" t="s">
        <v>43970</v>
      </c>
      <c r="C14773" t="s">
        <v>43970</v>
      </c>
      <c r="D14773" t="str">
        <f>HYPERLINK("https://zfin.org/ZDB-GENE-031118-91")</f>
        <v>https://zfin.org/ZDB-GENE-031118-91</v>
      </c>
      <c r="E14773" t="s">
        <v>43971</v>
      </c>
    </row>
    <row r="14774" spans="1:5" x14ac:dyDescent="0.2">
      <c r="A14774" t="s">
        <v>43972</v>
      </c>
      <c r="B14774" t="s">
        <v>43973</v>
      </c>
      <c r="C14774" t="s">
        <v>43973</v>
      </c>
      <c r="D14774" t="str">
        <f>HYPERLINK("https://zfin.org/ZDB-GENE-040704-52")</f>
        <v>https://zfin.org/ZDB-GENE-040704-52</v>
      </c>
      <c r="E14774" t="s">
        <v>43974</v>
      </c>
    </row>
    <row r="14775" spans="1:5" x14ac:dyDescent="0.2">
      <c r="A14775" t="s">
        <v>43975</v>
      </c>
      <c r="B14775" t="s">
        <v>43976</v>
      </c>
      <c r="C14775" t="s">
        <v>43976</v>
      </c>
      <c r="D14775" t="str">
        <f>HYPERLINK("https://zfin.org/")</f>
        <v>https://zfin.org/</v>
      </c>
      <c r="E14775" t="s">
        <v>43977</v>
      </c>
    </row>
    <row r="14776" spans="1:5" x14ac:dyDescent="0.2">
      <c r="A14776" t="s">
        <v>43978</v>
      </c>
      <c r="B14776" t="s">
        <v>43979</v>
      </c>
      <c r="C14776" t="s">
        <v>43979</v>
      </c>
      <c r="D14776" t="str">
        <f>HYPERLINK("https://zfin.org/ZDB-GENE-110414-3")</f>
        <v>https://zfin.org/ZDB-GENE-110414-3</v>
      </c>
      <c r="E14776" t="s">
        <v>43980</v>
      </c>
    </row>
    <row r="14777" spans="1:5" x14ac:dyDescent="0.2">
      <c r="A14777" t="s">
        <v>43981</v>
      </c>
      <c r="B14777" t="s">
        <v>43982</v>
      </c>
      <c r="C14777" t="s">
        <v>43982</v>
      </c>
      <c r="D14777" t="str">
        <f>HYPERLINK("https://zfin.org/ZDB-GENE-050208-76")</f>
        <v>https://zfin.org/ZDB-GENE-050208-76</v>
      </c>
      <c r="E14777" t="s">
        <v>43983</v>
      </c>
    </row>
    <row r="14778" spans="1:5" x14ac:dyDescent="0.2">
      <c r="A14778" t="s">
        <v>43984</v>
      </c>
      <c r="B14778" t="s">
        <v>43985</v>
      </c>
      <c r="C14778" t="s">
        <v>43985</v>
      </c>
      <c r="D14778" t="str">
        <f>HYPERLINK("https://zfin.org/ZDB-GENE-050417-67")</f>
        <v>https://zfin.org/ZDB-GENE-050417-67</v>
      </c>
      <c r="E14778" t="s">
        <v>43986</v>
      </c>
    </row>
    <row r="14779" spans="1:5" x14ac:dyDescent="0.2">
      <c r="A14779" t="s">
        <v>43987</v>
      </c>
      <c r="B14779" t="s">
        <v>43988</v>
      </c>
      <c r="C14779" t="s">
        <v>43988</v>
      </c>
      <c r="D14779" t="str">
        <f>HYPERLINK("https://zfin.org/")</f>
        <v>https://zfin.org/</v>
      </c>
    </row>
    <row r="14780" spans="1:5" x14ac:dyDescent="0.2">
      <c r="A14780" t="s">
        <v>43989</v>
      </c>
      <c r="B14780" t="s">
        <v>43990</v>
      </c>
      <c r="C14780" t="s">
        <v>43990</v>
      </c>
      <c r="D14780" t="str">
        <f>HYPERLINK("https://zfin.org/ZDB-GENE-040426-1274")</f>
        <v>https://zfin.org/ZDB-GENE-040426-1274</v>
      </c>
      <c r="E14780" t="s">
        <v>43991</v>
      </c>
    </row>
    <row r="14781" spans="1:5" x14ac:dyDescent="0.2">
      <c r="A14781" t="s">
        <v>43992</v>
      </c>
      <c r="B14781" t="s">
        <v>43993</v>
      </c>
      <c r="C14781" t="s">
        <v>43993</v>
      </c>
      <c r="D14781" t="str">
        <f>HYPERLINK("https://zfin.org/")</f>
        <v>https://zfin.org/</v>
      </c>
    </row>
    <row r="14782" spans="1:5" x14ac:dyDescent="0.2">
      <c r="A14782" t="s">
        <v>43994</v>
      </c>
      <c r="B14782" t="s">
        <v>43995</v>
      </c>
      <c r="C14782" t="s">
        <v>43995</v>
      </c>
      <c r="D14782" t="str">
        <f>HYPERLINK("https://zfin.org/ZDB-GENE-050309-193")</f>
        <v>https://zfin.org/ZDB-GENE-050309-193</v>
      </c>
      <c r="E14782" t="s">
        <v>43996</v>
      </c>
    </row>
    <row r="14783" spans="1:5" x14ac:dyDescent="0.2">
      <c r="A14783" t="s">
        <v>43997</v>
      </c>
      <c r="B14783" t="s">
        <v>43998</v>
      </c>
      <c r="C14783" t="s">
        <v>43998</v>
      </c>
      <c r="D14783" t="str">
        <f>HYPERLINK("https://zfin.org/")</f>
        <v>https://zfin.org/</v>
      </c>
      <c r="E14783" t="s">
        <v>43999</v>
      </c>
    </row>
    <row r="14784" spans="1:5" x14ac:dyDescent="0.2">
      <c r="A14784" t="s">
        <v>44000</v>
      </c>
      <c r="B14784" t="s">
        <v>44001</v>
      </c>
      <c r="C14784" t="s">
        <v>44001</v>
      </c>
      <c r="D14784" t="str">
        <f>HYPERLINK("https://zfin.org/")</f>
        <v>https://zfin.org/</v>
      </c>
      <c r="E14784" t="s">
        <v>44002</v>
      </c>
    </row>
    <row r="14785" spans="1:5" x14ac:dyDescent="0.2">
      <c r="A14785" t="s">
        <v>44003</v>
      </c>
      <c r="B14785" t="s">
        <v>44004</v>
      </c>
      <c r="C14785" t="s">
        <v>44004</v>
      </c>
      <c r="D14785" t="str">
        <f>HYPERLINK("https://zfin.org/ZDB-GENE-040704-29")</f>
        <v>https://zfin.org/ZDB-GENE-040704-29</v>
      </c>
      <c r="E14785" t="s">
        <v>44005</v>
      </c>
    </row>
    <row r="14786" spans="1:5" x14ac:dyDescent="0.2">
      <c r="A14786" t="s">
        <v>44006</v>
      </c>
      <c r="B14786" t="s">
        <v>44007</v>
      </c>
      <c r="C14786" t="s">
        <v>44007</v>
      </c>
      <c r="D14786" t="str">
        <f>HYPERLINK("https://zfin.org/ZDB-GENE-040930-10")</f>
        <v>https://zfin.org/ZDB-GENE-040930-10</v>
      </c>
      <c r="E14786" t="s">
        <v>44008</v>
      </c>
    </row>
    <row r="14787" spans="1:5" x14ac:dyDescent="0.2">
      <c r="A14787" t="s">
        <v>44009</v>
      </c>
      <c r="B14787" t="s">
        <v>44010</v>
      </c>
      <c r="C14787" t="s">
        <v>44010</v>
      </c>
      <c r="D14787" t="str">
        <f>HYPERLINK("https://zfin.org/ZDB-GENE-080215-17")</f>
        <v>https://zfin.org/ZDB-GENE-080215-17</v>
      </c>
      <c r="E14787" t="s">
        <v>44011</v>
      </c>
    </row>
    <row r="14788" spans="1:5" x14ac:dyDescent="0.2">
      <c r="A14788" t="s">
        <v>44012</v>
      </c>
      <c r="B14788" t="s">
        <v>44013</v>
      </c>
      <c r="C14788" t="s">
        <v>44013</v>
      </c>
      <c r="D14788" t="str">
        <f>HYPERLINK("https://zfin.org/")</f>
        <v>https://zfin.org/</v>
      </c>
      <c r="E14788" t="s">
        <v>44014</v>
      </c>
    </row>
    <row r="14789" spans="1:5" x14ac:dyDescent="0.2">
      <c r="A14789" t="s">
        <v>44015</v>
      </c>
      <c r="B14789" t="s">
        <v>44016</v>
      </c>
      <c r="C14789" t="s">
        <v>44016</v>
      </c>
      <c r="D14789" t="str">
        <f>HYPERLINK("https://zfin.org/ZDB-GENE-040426-1981")</f>
        <v>https://zfin.org/ZDB-GENE-040426-1981</v>
      </c>
      <c r="E14789" t="s">
        <v>44017</v>
      </c>
    </row>
    <row r="14790" spans="1:5" x14ac:dyDescent="0.2">
      <c r="A14790" t="s">
        <v>44018</v>
      </c>
      <c r="B14790" t="s">
        <v>44019</v>
      </c>
      <c r="C14790" t="s">
        <v>44019</v>
      </c>
      <c r="D14790" t="str">
        <f>HYPERLINK("https://zfin.org/")</f>
        <v>https://zfin.org/</v>
      </c>
      <c r="E14790" t="s">
        <v>44020</v>
      </c>
    </row>
    <row r="14791" spans="1:5" x14ac:dyDescent="0.2">
      <c r="A14791" t="s">
        <v>44021</v>
      </c>
      <c r="B14791" t="s">
        <v>44022</v>
      </c>
      <c r="C14791" t="s">
        <v>44023</v>
      </c>
      <c r="D14791" t="str">
        <f>HYPERLINK("https://zfin.org/")</f>
        <v>https://zfin.org/</v>
      </c>
      <c r="E14791" t="s">
        <v>44024</v>
      </c>
    </row>
    <row r="14792" spans="1:5" x14ac:dyDescent="0.2">
      <c r="A14792" t="s">
        <v>44025</v>
      </c>
      <c r="B14792" t="s">
        <v>44026</v>
      </c>
      <c r="C14792" t="s">
        <v>44026</v>
      </c>
      <c r="D14792" t="str">
        <f>HYPERLINK("https://zfin.org/ZDB-GENE-040426-1198")</f>
        <v>https://zfin.org/ZDB-GENE-040426-1198</v>
      </c>
      <c r="E14792" t="s">
        <v>44027</v>
      </c>
    </row>
    <row r="14793" spans="1:5" x14ac:dyDescent="0.2">
      <c r="A14793" t="s">
        <v>44028</v>
      </c>
      <c r="B14793" t="s">
        <v>44029</v>
      </c>
      <c r="C14793" t="s">
        <v>44029</v>
      </c>
      <c r="D14793" t="str">
        <f>HYPERLINK("https://zfin.org/ZDB-GENE-030616-108")</f>
        <v>https://zfin.org/ZDB-GENE-030616-108</v>
      </c>
      <c r="E14793" t="s">
        <v>44030</v>
      </c>
    </row>
    <row r="14794" spans="1:5" x14ac:dyDescent="0.2">
      <c r="A14794" t="s">
        <v>44031</v>
      </c>
      <c r="B14794" t="s">
        <v>44032</v>
      </c>
      <c r="C14794" t="s">
        <v>44032</v>
      </c>
      <c r="D14794" t="str">
        <f>HYPERLINK("https://zfin.org/")</f>
        <v>https://zfin.org/</v>
      </c>
    </row>
    <row r="14795" spans="1:5" x14ac:dyDescent="0.2">
      <c r="A14795" t="s">
        <v>44033</v>
      </c>
      <c r="B14795" t="s">
        <v>44034</v>
      </c>
      <c r="C14795" t="s">
        <v>44034</v>
      </c>
      <c r="D14795" t="str">
        <f>HYPERLINK("https://zfin.org/ZDB-GENE-080218-25")</f>
        <v>https://zfin.org/ZDB-GENE-080218-25</v>
      </c>
      <c r="E14795" t="s">
        <v>44035</v>
      </c>
    </row>
    <row r="14796" spans="1:5" x14ac:dyDescent="0.2">
      <c r="A14796" t="s">
        <v>44036</v>
      </c>
      <c r="B14796" t="s">
        <v>44037</v>
      </c>
      <c r="C14796" t="s">
        <v>44037</v>
      </c>
      <c r="D14796" t="str">
        <f>HYPERLINK("https://zfin.org/")</f>
        <v>https://zfin.org/</v>
      </c>
    </row>
    <row r="14797" spans="1:5" x14ac:dyDescent="0.2">
      <c r="A14797" t="s">
        <v>44038</v>
      </c>
      <c r="B14797" t="s">
        <v>44039</v>
      </c>
      <c r="C14797" t="s">
        <v>44039</v>
      </c>
      <c r="D14797" t="str">
        <f>HYPERLINK("https://zfin.org/ZDB-GENE-030131-7459")</f>
        <v>https://zfin.org/ZDB-GENE-030131-7459</v>
      </c>
      <c r="E14797" t="s">
        <v>44040</v>
      </c>
    </row>
    <row r="14798" spans="1:5" x14ac:dyDescent="0.2">
      <c r="A14798" t="s">
        <v>44041</v>
      </c>
      <c r="B14798" t="s">
        <v>44042</v>
      </c>
      <c r="C14798" t="s">
        <v>44042</v>
      </c>
      <c r="D14798" t="str">
        <f>HYPERLINK("https://zfin.org/ZDB-GENE-050809-131")</f>
        <v>https://zfin.org/ZDB-GENE-050809-131</v>
      </c>
      <c r="E14798" t="s">
        <v>44043</v>
      </c>
    </row>
    <row r="14799" spans="1:5" x14ac:dyDescent="0.2">
      <c r="A14799" t="s">
        <v>44044</v>
      </c>
      <c r="B14799" t="s">
        <v>44045</v>
      </c>
      <c r="C14799" t="s">
        <v>44045</v>
      </c>
      <c r="D14799" t="str">
        <f t="shared" ref="D14799:D14804" si="10">HYPERLINK("https://zfin.org/")</f>
        <v>https://zfin.org/</v>
      </c>
      <c r="E14799" t="s">
        <v>44046</v>
      </c>
    </row>
    <row r="14800" spans="1:5" x14ac:dyDescent="0.2">
      <c r="A14800" t="s">
        <v>44047</v>
      </c>
      <c r="B14800" t="s">
        <v>44048</v>
      </c>
      <c r="C14800" t="s">
        <v>44048</v>
      </c>
      <c r="D14800" t="str">
        <f t="shared" si="10"/>
        <v>https://zfin.org/</v>
      </c>
      <c r="E14800" t="s">
        <v>44049</v>
      </c>
    </row>
    <row r="14801" spans="1:5" x14ac:dyDescent="0.2">
      <c r="A14801" t="s">
        <v>44050</v>
      </c>
      <c r="B14801" t="s">
        <v>44051</v>
      </c>
      <c r="C14801" t="s">
        <v>44051</v>
      </c>
      <c r="D14801" t="str">
        <f t="shared" si="10"/>
        <v>https://zfin.org/</v>
      </c>
      <c r="E14801" t="s">
        <v>44052</v>
      </c>
    </row>
    <row r="14802" spans="1:5" x14ac:dyDescent="0.2">
      <c r="A14802" t="s">
        <v>44053</v>
      </c>
      <c r="B14802" t="s">
        <v>44054</v>
      </c>
      <c r="C14802" t="s">
        <v>44054</v>
      </c>
      <c r="D14802" t="str">
        <f t="shared" si="10"/>
        <v>https://zfin.org/</v>
      </c>
      <c r="E14802" t="s">
        <v>44055</v>
      </c>
    </row>
    <row r="14803" spans="1:5" x14ac:dyDescent="0.2">
      <c r="A14803" t="s">
        <v>44056</v>
      </c>
      <c r="B14803" t="s">
        <v>44057</v>
      </c>
      <c r="C14803" t="s">
        <v>44057</v>
      </c>
      <c r="D14803" t="str">
        <f t="shared" si="10"/>
        <v>https://zfin.org/</v>
      </c>
      <c r="E14803" t="s">
        <v>44058</v>
      </c>
    </row>
    <row r="14804" spans="1:5" x14ac:dyDescent="0.2">
      <c r="A14804" t="s">
        <v>44059</v>
      </c>
      <c r="B14804" t="s">
        <v>44060</v>
      </c>
      <c r="C14804" t="s">
        <v>44060</v>
      </c>
      <c r="D14804" t="str">
        <f t="shared" si="10"/>
        <v>https://zfin.org/</v>
      </c>
    </row>
    <row r="14805" spans="1:5" x14ac:dyDescent="0.2">
      <c r="A14805" t="s">
        <v>44061</v>
      </c>
      <c r="B14805" t="s">
        <v>44062</v>
      </c>
      <c r="C14805" t="s">
        <v>44062</v>
      </c>
      <c r="D14805" t="str">
        <f>HYPERLINK("https://zfin.org/ZDB-GENE-061103-349")</f>
        <v>https://zfin.org/ZDB-GENE-061103-349</v>
      </c>
      <c r="E14805" t="s">
        <v>44063</v>
      </c>
    </row>
    <row r="14806" spans="1:5" x14ac:dyDescent="0.2">
      <c r="A14806" t="s">
        <v>44064</v>
      </c>
      <c r="B14806" t="s">
        <v>44065</v>
      </c>
      <c r="C14806" t="s">
        <v>44065</v>
      </c>
      <c r="D14806" t="str">
        <f>HYPERLINK("https://zfin.org/ZDB-GENE-030131-8681")</f>
        <v>https://zfin.org/ZDB-GENE-030131-8681</v>
      </c>
      <c r="E14806" t="s">
        <v>44066</v>
      </c>
    </row>
    <row r="14807" spans="1:5" x14ac:dyDescent="0.2">
      <c r="A14807" t="s">
        <v>44067</v>
      </c>
      <c r="B14807" t="s">
        <v>44068</v>
      </c>
      <c r="C14807" t="s">
        <v>44068</v>
      </c>
      <c r="D14807" t="str">
        <f>HYPERLINK("https://zfin.org/")</f>
        <v>https://zfin.org/</v>
      </c>
    </row>
    <row r="14808" spans="1:5" x14ac:dyDescent="0.2">
      <c r="A14808" t="s">
        <v>44069</v>
      </c>
      <c r="B14808" t="s">
        <v>44070</v>
      </c>
      <c r="C14808" t="s">
        <v>44070</v>
      </c>
      <c r="D14808" t="str">
        <f>HYPERLINK("https://zfin.org/ZDB-GENE-080902-1")</f>
        <v>https://zfin.org/ZDB-GENE-080902-1</v>
      </c>
      <c r="E14808" t="s">
        <v>44071</v>
      </c>
    </row>
    <row r="14809" spans="1:5" x14ac:dyDescent="0.2">
      <c r="A14809" t="s">
        <v>44072</v>
      </c>
      <c r="B14809" t="s">
        <v>44073</v>
      </c>
      <c r="C14809" t="s">
        <v>44073</v>
      </c>
      <c r="D14809" t="str">
        <f>HYPERLINK("https://zfin.org/ZDB-GENE-060825-128")</f>
        <v>https://zfin.org/ZDB-GENE-060825-128</v>
      </c>
      <c r="E14809" t="s">
        <v>44074</v>
      </c>
    </row>
    <row r="14810" spans="1:5" x14ac:dyDescent="0.2">
      <c r="A14810" t="s">
        <v>44075</v>
      </c>
      <c r="B14810" t="s">
        <v>44076</v>
      </c>
      <c r="C14810" t="s">
        <v>44076</v>
      </c>
      <c r="D14810" t="str">
        <f>HYPERLINK("https://zfin.org/")</f>
        <v>https://zfin.org/</v>
      </c>
      <c r="E14810" t="s">
        <v>44077</v>
      </c>
    </row>
    <row r="14811" spans="1:5" x14ac:dyDescent="0.2">
      <c r="A14811" t="s">
        <v>44078</v>
      </c>
      <c r="B14811" t="s">
        <v>44079</v>
      </c>
      <c r="C14811" t="s">
        <v>44079</v>
      </c>
      <c r="D14811" t="str">
        <f>HYPERLINK("https://zfin.org/ZDB-GENE-980526-492")</f>
        <v>https://zfin.org/ZDB-GENE-980526-492</v>
      </c>
      <c r="E14811" t="s">
        <v>44080</v>
      </c>
    </row>
    <row r="14812" spans="1:5" x14ac:dyDescent="0.2">
      <c r="A14812" t="s">
        <v>44081</v>
      </c>
      <c r="B14812" t="s">
        <v>44082</v>
      </c>
      <c r="C14812" t="s">
        <v>44082</v>
      </c>
      <c r="D14812" t="str">
        <f>HYPERLINK("https://zfin.org/ZDB-GENE-050518-2")</f>
        <v>https://zfin.org/ZDB-GENE-050518-2</v>
      </c>
      <c r="E14812" t="s">
        <v>44083</v>
      </c>
    </row>
    <row r="14813" spans="1:5" x14ac:dyDescent="0.2">
      <c r="A14813" t="s">
        <v>44084</v>
      </c>
      <c r="B14813" t="s">
        <v>44085</v>
      </c>
      <c r="C14813" t="s">
        <v>44085</v>
      </c>
      <c r="D14813" t="str">
        <f>HYPERLINK("https://zfin.org/ZDB-GENE-060328-2")</f>
        <v>https://zfin.org/ZDB-GENE-060328-2</v>
      </c>
      <c r="E14813" t="s">
        <v>44086</v>
      </c>
    </row>
    <row r="14814" spans="1:5" x14ac:dyDescent="0.2">
      <c r="A14814" t="s">
        <v>44087</v>
      </c>
      <c r="B14814" t="s">
        <v>44088</v>
      </c>
      <c r="C14814" t="s">
        <v>44088</v>
      </c>
      <c r="D14814" t="str">
        <f>HYPERLINK("https://zfin.org/ZDB-GENE-040426-1050")</f>
        <v>https://zfin.org/ZDB-GENE-040426-1050</v>
      </c>
      <c r="E14814" t="s">
        <v>44089</v>
      </c>
    </row>
    <row r="14815" spans="1:5" x14ac:dyDescent="0.2">
      <c r="A14815" t="s">
        <v>44090</v>
      </c>
      <c r="B14815" t="s">
        <v>44091</v>
      </c>
      <c r="C14815" t="s">
        <v>44091</v>
      </c>
      <c r="D14815" t="str">
        <f>HYPERLINK("https://zfin.org/ZDB-GENE-040426-2490")</f>
        <v>https://zfin.org/ZDB-GENE-040426-2490</v>
      </c>
      <c r="E14815" t="s">
        <v>44092</v>
      </c>
    </row>
    <row r="14816" spans="1:5" x14ac:dyDescent="0.2">
      <c r="A14816" t="s">
        <v>44093</v>
      </c>
      <c r="B14816" t="s">
        <v>44094</v>
      </c>
      <c r="C14816" t="s">
        <v>44095</v>
      </c>
      <c r="D14816" t="str">
        <f>HYPERLINK("https://zfin.org/ZDB-GENE-041114-140")</f>
        <v>https://zfin.org/ZDB-GENE-041114-140</v>
      </c>
      <c r="E14816" t="s">
        <v>44096</v>
      </c>
    </row>
    <row r="14817" spans="1:5" x14ac:dyDescent="0.2">
      <c r="A14817" t="s">
        <v>44097</v>
      </c>
      <c r="B14817" t="s">
        <v>44098</v>
      </c>
      <c r="C14817" t="s">
        <v>44098</v>
      </c>
      <c r="D14817" t="str">
        <f>HYPERLINK("https://zfin.org/ZDB-GENE-040724-68")</f>
        <v>https://zfin.org/ZDB-GENE-040724-68</v>
      </c>
      <c r="E14817" t="s">
        <v>44099</v>
      </c>
    </row>
    <row r="14818" spans="1:5" x14ac:dyDescent="0.2">
      <c r="A14818" t="s">
        <v>44100</v>
      </c>
      <c r="B14818" t="s">
        <v>44101</v>
      </c>
      <c r="C14818" t="s">
        <v>44101</v>
      </c>
      <c r="D14818" t="str">
        <f>HYPERLINK("https://zfin.org/")</f>
        <v>https://zfin.org/</v>
      </c>
      <c r="E14818" t="s">
        <v>44102</v>
      </c>
    </row>
    <row r="14819" spans="1:5" x14ac:dyDescent="0.2">
      <c r="A14819" t="s">
        <v>44103</v>
      </c>
      <c r="B14819" t="s">
        <v>44104</v>
      </c>
      <c r="C14819" t="s">
        <v>44104</v>
      </c>
      <c r="D14819" t="str">
        <f>HYPERLINK("https://zfin.org/ZDB-GENE-030131-2847")</f>
        <v>https://zfin.org/ZDB-GENE-030131-2847</v>
      </c>
      <c r="E14819" t="s">
        <v>44105</v>
      </c>
    </row>
    <row r="14820" spans="1:5" x14ac:dyDescent="0.2">
      <c r="A14820" t="s">
        <v>44106</v>
      </c>
      <c r="B14820" t="s">
        <v>44107</v>
      </c>
      <c r="C14820" t="s">
        <v>44107</v>
      </c>
      <c r="D14820" t="str">
        <f>HYPERLINK("https://zfin.org/ZDB-GENE-030131-4408")</f>
        <v>https://zfin.org/ZDB-GENE-030131-4408</v>
      </c>
      <c r="E14820" t="s">
        <v>44108</v>
      </c>
    </row>
    <row r="14821" spans="1:5" x14ac:dyDescent="0.2">
      <c r="A14821" t="s">
        <v>44109</v>
      </c>
      <c r="B14821" t="s">
        <v>44110</v>
      </c>
      <c r="C14821" t="s">
        <v>44110</v>
      </c>
      <c r="D14821" t="str">
        <f>HYPERLINK("https://zfin.org/")</f>
        <v>https://zfin.org/</v>
      </c>
    </row>
    <row r="14822" spans="1:5" x14ac:dyDescent="0.2">
      <c r="A14822" t="s">
        <v>44111</v>
      </c>
      <c r="B14822" t="s">
        <v>44112</v>
      </c>
      <c r="C14822" t="s">
        <v>44112</v>
      </c>
      <c r="D14822" t="str">
        <f>HYPERLINK("https://zfin.org/")</f>
        <v>https://zfin.org/</v>
      </c>
      <c r="E14822" t="s">
        <v>44113</v>
      </c>
    </row>
    <row r="14823" spans="1:5" x14ac:dyDescent="0.2">
      <c r="A14823" t="s">
        <v>44114</v>
      </c>
      <c r="B14823" t="s">
        <v>35153</v>
      </c>
      <c r="C14823" t="s">
        <v>44115</v>
      </c>
      <c r="D14823" t="str">
        <f>HYPERLINK("https://zfin.org/")</f>
        <v>https://zfin.org/</v>
      </c>
      <c r="E14823" t="s">
        <v>41654</v>
      </c>
    </row>
    <row r="14824" spans="1:5" x14ac:dyDescent="0.2">
      <c r="A14824" t="s">
        <v>44116</v>
      </c>
      <c r="B14824" t="s">
        <v>44117</v>
      </c>
      <c r="C14824" t="s">
        <v>44117</v>
      </c>
      <c r="D14824" t="str">
        <f>HYPERLINK("https://zfin.org/ZDB-GENE-060828-1")</f>
        <v>https://zfin.org/ZDB-GENE-060828-1</v>
      </c>
      <c r="E14824" t="s">
        <v>44118</v>
      </c>
    </row>
    <row r="14825" spans="1:5" x14ac:dyDescent="0.2">
      <c r="A14825" t="s">
        <v>44119</v>
      </c>
      <c r="B14825" t="s">
        <v>44120</v>
      </c>
      <c r="C14825" t="s">
        <v>44120</v>
      </c>
      <c r="D14825" t="str">
        <f>HYPERLINK("https://zfin.org/")</f>
        <v>https://zfin.org/</v>
      </c>
      <c r="E14825" t="s">
        <v>44121</v>
      </c>
    </row>
    <row r="14826" spans="1:5" x14ac:dyDescent="0.2">
      <c r="A14826" t="s">
        <v>44122</v>
      </c>
      <c r="B14826" t="s">
        <v>44123</v>
      </c>
      <c r="C14826" t="s">
        <v>44123</v>
      </c>
      <c r="D14826" t="str">
        <f>HYPERLINK("https://zfin.org/ZDB-GENE-060929-388")</f>
        <v>https://zfin.org/ZDB-GENE-060929-388</v>
      </c>
      <c r="E14826" t="s">
        <v>44124</v>
      </c>
    </row>
    <row r="14827" spans="1:5" x14ac:dyDescent="0.2">
      <c r="A14827" t="s">
        <v>44125</v>
      </c>
      <c r="B14827" t="s">
        <v>44126</v>
      </c>
      <c r="C14827" t="s">
        <v>44126</v>
      </c>
      <c r="D14827" t="str">
        <f>HYPERLINK("https://zfin.org/ZDB-GENE-030131-3141")</f>
        <v>https://zfin.org/ZDB-GENE-030131-3141</v>
      </c>
      <c r="E14827" t="s">
        <v>44127</v>
      </c>
    </row>
    <row r="14828" spans="1:5" x14ac:dyDescent="0.2">
      <c r="A14828" t="s">
        <v>44128</v>
      </c>
      <c r="B14828" t="s">
        <v>44129</v>
      </c>
      <c r="C14828" t="s">
        <v>44129</v>
      </c>
      <c r="D14828" t="str">
        <f>HYPERLINK("https://zfin.org/")</f>
        <v>https://zfin.org/</v>
      </c>
      <c r="E14828" t="s">
        <v>44130</v>
      </c>
    </row>
    <row r="14829" spans="1:5" x14ac:dyDescent="0.2">
      <c r="A14829" t="s">
        <v>44131</v>
      </c>
      <c r="B14829" t="s">
        <v>44132</v>
      </c>
      <c r="C14829" t="s">
        <v>44132</v>
      </c>
      <c r="D14829" t="str">
        <f>HYPERLINK("https://zfin.org/")</f>
        <v>https://zfin.org/</v>
      </c>
    </row>
    <row r="14830" spans="1:5" x14ac:dyDescent="0.2">
      <c r="A14830" t="s">
        <v>44133</v>
      </c>
      <c r="B14830" t="s">
        <v>44134</v>
      </c>
      <c r="C14830" t="s">
        <v>44134</v>
      </c>
      <c r="D14830" t="str">
        <f>HYPERLINK("https://zfin.org/ZDB-GENE-040426-2919")</f>
        <v>https://zfin.org/ZDB-GENE-040426-2919</v>
      </c>
      <c r="E14830" t="s">
        <v>44135</v>
      </c>
    </row>
    <row r="14831" spans="1:5" x14ac:dyDescent="0.2">
      <c r="A14831" t="s">
        <v>44136</v>
      </c>
      <c r="B14831" t="s">
        <v>44137</v>
      </c>
      <c r="C14831" t="s">
        <v>44137</v>
      </c>
      <c r="D14831" t="str">
        <f>HYPERLINK("https://zfin.org/")</f>
        <v>https://zfin.org/</v>
      </c>
    </row>
    <row r="14832" spans="1:5" x14ac:dyDescent="0.2">
      <c r="A14832" t="s">
        <v>44138</v>
      </c>
      <c r="B14832" t="s">
        <v>44139</v>
      </c>
      <c r="C14832" t="s">
        <v>44139</v>
      </c>
      <c r="D14832" t="str">
        <f>HYPERLINK("https://zfin.org/")</f>
        <v>https://zfin.org/</v>
      </c>
    </row>
    <row r="14833" spans="1:5" x14ac:dyDescent="0.2">
      <c r="A14833" t="s">
        <v>44140</v>
      </c>
      <c r="B14833" t="s">
        <v>44141</v>
      </c>
      <c r="C14833" t="s">
        <v>44141</v>
      </c>
      <c r="D14833" t="str">
        <f>HYPERLINK("https://zfin.org/")</f>
        <v>https://zfin.org/</v>
      </c>
    </row>
    <row r="14834" spans="1:5" x14ac:dyDescent="0.2">
      <c r="A14834" t="s">
        <v>44142</v>
      </c>
      <c r="B14834" t="s">
        <v>44143</v>
      </c>
      <c r="C14834" t="s">
        <v>44143</v>
      </c>
      <c r="D14834" t="str">
        <f>HYPERLINK("https://zfin.org/")</f>
        <v>https://zfin.org/</v>
      </c>
      <c r="E14834" t="s">
        <v>44144</v>
      </c>
    </row>
    <row r="14835" spans="1:5" x14ac:dyDescent="0.2">
      <c r="A14835" t="s">
        <v>44145</v>
      </c>
      <c r="B14835" t="s">
        <v>44146</v>
      </c>
      <c r="C14835" t="s">
        <v>44147</v>
      </c>
      <c r="D14835" t="str">
        <f>HYPERLINK("https://zfin.org/ZDB-GENE-060929-36")</f>
        <v>https://zfin.org/ZDB-GENE-060929-36</v>
      </c>
      <c r="E14835" t="s">
        <v>44148</v>
      </c>
    </row>
    <row r="14836" spans="1:5" x14ac:dyDescent="0.2">
      <c r="A14836" t="s">
        <v>44149</v>
      </c>
      <c r="B14836" t="s">
        <v>44150</v>
      </c>
      <c r="C14836" t="s">
        <v>44150</v>
      </c>
      <c r="D14836" t="str">
        <f>HYPERLINK("https://zfin.org/")</f>
        <v>https://zfin.org/</v>
      </c>
    </row>
    <row r="14837" spans="1:5" x14ac:dyDescent="0.2">
      <c r="A14837" t="s">
        <v>44151</v>
      </c>
      <c r="B14837" t="s">
        <v>44152</v>
      </c>
      <c r="C14837" t="s">
        <v>44152</v>
      </c>
      <c r="D14837" t="str">
        <f>HYPERLINK("https://zfin.org/")</f>
        <v>https://zfin.org/</v>
      </c>
    </row>
    <row r="14838" spans="1:5" x14ac:dyDescent="0.2">
      <c r="A14838" t="s">
        <v>44153</v>
      </c>
      <c r="B14838" t="s">
        <v>44154</v>
      </c>
      <c r="C14838" t="s">
        <v>44154</v>
      </c>
      <c r="D14838" t="str">
        <f>HYPERLINK("https://zfin.org/")</f>
        <v>https://zfin.org/</v>
      </c>
    </row>
    <row r="14839" spans="1:5" x14ac:dyDescent="0.2">
      <c r="A14839" t="s">
        <v>44155</v>
      </c>
      <c r="B14839" t="s">
        <v>44156</v>
      </c>
      <c r="C14839" t="s">
        <v>44156</v>
      </c>
      <c r="D14839" t="str">
        <f>HYPERLINK("https://zfin.org/ZDB-GENE-041212-11")</f>
        <v>https://zfin.org/ZDB-GENE-041212-11</v>
      </c>
      <c r="E14839" t="s">
        <v>44157</v>
      </c>
    </row>
    <row r="14840" spans="1:5" x14ac:dyDescent="0.2">
      <c r="A14840" t="s">
        <v>44158</v>
      </c>
      <c r="B14840" t="s">
        <v>44159</v>
      </c>
      <c r="C14840" t="s">
        <v>44159</v>
      </c>
      <c r="D14840" t="str">
        <f>HYPERLINK("https://zfin.org/ZDB-GENE-080220-62")</f>
        <v>https://zfin.org/ZDB-GENE-080220-62</v>
      </c>
      <c r="E14840" t="s">
        <v>44160</v>
      </c>
    </row>
    <row r="14841" spans="1:5" x14ac:dyDescent="0.2">
      <c r="A14841" t="s">
        <v>44161</v>
      </c>
      <c r="B14841" t="s">
        <v>44162</v>
      </c>
      <c r="C14841" t="s">
        <v>44162</v>
      </c>
      <c r="D14841" t="str">
        <f>HYPERLINK("https://zfin.org/")</f>
        <v>https://zfin.org/</v>
      </c>
      <c r="E14841" t="s">
        <v>44163</v>
      </c>
    </row>
    <row r="14842" spans="1:5" x14ac:dyDescent="0.2">
      <c r="A14842" t="s">
        <v>44164</v>
      </c>
      <c r="B14842" t="s">
        <v>44165</v>
      </c>
      <c r="C14842" t="s">
        <v>44165</v>
      </c>
      <c r="D14842" t="str">
        <f>HYPERLINK("https://zfin.org/")</f>
        <v>https://zfin.org/</v>
      </c>
    </row>
    <row r="14843" spans="1:5" x14ac:dyDescent="0.2">
      <c r="A14843" t="s">
        <v>44166</v>
      </c>
      <c r="B14843" t="s">
        <v>44167</v>
      </c>
      <c r="C14843" t="s">
        <v>44167</v>
      </c>
      <c r="D14843" t="str">
        <f>HYPERLINK("https://zfin.org/ZDB-GENE-030131-9544")</f>
        <v>https://zfin.org/ZDB-GENE-030131-9544</v>
      </c>
      <c r="E14843" t="s">
        <v>44168</v>
      </c>
    </row>
    <row r="14844" spans="1:5" x14ac:dyDescent="0.2">
      <c r="A14844" t="s">
        <v>44169</v>
      </c>
      <c r="B14844" t="s">
        <v>44170</v>
      </c>
      <c r="C14844" t="s">
        <v>44170</v>
      </c>
      <c r="D14844" t="str">
        <f>HYPERLINK("https://zfin.org/")</f>
        <v>https://zfin.org/</v>
      </c>
      <c r="E14844" t="s">
        <v>44171</v>
      </c>
    </row>
    <row r="14845" spans="1:5" x14ac:dyDescent="0.2">
      <c r="A14845" t="s">
        <v>44172</v>
      </c>
      <c r="B14845" t="s">
        <v>42512</v>
      </c>
      <c r="C14845" t="s">
        <v>44173</v>
      </c>
      <c r="D14845" t="str">
        <f>HYPERLINK("https://zfin.org/")</f>
        <v>https://zfin.org/</v>
      </c>
      <c r="E14845" t="s">
        <v>42513</v>
      </c>
    </row>
    <row r="14846" spans="1:5" x14ac:dyDescent="0.2">
      <c r="A14846" t="s">
        <v>44174</v>
      </c>
      <c r="B14846" t="s">
        <v>44175</v>
      </c>
      <c r="C14846" t="s">
        <v>44175</v>
      </c>
      <c r="D14846" t="str">
        <f>HYPERLINK("https://zfin.org/ZDB-GENE-030131-2341")</f>
        <v>https://zfin.org/ZDB-GENE-030131-2341</v>
      </c>
      <c r="E14846" t="s">
        <v>44176</v>
      </c>
    </row>
    <row r="14847" spans="1:5" x14ac:dyDescent="0.2">
      <c r="A14847" t="s">
        <v>44177</v>
      </c>
      <c r="B14847" t="s">
        <v>44178</v>
      </c>
      <c r="C14847" t="s">
        <v>44178</v>
      </c>
      <c r="D14847" t="str">
        <f>HYPERLINK("https://zfin.org/ZDB-GENE-080218-11")</f>
        <v>https://zfin.org/ZDB-GENE-080218-11</v>
      </c>
      <c r="E14847" t="s">
        <v>44179</v>
      </c>
    </row>
    <row r="14848" spans="1:5" x14ac:dyDescent="0.2">
      <c r="A14848" t="s">
        <v>44180</v>
      </c>
      <c r="B14848" t="s">
        <v>44181</v>
      </c>
      <c r="C14848" t="s">
        <v>44181</v>
      </c>
      <c r="D14848" t="str">
        <f>HYPERLINK("https://zfin.org/ZDB-GENE-030131-6972")</f>
        <v>https://zfin.org/ZDB-GENE-030131-6972</v>
      </c>
      <c r="E14848" t="s">
        <v>44182</v>
      </c>
    </row>
    <row r="14849" spans="1:5" x14ac:dyDescent="0.2">
      <c r="A14849" t="s">
        <v>44183</v>
      </c>
      <c r="B14849" t="s">
        <v>1505</v>
      </c>
      <c r="C14849" t="s">
        <v>44184</v>
      </c>
      <c r="D14849" t="str">
        <f>HYPERLINK("https://zfin.org/ZDB-GENE-040513-7")</f>
        <v>https://zfin.org/ZDB-GENE-040513-7</v>
      </c>
      <c r="E14849" t="s">
        <v>1506</v>
      </c>
    </row>
    <row r="14850" spans="1:5" x14ac:dyDescent="0.2">
      <c r="A14850" t="s">
        <v>44185</v>
      </c>
      <c r="B14850" t="s">
        <v>44186</v>
      </c>
      <c r="C14850" t="s">
        <v>44186</v>
      </c>
      <c r="D14850" t="str">
        <f>HYPERLINK("https://zfin.org/ZDB-GENE-070410-102")</f>
        <v>https://zfin.org/ZDB-GENE-070410-102</v>
      </c>
      <c r="E14850" t="s">
        <v>44187</v>
      </c>
    </row>
    <row r="14851" spans="1:5" x14ac:dyDescent="0.2">
      <c r="A14851" t="s">
        <v>44188</v>
      </c>
      <c r="B14851" t="s">
        <v>44189</v>
      </c>
      <c r="C14851" t="s">
        <v>44189</v>
      </c>
      <c r="D14851" t="str">
        <f>HYPERLINK("https://zfin.org/ZDB-GENE-010501-5")</f>
        <v>https://zfin.org/ZDB-GENE-010501-5</v>
      </c>
      <c r="E14851" t="s">
        <v>44190</v>
      </c>
    </row>
    <row r="14852" spans="1:5" x14ac:dyDescent="0.2">
      <c r="A14852" t="s">
        <v>44191</v>
      </c>
      <c r="B14852" t="s">
        <v>44192</v>
      </c>
      <c r="C14852" t="s">
        <v>44192</v>
      </c>
      <c r="D14852" t="str">
        <f t="shared" ref="D14852:D14857" si="11">HYPERLINK("https://zfin.org/")</f>
        <v>https://zfin.org/</v>
      </c>
    </row>
    <row r="14853" spans="1:5" x14ac:dyDescent="0.2">
      <c r="A14853" t="s">
        <v>44193</v>
      </c>
      <c r="B14853" t="s">
        <v>44194</v>
      </c>
      <c r="C14853" t="s">
        <v>44194</v>
      </c>
      <c r="D14853" t="str">
        <f t="shared" si="11"/>
        <v>https://zfin.org/</v>
      </c>
      <c r="E14853" t="s">
        <v>44195</v>
      </c>
    </row>
    <row r="14854" spans="1:5" x14ac:dyDescent="0.2">
      <c r="A14854" t="s">
        <v>44196</v>
      </c>
      <c r="B14854" t="s">
        <v>44197</v>
      </c>
      <c r="C14854" t="s">
        <v>44197</v>
      </c>
      <c r="D14854" t="str">
        <f t="shared" si="11"/>
        <v>https://zfin.org/</v>
      </c>
      <c r="E14854" t="s">
        <v>44198</v>
      </c>
    </row>
    <row r="14855" spans="1:5" x14ac:dyDescent="0.2">
      <c r="A14855" t="s">
        <v>44199</v>
      </c>
      <c r="B14855" t="s">
        <v>44200</v>
      </c>
      <c r="C14855" t="s">
        <v>44200</v>
      </c>
      <c r="D14855" t="str">
        <f t="shared" si="11"/>
        <v>https://zfin.org/</v>
      </c>
    </row>
    <row r="14856" spans="1:5" x14ac:dyDescent="0.2">
      <c r="A14856" t="s">
        <v>44201</v>
      </c>
      <c r="B14856" t="s">
        <v>44202</v>
      </c>
      <c r="C14856" t="s">
        <v>44202</v>
      </c>
      <c r="D14856" t="str">
        <f t="shared" si="11"/>
        <v>https://zfin.org/</v>
      </c>
    </row>
    <row r="14857" spans="1:5" x14ac:dyDescent="0.2">
      <c r="A14857" t="s">
        <v>44203</v>
      </c>
      <c r="B14857" t="s">
        <v>44204</v>
      </c>
      <c r="C14857" t="s">
        <v>44204</v>
      </c>
      <c r="D14857" t="str">
        <f t="shared" si="11"/>
        <v>https://zfin.org/</v>
      </c>
    </row>
    <row r="14858" spans="1:5" x14ac:dyDescent="0.2">
      <c r="A14858" t="s">
        <v>44205</v>
      </c>
      <c r="B14858" t="s">
        <v>44206</v>
      </c>
      <c r="C14858" t="s">
        <v>44206</v>
      </c>
      <c r="D14858" t="str">
        <f>HYPERLINK("https://zfin.org/ZDB-GENE-980526-515")</f>
        <v>https://zfin.org/ZDB-GENE-980526-515</v>
      </c>
      <c r="E14858" t="s">
        <v>44207</v>
      </c>
    </row>
    <row r="14859" spans="1:5" x14ac:dyDescent="0.2">
      <c r="A14859" t="s">
        <v>44208</v>
      </c>
      <c r="B14859" t="s">
        <v>44209</v>
      </c>
      <c r="C14859" t="s">
        <v>44209</v>
      </c>
      <c r="D14859" t="str">
        <f>HYPERLINK("https://zfin.org/")</f>
        <v>https://zfin.org/</v>
      </c>
    </row>
    <row r="14860" spans="1:5" x14ac:dyDescent="0.2">
      <c r="A14860" t="s">
        <v>44210</v>
      </c>
      <c r="B14860" t="s">
        <v>467</v>
      </c>
      <c r="C14860" t="s">
        <v>44211</v>
      </c>
      <c r="D14860" t="str">
        <f>HYPERLINK("https://zfin.org/")</f>
        <v>https://zfin.org/</v>
      </c>
      <c r="E14860" t="s">
        <v>44212</v>
      </c>
    </row>
    <row r="14861" spans="1:5" x14ac:dyDescent="0.2">
      <c r="A14861" t="s">
        <v>44213</v>
      </c>
      <c r="B14861" t="s">
        <v>44214</v>
      </c>
      <c r="C14861" t="s">
        <v>44214</v>
      </c>
      <c r="D14861" t="str">
        <f>HYPERLINK("https://zfin.org/")</f>
        <v>https://zfin.org/</v>
      </c>
    </row>
    <row r="14862" spans="1:5" x14ac:dyDescent="0.2">
      <c r="A14862" t="s">
        <v>44215</v>
      </c>
      <c r="B14862" t="s">
        <v>44216</v>
      </c>
      <c r="C14862" t="s">
        <v>44216</v>
      </c>
      <c r="D14862" t="str">
        <f>HYPERLINK("https://zfin.org/")</f>
        <v>https://zfin.org/</v>
      </c>
    </row>
    <row r="14863" spans="1:5" x14ac:dyDescent="0.2">
      <c r="A14863" t="s">
        <v>44217</v>
      </c>
      <c r="B14863" t="s">
        <v>44218</v>
      </c>
      <c r="C14863" t="s">
        <v>44218</v>
      </c>
      <c r="D14863" t="str">
        <f>HYPERLINK("https://zfin.org/ZDB-GENE-030131-5546")</f>
        <v>https://zfin.org/ZDB-GENE-030131-5546</v>
      </c>
      <c r="E14863" t="s">
        <v>44219</v>
      </c>
    </row>
    <row r="14864" spans="1:5" x14ac:dyDescent="0.2">
      <c r="A14864" t="s">
        <v>44220</v>
      </c>
      <c r="B14864" t="s">
        <v>44221</v>
      </c>
      <c r="C14864" t="s">
        <v>44221</v>
      </c>
      <c r="D14864" t="str">
        <f>HYPERLINK("https://zfin.org/")</f>
        <v>https://zfin.org/</v>
      </c>
      <c r="E14864" t="s">
        <v>44222</v>
      </c>
    </row>
    <row r="14865" spans="1:5" x14ac:dyDescent="0.2">
      <c r="A14865" t="s">
        <v>44223</v>
      </c>
      <c r="B14865" t="s">
        <v>44224</v>
      </c>
      <c r="C14865" t="s">
        <v>44224</v>
      </c>
      <c r="D14865" t="str">
        <f>HYPERLINK("https://zfin.org/")</f>
        <v>https://zfin.org/</v>
      </c>
      <c r="E14865" t="s">
        <v>44225</v>
      </c>
    </row>
    <row r="14866" spans="1:5" x14ac:dyDescent="0.2">
      <c r="A14866" t="s">
        <v>44226</v>
      </c>
      <c r="B14866" t="s">
        <v>44227</v>
      </c>
      <c r="C14866" t="s">
        <v>44227</v>
      </c>
      <c r="D14866" t="str">
        <f>HYPERLINK("https://zfin.org/")</f>
        <v>https://zfin.org/</v>
      </c>
      <c r="E14866" t="s">
        <v>44228</v>
      </c>
    </row>
    <row r="14867" spans="1:5" x14ac:dyDescent="0.2">
      <c r="A14867" t="s">
        <v>44229</v>
      </c>
      <c r="B14867" t="s">
        <v>44230</v>
      </c>
      <c r="C14867" t="s">
        <v>44230</v>
      </c>
      <c r="D14867" t="str">
        <f>HYPERLINK("https://zfin.org/")</f>
        <v>https://zfin.org/</v>
      </c>
    </row>
    <row r="14868" spans="1:5" x14ac:dyDescent="0.2">
      <c r="A14868" t="s">
        <v>44231</v>
      </c>
      <c r="B14868" t="s">
        <v>44232</v>
      </c>
      <c r="C14868" t="s">
        <v>44232</v>
      </c>
      <c r="D14868" t="str">
        <f>HYPERLINK("https://zfin.org/ZDB-GENE-031215-1")</f>
        <v>https://zfin.org/ZDB-GENE-031215-1</v>
      </c>
      <c r="E14868" t="s">
        <v>44233</v>
      </c>
    </row>
    <row r="14869" spans="1:5" x14ac:dyDescent="0.2">
      <c r="A14869" t="s">
        <v>44234</v>
      </c>
      <c r="B14869" t="s">
        <v>44235</v>
      </c>
      <c r="C14869" t="s">
        <v>44235</v>
      </c>
      <c r="D14869" t="str">
        <f>HYPERLINK("https://zfin.org/ZDB-GENE-040426-1615")</f>
        <v>https://zfin.org/ZDB-GENE-040426-1615</v>
      </c>
      <c r="E14869" t="s">
        <v>44236</v>
      </c>
    </row>
    <row r="14870" spans="1:5" x14ac:dyDescent="0.2">
      <c r="A14870" t="s">
        <v>44237</v>
      </c>
      <c r="B14870" t="s">
        <v>44238</v>
      </c>
      <c r="C14870" t="s">
        <v>44238</v>
      </c>
      <c r="D14870" t="str">
        <f>HYPERLINK("https://zfin.org/")</f>
        <v>https://zfin.org/</v>
      </c>
    </row>
    <row r="14871" spans="1:5" x14ac:dyDescent="0.2">
      <c r="A14871" t="s">
        <v>44239</v>
      </c>
      <c r="B14871" t="s">
        <v>44240</v>
      </c>
      <c r="C14871" t="s">
        <v>44240</v>
      </c>
      <c r="D14871" t="str">
        <f>HYPERLINK("https://zfin.org/ZDB-GENE-120406-3")</f>
        <v>https://zfin.org/ZDB-GENE-120406-3</v>
      </c>
      <c r="E14871" t="s">
        <v>44241</v>
      </c>
    </row>
    <row r="14872" spans="1:5" x14ac:dyDescent="0.2">
      <c r="A14872" t="s">
        <v>44242</v>
      </c>
      <c r="B14872" t="s">
        <v>44243</v>
      </c>
      <c r="C14872" t="s">
        <v>44243</v>
      </c>
      <c r="D14872" t="str">
        <f>HYPERLINK("https://zfin.org/")</f>
        <v>https://zfin.org/</v>
      </c>
      <c r="E14872" t="s">
        <v>44244</v>
      </c>
    </row>
    <row r="14873" spans="1:5" x14ac:dyDescent="0.2">
      <c r="A14873" t="s">
        <v>44245</v>
      </c>
      <c r="B14873" t="s">
        <v>44246</v>
      </c>
      <c r="C14873" t="s">
        <v>44246</v>
      </c>
      <c r="D14873" t="str">
        <f>HYPERLINK("https://zfin.org/ZDB-GENE-040426-1805")</f>
        <v>https://zfin.org/ZDB-GENE-040426-1805</v>
      </c>
      <c r="E14873" t="s">
        <v>44247</v>
      </c>
    </row>
    <row r="14874" spans="1:5" x14ac:dyDescent="0.2">
      <c r="A14874" t="s">
        <v>44248</v>
      </c>
      <c r="B14874" t="s">
        <v>44249</v>
      </c>
      <c r="C14874" t="s">
        <v>44249</v>
      </c>
      <c r="D14874" t="str">
        <f>HYPERLINK("https://zfin.org/")</f>
        <v>https://zfin.org/</v>
      </c>
    </row>
    <row r="14875" spans="1:5" x14ac:dyDescent="0.2">
      <c r="A14875" t="s">
        <v>44250</v>
      </c>
      <c r="B14875" t="s">
        <v>44251</v>
      </c>
      <c r="C14875" t="s">
        <v>44251</v>
      </c>
      <c r="D14875" t="str">
        <f>HYPERLINK("https://zfin.org/ZDB-GENE-050208-437")</f>
        <v>https://zfin.org/ZDB-GENE-050208-437</v>
      </c>
      <c r="E14875" t="s">
        <v>44252</v>
      </c>
    </row>
    <row r="14876" spans="1:5" x14ac:dyDescent="0.2">
      <c r="A14876" t="s">
        <v>44253</v>
      </c>
      <c r="B14876" t="s">
        <v>44254</v>
      </c>
      <c r="C14876" t="s">
        <v>44254</v>
      </c>
      <c r="D14876" t="str">
        <f>HYPERLINK("https://zfin.org/")</f>
        <v>https://zfin.org/</v>
      </c>
      <c r="E14876" t="s">
        <v>44255</v>
      </c>
    </row>
    <row r="14877" spans="1:5" x14ac:dyDescent="0.2">
      <c r="A14877" t="s">
        <v>44256</v>
      </c>
      <c r="B14877" t="s">
        <v>44257</v>
      </c>
      <c r="C14877" t="s">
        <v>44257</v>
      </c>
      <c r="D14877" t="str">
        <f>HYPERLINK("https://zfin.org/ZDB-GENE-030131-7540")</f>
        <v>https://zfin.org/ZDB-GENE-030131-7540</v>
      </c>
      <c r="E14877" t="s">
        <v>44258</v>
      </c>
    </row>
    <row r="14878" spans="1:5" x14ac:dyDescent="0.2">
      <c r="A14878" t="s">
        <v>44259</v>
      </c>
      <c r="B14878" t="s">
        <v>44260</v>
      </c>
      <c r="C14878" t="s">
        <v>44260</v>
      </c>
      <c r="D14878" t="str">
        <f>HYPERLINK("https://zfin.org/")</f>
        <v>https://zfin.org/</v>
      </c>
      <c r="E14878" t="s">
        <v>44261</v>
      </c>
    </row>
    <row r="14879" spans="1:5" x14ac:dyDescent="0.2">
      <c r="A14879" t="s">
        <v>44262</v>
      </c>
      <c r="B14879" t="s">
        <v>44263</v>
      </c>
      <c r="C14879" t="s">
        <v>44263</v>
      </c>
      <c r="D14879" t="str">
        <f>HYPERLINK("https://zfin.org/")</f>
        <v>https://zfin.org/</v>
      </c>
      <c r="E14879" t="s">
        <v>44264</v>
      </c>
    </row>
    <row r="14880" spans="1:5" x14ac:dyDescent="0.2">
      <c r="A14880" t="s">
        <v>44265</v>
      </c>
      <c r="B14880" t="s">
        <v>44266</v>
      </c>
      <c r="C14880" t="s">
        <v>44266</v>
      </c>
      <c r="D14880" t="str">
        <f>HYPERLINK("https://zfin.org/")</f>
        <v>https://zfin.org/</v>
      </c>
      <c r="E14880" t="s">
        <v>44267</v>
      </c>
    </row>
    <row r="14881" spans="1:5" x14ac:dyDescent="0.2">
      <c r="A14881" t="s">
        <v>44268</v>
      </c>
      <c r="B14881" t="s">
        <v>44269</v>
      </c>
      <c r="C14881" t="s">
        <v>44269</v>
      </c>
      <c r="D14881" t="str">
        <f>HYPERLINK("https://zfin.org/ZDB-GENE-030131-5231")</f>
        <v>https://zfin.org/ZDB-GENE-030131-5231</v>
      </c>
      <c r="E14881" t="s">
        <v>44270</v>
      </c>
    </row>
    <row r="14882" spans="1:5" x14ac:dyDescent="0.2">
      <c r="A14882" t="s">
        <v>44271</v>
      </c>
      <c r="B14882" t="s">
        <v>44272</v>
      </c>
      <c r="C14882" t="s">
        <v>44272</v>
      </c>
      <c r="D14882" t="str">
        <f>HYPERLINK("https://zfin.org/ZDB-GENE-040426-1563")</f>
        <v>https://zfin.org/ZDB-GENE-040426-1563</v>
      </c>
      <c r="E14882" t="s">
        <v>44273</v>
      </c>
    </row>
    <row r="14883" spans="1:5" x14ac:dyDescent="0.2">
      <c r="A14883" t="s">
        <v>44274</v>
      </c>
      <c r="B14883" t="s">
        <v>44275</v>
      </c>
      <c r="C14883" t="s">
        <v>44275</v>
      </c>
      <c r="D14883" t="str">
        <f>HYPERLINK("https://zfin.org/")</f>
        <v>https://zfin.org/</v>
      </c>
      <c r="E14883" t="s">
        <v>44276</v>
      </c>
    </row>
    <row r="14884" spans="1:5" x14ac:dyDescent="0.2">
      <c r="A14884" t="s">
        <v>44277</v>
      </c>
      <c r="B14884" t="s">
        <v>44278</v>
      </c>
      <c r="C14884" t="s">
        <v>44278</v>
      </c>
      <c r="D14884" t="str">
        <f>HYPERLINK("https://zfin.org/ZDB-GENE-050522-479")</f>
        <v>https://zfin.org/ZDB-GENE-050522-479</v>
      </c>
      <c r="E14884" t="s">
        <v>44279</v>
      </c>
    </row>
    <row r="14885" spans="1:5" x14ac:dyDescent="0.2">
      <c r="A14885" t="s">
        <v>44280</v>
      </c>
      <c r="B14885" t="s">
        <v>44281</v>
      </c>
      <c r="C14885" t="s">
        <v>44281</v>
      </c>
      <c r="D14885" t="str">
        <f>HYPERLINK("https://zfin.org/ZDB-GENE-031118-74")</f>
        <v>https://zfin.org/ZDB-GENE-031118-74</v>
      </c>
      <c r="E14885" t="s">
        <v>44282</v>
      </c>
    </row>
    <row r="14886" spans="1:5" x14ac:dyDescent="0.2">
      <c r="A14886" t="s">
        <v>44283</v>
      </c>
      <c r="B14886" t="s">
        <v>44284</v>
      </c>
      <c r="C14886" t="s">
        <v>44284</v>
      </c>
      <c r="D14886" t="str">
        <f>HYPERLINK("https://zfin.org/ZDB-GENE-061215-19")</f>
        <v>https://zfin.org/ZDB-GENE-061215-19</v>
      </c>
      <c r="E14886" t="s">
        <v>44285</v>
      </c>
    </row>
    <row r="14887" spans="1:5" x14ac:dyDescent="0.2">
      <c r="A14887" t="s">
        <v>44286</v>
      </c>
      <c r="B14887" t="s">
        <v>44287</v>
      </c>
      <c r="C14887" t="s">
        <v>44287</v>
      </c>
      <c r="D14887" t="str">
        <f>HYPERLINK("https://zfin.org/ZDB-GENE-070410-7")</f>
        <v>https://zfin.org/ZDB-GENE-070410-7</v>
      </c>
      <c r="E14887" t="s">
        <v>44288</v>
      </c>
    </row>
    <row r="14888" spans="1:5" x14ac:dyDescent="0.2">
      <c r="A14888" t="s">
        <v>44289</v>
      </c>
      <c r="B14888" t="s">
        <v>44290</v>
      </c>
      <c r="C14888" t="s">
        <v>44290</v>
      </c>
      <c r="D14888" t="str">
        <f>HYPERLINK("https://zfin.org/ZDB-GENE-130530-892")</f>
        <v>https://zfin.org/ZDB-GENE-130530-892</v>
      </c>
      <c r="E14888" t="s">
        <v>44291</v>
      </c>
    </row>
    <row r="14889" spans="1:5" x14ac:dyDescent="0.2">
      <c r="A14889" t="s">
        <v>44292</v>
      </c>
      <c r="B14889" t="s">
        <v>44293</v>
      </c>
      <c r="C14889" t="s">
        <v>44293</v>
      </c>
      <c r="D14889" t="str">
        <f>HYPERLINK("https://zfin.org/ZDB-GENE-050417-47")</f>
        <v>https://zfin.org/ZDB-GENE-050417-47</v>
      </c>
      <c r="E14889" t="s">
        <v>44294</v>
      </c>
    </row>
    <row r="14890" spans="1:5" x14ac:dyDescent="0.2">
      <c r="A14890" t="s">
        <v>44295</v>
      </c>
      <c r="B14890" t="s">
        <v>44296</v>
      </c>
      <c r="C14890" t="s">
        <v>44296</v>
      </c>
      <c r="D14890" t="str">
        <f>HYPERLINK("https://zfin.org/")</f>
        <v>https://zfin.org/</v>
      </c>
    </row>
    <row r="14891" spans="1:5" x14ac:dyDescent="0.2">
      <c r="A14891" t="s">
        <v>44297</v>
      </c>
      <c r="B14891" t="s">
        <v>44298</v>
      </c>
      <c r="C14891" t="s">
        <v>44299</v>
      </c>
      <c r="D14891" t="str">
        <f>HYPERLINK("https://zfin.org/")</f>
        <v>https://zfin.org/</v>
      </c>
      <c r="E14891" t="s">
        <v>44300</v>
      </c>
    </row>
    <row r="14892" spans="1:5" x14ac:dyDescent="0.2">
      <c r="A14892" t="s">
        <v>44301</v>
      </c>
      <c r="B14892" t="s">
        <v>44302</v>
      </c>
      <c r="C14892" t="s">
        <v>44302</v>
      </c>
      <c r="D14892" t="str">
        <f>HYPERLINK("https://zfin.org/ZDB-GENE-990415-87")</f>
        <v>https://zfin.org/ZDB-GENE-990415-87</v>
      </c>
      <c r="E14892" t="s">
        <v>44303</v>
      </c>
    </row>
    <row r="14893" spans="1:5" x14ac:dyDescent="0.2">
      <c r="A14893" t="s">
        <v>44304</v>
      </c>
      <c r="B14893" t="s">
        <v>44305</v>
      </c>
      <c r="C14893" t="s">
        <v>44305</v>
      </c>
      <c r="D14893" t="str">
        <f>HYPERLINK("https://zfin.org/ZDB-GENE-030131-5425")</f>
        <v>https://zfin.org/ZDB-GENE-030131-5425</v>
      </c>
      <c r="E14893" t="s">
        <v>44306</v>
      </c>
    </row>
    <row r="14894" spans="1:5" x14ac:dyDescent="0.2">
      <c r="A14894" t="s">
        <v>44307</v>
      </c>
      <c r="B14894" t="s">
        <v>44308</v>
      </c>
      <c r="C14894" t="s">
        <v>44308</v>
      </c>
      <c r="D14894" t="str">
        <f>HYPERLINK("https://zfin.org/")</f>
        <v>https://zfin.org/</v>
      </c>
      <c r="E14894" t="s">
        <v>44309</v>
      </c>
    </row>
    <row r="14895" spans="1:5" x14ac:dyDescent="0.2">
      <c r="A14895" t="s">
        <v>44310</v>
      </c>
      <c r="B14895" t="s">
        <v>44311</v>
      </c>
      <c r="C14895" t="s">
        <v>44311</v>
      </c>
      <c r="D14895" t="str">
        <f>HYPERLINK("https://zfin.org/ZDB-GENE-990415-217")</f>
        <v>https://zfin.org/ZDB-GENE-990415-217</v>
      </c>
      <c r="E14895" t="s">
        <v>44312</v>
      </c>
    </row>
    <row r="14896" spans="1:5" x14ac:dyDescent="0.2">
      <c r="A14896" t="s">
        <v>44313</v>
      </c>
      <c r="B14896" t="s">
        <v>44314</v>
      </c>
      <c r="C14896" t="s">
        <v>44314</v>
      </c>
      <c r="D14896" t="str">
        <f>HYPERLINK("https://zfin.org/ZDB-GENE-021030-2")</f>
        <v>https://zfin.org/ZDB-GENE-021030-2</v>
      </c>
      <c r="E14896" t="s">
        <v>44315</v>
      </c>
    </row>
    <row r="14897" spans="1:5" x14ac:dyDescent="0.2">
      <c r="A14897" t="s">
        <v>44316</v>
      </c>
      <c r="B14897" t="s">
        <v>44317</v>
      </c>
      <c r="C14897" t="s">
        <v>44317</v>
      </c>
      <c r="D14897" t="str">
        <f>HYPERLINK("https://zfin.org/")</f>
        <v>https://zfin.org/</v>
      </c>
    </row>
    <row r="14898" spans="1:5" x14ac:dyDescent="0.2">
      <c r="A14898" t="s">
        <v>44318</v>
      </c>
      <c r="B14898" t="s">
        <v>44319</v>
      </c>
      <c r="C14898" t="s">
        <v>44319</v>
      </c>
      <c r="D14898" t="str">
        <f>HYPERLINK("https://zfin.org/")</f>
        <v>https://zfin.org/</v>
      </c>
    </row>
    <row r="14899" spans="1:5" x14ac:dyDescent="0.2">
      <c r="A14899" t="s">
        <v>44320</v>
      </c>
      <c r="B14899" t="s">
        <v>44321</v>
      </c>
      <c r="C14899" t="s">
        <v>44321</v>
      </c>
      <c r="D14899" t="str">
        <f>HYPERLINK("https://zfin.org/ZDB-GENE-030131-6135")</f>
        <v>https://zfin.org/ZDB-GENE-030131-6135</v>
      </c>
      <c r="E14899" t="s">
        <v>44322</v>
      </c>
    </row>
    <row r="14900" spans="1:5" x14ac:dyDescent="0.2">
      <c r="A14900" t="s">
        <v>44323</v>
      </c>
      <c r="B14900" t="s">
        <v>44324</v>
      </c>
      <c r="C14900" t="s">
        <v>44324</v>
      </c>
      <c r="D14900" t="str">
        <f>HYPERLINK("https://zfin.org/ZDB-GENE-050913-97")</f>
        <v>https://zfin.org/ZDB-GENE-050913-97</v>
      </c>
      <c r="E14900" t="s">
        <v>44325</v>
      </c>
    </row>
    <row r="14901" spans="1:5" x14ac:dyDescent="0.2">
      <c r="A14901" t="s">
        <v>44326</v>
      </c>
      <c r="B14901" t="s">
        <v>44327</v>
      </c>
      <c r="C14901" t="s">
        <v>44327</v>
      </c>
      <c r="D14901" t="str">
        <f>HYPERLINK("https://zfin.org/")</f>
        <v>https://zfin.org/</v>
      </c>
      <c r="E14901" t="s">
        <v>44328</v>
      </c>
    </row>
    <row r="14902" spans="1:5" x14ac:dyDescent="0.2">
      <c r="A14902" t="s">
        <v>44329</v>
      </c>
      <c r="B14902" t="s">
        <v>25957</v>
      </c>
      <c r="C14902" t="s">
        <v>44330</v>
      </c>
      <c r="D14902" t="str">
        <f>HYPERLINK("https://zfin.org/ZDB-GENE-030131-618")</f>
        <v>https://zfin.org/ZDB-GENE-030131-618</v>
      </c>
      <c r="E14902" t="s">
        <v>25958</v>
      </c>
    </row>
    <row r="14903" spans="1:5" x14ac:dyDescent="0.2">
      <c r="A14903" t="s">
        <v>44331</v>
      </c>
      <c r="B14903" t="s">
        <v>44332</v>
      </c>
      <c r="C14903" t="s">
        <v>44332</v>
      </c>
      <c r="D14903" t="str">
        <f>HYPERLINK("https://zfin.org/ZDB-GENE-071125-1")</f>
        <v>https://zfin.org/ZDB-GENE-071125-1</v>
      </c>
      <c r="E14903" t="s">
        <v>44333</v>
      </c>
    </row>
    <row r="14904" spans="1:5" x14ac:dyDescent="0.2">
      <c r="A14904" t="s">
        <v>44334</v>
      </c>
      <c r="B14904" t="s">
        <v>44335</v>
      </c>
      <c r="C14904" t="s">
        <v>44335</v>
      </c>
      <c r="D14904" t="str">
        <f>HYPERLINK("https://zfin.org/ZDB-GENE-040426-894")</f>
        <v>https://zfin.org/ZDB-GENE-040426-894</v>
      </c>
      <c r="E14904" t="s">
        <v>44336</v>
      </c>
    </row>
    <row r="14905" spans="1:5" x14ac:dyDescent="0.2">
      <c r="A14905" t="s">
        <v>44337</v>
      </c>
      <c r="B14905" t="s">
        <v>44338</v>
      </c>
      <c r="C14905" t="s">
        <v>44338</v>
      </c>
      <c r="D14905" t="str">
        <f>HYPERLINK("https://zfin.org/ZDB-GENE-060929-1126")</f>
        <v>https://zfin.org/ZDB-GENE-060929-1126</v>
      </c>
      <c r="E14905" t="s">
        <v>44339</v>
      </c>
    </row>
    <row r="14906" spans="1:5" x14ac:dyDescent="0.2">
      <c r="A14906" t="s">
        <v>44340</v>
      </c>
      <c r="B14906" t="s">
        <v>44341</v>
      </c>
      <c r="C14906" t="s">
        <v>44341</v>
      </c>
      <c r="D14906" t="str">
        <f>HYPERLINK("https://zfin.org/")</f>
        <v>https://zfin.org/</v>
      </c>
      <c r="E14906" t="s">
        <v>44342</v>
      </c>
    </row>
    <row r="14907" spans="1:5" x14ac:dyDescent="0.2">
      <c r="A14907" t="s">
        <v>44343</v>
      </c>
      <c r="B14907" t="s">
        <v>44344</v>
      </c>
      <c r="C14907" t="s">
        <v>44344</v>
      </c>
      <c r="D14907" t="str">
        <f>HYPERLINK("https://zfin.org/ZDB-GENE-040718-450")</f>
        <v>https://zfin.org/ZDB-GENE-040718-450</v>
      </c>
      <c r="E14907" t="s">
        <v>44345</v>
      </c>
    </row>
    <row r="14908" spans="1:5" x14ac:dyDescent="0.2">
      <c r="A14908" t="s">
        <v>44346</v>
      </c>
      <c r="B14908" t="s">
        <v>44347</v>
      </c>
      <c r="C14908" t="s">
        <v>44347</v>
      </c>
      <c r="D14908" t="str">
        <f>HYPERLINK("https://zfin.org/")</f>
        <v>https://zfin.org/</v>
      </c>
      <c r="E14908" t="s">
        <v>44348</v>
      </c>
    </row>
    <row r="14909" spans="1:5" x14ac:dyDescent="0.2">
      <c r="A14909" t="s">
        <v>44349</v>
      </c>
      <c r="B14909" t="s">
        <v>44350</v>
      </c>
      <c r="C14909" t="s">
        <v>44350</v>
      </c>
      <c r="D14909" t="str">
        <f>HYPERLINK("https://zfin.org/")</f>
        <v>https://zfin.org/</v>
      </c>
    </row>
    <row r="14910" spans="1:5" x14ac:dyDescent="0.2">
      <c r="A14910" t="s">
        <v>44351</v>
      </c>
      <c r="B14910" t="s">
        <v>44352</v>
      </c>
      <c r="C14910" t="s">
        <v>44352</v>
      </c>
      <c r="D14910" t="str">
        <f>HYPERLINK("https://zfin.org/ZDB-GENE-040426-1286")</f>
        <v>https://zfin.org/ZDB-GENE-040426-1286</v>
      </c>
      <c r="E14910" t="s">
        <v>44353</v>
      </c>
    </row>
    <row r="14911" spans="1:5" x14ac:dyDescent="0.2">
      <c r="A14911" t="s">
        <v>44354</v>
      </c>
      <c r="B14911" t="s">
        <v>44355</v>
      </c>
      <c r="C14911" t="s">
        <v>44355</v>
      </c>
      <c r="D14911" t="str">
        <f>HYPERLINK("https://zfin.org/")</f>
        <v>https://zfin.org/</v>
      </c>
    </row>
    <row r="14912" spans="1:5" x14ac:dyDescent="0.2">
      <c r="A14912" t="s">
        <v>44356</v>
      </c>
      <c r="B14912" t="s">
        <v>44357</v>
      </c>
      <c r="C14912" t="s">
        <v>44357</v>
      </c>
      <c r="D14912" t="str">
        <f>HYPERLINK("https://zfin.org/")</f>
        <v>https://zfin.org/</v>
      </c>
      <c r="E14912" t="s">
        <v>44358</v>
      </c>
    </row>
    <row r="14913" spans="1:5" x14ac:dyDescent="0.2">
      <c r="A14913" t="s">
        <v>44359</v>
      </c>
      <c r="B14913" t="s">
        <v>44360</v>
      </c>
      <c r="C14913" t="s">
        <v>44360</v>
      </c>
      <c r="D14913" t="str">
        <f>HYPERLINK("https://zfin.org/")</f>
        <v>https://zfin.org/</v>
      </c>
      <c r="E14913" t="s">
        <v>44361</v>
      </c>
    </row>
    <row r="14914" spans="1:5" x14ac:dyDescent="0.2">
      <c r="A14914" t="s">
        <v>44362</v>
      </c>
      <c r="B14914" t="s">
        <v>44363</v>
      </c>
      <c r="C14914" t="s">
        <v>44363</v>
      </c>
      <c r="D14914" t="str">
        <f>HYPERLINK("https://zfin.org/ZDB-GENE-040426-1288")</f>
        <v>https://zfin.org/ZDB-GENE-040426-1288</v>
      </c>
      <c r="E14914" t="s">
        <v>44364</v>
      </c>
    </row>
    <row r="14915" spans="1:5" x14ac:dyDescent="0.2">
      <c r="A14915" t="s">
        <v>44365</v>
      </c>
      <c r="B14915" t="s">
        <v>44366</v>
      </c>
      <c r="C14915" t="s">
        <v>44366</v>
      </c>
      <c r="D14915" t="str">
        <f>HYPERLINK("https://zfin.org/ZDB-GENE-030521-32")</f>
        <v>https://zfin.org/ZDB-GENE-030521-32</v>
      </c>
      <c r="E14915" t="s">
        <v>44367</v>
      </c>
    </row>
    <row r="14916" spans="1:5" x14ac:dyDescent="0.2">
      <c r="A14916" t="s">
        <v>44368</v>
      </c>
      <c r="B14916" t="s">
        <v>44369</v>
      </c>
      <c r="C14916" t="s">
        <v>44369</v>
      </c>
      <c r="D14916" t="str">
        <f>HYPERLINK("https://zfin.org/ZDB-GENE-030131-437")</f>
        <v>https://zfin.org/ZDB-GENE-030131-437</v>
      </c>
      <c r="E14916" t="s">
        <v>44370</v>
      </c>
    </row>
    <row r="14917" spans="1:5" x14ac:dyDescent="0.2">
      <c r="A14917" t="s">
        <v>44371</v>
      </c>
      <c r="B14917" t="s">
        <v>44372</v>
      </c>
      <c r="C14917" t="s">
        <v>44372</v>
      </c>
      <c r="D14917" t="str">
        <f>HYPERLINK("https://zfin.org/")</f>
        <v>https://zfin.org/</v>
      </c>
    </row>
    <row r="14918" spans="1:5" x14ac:dyDescent="0.2">
      <c r="A14918" t="s">
        <v>44373</v>
      </c>
      <c r="B14918" t="s">
        <v>44374</v>
      </c>
      <c r="C14918" t="s">
        <v>44374</v>
      </c>
      <c r="D14918" t="str">
        <f>HYPERLINK("https://zfin.org/ZDB-GENE-120612-3")</f>
        <v>https://zfin.org/ZDB-GENE-120612-3</v>
      </c>
      <c r="E14918" t="s">
        <v>44375</v>
      </c>
    </row>
    <row r="14919" spans="1:5" x14ac:dyDescent="0.2">
      <c r="A14919" t="s">
        <v>44376</v>
      </c>
      <c r="B14919" t="s">
        <v>44377</v>
      </c>
      <c r="C14919" t="s">
        <v>44377</v>
      </c>
      <c r="D14919" t="str">
        <f>HYPERLINK("https://zfin.org/")</f>
        <v>https://zfin.org/</v>
      </c>
    </row>
    <row r="14920" spans="1:5" x14ac:dyDescent="0.2">
      <c r="A14920" t="s">
        <v>44378</v>
      </c>
      <c r="B14920" t="s">
        <v>44379</v>
      </c>
      <c r="C14920" t="s">
        <v>44379</v>
      </c>
      <c r="D14920" t="str">
        <f>HYPERLINK("https://zfin.org/ZDB-GENE-070209-95")</f>
        <v>https://zfin.org/ZDB-GENE-070209-95</v>
      </c>
      <c r="E14920" t="s">
        <v>44380</v>
      </c>
    </row>
    <row r="14921" spans="1:5" x14ac:dyDescent="0.2">
      <c r="A14921" t="s">
        <v>44381</v>
      </c>
      <c r="B14921" t="s">
        <v>44382</v>
      </c>
      <c r="C14921" t="s">
        <v>44382</v>
      </c>
      <c r="D14921" t="str">
        <f>HYPERLINK("https://zfin.org/")</f>
        <v>https://zfin.org/</v>
      </c>
    </row>
    <row r="14922" spans="1:5" x14ac:dyDescent="0.2">
      <c r="A14922" t="s">
        <v>44383</v>
      </c>
      <c r="B14922" t="s">
        <v>44384</v>
      </c>
      <c r="C14922" t="s">
        <v>44384</v>
      </c>
      <c r="D14922" t="str">
        <f>HYPERLINK("https://zfin.org/")</f>
        <v>https://zfin.org/</v>
      </c>
      <c r="E14922" t="s">
        <v>44385</v>
      </c>
    </row>
    <row r="14923" spans="1:5" x14ac:dyDescent="0.2">
      <c r="A14923" t="s">
        <v>44386</v>
      </c>
      <c r="B14923" t="s">
        <v>44387</v>
      </c>
      <c r="C14923" t="s">
        <v>44387</v>
      </c>
      <c r="D14923" t="str">
        <f>HYPERLINK("https://zfin.org/ZDB-GENE-050327-82")</f>
        <v>https://zfin.org/ZDB-GENE-050327-82</v>
      </c>
      <c r="E14923" t="s">
        <v>44388</v>
      </c>
    </row>
    <row r="14924" spans="1:5" x14ac:dyDescent="0.2">
      <c r="A14924" t="s">
        <v>44389</v>
      </c>
      <c r="B14924" t="s">
        <v>44390</v>
      </c>
      <c r="C14924" t="s">
        <v>44390</v>
      </c>
      <c r="D14924" t="str">
        <f>HYPERLINK("https://zfin.org/ZDB-GENE-070209-53")</f>
        <v>https://zfin.org/ZDB-GENE-070209-53</v>
      </c>
      <c r="E14924" t="s">
        <v>44391</v>
      </c>
    </row>
    <row r="14925" spans="1:5" x14ac:dyDescent="0.2">
      <c r="A14925" t="s">
        <v>44392</v>
      </c>
      <c r="B14925" t="s">
        <v>44393</v>
      </c>
      <c r="C14925" t="s">
        <v>44393</v>
      </c>
      <c r="D14925" t="str">
        <f>HYPERLINK("https://zfin.org/ZDB-GENE-040718-277")</f>
        <v>https://zfin.org/ZDB-GENE-040718-277</v>
      </c>
      <c r="E14925" t="s">
        <v>44394</v>
      </c>
    </row>
    <row r="14926" spans="1:5" x14ac:dyDescent="0.2">
      <c r="A14926" t="s">
        <v>44395</v>
      </c>
      <c r="B14926" t="s">
        <v>44396</v>
      </c>
      <c r="C14926" t="s">
        <v>44396</v>
      </c>
      <c r="D14926" t="str">
        <f>HYPERLINK("https://zfin.org/")</f>
        <v>https://zfin.org/</v>
      </c>
      <c r="E14926" t="s">
        <v>44397</v>
      </c>
    </row>
    <row r="14927" spans="1:5" x14ac:dyDescent="0.2">
      <c r="A14927" t="s">
        <v>44398</v>
      </c>
      <c r="B14927" t="s">
        <v>44399</v>
      </c>
      <c r="C14927" t="s">
        <v>44399</v>
      </c>
      <c r="D14927" t="str">
        <f>HYPERLINK("https://zfin.org/ZDB-GENE-040822-18")</f>
        <v>https://zfin.org/ZDB-GENE-040822-18</v>
      </c>
      <c r="E14927" t="s">
        <v>44400</v>
      </c>
    </row>
    <row r="14928" spans="1:5" x14ac:dyDescent="0.2">
      <c r="A14928" t="s">
        <v>44401</v>
      </c>
      <c r="B14928" t="s">
        <v>44402</v>
      </c>
      <c r="C14928" t="s">
        <v>44402</v>
      </c>
      <c r="D14928" t="str">
        <f>HYPERLINK("https://zfin.org/ZDB-GENE-081105-47")</f>
        <v>https://zfin.org/ZDB-GENE-081105-47</v>
      </c>
      <c r="E14928" t="s">
        <v>44403</v>
      </c>
    </row>
    <row r="14929" spans="1:5" x14ac:dyDescent="0.2">
      <c r="A14929" t="s">
        <v>44404</v>
      </c>
      <c r="B14929" t="s">
        <v>44405</v>
      </c>
      <c r="C14929" t="s">
        <v>44405</v>
      </c>
      <c r="D14929" t="str">
        <f>HYPERLINK("https://zfin.org/ZDB-GENE-080213-7")</f>
        <v>https://zfin.org/ZDB-GENE-080213-7</v>
      </c>
      <c r="E14929" t="s">
        <v>44406</v>
      </c>
    </row>
    <row r="14930" spans="1:5" x14ac:dyDescent="0.2">
      <c r="A14930" t="s">
        <v>44407</v>
      </c>
      <c r="B14930" t="s">
        <v>44408</v>
      </c>
      <c r="C14930" t="s">
        <v>44408</v>
      </c>
      <c r="D14930" t="str">
        <f>HYPERLINK("https://zfin.org/ZDB-GENE-030616-585")</f>
        <v>https://zfin.org/ZDB-GENE-030616-585</v>
      </c>
      <c r="E14930" t="s">
        <v>44409</v>
      </c>
    </row>
    <row r="14931" spans="1:5" x14ac:dyDescent="0.2">
      <c r="A14931" t="s">
        <v>44410</v>
      </c>
      <c r="B14931" t="s">
        <v>44411</v>
      </c>
      <c r="C14931" t="s">
        <v>44411</v>
      </c>
      <c r="D14931" t="str">
        <f>HYPERLINK("https://zfin.org/ZDB-GENE-061013-159")</f>
        <v>https://zfin.org/ZDB-GENE-061013-159</v>
      </c>
      <c r="E14931" t="s">
        <v>44412</v>
      </c>
    </row>
    <row r="14932" spans="1:5" x14ac:dyDescent="0.2">
      <c r="A14932" t="s">
        <v>44413</v>
      </c>
      <c r="B14932" t="s">
        <v>44414</v>
      </c>
      <c r="C14932" t="s">
        <v>44414</v>
      </c>
      <c r="D14932" t="str">
        <f>HYPERLINK("https://zfin.org/")</f>
        <v>https://zfin.org/</v>
      </c>
    </row>
    <row r="14933" spans="1:5" x14ac:dyDescent="0.2">
      <c r="A14933" t="s">
        <v>44415</v>
      </c>
      <c r="B14933" t="s">
        <v>44416</v>
      </c>
      <c r="C14933" t="s">
        <v>44416</v>
      </c>
      <c r="D14933" t="str">
        <f>HYPERLINK("https://zfin.org/")</f>
        <v>https://zfin.org/</v>
      </c>
      <c r="E14933" t="s">
        <v>44417</v>
      </c>
    </row>
    <row r="14934" spans="1:5" x14ac:dyDescent="0.2">
      <c r="A14934" t="s">
        <v>44418</v>
      </c>
      <c r="B14934" t="s">
        <v>44419</v>
      </c>
      <c r="C14934" t="s">
        <v>44419</v>
      </c>
      <c r="D14934" t="str">
        <f>HYPERLINK("https://zfin.org/ZDB-GENE-130517-1")</f>
        <v>https://zfin.org/ZDB-GENE-130517-1</v>
      </c>
      <c r="E14934" t="s">
        <v>44420</v>
      </c>
    </row>
    <row r="14935" spans="1:5" x14ac:dyDescent="0.2">
      <c r="A14935" t="s">
        <v>44421</v>
      </c>
      <c r="B14935" t="s">
        <v>44422</v>
      </c>
      <c r="C14935" t="s">
        <v>44422</v>
      </c>
      <c r="D14935" t="str">
        <f>HYPERLINK("https://zfin.org/")</f>
        <v>https://zfin.org/</v>
      </c>
    </row>
    <row r="14936" spans="1:5" x14ac:dyDescent="0.2">
      <c r="A14936" t="s">
        <v>44423</v>
      </c>
      <c r="B14936" t="s">
        <v>44424</v>
      </c>
      <c r="C14936" t="s">
        <v>44424</v>
      </c>
      <c r="D14936" t="str">
        <f>HYPERLINK("https://zfin.org/ZDB-GENE-040426-1784")</f>
        <v>https://zfin.org/ZDB-GENE-040426-1784</v>
      </c>
      <c r="E14936" t="s">
        <v>44425</v>
      </c>
    </row>
    <row r="14937" spans="1:5" x14ac:dyDescent="0.2">
      <c r="A14937" t="s">
        <v>44426</v>
      </c>
      <c r="B14937" t="s">
        <v>44427</v>
      </c>
      <c r="C14937" t="s">
        <v>44427</v>
      </c>
      <c r="D14937" t="str">
        <f>HYPERLINK("https://zfin.org/ZDB-GENE-041010-46")</f>
        <v>https://zfin.org/ZDB-GENE-041010-46</v>
      </c>
      <c r="E14937" t="s">
        <v>44428</v>
      </c>
    </row>
    <row r="14938" spans="1:5" x14ac:dyDescent="0.2">
      <c r="A14938" t="s">
        <v>44429</v>
      </c>
      <c r="B14938" t="s">
        <v>44430</v>
      </c>
      <c r="C14938" t="s">
        <v>44430</v>
      </c>
      <c r="D14938" t="str">
        <f>HYPERLINK("https://zfin.org/ZDB-GENE-090609-1")</f>
        <v>https://zfin.org/ZDB-GENE-090609-1</v>
      </c>
      <c r="E14938" t="s">
        <v>44431</v>
      </c>
    </row>
    <row r="14939" spans="1:5" x14ac:dyDescent="0.2">
      <c r="A14939" t="s">
        <v>44432</v>
      </c>
      <c r="B14939" t="s">
        <v>44433</v>
      </c>
      <c r="C14939" t="s">
        <v>44433</v>
      </c>
      <c r="D14939" t="str">
        <f>HYPERLINK("https://zfin.org/")</f>
        <v>https://zfin.org/</v>
      </c>
      <c r="E14939" t="s">
        <v>44434</v>
      </c>
    </row>
    <row r="14940" spans="1:5" x14ac:dyDescent="0.2">
      <c r="A14940" t="s">
        <v>44435</v>
      </c>
      <c r="B14940" t="s">
        <v>44436</v>
      </c>
      <c r="C14940" t="s">
        <v>44436</v>
      </c>
      <c r="D14940" t="str">
        <f>HYPERLINK("https://zfin.org/")</f>
        <v>https://zfin.org/</v>
      </c>
      <c r="E14940" t="s">
        <v>44437</v>
      </c>
    </row>
    <row r="14941" spans="1:5" x14ac:dyDescent="0.2">
      <c r="A14941" t="s">
        <v>44438</v>
      </c>
      <c r="B14941" t="s">
        <v>44439</v>
      </c>
      <c r="C14941" t="s">
        <v>44439</v>
      </c>
      <c r="D14941" t="str">
        <f>HYPERLINK("https://zfin.org/ZDB-GENE-050417-430")</f>
        <v>https://zfin.org/ZDB-GENE-050417-430</v>
      </c>
      <c r="E14941" t="s">
        <v>44440</v>
      </c>
    </row>
    <row r="14942" spans="1:5" x14ac:dyDescent="0.2">
      <c r="A14942" t="s">
        <v>44441</v>
      </c>
      <c r="B14942" t="s">
        <v>44442</v>
      </c>
      <c r="C14942" t="s">
        <v>44442</v>
      </c>
      <c r="D14942" t="str">
        <f>HYPERLINK("https://zfin.org/ZDB-GENE-030131-2855")</f>
        <v>https://zfin.org/ZDB-GENE-030131-2855</v>
      </c>
      <c r="E14942" t="s">
        <v>44443</v>
      </c>
    </row>
    <row r="14943" spans="1:5" x14ac:dyDescent="0.2">
      <c r="A14943" t="s">
        <v>44444</v>
      </c>
      <c r="B14943" t="s">
        <v>44445</v>
      </c>
      <c r="C14943" t="s">
        <v>44445</v>
      </c>
      <c r="D14943" t="str">
        <f>HYPERLINK("https://zfin.org/ZDB-GENE-050320-135")</f>
        <v>https://zfin.org/ZDB-GENE-050320-135</v>
      </c>
      <c r="E14943" t="s">
        <v>44446</v>
      </c>
    </row>
    <row r="14944" spans="1:5" x14ac:dyDescent="0.2">
      <c r="A14944" t="s">
        <v>44447</v>
      </c>
      <c r="B14944" t="s">
        <v>44448</v>
      </c>
      <c r="C14944" t="s">
        <v>44448</v>
      </c>
      <c r="D14944" t="str">
        <f>HYPERLINK("https://zfin.org/")</f>
        <v>https://zfin.org/</v>
      </c>
    </row>
    <row r="14945" spans="1:5" x14ac:dyDescent="0.2">
      <c r="A14945" t="s">
        <v>44449</v>
      </c>
      <c r="B14945" t="s">
        <v>44450</v>
      </c>
      <c r="C14945" t="s">
        <v>44450</v>
      </c>
      <c r="D14945" t="str">
        <f>HYPERLINK("https://zfin.org/ZDB-GENE-040426-1770")</f>
        <v>https://zfin.org/ZDB-GENE-040426-1770</v>
      </c>
      <c r="E14945" t="s">
        <v>44451</v>
      </c>
    </row>
    <row r="14946" spans="1:5" x14ac:dyDescent="0.2">
      <c r="A14946" t="s">
        <v>44452</v>
      </c>
      <c r="B14946" t="s">
        <v>44453</v>
      </c>
      <c r="C14946" t="s">
        <v>44453</v>
      </c>
      <c r="D14946" t="str">
        <f>HYPERLINK("https://zfin.org/ZDB-GENE-040808-62")</f>
        <v>https://zfin.org/ZDB-GENE-040808-62</v>
      </c>
      <c r="E14946" t="s">
        <v>44454</v>
      </c>
    </row>
    <row r="14947" spans="1:5" x14ac:dyDescent="0.2">
      <c r="A14947" t="s">
        <v>44455</v>
      </c>
      <c r="B14947" t="s">
        <v>44456</v>
      </c>
      <c r="C14947" t="s">
        <v>44456</v>
      </c>
      <c r="D14947" t="str">
        <f>HYPERLINK("https://zfin.org/ZDB-GENE-040625-95")</f>
        <v>https://zfin.org/ZDB-GENE-040625-95</v>
      </c>
      <c r="E14947" t="s">
        <v>44457</v>
      </c>
    </row>
    <row r="14948" spans="1:5" x14ac:dyDescent="0.2">
      <c r="A14948" t="s">
        <v>44458</v>
      </c>
      <c r="B14948" t="s">
        <v>44405</v>
      </c>
      <c r="C14948" t="s">
        <v>44459</v>
      </c>
      <c r="D14948" t="str">
        <f>HYPERLINK("https://zfin.org/ZDB-GENE-080213-7")</f>
        <v>https://zfin.org/ZDB-GENE-080213-7</v>
      </c>
      <c r="E14948" t="s">
        <v>44406</v>
      </c>
    </row>
    <row r="14949" spans="1:5" x14ac:dyDescent="0.2">
      <c r="A14949" t="s">
        <v>44460</v>
      </c>
      <c r="B14949" t="s">
        <v>44461</v>
      </c>
      <c r="C14949" t="s">
        <v>44461</v>
      </c>
      <c r="D14949" t="str">
        <f>HYPERLINK("https://zfin.org/ZDB-GENE-030131-3932")</f>
        <v>https://zfin.org/ZDB-GENE-030131-3932</v>
      </c>
      <c r="E14949" t="s">
        <v>44462</v>
      </c>
    </row>
    <row r="14950" spans="1:5" x14ac:dyDescent="0.2">
      <c r="A14950" t="s">
        <v>44463</v>
      </c>
      <c r="B14950" t="s">
        <v>44464</v>
      </c>
      <c r="C14950" t="s">
        <v>44464</v>
      </c>
      <c r="D14950" t="str">
        <f>HYPERLINK("https://zfin.org/ZDB-GENE-040426-1139")</f>
        <v>https://zfin.org/ZDB-GENE-040426-1139</v>
      </c>
      <c r="E14950" t="s">
        <v>44465</v>
      </c>
    </row>
    <row r="14951" spans="1:5" x14ac:dyDescent="0.2">
      <c r="A14951" t="s">
        <v>44466</v>
      </c>
      <c r="B14951" t="s">
        <v>44467</v>
      </c>
      <c r="C14951" t="s">
        <v>44467</v>
      </c>
      <c r="D14951" t="str">
        <f>HYPERLINK("https://zfin.org/")</f>
        <v>https://zfin.org/</v>
      </c>
      <c r="E14951" t="s">
        <v>44468</v>
      </c>
    </row>
    <row r="14952" spans="1:5" x14ac:dyDescent="0.2">
      <c r="A14952" t="s">
        <v>44469</v>
      </c>
      <c r="B14952" t="s">
        <v>44470</v>
      </c>
      <c r="C14952" t="s">
        <v>44470</v>
      </c>
      <c r="D14952" t="str">
        <f>HYPERLINK("https://zfin.org/ZDB-GENE-020320-1")</f>
        <v>https://zfin.org/ZDB-GENE-020320-1</v>
      </c>
      <c r="E14952" t="s">
        <v>44471</v>
      </c>
    </row>
    <row r="14953" spans="1:5" x14ac:dyDescent="0.2">
      <c r="A14953" t="s">
        <v>44472</v>
      </c>
      <c r="B14953" t="s">
        <v>44473</v>
      </c>
      <c r="C14953" t="s">
        <v>44473</v>
      </c>
      <c r="D14953" t="str">
        <f>HYPERLINK("https://zfin.org/ZDB-GENE-050306-12")</f>
        <v>https://zfin.org/ZDB-GENE-050306-12</v>
      </c>
      <c r="E14953" t="s">
        <v>44474</v>
      </c>
    </row>
    <row r="14954" spans="1:5" x14ac:dyDescent="0.2">
      <c r="A14954" t="s">
        <v>44475</v>
      </c>
      <c r="B14954" t="s">
        <v>44476</v>
      </c>
      <c r="C14954" t="s">
        <v>44476</v>
      </c>
      <c r="D14954" t="str">
        <f>HYPERLINK("https://zfin.org/")</f>
        <v>https://zfin.org/</v>
      </c>
      <c r="E14954" t="s">
        <v>44477</v>
      </c>
    </row>
    <row r="14955" spans="1:5" x14ac:dyDescent="0.2">
      <c r="A14955" t="s">
        <v>44478</v>
      </c>
      <c r="B14955" t="s">
        <v>44479</v>
      </c>
      <c r="C14955" t="s">
        <v>44479</v>
      </c>
      <c r="D14955" t="str">
        <f>HYPERLINK("https://zfin.org/ZDB-GENE-060929-132")</f>
        <v>https://zfin.org/ZDB-GENE-060929-132</v>
      </c>
      <c r="E14955" t="s">
        <v>44480</v>
      </c>
    </row>
    <row r="14956" spans="1:5" x14ac:dyDescent="0.2">
      <c r="A14956" t="s">
        <v>44481</v>
      </c>
      <c r="B14956" t="s">
        <v>44482</v>
      </c>
      <c r="C14956" t="s">
        <v>44482</v>
      </c>
      <c r="D14956" t="str">
        <f>HYPERLINK("https://zfin.org/ZDB-GENE-080722-3")</f>
        <v>https://zfin.org/ZDB-GENE-080722-3</v>
      </c>
      <c r="E14956" t="s">
        <v>44483</v>
      </c>
    </row>
    <row r="14957" spans="1:5" x14ac:dyDescent="0.2">
      <c r="A14957" t="s">
        <v>44484</v>
      </c>
      <c r="B14957" t="s">
        <v>44485</v>
      </c>
      <c r="C14957" t="s">
        <v>44485</v>
      </c>
      <c r="D14957" t="str">
        <f>HYPERLINK("https://zfin.org/")</f>
        <v>https://zfin.org/</v>
      </c>
    </row>
    <row r="14958" spans="1:5" x14ac:dyDescent="0.2">
      <c r="A14958" t="s">
        <v>44486</v>
      </c>
      <c r="B14958" t="s">
        <v>44487</v>
      </c>
      <c r="C14958" t="s">
        <v>44487</v>
      </c>
      <c r="D14958" t="str">
        <f>HYPERLINK("https://zfin.org/ZDB-GENE-060825-232")</f>
        <v>https://zfin.org/ZDB-GENE-060825-232</v>
      </c>
      <c r="E14958" t="s">
        <v>44488</v>
      </c>
    </row>
    <row r="14959" spans="1:5" x14ac:dyDescent="0.2">
      <c r="A14959" t="s">
        <v>44489</v>
      </c>
      <c r="B14959" t="s">
        <v>44490</v>
      </c>
      <c r="C14959" t="s">
        <v>44490</v>
      </c>
      <c r="D14959" t="str">
        <f>HYPERLINK("https://zfin.org/")</f>
        <v>https://zfin.org/</v>
      </c>
      <c r="E14959" t="s">
        <v>44491</v>
      </c>
    </row>
    <row r="14960" spans="1:5" x14ac:dyDescent="0.2">
      <c r="A14960" t="s">
        <v>44492</v>
      </c>
      <c r="B14960" t="s">
        <v>44493</v>
      </c>
      <c r="C14960" t="s">
        <v>44493</v>
      </c>
      <c r="D14960" t="str">
        <f>HYPERLINK("https://zfin.org/")</f>
        <v>https://zfin.org/</v>
      </c>
      <c r="E14960" t="s">
        <v>44494</v>
      </c>
    </row>
    <row r="14961" spans="1:5" x14ac:dyDescent="0.2">
      <c r="A14961" t="s">
        <v>44495</v>
      </c>
      <c r="B14961" t="s">
        <v>16583</v>
      </c>
      <c r="C14961" t="s">
        <v>44496</v>
      </c>
      <c r="D14961" t="str">
        <f>HYPERLINK("https://zfin.org/ZDB-GENE-040426-1553")</f>
        <v>https://zfin.org/ZDB-GENE-040426-1553</v>
      </c>
      <c r="E14961" t="s">
        <v>16584</v>
      </c>
    </row>
    <row r="14962" spans="1:5" x14ac:dyDescent="0.2">
      <c r="A14962" t="s">
        <v>44497</v>
      </c>
      <c r="B14962" t="s">
        <v>44498</v>
      </c>
      <c r="C14962" t="s">
        <v>44498</v>
      </c>
      <c r="D14962" t="str">
        <f>HYPERLINK("https://zfin.org/ZDB-GENE-040426-1713")</f>
        <v>https://zfin.org/ZDB-GENE-040426-1713</v>
      </c>
      <c r="E14962" t="s">
        <v>44499</v>
      </c>
    </row>
    <row r="14963" spans="1:5" x14ac:dyDescent="0.2">
      <c r="A14963" t="s">
        <v>44500</v>
      </c>
      <c r="B14963" t="s">
        <v>44501</v>
      </c>
      <c r="C14963" t="s">
        <v>44501</v>
      </c>
      <c r="D14963" t="str">
        <f>HYPERLINK("https://zfin.org/")</f>
        <v>https://zfin.org/</v>
      </c>
    </row>
    <row r="14964" spans="1:5" x14ac:dyDescent="0.2">
      <c r="A14964" t="s">
        <v>44502</v>
      </c>
      <c r="B14964" t="s">
        <v>44503</v>
      </c>
      <c r="C14964" t="s">
        <v>44503</v>
      </c>
      <c r="D14964" t="str">
        <f>HYPERLINK("https://zfin.org/ZDB-GENE-041010-138")</f>
        <v>https://zfin.org/ZDB-GENE-041010-138</v>
      </c>
      <c r="E14964" t="s">
        <v>44504</v>
      </c>
    </row>
    <row r="14965" spans="1:5" x14ac:dyDescent="0.2">
      <c r="A14965" t="s">
        <v>44505</v>
      </c>
      <c r="B14965" t="s">
        <v>44506</v>
      </c>
      <c r="C14965" t="s">
        <v>44506</v>
      </c>
      <c r="D14965" t="str">
        <f>HYPERLINK("https://zfin.org/")</f>
        <v>https://zfin.org/</v>
      </c>
      <c r="E14965" t="s">
        <v>44507</v>
      </c>
    </row>
    <row r="14966" spans="1:5" x14ac:dyDescent="0.2">
      <c r="A14966" t="s">
        <v>44508</v>
      </c>
      <c r="B14966" t="s">
        <v>44509</v>
      </c>
      <c r="C14966" t="s">
        <v>44509</v>
      </c>
      <c r="D14966" t="str">
        <f>HYPERLINK("https://zfin.org/")</f>
        <v>https://zfin.org/</v>
      </c>
    </row>
    <row r="14967" spans="1:5" x14ac:dyDescent="0.2">
      <c r="A14967" t="s">
        <v>44510</v>
      </c>
      <c r="B14967" t="s">
        <v>44511</v>
      </c>
      <c r="C14967" t="s">
        <v>44511</v>
      </c>
      <c r="D14967" t="str">
        <f>HYPERLINK("https://zfin.org/")</f>
        <v>https://zfin.org/</v>
      </c>
      <c r="E14967" t="s">
        <v>44512</v>
      </c>
    </row>
    <row r="14968" spans="1:5" x14ac:dyDescent="0.2">
      <c r="A14968" t="s">
        <v>44513</v>
      </c>
      <c r="B14968" t="s">
        <v>44514</v>
      </c>
      <c r="C14968" t="s">
        <v>44514</v>
      </c>
      <c r="D14968" t="str">
        <f>HYPERLINK("https://zfin.org/ZDB-GENE-040426-804")</f>
        <v>https://zfin.org/ZDB-GENE-040426-804</v>
      </c>
      <c r="E14968" t="s">
        <v>44515</v>
      </c>
    </row>
    <row r="14969" spans="1:5" x14ac:dyDescent="0.2">
      <c r="A14969" t="s">
        <v>44516</v>
      </c>
      <c r="B14969" t="s">
        <v>44517</v>
      </c>
      <c r="C14969" t="s">
        <v>44517</v>
      </c>
      <c r="D14969" t="str">
        <f>HYPERLINK("https://zfin.org/")</f>
        <v>https://zfin.org/</v>
      </c>
    </row>
    <row r="14970" spans="1:5" x14ac:dyDescent="0.2">
      <c r="A14970" t="s">
        <v>44518</v>
      </c>
      <c r="B14970" t="s">
        <v>44519</v>
      </c>
      <c r="C14970" t="s">
        <v>44519</v>
      </c>
      <c r="D14970" t="str">
        <f>HYPERLINK("https://zfin.org/ZDB-GENE-070410-108")</f>
        <v>https://zfin.org/ZDB-GENE-070410-108</v>
      </c>
      <c r="E14970" t="s">
        <v>44520</v>
      </c>
    </row>
    <row r="14971" spans="1:5" x14ac:dyDescent="0.2">
      <c r="A14971" t="s">
        <v>44521</v>
      </c>
      <c r="B14971" t="s">
        <v>44522</v>
      </c>
      <c r="C14971" t="s">
        <v>44522</v>
      </c>
      <c r="D14971" t="str">
        <f>HYPERLINK("https://zfin.org/ZDB-GENE-061220-6")</f>
        <v>https://zfin.org/ZDB-GENE-061220-6</v>
      </c>
      <c r="E14971" t="s">
        <v>44523</v>
      </c>
    </row>
    <row r="14972" spans="1:5" x14ac:dyDescent="0.2">
      <c r="A14972" t="s">
        <v>44524</v>
      </c>
      <c r="B14972" t="s">
        <v>44525</v>
      </c>
      <c r="C14972" t="s">
        <v>44525</v>
      </c>
      <c r="D14972" t="str">
        <f>HYPERLINK("https://zfin.org/")</f>
        <v>https://zfin.org/</v>
      </c>
    </row>
    <row r="14973" spans="1:5" x14ac:dyDescent="0.2">
      <c r="A14973" t="s">
        <v>44526</v>
      </c>
      <c r="B14973" t="s">
        <v>44527</v>
      </c>
      <c r="C14973" t="s">
        <v>44527</v>
      </c>
      <c r="D14973" t="str">
        <f>HYPERLINK("https://zfin.org/ZDB-GENE-040426-873")</f>
        <v>https://zfin.org/ZDB-GENE-040426-873</v>
      </c>
      <c r="E14973" t="s">
        <v>44528</v>
      </c>
    </row>
    <row r="14974" spans="1:5" x14ac:dyDescent="0.2">
      <c r="A14974" t="s">
        <v>44529</v>
      </c>
      <c r="B14974" t="s">
        <v>44530</v>
      </c>
      <c r="C14974" t="s">
        <v>44530</v>
      </c>
      <c r="D14974" t="str">
        <f>HYPERLINK("https://zfin.org/")</f>
        <v>https://zfin.org/</v>
      </c>
    </row>
    <row r="14975" spans="1:5" x14ac:dyDescent="0.2">
      <c r="A14975" t="s">
        <v>44531</v>
      </c>
      <c r="B14975" t="s">
        <v>29719</v>
      </c>
      <c r="C14975" t="s">
        <v>44532</v>
      </c>
      <c r="D14975" t="str">
        <f>HYPERLINK("https://zfin.org/ZDB-GENE-081106-1")</f>
        <v>https://zfin.org/ZDB-GENE-081106-1</v>
      </c>
      <c r="E14975" t="s">
        <v>29720</v>
      </c>
    </row>
    <row r="14976" spans="1:5" x14ac:dyDescent="0.2">
      <c r="A14976" t="s">
        <v>44533</v>
      </c>
      <c r="B14976" t="s">
        <v>44534</v>
      </c>
      <c r="C14976" t="s">
        <v>44534</v>
      </c>
      <c r="D14976" t="str">
        <f>HYPERLINK("https://zfin.org/ZDB-GENE-090821-5")</f>
        <v>https://zfin.org/ZDB-GENE-090821-5</v>
      </c>
      <c r="E14976" t="s">
        <v>44535</v>
      </c>
    </row>
    <row r="14977" spans="1:5" x14ac:dyDescent="0.2">
      <c r="A14977" t="s">
        <v>44536</v>
      </c>
      <c r="B14977" t="s">
        <v>44537</v>
      </c>
      <c r="C14977" t="s">
        <v>44537</v>
      </c>
      <c r="D14977" t="str">
        <f>HYPERLINK("https://zfin.org/ZDB-GENE-060512-299")</f>
        <v>https://zfin.org/ZDB-GENE-060512-299</v>
      </c>
      <c r="E14977" t="s">
        <v>44538</v>
      </c>
    </row>
    <row r="14978" spans="1:5" x14ac:dyDescent="0.2">
      <c r="A14978" t="s">
        <v>44539</v>
      </c>
      <c r="B14978" t="s">
        <v>44540</v>
      </c>
      <c r="C14978" t="s">
        <v>44540</v>
      </c>
      <c r="D14978" t="str">
        <f>HYPERLINK("https://zfin.org/")</f>
        <v>https://zfin.org/</v>
      </c>
      <c r="E14978" t="s">
        <v>44541</v>
      </c>
    </row>
    <row r="14979" spans="1:5" x14ac:dyDescent="0.2">
      <c r="A14979" t="s">
        <v>44542</v>
      </c>
      <c r="B14979" t="s">
        <v>44543</v>
      </c>
      <c r="C14979" t="s">
        <v>44543</v>
      </c>
      <c r="D14979" t="str">
        <f>HYPERLINK("https://zfin.org/")</f>
        <v>https://zfin.org/</v>
      </c>
      <c r="E14979" t="s">
        <v>44544</v>
      </c>
    </row>
    <row r="14980" spans="1:5" x14ac:dyDescent="0.2">
      <c r="A14980" t="s">
        <v>44545</v>
      </c>
      <c r="B14980" t="s">
        <v>44546</v>
      </c>
      <c r="C14980" t="s">
        <v>44546</v>
      </c>
      <c r="D14980" t="str">
        <f>HYPERLINK("https://zfin.org/")</f>
        <v>https://zfin.org/</v>
      </c>
    </row>
    <row r="14981" spans="1:5" x14ac:dyDescent="0.2">
      <c r="A14981" t="s">
        <v>44547</v>
      </c>
      <c r="B14981" t="s">
        <v>17849</v>
      </c>
      <c r="C14981" t="s">
        <v>44548</v>
      </c>
      <c r="D14981" t="str">
        <f>HYPERLINK("https://zfin.org/ZDB-GENE-000616-11")</f>
        <v>https://zfin.org/ZDB-GENE-000616-11</v>
      </c>
      <c r="E14981" t="s">
        <v>17850</v>
      </c>
    </row>
    <row r="14982" spans="1:5" x14ac:dyDescent="0.2">
      <c r="A14982" t="s">
        <v>44549</v>
      </c>
      <c r="B14982" t="s">
        <v>44550</v>
      </c>
      <c r="C14982" t="s">
        <v>44550</v>
      </c>
      <c r="D14982" t="str">
        <f>HYPERLINK("https://zfin.org/")</f>
        <v>https://zfin.org/</v>
      </c>
    </row>
    <row r="14983" spans="1:5" x14ac:dyDescent="0.2">
      <c r="A14983" t="s">
        <v>44551</v>
      </c>
      <c r="B14983" t="s">
        <v>44552</v>
      </c>
      <c r="C14983" t="s">
        <v>44552</v>
      </c>
      <c r="D14983" t="str">
        <f>HYPERLINK("https://zfin.org/")</f>
        <v>https://zfin.org/</v>
      </c>
    </row>
    <row r="14984" spans="1:5" x14ac:dyDescent="0.2">
      <c r="A14984" t="s">
        <v>44553</v>
      </c>
      <c r="B14984" t="s">
        <v>44554</v>
      </c>
      <c r="C14984" t="s">
        <v>44554</v>
      </c>
      <c r="D14984" t="str">
        <f>HYPERLINK("https://zfin.org/ZDB-GENE-060421-3623")</f>
        <v>https://zfin.org/ZDB-GENE-060421-3623</v>
      </c>
      <c r="E14984" t="s">
        <v>44555</v>
      </c>
    </row>
    <row r="14985" spans="1:5" x14ac:dyDescent="0.2">
      <c r="A14985" t="s">
        <v>44556</v>
      </c>
      <c r="B14985" t="s">
        <v>44557</v>
      </c>
      <c r="C14985" t="s">
        <v>44557</v>
      </c>
      <c r="D14985" t="str">
        <f>HYPERLINK("https://zfin.org/ZDB-GENE-060421-8162")</f>
        <v>https://zfin.org/ZDB-GENE-060421-8162</v>
      </c>
      <c r="E14985" t="s">
        <v>44558</v>
      </c>
    </row>
    <row r="14986" spans="1:5" x14ac:dyDescent="0.2">
      <c r="A14986" t="s">
        <v>44559</v>
      </c>
      <c r="B14986" t="s">
        <v>44560</v>
      </c>
      <c r="C14986" t="s">
        <v>44560</v>
      </c>
      <c r="D14986" t="str">
        <f>HYPERLINK("https://zfin.org/ZDB-GENE-080722-46")</f>
        <v>https://zfin.org/ZDB-GENE-080722-46</v>
      </c>
      <c r="E14986" t="s">
        <v>44561</v>
      </c>
    </row>
    <row r="14987" spans="1:5" x14ac:dyDescent="0.2">
      <c r="A14987" t="s">
        <v>44562</v>
      </c>
      <c r="B14987" t="s">
        <v>44563</v>
      </c>
      <c r="C14987" t="s">
        <v>44563</v>
      </c>
      <c r="D14987" t="str">
        <f>HYPERLINK("https://zfin.org/")</f>
        <v>https://zfin.org/</v>
      </c>
      <c r="E14987" t="s">
        <v>44564</v>
      </c>
    </row>
    <row r="14988" spans="1:5" x14ac:dyDescent="0.2">
      <c r="A14988" t="s">
        <v>44565</v>
      </c>
      <c r="B14988" t="s">
        <v>44566</v>
      </c>
      <c r="C14988" t="s">
        <v>44566</v>
      </c>
      <c r="D14988" t="str">
        <f>HYPERLINK("https://zfin.org/ZDB-GENE-040426-1934")</f>
        <v>https://zfin.org/ZDB-GENE-040426-1934</v>
      </c>
      <c r="E14988" t="s">
        <v>44567</v>
      </c>
    </row>
    <row r="14989" spans="1:5" x14ac:dyDescent="0.2">
      <c r="A14989" t="s">
        <v>44568</v>
      </c>
      <c r="B14989" t="s">
        <v>44569</v>
      </c>
      <c r="C14989" t="s">
        <v>44569</v>
      </c>
      <c r="D14989" t="str">
        <f>HYPERLINK("https://zfin.org/ZDB-GENE-040426-2698")</f>
        <v>https://zfin.org/ZDB-GENE-040426-2698</v>
      </c>
      <c r="E14989" t="s">
        <v>44570</v>
      </c>
    </row>
    <row r="14990" spans="1:5" x14ac:dyDescent="0.2">
      <c r="A14990" t="s">
        <v>44571</v>
      </c>
      <c r="B14990" t="s">
        <v>44572</v>
      </c>
      <c r="C14990" t="s">
        <v>44572</v>
      </c>
      <c r="D14990" t="str">
        <f>HYPERLINK("https://zfin.org/ZDB-GENE-030131-7568")</f>
        <v>https://zfin.org/ZDB-GENE-030131-7568</v>
      </c>
      <c r="E14990" t="s">
        <v>44573</v>
      </c>
    </row>
    <row r="14991" spans="1:5" x14ac:dyDescent="0.2">
      <c r="A14991" t="s">
        <v>44574</v>
      </c>
      <c r="B14991" t="s">
        <v>44575</v>
      </c>
      <c r="C14991" t="s">
        <v>44575</v>
      </c>
      <c r="D14991" t="str">
        <f>HYPERLINK("https://zfin.org/ZDB-GENE-060929-28")</f>
        <v>https://zfin.org/ZDB-GENE-060929-28</v>
      </c>
      <c r="E14991" t="s">
        <v>44576</v>
      </c>
    </row>
    <row r="14992" spans="1:5" x14ac:dyDescent="0.2">
      <c r="A14992" t="s">
        <v>44577</v>
      </c>
      <c r="B14992" t="s">
        <v>44578</v>
      </c>
      <c r="C14992" t="s">
        <v>44578</v>
      </c>
      <c r="D14992" t="str">
        <f>HYPERLINK("https://zfin.org/ZDB-GENE-080204-63")</f>
        <v>https://zfin.org/ZDB-GENE-080204-63</v>
      </c>
      <c r="E14992" t="s">
        <v>44579</v>
      </c>
    </row>
    <row r="14993" spans="1:5" x14ac:dyDescent="0.2">
      <c r="A14993" t="s">
        <v>44580</v>
      </c>
      <c r="B14993" t="s">
        <v>44581</v>
      </c>
      <c r="C14993" t="s">
        <v>44581</v>
      </c>
      <c r="D14993" t="str">
        <f>HYPERLINK("https://zfin.org/ZDB-GENE-040426-2460")</f>
        <v>https://zfin.org/ZDB-GENE-040426-2460</v>
      </c>
      <c r="E14993" t="s">
        <v>44582</v>
      </c>
    </row>
    <row r="14994" spans="1:5" x14ac:dyDescent="0.2">
      <c r="A14994" t="s">
        <v>44583</v>
      </c>
      <c r="B14994" t="s">
        <v>44584</v>
      </c>
      <c r="C14994" t="s">
        <v>44584</v>
      </c>
      <c r="D14994" t="str">
        <f>HYPERLINK("https://zfin.org/")</f>
        <v>https://zfin.org/</v>
      </c>
    </row>
    <row r="14995" spans="1:5" x14ac:dyDescent="0.2">
      <c r="A14995" t="s">
        <v>44585</v>
      </c>
      <c r="B14995" t="s">
        <v>44586</v>
      </c>
      <c r="C14995" t="s">
        <v>44586</v>
      </c>
      <c r="D14995" t="str">
        <f>HYPERLINK("https://zfin.org/")</f>
        <v>https://zfin.org/</v>
      </c>
    </row>
    <row r="14996" spans="1:5" x14ac:dyDescent="0.2">
      <c r="A14996" t="s">
        <v>44587</v>
      </c>
      <c r="B14996" t="s">
        <v>44588</v>
      </c>
      <c r="C14996" t="s">
        <v>44588</v>
      </c>
      <c r="D14996" t="str">
        <f>HYPERLINK("https://zfin.org/")</f>
        <v>https://zfin.org/</v>
      </c>
    </row>
    <row r="14997" spans="1:5" x14ac:dyDescent="0.2">
      <c r="A14997" t="s">
        <v>44589</v>
      </c>
      <c r="B14997" t="s">
        <v>44590</v>
      </c>
      <c r="C14997" t="s">
        <v>44590</v>
      </c>
      <c r="D14997" t="str">
        <f>HYPERLINK("https://zfin.org/ZDB-GENE-030131-431")</f>
        <v>https://zfin.org/ZDB-GENE-030131-431</v>
      </c>
      <c r="E14997" t="s">
        <v>44591</v>
      </c>
    </row>
    <row r="14998" spans="1:5" x14ac:dyDescent="0.2">
      <c r="A14998" t="s">
        <v>44592</v>
      </c>
      <c r="B14998" t="s">
        <v>44593</v>
      </c>
      <c r="C14998" t="s">
        <v>44593</v>
      </c>
      <c r="D14998" t="str">
        <f>HYPERLINK("https://zfin.org/ZDB-GENE-040801-86")</f>
        <v>https://zfin.org/ZDB-GENE-040801-86</v>
      </c>
      <c r="E14998" t="s">
        <v>44594</v>
      </c>
    </row>
    <row r="14999" spans="1:5" x14ac:dyDescent="0.2">
      <c r="A14999" t="s">
        <v>44595</v>
      </c>
      <c r="B14999" t="s">
        <v>44596</v>
      </c>
      <c r="C14999" t="s">
        <v>44596</v>
      </c>
      <c r="D14999" t="str">
        <f>HYPERLINK("https://zfin.org/")</f>
        <v>https://zfin.org/</v>
      </c>
    </row>
    <row r="15000" spans="1:5" x14ac:dyDescent="0.2">
      <c r="A15000" t="s">
        <v>44597</v>
      </c>
      <c r="B15000" t="s">
        <v>44598</v>
      </c>
      <c r="C15000" t="s">
        <v>44598</v>
      </c>
      <c r="D15000" t="str">
        <f>HYPERLINK("https://zfin.org/ZDB-GENE-031030-9")</f>
        <v>https://zfin.org/ZDB-GENE-031030-9</v>
      </c>
      <c r="E15000" t="s">
        <v>44599</v>
      </c>
    </row>
    <row r="15001" spans="1:5" x14ac:dyDescent="0.2">
      <c r="A15001" t="s">
        <v>44600</v>
      </c>
      <c r="B15001" t="s">
        <v>44601</v>
      </c>
      <c r="C15001" t="s">
        <v>44601</v>
      </c>
      <c r="D15001" t="str">
        <f>HYPERLINK("https://zfin.org/")</f>
        <v>https://zfin.org/</v>
      </c>
      <c r="E15001" t="s">
        <v>44602</v>
      </c>
    </row>
    <row r="15002" spans="1:5" x14ac:dyDescent="0.2">
      <c r="A15002" t="s">
        <v>44603</v>
      </c>
      <c r="B15002" t="s">
        <v>44604</v>
      </c>
      <c r="C15002" t="s">
        <v>44605</v>
      </c>
      <c r="D15002" t="str">
        <f>HYPERLINK("https://zfin.org/")</f>
        <v>https://zfin.org/</v>
      </c>
      <c r="E15002" t="s">
        <v>44606</v>
      </c>
    </row>
    <row r="15003" spans="1:5" x14ac:dyDescent="0.2">
      <c r="A15003" t="s">
        <v>44607</v>
      </c>
      <c r="B15003" t="s">
        <v>44608</v>
      </c>
      <c r="C15003" t="s">
        <v>44608</v>
      </c>
      <c r="D15003" t="str">
        <f>HYPERLINK("https://zfin.org/ZDB-GENE-061013-343")</f>
        <v>https://zfin.org/ZDB-GENE-061013-343</v>
      </c>
      <c r="E15003" t="s">
        <v>44609</v>
      </c>
    </row>
    <row r="15004" spans="1:5" x14ac:dyDescent="0.2">
      <c r="A15004" t="s">
        <v>44610</v>
      </c>
      <c r="B15004" t="s">
        <v>44611</v>
      </c>
      <c r="C15004" t="s">
        <v>44611</v>
      </c>
      <c r="D15004" t="str">
        <f>HYPERLINK("https://zfin.org/")</f>
        <v>https://zfin.org/</v>
      </c>
    </row>
    <row r="15005" spans="1:5" x14ac:dyDescent="0.2">
      <c r="A15005" t="s">
        <v>44612</v>
      </c>
      <c r="B15005" t="s">
        <v>44613</v>
      </c>
      <c r="C15005" t="s">
        <v>44613</v>
      </c>
      <c r="D15005" t="str">
        <f>HYPERLINK("https://zfin.org/ZDB-GENE-120202-1")</f>
        <v>https://zfin.org/ZDB-GENE-120202-1</v>
      </c>
      <c r="E15005" t="s">
        <v>44614</v>
      </c>
    </row>
    <row r="15006" spans="1:5" x14ac:dyDescent="0.2">
      <c r="A15006" t="s">
        <v>44615</v>
      </c>
      <c r="B15006" t="s">
        <v>44616</v>
      </c>
      <c r="C15006" t="s">
        <v>44616</v>
      </c>
      <c r="D15006" t="str">
        <f>HYPERLINK("https://zfin.org/ZDB-GENE-061013-353")</f>
        <v>https://zfin.org/ZDB-GENE-061013-353</v>
      </c>
      <c r="E15006" t="s">
        <v>44617</v>
      </c>
    </row>
    <row r="15007" spans="1:5" x14ac:dyDescent="0.2">
      <c r="A15007" t="s">
        <v>44618</v>
      </c>
      <c r="B15007" t="s">
        <v>44619</v>
      </c>
      <c r="C15007" t="s">
        <v>44619</v>
      </c>
      <c r="D15007" t="str">
        <f>HYPERLINK("https://zfin.org/ZDB-GENE-030131-2327")</f>
        <v>https://zfin.org/ZDB-GENE-030131-2327</v>
      </c>
      <c r="E15007" t="s">
        <v>44620</v>
      </c>
    </row>
    <row r="15008" spans="1:5" x14ac:dyDescent="0.2">
      <c r="A15008" t="s">
        <v>44621</v>
      </c>
      <c r="B15008" t="s">
        <v>44622</v>
      </c>
      <c r="C15008" t="s">
        <v>44622</v>
      </c>
      <c r="D15008" t="str">
        <f>HYPERLINK("https://zfin.org/ZDB-GENE-040927-2")</f>
        <v>https://zfin.org/ZDB-GENE-040927-2</v>
      </c>
      <c r="E15008" t="s">
        <v>44623</v>
      </c>
    </row>
    <row r="15009" spans="1:5" x14ac:dyDescent="0.2">
      <c r="A15009" t="s">
        <v>44624</v>
      </c>
      <c r="B15009" t="s">
        <v>44625</v>
      </c>
      <c r="C15009" t="s">
        <v>44625</v>
      </c>
      <c r="D15009" t="str">
        <f>HYPERLINK("https://zfin.org/")</f>
        <v>https://zfin.org/</v>
      </c>
    </row>
    <row r="15010" spans="1:5" x14ac:dyDescent="0.2">
      <c r="A15010" t="s">
        <v>44626</v>
      </c>
      <c r="B15010" t="s">
        <v>44627</v>
      </c>
      <c r="C15010" t="s">
        <v>44627</v>
      </c>
      <c r="D15010" t="str">
        <f>HYPERLINK("https://zfin.org/")</f>
        <v>https://zfin.org/</v>
      </c>
    </row>
    <row r="15011" spans="1:5" x14ac:dyDescent="0.2">
      <c r="A15011" t="s">
        <v>44628</v>
      </c>
      <c r="B15011" t="s">
        <v>44629</v>
      </c>
      <c r="C15011" t="s">
        <v>44629</v>
      </c>
      <c r="D15011" t="str">
        <f>HYPERLINK("https://zfin.org/")</f>
        <v>https://zfin.org/</v>
      </c>
      <c r="E15011" t="s">
        <v>44630</v>
      </c>
    </row>
    <row r="15012" spans="1:5" x14ac:dyDescent="0.2">
      <c r="A15012" t="s">
        <v>44631</v>
      </c>
      <c r="B15012" t="s">
        <v>44632</v>
      </c>
      <c r="C15012" t="s">
        <v>44632</v>
      </c>
      <c r="D15012" t="str">
        <f>HYPERLINK("https://zfin.org/ZDB-GENE-030131-6789")</f>
        <v>https://zfin.org/ZDB-GENE-030131-6789</v>
      </c>
      <c r="E15012" t="s">
        <v>44633</v>
      </c>
    </row>
    <row r="15013" spans="1:5" x14ac:dyDescent="0.2">
      <c r="A15013" t="s">
        <v>44634</v>
      </c>
      <c r="B15013" t="s">
        <v>44635</v>
      </c>
      <c r="C15013" t="s">
        <v>44635</v>
      </c>
      <c r="D15013" t="str">
        <f t="shared" ref="D15013:D15022" si="12">HYPERLINK("https://zfin.org/")</f>
        <v>https://zfin.org/</v>
      </c>
    </row>
    <row r="15014" spans="1:5" x14ac:dyDescent="0.2">
      <c r="A15014" t="s">
        <v>44636</v>
      </c>
      <c r="B15014" t="s">
        <v>44637</v>
      </c>
      <c r="C15014" t="s">
        <v>44637</v>
      </c>
      <c r="D15014" t="str">
        <f t="shared" si="12"/>
        <v>https://zfin.org/</v>
      </c>
    </row>
    <row r="15015" spans="1:5" x14ac:dyDescent="0.2">
      <c r="A15015" t="s">
        <v>44638</v>
      </c>
      <c r="B15015" t="s">
        <v>44639</v>
      </c>
      <c r="C15015" t="s">
        <v>44639</v>
      </c>
      <c r="D15015" t="str">
        <f t="shared" si="12"/>
        <v>https://zfin.org/</v>
      </c>
    </row>
    <row r="15016" spans="1:5" x14ac:dyDescent="0.2">
      <c r="A15016" t="s">
        <v>44640</v>
      </c>
      <c r="B15016" t="s">
        <v>44641</v>
      </c>
      <c r="C15016" t="s">
        <v>44641</v>
      </c>
      <c r="D15016" t="str">
        <f t="shared" si="12"/>
        <v>https://zfin.org/</v>
      </c>
    </row>
    <row r="15017" spans="1:5" x14ac:dyDescent="0.2">
      <c r="A15017" t="s">
        <v>44642</v>
      </c>
      <c r="B15017" t="s">
        <v>44643</v>
      </c>
      <c r="C15017" t="s">
        <v>44643</v>
      </c>
      <c r="D15017" t="str">
        <f t="shared" si="12"/>
        <v>https://zfin.org/</v>
      </c>
    </row>
    <row r="15018" spans="1:5" x14ac:dyDescent="0.2">
      <c r="A15018" t="s">
        <v>44644</v>
      </c>
      <c r="B15018" t="s">
        <v>44645</v>
      </c>
      <c r="C15018" t="s">
        <v>44645</v>
      </c>
      <c r="D15018" t="str">
        <f t="shared" si="12"/>
        <v>https://zfin.org/</v>
      </c>
      <c r="E15018" t="s">
        <v>44646</v>
      </c>
    </row>
    <row r="15019" spans="1:5" x14ac:dyDescent="0.2">
      <c r="A15019" t="s">
        <v>44647</v>
      </c>
      <c r="B15019" t="s">
        <v>44648</v>
      </c>
      <c r="C15019" t="s">
        <v>44648</v>
      </c>
      <c r="D15019" t="str">
        <f t="shared" si="12"/>
        <v>https://zfin.org/</v>
      </c>
    </row>
    <row r="15020" spans="1:5" x14ac:dyDescent="0.2">
      <c r="A15020" t="s">
        <v>44649</v>
      </c>
      <c r="B15020" t="s">
        <v>44650</v>
      </c>
      <c r="C15020" t="s">
        <v>44650</v>
      </c>
      <c r="D15020" t="str">
        <f t="shared" si="12"/>
        <v>https://zfin.org/</v>
      </c>
      <c r="E15020" t="s">
        <v>44651</v>
      </c>
    </row>
    <row r="15021" spans="1:5" x14ac:dyDescent="0.2">
      <c r="A15021" t="s">
        <v>44652</v>
      </c>
      <c r="B15021" t="s">
        <v>44653</v>
      </c>
      <c r="C15021" t="s">
        <v>44653</v>
      </c>
      <c r="D15021" t="str">
        <f t="shared" si="12"/>
        <v>https://zfin.org/</v>
      </c>
      <c r="E15021" t="s">
        <v>44654</v>
      </c>
    </row>
    <row r="15022" spans="1:5" x14ac:dyDescent="0.2">
      <c r="A15022" t="s">
        <v>44655</v>
      </c>
      <c r="B15022" t="s">
        <v>44656</v>
      </c>
      <c r="C15022" t="s">
        <v>44656</v>
      </c>
      <c r="D15022" t="str">
        <f t="shared" si="12"/>
        <v>https://zfin.org/</v>
      </c>
    </row>
    <row r="15023" spans="1:5" x14ac:dyDescent="0.2">
      <c r="A15023" t="s">
        <v>44657</v>
      </c>
      <c r="B15023" t="s">
        <v>44658</v>
      </c>
      <c r="C15023" t="s">
        <v>44658</v>
      </c>
      <c r="D15023" t="str">
        <f>HYPERLINK("https://zfin.org/ZDB-GENE-060818-1")</f>
        <v>https://zfin.org/ZDB-GENE-060818-1</v>
      </c>
      <c r="E15023" t="s">
        <v>44659</v>
      </c>
    </row>
    <row r="15024" spans="1:5" x14ac:dyDescent="0.2">
      <c r="A15024" t="s">
        <v>44660</v>
      </c>
      <c r="B15024" t="s">
        <v>44661</v>
      </c>
      <c r="C15024" t="s">
        <v>44661</v>
      </c>
      <c r="D15024" t="str">
        <f>HYPERLINK("https://zfin.org/ZDB-GENE-040718-206")</f>
        <v>https://zfin.org/ZDB-GENE-040718-206</v>
      </c>
      <c r="E15024" t="s">
        <v>44662</v>
      </c>
    </row>
    <row r="15025" spans="1:5" x14ac:dyDescent="0.2">
      <c r="A15025" t="s">
        <v>44663</v>
      </c>
      <c r="B15025" t="s">
        <v>43797</v>
      </c>
      <c r="C15025" t="s">
        <v>44664</v>
      </c>
      <c r="D15025" t="str">
        <f>HYPERLINK("https://zfin.org/ZDB-GENE-071004-105")</f>
        <v>https://zfin.org/ZDB-GENE-071004-105</v>
      </c>
      <c r="E15025" t="s">
        <v>43798</v>
      </c>
    </row>
    <row r="15026" spans="1:5" x14ac:dyDescent="0.2">
      <c r="A15026" t="s">
        <v>44665</v>
      </c>
      <c r="B15026" t="s">
        <v>44666</v>
      </c>
      <c r="C15026" t="s">
        <v>44666</v>
      </c>
      <c r="D15026" t="str">
        <f>HYPERLINK("https://zfin.org/")</f>
        <v>https://zfin.org/</v>
      </c>
    </row>
    <row r="15027" spans="1:5" x14ac:dyDescent="0.2">
      <c r="A15027" t="s">
        <v>44667</v>
      </c>
      <c r="B15027" t="s">
        <v>44668</v>
      </c>
      <c r="C15027" t="s">
        <v>44668</v>
      </c>
      <c r="D15027" t="str">
        <f>HYPERLINK("https://zfin.org/ZDB-GENE-030131-1144")</f>
        <v>https://zfin.org/ZDB-GENE-030131-1144</v>
      </c>
      <c r="E15027" t="s">
        <v>44669</v>
      </c>
    </row>
    <row r="15028" spans="1:5" x14ac:dyDescent="0.2">
      <c r="A15028" t="s">
        <v>44670</v>
      </c>
      <c r="B15028" t="s">
        <v>44671</v>
      </c>
      <c r="C15028" t="s">
        <v>44671</v>
      </c>
      <c r="D15028" t="str">
        <f>HYPERLINK("https://zfin.org/")</f>
        <v>https://zfin.org/</v>
      </c>
    </row>
    <row r="15029" spans="1:5" x14ac:dyDescent="0.2">
      <c r="A15029" t="s">
        <v>44672</v>
      </c>
      <c r="B15029" t="s">
        <v>44673</v>
      </c>
      <c r="C15029" t="s">
        <v>44673</v>
      </c>
      <c r="D15029" t="str">
        <f>HYPERLINK("https://zfin.org/ZDB-GENE-050913-56")</f>
        <v>https://zfin.org/ZDB-GENE-050913-56</v>
      </c>
      <c r="E15029" t="s">
        <v>44674</v>
      </c>
    </row>
    <row r="15030" spans="1:5" x14ac:dyDescent="0.2">
      <c r="A15030" t="s">
        <v>44675</v>
      </c>
      <c r="B15030" t="s">
        <v>44676</v>
      </c>
      <c r="C15030" t="s">
        <v>44676</v>
      </c>
      <c r="D15030" t="str">
        <f>HYPERLINK("https://zfin.org/ZDB-GENE-050320-134")</f>
        <v>https://zfin.org/ZDB-GENE-050320-134</v>
      </c>
      <c r="E15030" t="s">
        <v>44677</v>
      </c>
    </row>
    <row r="15031" spans="1:5" x14ac:dyDescent="0.2">
      <c r="A15031" t="s">
        <v>44678</v>
      </c>
      <c r="B15031" t="s">
        <v>44679</v>
      </c>
      <c r="C15031" t="s">
        <v>44679</v>
      </c>
      <c r="D15031" t="str">
        <f>HYPERLINK("https://zfin.org/ZDB-GENE-050706-113")</f>
        <v>https://zfin.org/ZDB-GENE-050706-113</v>
      </c>
      <c r="E15031" t="s">
        <v>44680</v>
      </c>
    </row>
    <row r="15032" spans="1:5" x14ac:dyDescent="0.2">
      <c r="A15032" t="s">
        <v>44681</v>
      </c>
      <c r="B15032" t="s">
        <v>44682</v>
      </c>
      <c r="C15032" t="s">
        <v>44682</v>
      </c>
      <c r="D15032" t="str">
        <f>HYPERLINK("https://zfin.org/ZDB-GENE-060929-1174")</f>
        <v>https://zfin.org/ZDB-GENE-060929-1174</v>
      </c>
      <c r="E15032" t="s">
        <v>44683</v>
      </c>
    </row>
    <row r="15033" spans="1:5" x14ac:dyDescent="0.2">
      <c r="A15033" t="s">
        <v>44684</v>
      </c>
      <c r="B15033" t="s">
        <v>44685</v>
      </c>
      <c r="C15033" t="s">
        <v>44685</v>
      </c>
      <c r="D15033" t="str">
        <f>HYPERLINK("https://zfin.org/ZDB-GENE-050417-154")</f>
        <v>https://zfin.org/ZDB-GENE-050417-154</v>
      </c>
      <c r="E15033" t="s">
        <v>44686</v>
      </c>
    </row>
    <row r="15034" spans="1:5" x14ac:dyDescent="0.2">
      <c r="A15034" t="s">
        <v>44687</v>
      </c>
      <c r="B15034" t="s">
        <v>44688</v>
      </c>
      <c r="C15034" t="s">
        <v>44688</v>
      </c>
      <c r="D15034" t="str">
        <f>HYPERLINK("https://zfin.org/ZDB-GENE-060929-836")</f>
        <v>https://zfin.org/ZDB-GENE-060929-836</v>
      </c>
      <c r="E15034" t="s">
        <v>44689</v>
      </c>
    </row>
    <row r="15035" spans="1:5" x14ac:dyDescent="0.2">
      <c r="A15035" t="s">
        <v>44690</v>
      </c>
      <c r="B15035" t="s">
        <v>44691</v>
      </c>
      <c r="C15035" t="s">
        <v>44691</v>
      </c>
      <c r="D15035" t="str">
        <f>HYPERLINK("https://zfin.org/")</f>
        <v>https://zfin.org/</v>
      </c>
      <c r="E15035" t="s">
        <v>44692</v>
      </c>
    </row>
    <row r="15036" spans="1:5" x14ac:dyDescent="0.2">
      <c r="A15036" t="s">
        <v>44693</v>
      </c>
      <c r="B15036" t="s">
        <v>44694</v>
      </c>
      <c r="C15036" t="s">
        <v>44694</v>
      </c>
      <c r="D15036" t="str">
        <f>HYPERLINK("https://zfin.org/ZDB-GENE-080819-1")</f>
        <v>https://zfin.org/ZDB-GENE-080819-1</v>
      </c>
      <c r="E15036" t="s">
        <v>44695</v>
      </c>
    </row>
    <row r="15037" spans="1:5" x14ac:dyDescent="0.2">
      <c r="A15037" t="s">
        <v>44696</v>
      </c>
      <c r="B15037" t="s">
        <v>44697</v>
      </c>
      <c r="C15037" t="s">
        <v>44698</v>
      </c>
      <c r="D15037" t="str">
        <f>HYPERLINK("https://zfin.org/ZDB-GENE-040625-1")</f>
        <v>https://zfin.org/ZDB-GENE-040625-1</v>
      </c>
      <c r="E15037" t="s">
        <v>44699</v>
      </c>
    </row>
    <row r="15038" spans="1:5" x14ac:dyDescent="0.2">
      <c r="A15038" t="s">
        <v>44700</v>
      </c>
      <c r="B15038" t="s">
        <v>44701</v>
      </c>
      <c r="C15038" t="s">
        <v>44701</v>
      </c>
      <c r="D15038" t="str">
        <f>HYPERLINK("https://zfin.org/ZDB-GENE-010803-2")</f>
        <v>https://zfin.org/ZDB-GENE-010803-2</v>
      </c>
      <c r="E15038" t="s">
        <v>44702</v>
      </c>
    </row>
    <row r="15039" spans="1:5" x14ac:dyDescent="0.2">
      <c r="A15039" t="s">
        <v>44703</v>
      </c>
      <c r="B15039" t="s">
        <v>44704</v>
      </c>
      <c r="C15039" t="s">
        <v>44704</v>
      </c>
      <c r="D15039" t="str">
        <f>HYPERLINK("https://zfin.org/")</f>
        <v>https://zfin.org/</v>
      </c>
      <c r="E15039" t="s">
        <v>44705</v>
      </c>
    </row>
    <row r="15040" spans="1:5" x14ac:dyDescent="0.2">
      <c r="A15040" t="s">
        <v>44706</v>
      </c>
      <c r="B15040" t="s">
        <v>44707</v>
      </c>
      <c r="C15040" t="s">
        <v>44707</v>
      </c>
      <c r="D15040" t="str">
        <f>HYPERLINK("https://zfin.org/ZDB-GENE-040426-990")</f>
        <v>https://zfin.org/ZDB-GENE-040426-990</v>
      </c>
      <c r="E15040" t="s">
        <v>44708</v>
      </c>
    </row>
    <row r="15041" spans="1:5" x14ac:dyDescent="0.2">
      <c r="A15041" t="s">
        <v>44709</v>
      </c>
      <c r="B15041" t="s">
        <v>44710</v>
      </c>
      <c r="C15041" t="s">
        <v>44710</v>
      </c>
      <c r="D15041" t="str">
        <f>HYPERLINK("https://zfin.org/")</f>
        <v>https://zfin.org/</v>
      </c>
      <c r="E15041" t="s">
        <v>44711</v>
      </c>
    </row>
    <row r="15042" spans="1:5" x14ac:dyDescent="0.2">
      <c r="A15042" t="s">
        <v>44712</v>
      </c>
      <c r="B15042" t="s">
        <v>44713</v>
      </c>
      <c r="C15042" t="s">
        <v>44713</v>
      </c>
      <c r="D15042" t="str">
        <f>HYPERLINK("https://zfin.org/ZDB-GENE-050320-48")</f>
        <v>https://zfin.org/ZDB-GENE-050320-48</v>
      </c>
      <c r="E15042" t="s">
        <v>44714</v>
      </c>
    </row>
    <row r="15043" spans="1:5" x14ac:dyDescent="0.2">
      <c r="A15043" t="s">
        <v>44715</v>
      </c>
      <c r="B15043" t="s">
        <v>43535</v>
      </c>
      <c r="C15043" t="s">
        <v>44716</v>
      </c>
      <c r="D15043" t="str">
        <f>HYPERLINK("https://zfin.org/")</f>
        <v>https://zfin.org/</v>
      </c>
      <c r="E15043" t="s">
        <v>43537</v>
      </c>
    </row>
    <row r="15044" spans="1:5" x14ac:dyDescent="0.2">
      <c r="A15044" t="s">
        <v>44717</v>
      </c>
      <c r="B15044" t="s">
        <v>44718</v>
      </c>
      <c r="C15044" t="s">
        <v>44719</v>
      </c>
      <c r="D15044" t="str">
        <f>HYPERLINK("https://zfin.org/")</f>
        <v>https://zfin.org/</v>
      </c>
      <c r="E15044" t="s">
        <v>44720</v>
      </c>
    </row>
    <row r="15045" spans="1:5" x14ac:dyDescent="0.2">
      <c r="A15045" t="s">
        <v>44721</v>
      </c>
      <c r="B15045" t="s">
        <v>44722</v>
      </c>
      <c r="C15045" t="s">
        <v>44722</v>
      </c>
      <c r="D15045" t="str">
        <f>HYPERLINK("https://zfin.org/")</f>
        <v>https://zfin.org/</v>
      </c>
    </row>
    <row r="15046" spans="1:5" x14ac:dyDescent="0.2">
      <c r="A15046" t="s">
        <v>44723</v>
      </c>
      <c r="B15046" t="s">
        <v>44724</v>
      </c>
      <c r="C15046" t="s">
        <v>44724</v>
      </c>
      <c r="D15046" t="str">
        <f>HYPERLINK("https://zfin.org/ZDB-GENE-060217-2")</f>
        <v>https://zfin.org/ZDB-GENE-060217-2</v>
      </c>
      <c r="E15046" t="s">
        <v>44725</v>
      </c>
    </row>
    <row r="15047" spans="1:5" x14ac:dyDescent="0.2">
      <c r="A15047" t="s">
        <v>44726</v>
      </c>
      <c r="B15047" t="s">
        <v>44727</v>
      </c>
      <c r="C15047" t="s">
        <v>44727</v>
      </c>
      <c r="D15047" t="str">
        <f>HYPERLINK("https://zfin.org/ZDB-GENE-080220-58")</f>
        <v>https://zfin.org/ZDB-GENE-080220-58</v>
      </c>
      <c r="E15047" t="s">
        <v>44728</v>
      </c>
    </row>
    <row r="15048" spans="1:5" x14ac:dyDescent="0.2">
      <c r="A15048" t="s">
        <v>44729</v>
      </c>
      <c r="B15048" t="s">
        <v>44730</v>
      </c>
      <c r="C15048" t="s">
        <v>44730</v>
      </c>
      <c r="D15048" t="str">
        <f t="shared" ref="D15048:D15057" si="13">HYPERLINK("https://zfin.org/")</f>
        <v>https://zfin.org/</v>
      </c>
      <c r="E15048" t="s">
        <v>44731</v>
      </c>
    </row>
    <row r="15049" spans="1:5" x14ac:dyDescent="0.2">
      <c r="A15049" t="s">
        <v>44732</v>
      </c>
      <c r="B15049" t="s">
        <v>44733</v>
      </c>
      <c r="C15049" t="s">
        <v>44733</v>
      </c>
      <c r="D15049" t="str">
        <f t="shared" si="13"/>
        <v>https://zfin.org/</v>
      </c>
      <c r="E15049" t="s">
        <v>44734</v>
      </c>
    </row>
    <row r="15050" spans="1:5" x14ac:dyDescent="0.2">
      <c r="A15050" t="s">
        <v>44735</v>
      </c>
      <c r="B15050" t="s">
        <v>44736</v>
      </c>
      <c r="C15050" t="s">
        <v>44736</v>
      </c>
      <c r="D15050" t="str">
        <f t="shared" si="13"/>
        <v>https://zfin.org/</v>
      </c>
    </row>
    <row r="15051" spans="1:5" x14ac:dyDescent="0.2">
      <c r="A15051" t="s">
        <v>44737</v>
      </c>
      <c r="B15051" t="s">
        <v>44738</v>
      </c>
      <c r="C15051" t="s">
        <v>44738</v>
      </c>
      <c r="D15051" t="str">
        <f t="shared" si="13"/>
        <v>https://zfin.org/</v>
      </c>
      <c r="E15051" t="s">
        <v>44739</v>
      </c>
    </row>
    <row r="15052" spans="1:5" x14ac:dyDescent="0.2">
      <c r="A15052" t="s">
        <v>44740</v>
      </c>
      <c r="B15052" t="s">
        <v>44741</v>
      </c>
      <c r="C15052" t="s">
        <v>44741</v>
      </c>
      <c r="D15052" t="str">
        <f t="shared" si="13"/>
        <v>https://zfin.org/</v>
      </c>
      <c r="E15052" t="s">
        <v>44742</v>
      </c>
    </row>
    <row r="15053" spans="1:5" x14ac:dyDescent="0.2">
      <c r="A15053" t="s">
        <v>44743</v>
      </c>
      <c r="B15053" t="s">
        <v>44744</v>
      </c>
      <c r="C15053" t="s">
        <v>44744</v>
      </c>
      <c r="D15053" t="str">
        <f t="shared" si="13"/>
        <v>https://zfin.org/</v>
      </c>
      <c r="E15053" t="s">
        <v>44745</v>
      </c>
    </row>
    <row r="15054" spans="1:5" x14ac:dyDescent="0.2">
      <c r="A15054" t="s">
        <v>44746</v>
      </c>
      <c r="B15054" t="s">
        <v>44747</v>
      </c>
      <c r="C15054" t="s">
        <v>44747</v>
      </c>
      <c r="D15054" t="str">
        <f t="shared" si="13"/>
        <v>https://zfin.org/</v>
      </c>
    </row>
    <row r="15055" spans="1:5" x14ac:dyDescent="0.2">
      <c r="A15055" t="s">
        <v>44748</v>
      </c>
      <c r="B15055" t="s">
        <v>44749</v>
      </c>
      <c r="C15055" t="s">
        <v>44749</v>
      </c>
      <c r="D15055" t="str">
        <f t="shared" si="13"/>
        <v>https://zfin.org/</v>
      </c>
      <c r="E15055" t="s">
        <v>44750</v>
      </c>
    </row>
    <row r="15056" spans="1:5" x14ac:dyDescent="0.2">
      <c r="A15056" t="s">
        <v>44751</v>
      </c>
      <c r="B15056" t="s">
        <v>44752</v>
      </c>
      <c r="C15056" t="s">
        <v>44752</v>
      </c>
      <c r="D15056" t="str">
        <f t="shared" si="13"/>
        <v>https://zfin.org/</v>
      </c>
    </row>
    <row r="15057" spans="1:5" x14ac:dyDescent="0.2">
      <c r="A15057" t="s">
        <v>44753</v>
      </c>
      <c r="B15057" t="s">
        <v>44754</v>
      </c>
      <c r="C15057" t="s">
        <v>44754</v>
      </c>
      <c r="D15057" t="str">
        <f t="shared" si="13"/>
        <v>https://zfin.org/</v>
      </c>
      <c r="E15057" t="s">
        <v>44755</v>
      </c>
    </row>
    <row r="15058" spans="1:5" x14ac:dyDescent="0.2">
      <c r="A15058" t="s">
        <v>44756</v>
      </c>
      <c r="B15058" t="s">
        <v>44757</v>
      </c>
      <c r="C15058" t="s">
        <v>44757</v>
      </c>
      <c r="D15058" t="str">
        <f>HYPERLINK("https://zfin.org/ZDB-GENE-030131-858")</f>
        <v>https://zfin.org/ZDB-GENE-030131-858</v>
      </c>
      <c r="E15058" t="s">
        <v>44758</v>
      </c>
    </row>
    <row r="15059" spans="1:5" x14ac:dyDescent="0.2">
      <c r="A15059" t="s">
        <v>44759</v>
      </c>
      <c r="B15059" t="s">
        <v>44760</v>
      </c>
      <c r="C15059" t="s">
        <v>44760</v>
      </c>
      <c r="D15059" t="str">
        <f>HYPERLINK("https://zfin.org/ZDB-GENE-040426-1681")</f>
        <v>https://zfin.org/ZDB-GENE-040426-1681</v>
      </c>
      <c r="E15059" t="s">
        <v>44761</v>
      </c>
    </row>
    <row r="15060" spans="1:5" x14ac:dyDescent="0.2">
      <c r="A15060" t="s">
        <v>44762</v>
      </c>
      <c r="B15060" t="s">
        <v>44763</v>
      </c>
      <c r="C15060" t="s">
        <v>44763</v>
      </c>
      <c r="D15060" t="str">
        <f>HYPERLINK("https://zfin.org/ZDB-GENE-030131-868")</f>
        <v>https://zfin.org/ZDB-GENE-030131-868</v>
      </c>
      <c r="E15060" t="s">
        <v>44764</v>
      </c>
    </row>
    <row r="15061" spans="1:5" x14ac:dyDescent="0.2">
      <c r="A15061" t="s">
        <v>44765</v>
      </c>
      <c r="B15061" t="s">
        <v>44766</v>
      </c>
      <c r="C15061" t="s">
        <v>44766</v>
      </c>
      <c r="D15061" t="str">
        <f>HYPERLINK("https://zfin.org/")</f>
        <v>https://zfin.org/</v>
      </c>
    </row>
    <row r="15062" spans="1:5" x14ac:dyDescent="0.2">
      <c r="A15062" t="s">
        <v>44767</v>
      </c>
      <c r="B15062" t="s">
        <v>44768</v>
      </c>
      <c r="C15062" t="s">
        <v>44768</v>
      </c>
      <c r="D15062" t="str">
        <f>HYPERLINK("https://zfin.org/")</f>
        <v>https://zfin.org/</v>
      </c>
      <c r="E15062" t="s">
        <v>44769</v>
      </c>
    </row>
    <row r="15063" spans="1:5" x14ac:dyDescent="0.2">
      <c r="A15063" t="s">
        <v>44770</v>
      </c>
      <c r="B15063" t="s">
        <v>44771</v>
      </c>
      <c r="C15063" t="s">
        <v>44772</v>
      </c>
      <c r="D15063" t="str">
        <f>HYPERLINK("https://zfin.org/")</f>
        <v>https://zfin.org/</v>
      </c>
      <c r="E15063" t="s">
        <v>44773</v>
      </c>
    </row>
    <row r="15064" spans="1:5" x14ac:dyDescent="0.2">
      <c r="A15064" t="s">
        <v>44774</v>
      </c>
      <c r="B15064" t="s">
        <v>44775</v>
      </c>
      <c r="C15064" t="s">
        <v>44775</v>
      </c>
      <c r="D15064" t="str">
        <f>HYPERLINK("https://zfin.org/ZDB-GENE-050522-42")</f>
        <v>https://zfin.org/ZDB-GENE-050522-42</v>
      </c>
      <c r="E15064" t="s">
        <v>44776</v>
      </c>
    </row>
    <row r="15065" spans="1:5" x14ac:dyDescent="0.2">
      <c r="A15065" t="s">
        <v>44777</v>
      </c>
      <c r="B15065" t="s">
        <v>44778</v>
      </c>
      <c r="C15065" t="s">
        <v>44778</v>
      </c>
      <c r="D15065" t="str">
        <f>HYPERLINK("https://zfin.org/ZDB-GENE-081016-2")</f>
        <v>https://zfin.org/ZDB-GENE-081016-2</v>
      </c>
      <c r="E15065" t="s">
        <v>44779</v>
      </c>
    </row>
    <row r="15066" spans="1:5" x14ac:dyDescent="0.2">
      <c r="A15066" t="s">
        <v>44780</v>
      </c>
      <c r="B15066" t="s">
        <v>44781</v>
      </c>
      <c r="C15066" t="s">
        <v>44781</v>
      </c>
      <c r="D15066" t="str">
        <f>HYPERLINK("https://zfin.org/ZDB-GENE-081022-166")</f>
        <v>https://zfin.org/ZDB-GENE-081022-166</v>
      </c>
      <c r="E15066" t="s">
        <v>44782</v>
      </c>
    </row>
    <row r="15067" spans="1:5" x14ac:dyDescent="0.2">
      <c r="A15067" t="s">
        <v>44783</v>
      </c>
      <c r="B15067" t="s">
        <v>44784</v>
      </c>
      <c r="C15067" t="s">
        <v>44784</v>
      </c>
      <c r="D15067" t="str">
        <f>HYPERLINK("https://zfin.org/ZDB-GENE-040109-2")</f>
        <v>https://zfin.org/ZDB-GENE-040109-2</v>
      </c>
      <c r="E15067" t="s">
        <v>44785</v>
      </c>
    </row>
    <row r="15068" spans="1:5" x14ac:dyDescent="0.2">
      <c r="A15068" t="s">
        <v>44786</v>
      </c>
      <c r="B15068" t="s">
        <v>44787</v>
      </c>
      <c r="C15068" t="s">
        <v>44787</v>
      </c>
      <c r="D15068" t="str">
        <f>HYPERLINK("https://zfin.org/ZDB-GENE-030131-3277")</f>
        <v>https://zfin.org/ZDB-GENE-030131-3277</v>
      </c>
      <c r="E15068" t="s">
        <v>44788</v>
      </c>
    </row>
    <row r="15069" spans="1:5" x14ac:dyDescent="0.2">
      <c r="A15069" t="s">
        <v>44789</v>
      </c>
      <c r="B15069" t="s">
        <v>44790</v>
      </c>
      <c r="C15069" t="s">
        <v>44790</v>
      </c>
      <c r="D15069" t="str">
        <f>HYPERLINK("https://zfin.org/ZDB-GENE-050302-172")</f>
        <v>https://zfin.org/ZDB-GENE-050302-172</v>
      </c>
      <c r="E15069" t="s">
        <v>44791</v>
      </c>
    </row>
    <row r="15070" spans="1:5" x14ac:dyDescent="0.2">
      <c r="A15070" t="s">
        <v>44792</v>
      </c>
      <c r="B15070" t="s">
        <v>44793</v>
      </c>
      <c r="C15070" t="s">
        <v>44793</v>
      </c>
      <c r="D15070" t="str">
        <f>HYPERLINK("https://zfin.org/ZDB-GENE-060825-210")</f>
        <v>https://zfin.org/ZDB-GENE-060825-210</v>
      </c>
      <c r="E15070" t="s">
        <v>44794</v>
      </c>
    </row>
    <row r="15071" spans="1:5" x14ac:dyDescent="0.2">
      <c r="A15071" t="s">
        <v>44795</v>
      </c>
      <c r="B15071" t="s">
        <v>44796</v>
      </c>
      <c r="C15071" t="s">
        <v>44796</v>
      </c>
      <c r="D15071" t="str">
        <f>HYPERLINK("https://zfin.org/")</f>
        <v>https://zfin.org/</v>
      </c>
    </row>
    <row r="15072" spans="1:5" x14ac:dyDescent="0.2">
      <c r="A15072" t="s">
        <v>44797</v>
      </c>
      <c r="B15072" t="s">
        <v>44798</v>
      </c>
      <c r="C15072" t="s">
        <v>44798</v>
      </c>
      <c r="D15072" t="str">
        <f>HYPERLINK("https://zfin.org/ZDB-GENE-071004-56")</f>
        <v>https://zfin.org/ZDB-GENE-071004-56</v>
      </c>
      <c r="E15072" t="s">
        <v>44799</v>
      </c>
    </row>
    <row r="15073" spans="1:5" x14ac:dyDescent="0.2">
      <c r="A15073" t="s">
        <v>44800</v>
      </c>
      <c r="B15073" t="s">
        <v>44801</v>
      </c>
      <c r="C15073" t="s">
        <v>44801</v>
      </c>
      <c r="D15073" t="str">
        <f>HYPERLINK("https://zfin.org/")</f>
        <v>https://zfin.org/</v>
      </c>
    </row>
    <row r="15074" spans="1:5" x14ac:dyDescent="0.2">
      <c r="A15074" t="s">
        <v>44802</v>
      </c>
      <c r="B15074" t="s">
        <v>44803</v>
      </c>
      <c r="C15074" t="s">
        <v>44803</v>
      </c>
      <c r="D15074" t="str">
        <f>HYPERLINK("https://zfin.org/ZDB-GENE-060929-736")</f>
        <v>https://zfin.org/ZDB-GENE-060929-736</v>
      </c>
      <c r="E15074" t="s">
        <v>44804</v>
      </c>
    </row>
    <row r="15075" spans="1:5" x14ac:dyDescent="0.2">
      <c r="A15075" t="s">
        <v>44805</v>
      </c>
      <c r="B15075" t="s">
        <v>44806</v>
      </c>
      <c r="C15075" t="s">
        <v>44806</v>
      </c>
      <c r="D15075" t="str">
        <f>HYPERLINK("https://zfin.org/ZDB-GENE-080227-8")</f>
        <v>https://zfin.org/ZDB-GENE-080227-8</v>
      </c>
      <c r="E15075" t="s">
        <v>44807</v>
      </c>
    </row>
    <row r="15076" spans="1:5" x14ac:dyDescent="0.2">
      <c r="A15076" t="s">
        <v>44808</v>
      </c>
      <c r="B15076" t="s">
        <v>44809</v>
      </c>
      <c r="C15076" t="s">
        <v>44809</v>
      </c>
      <c r="D15076" t="str">
        <f>HYPERLINK("https://zfin.org/")</f>
        <v>https://zfin.org/</v>
      </c>
      <c r="E15076" t="s">
        <v>44810</v>
      </c>
    </row>
    <row r="15077" spans="1:5" x14ac:dyDescent="0.2">
      <c r="A15077" t="s">
        <v>44811</v>
      </c>
      <c r="B15077" t="s">
        <v>44812</v>
      </c>
      <c r="C15077" t="s">
        <v>44812</v>
      </c>
      <c r="D15077" t="str">
        <f>HYPERLINK("https://zfin.org/")</f>
        <v>https://zfin.org/</v>
      </c>
      <c r="E15077" t="s">
        <v>44813</v>
      </c>
    </row>
    <row r="15078" spans="1:5" x14ac:dyDescent="0.2">
      <c r="A15078" t="s">
        <v>44814</v>
      </c>
      <c r="B15078" t="s">
        <v>44815</v>
      </c>
      <c r="C15078" t="s">
        <v>44815</v>
      </c>
      <c r="D15078" t="str">
        <f>HYPERLINK("https://zfin.org/ZDB-GENE-040426-1487")</f>
        <v>https://zfin.org/ZDB-GENE-040426-1487</v>
      </c>
      <c r="E15078" t="s">
        <v>44816</v>
      </c>
    </row>
    <row r="15079" spans="1:5" x14ac:dyDescent="0.2">
      <c r="A15079" t="s">
        <v>44817</v>
      </c>
      <c r="B15079" t="s">
        <v>44818</v>
      </c>
      <c r="C15079" t="s">
        <v>44818</v>
      </c>
      <c r="D15079" t="str">
        <f>HYPERLINK("https://zfin.org/")</f>
        <v>https://zfin.org/</v>
      </c>
    </row>
    <row r="15080" spans="1:5" x14ac:dyDescent="0.2">
      <c r="A15080" t="s">
        <v>44819</v>
      </c>
      <c r="B15080" t="s">
        <v>44820</v>
      </c>
      <c r="C15080" t="s">
        <v>44820</v>
      </c>
      <c r="D15080" t="str">
        <f>HYPERLINK("https://zfin.org/")</f>
        <v>https://zfin.org/</v>
      </c>
    </row>
    <row r="15081" spans="1:5" x14ac:dyDescent="0.2">
      <c r="A15081" t="s">
        <v>44821</v>
      </c>
      <c r="B15081" t="s">
        <v>44822</v>
      </c>
      <c r="C15081" t="s">
        <v>44822</v>
      </c>
      <c r="D15081" t="str">
        <f>HYPERLINK("https://zfin.org/ZDB-GENE-090908-5")</f>
        <v>https://zfin.org/ZDB-GENE-090908-5</v>
      </c>
      <c r="E15081" t="s">
        <v>44823</v>
      </c>
    </row>
    <row r="15082" spans="1:5" x14ac:dyDescent="0.2">
      <c r="A15082" t="s">
        <v>44824</v>
      </c>
      <c r="B15082" t="s">
        <v>44825</v>
      </c>
      <c r="C15082" t="s">
        <v>44825</v>
      </c>
      <c r="D15082" t="str">
        <f>HYPERLINK("https://zfin.org/ZDB-GENE-030131-4053")</f>
        <v>https://zfin.org/ZDB-GENE-030131-4053</v>
      </c>
      <c r="E15082" t="s">
        <v>44826</v>
      </c>
    </row>
    <row r="15083" spans="1:5" x14ac:dyDescent="0.2">
      <c r="A15083" t="s">
        <v>44827</v>
      </c>
      <c r="B15083" t="s">
        <v>44828</v>
      </c>
      <c r="C15083" t="s">
        <v>44828</v>
      </c>
      <c r="D15083" t="str">
        <f>HYPERLINK("https://zfin.org/")</f>
        <v>https://zfin.org/</v>
      </c>
      <c r="E15083" t="s">
        <v>44829</v>
      </c>
    </row>
    <row r="15084" spans="1:5" x14ac:dyDescent="0.2">
      <c r="A15084" t="s">
        <v>44830</v>
      </c>
      <c r="B15084" t="s">
        <v>44831</v>
      </c>
      <c r="C15084" t="s">
        <v>44831</v>
      </c>
      <c r="D15084" t="str">
        <f>HYPERLINK("https://zfin.org/")</f>
        <v>https://zfin.org/</v>
      </c>
      <c r="E15084" t="s">
        <v>44832</v>
      </c>
    </row>
    <row r="15085" spans="1:5" x14ac:dyDescent="0.2">
      <c r="A15085" t="s">
        <v>44833</v>
      </c>
      <c r="B15085" t="s">
        <v>44834</v>
      </c>
      <c r="C15085" t="s">
        <v>44834</v>
      </c>
      <c r="D15085" t="str">
        <f>HYPERLINK("https://zfin.org/")</f>
        <v>https://zfin.org/</v>
      </c>
    </row>
    <row r="15086" spans="1:5" x14ac:dyDescent="0.2">
      <c r="A15086" t="s">
        <v>44835</v>
      </c>
      <c r="B15086" t="s">
        <v>44836</v>
      </c>
      <c r="C15086" t="s">
        <v>44836</v>
      </c>
      <c r="D15086" t="str">
        <f>HYPERLINK("https://zfin.org/ZDB-GENE-080218-5")</f>
        <v>https://zfin.org/ZDB-GENE-080218-5</v>
      </c>
      <c r="E15086" t="s">
        <v>44837</v>
      </c>
    </row>
    <row r="15087" spans="1:5" x14ac:dyDescent="0.2">
      <c r="A15087" t="s">
        <v>44838</v>
      </c>
      <c r="B15087" t="s">
        <v>44839</v>
      </c>
      <c r="C15087" t="s">
        <v>44840</v>
      </c>
      <c r="D15087" t="str">
        <f>HYPERLINK("https://zfin.org/")</f>
        <v>https://zfin.org/</v>
      </c>
      <c r="E15087" t="s">
        <v>44841</v>
      </c>
    </row>
    <row r="15088" spans="1:5" x14ac:dyDescent="0.2">
      <c r="A15088" t="s">
        <v>44842</v>
      </c>
      <c r="B15088" t="s">
        <v>44843</v>
      </c>
      <c r="C15088" t="s">
        <v>44843</v>
      </c>
      <c r="D15088" t="str">
        <f>HYPERLINK("https://zfin.org/")</f>
        <v>https://zfin.org/</v>
      </c>
    </row>
    <row r="15089" spans="1:5" x14ac:dyDescent="0.2">
      <c r="A15089" t="s">
        <v>44844</v>
      </c>
      <c r="B15089" t="s">
        <v>44845</v>
      </c>
      <c r="C15089" t="s">
        <v>44845</v>
      </c>
      <c r="D15089" t="str">
        <f>HYPERLINK("https://zfin.org/")</f>
        <v>https://zfin.org/</v>
      </c>
      <c r="E15089" t="s">
        <v>44846</v>
      </c>
    </row>
    <row r="15090" spans="1:5" x14ac:dyDescent="0.2">
      <c r="A15090" t="s">
        <v>44847</v>
      </c>
      <c r="B15090" t="s">
        <v>44848</v>
      </c>
      <c r="C15090" t="s">
        <v>44848</v>
      </c>
      <c r="D15090" t="str">
        <f>HYPERLINK("https://zfin.org/")</f>
        <v>https://zfin.org/</v>
      </c>
    </row>
    <row r="15091" spans="1:5" x14ac:dyDescent="0.2">
      <c r="A15091" t="s">
        <v>44849</v>
      </c>
      <c r="B15091" t="s">
        <v>44850</v>
      </c>
      <c r="C15091" t="s">
        <v>44850</v>
      </c>
      <c r="D15091" t="str">
        <f>HYPERLINK("https://zfin.org/ZDB-GENE-091204-2")</f>
        <v>https://zfin.org/ZDB-GENE-091204-2</v>
      </c>
      <c r="E15091" t="s">
        <v>44851</v>
      </c>
    </row>
    <row r="15092" spans="1:5" x14ac:dyDescent="0.2">
      <c r="A15092" t="s">
        <v>44852</v>
      </c>
      <c r="B15092" t="s">
        <v>44853</v>
      </c>
      <c r="C15092" t="s">
        <v>44853</v>
      </c>
      <c r="D15092" t="str">
        <f>HYPERLINK("https://zfin.org/ZDB-GENE-061013-458")</f>
        <v>https://zfin.org/ZDB-GENE-061013-458</v>
      </c>
      <c r="E15092" t="s">
        <v>44854</v>
      </c>
    </row>
    <row r="15093" spans="1:5" x14ac:dyDescent="0.2">
      <c r="A15093" t="s">
        <v>44855</v>
      </c>
      <c r="B15093" t="s">
        <v>44856</v>
      </c>
      <c r="C15093" t="s">
        <v>44856</v>
      </c>
      <c r="D15093" t="str">
        <f>HYPERLINK("https://zfin.org/")</f>
        <v>https://zfin.org/</v>
      </c>
    </row>
    <row r="15094" spans="1:5" x14ac:dyDescent="0.2">
      <c r="A15094" t="s">
        <v>44857</v>
      </c>
      <c r="B15094" t="s">
        <v>44858</v>
      </c>
      <c r="C15094" t="s">
        <v>44858</v>
      </c>
      <c r="D15094" t="str">
        <f>HYPERLINK("https://zfin.org/ZDB-GENE-040718-81")</f>
        <v>https://zfin.org/ZDB-GENE-040718-81</v>
      </c>
      <c r="E15094" t="s">
        <v>44859</v>
      </c>
    </row>
    <row r="15095" spans="1:5" x14ac:dyDescent="0.2">
      <c r="A15095" t="s">
        <v>44860</v>
      </c>
      <c r="B15095" t="s">
        <v>44861</v>
      </c>
      <c r="C15095" t="s">
        <v>44861</v>
      </c>
      <c r="D15095" t="str">
        <f>HYPERLINK("https://zfin.org/ZDB-GENE-030131-6294")</f>
        <v>https://zfin.org/ZDB-GENE-030131-6294</v>
      </c>
      <c r="E15095" t="s">
        <v>44862</v>
      </c>
    </row>
    <row r="15096" spans="1:5" x14ac:dyDescent="0.2">
      <c r="A15096" t="s">
        <v>44863</v>
      </c>
      <c r="B15096" t="s">
        <v>44864</v>
      </c>
      <c r="C15096" t="s">
        <v>44864</v>
      </c>
      <c r="D15096" t="str">
        <f>HYPERLINK("https://zfin.org/ZDB-GENE-030131-9864")</f>
        <v>https://zfin.org/ZDB-GENE-030131-9864</v>
      </c>
      <c r="E15096" t="s">
        <v>44865</v>
      </c>
    </row>
    <row r="15097" spans="1:5" x14ac:dyDescent="0.2">
      <c r="A15097" t="s">
        <v>44866</v>
      </c>
      <c r="B15097" t="s">
        <v>7073</v>
      </c>
      <c r="C15097" t="s">
        <v>44867</v>
      </c>
      <c r="D15097" t="str">
        <f>HYPERLINK("https://zfin.org/ZDB-GENE-110914-204")</f>
        <v>https://zfin.org/ZDB-GENE-110914-204</v>
      </c>
      <c r="E15097" t="s">
        <v>44868</v>
      </c>
    </row>
    <row r="15098" spans="1:5" x14ac:dyDescent="0.2">
      <c r="A15098" t="s">
        <v>44869</v>
      </c>
      <c r="B15098" t="s">
        <v>44870</v>
      </c>
      <c r="C15098" t="s">
        <v>44870</v>
      </c>
      <c r="D15098" t="str">
        <f>HYPERLINK("https://zfin.org/ZDB-GENE-060825-186")</f>
        <v>https://zfin.org/ZDB-GENE-060825-186</v>
      </c>
      <c r="E15098" t="s">
        <v>44871</v>
      </c>
    </row>
    <row r="15099" spans="1:5" x14ac:dyDescent="0.2">
      <c r="A15099" t="s">
        <v>44872</v>
      </c>
      <c r="B15099" t="s">
        <v>44873</v>
      </c>
      <c r="C15099" t="s">
        <v>44873</v>
      </c>
      <c r="D15099" t="str">
        <f>HYPERLINK("https://zfin.org/")</f>
        <v>https://zfin.org/</v>
      </c>
    </row>
    <row r="15100" spans="1:5" x14ac:dyDescent="0.2">
      <c r="A15100" t="s">
        <v>44874</v>
      </c>
      <c r="B15100" t="s">
        <v>44875</v>
      </c>
      <c r="C15100" t="s">
        <v>44875</v>
      </c>
      <c r="D15100" t="str">
        <f>HYPERLINK("https://zfin.org/")</f>
        <v>https://zfin.org/</v>
      </c>
    </row>
    <row r="15101" spans="1:5" x14ac:dyDescent="0.2">
      <c r="A15101" t="s">
        <v>44876</v>
      </c>
      <c r="B15101" t="s">
        <v>44877</v>
      </c>
      <c r="C15101" t="s">
        <v>44877</v>
      </c>
      <c r="D15101" t="str">
        <f>HYPERLINK("https://zfin.org/")</f>
        <v>https://zfin.org/</v>
      </c>
    </row>
    <row r="15102" spans="1:5" x14ac:dyDescent="0.2">
      <c r="A15102" t="s">
        <v>44878</v>
      </c>
      <c r="B15102" t="s">
        <v>44879</v>
      </c>
      <c r="C15102" t="s">
        <v>44879</v>
      </c>
      <c r="D15102" t="str">
        <f>HYPERLINK("https://zfin.org/")</f>
        <v>https://zfin.org/</v>
      </c>
    </row>
    <row r="15103" spans="1:5" x14ac:dyDescent="0.2">
      <c r="A15103" t="s">
        <v>44880</v>
      </c>
      <c r="B15103" t="s">
        <v>44881</v>
      </c>
      <c r="C15103" t="s">
        <v>44881</v>
      </c>
      <c r="D15103" t="str">
        <f>HYPERLINK("https://zfin.org/ZDB-GENE-040426-1017")</f>
        <v>https://zfin.org/ZDB-GENE-040426-1017</v>
      </c>
      <c r="E15103" t="s">
        <v>44882</v>
      </c>
    </row>
    <row r="15104" spans="1:5" x14ac:dyDescent="0.2">
      <c r="A15104" t="s">
        <v>44883</v>
      </c>
      <c r="B15104" t="s">
        <v>44884</v>
      </c>
      <c r="C15104" t="s">
        <v>44884</v>
      </c>
      <c r="D15104" t="str">
        <f>HYPERLINK("https://zfin.org/ZDB-GENE-040426-738")</f>
        <v>https://zfin.org/ZDB-GENE-040426-738</v>
      </c>
      <c r="E15104" t="s">
        <v>44885</v>
      </c>
    </row>
    <row r="15105" spans="1:5" x14ac:dyDescent="0.2">
      <c r="A15105" t="s">
        <v>44886</v>
      </c>
      <c r="B15105" t="s">
        <v>40787</v>
      </c>
      <c r="C15105" t="s">
        <v>44887</v>
      </c>
      <c r="D15105" t="str">
        <f>HYPERLINK("https://zfin.org/ZDB-GENE-050306-36")</f>
        <v>https://zfin.org/ZDB-GENE-050306-36</v>
      </c>
      <c r="E15105" t="s">
        <v>44888</v>
      </c>
    </row>
    <row r="15106" spans="1:5" x14ac:dyDescent="0.2">
      <c r="A15106" t="s">
        <v>44889</v>
      </c>
      <c r="B15106" t="s">
        <v>44890</v>
      </c>
      <c r="C15106" t="s">
        <v>44890</v>
      </c>
      <c r="D15106" t="str">
        <f>HYPERLINK("https://zfin.org/ZDB-GENE-030131-2816")</f>
        <v>https://zfin.org/ZDB-GENE-030131-2816</v>
      </c>
      <c r="E15106" t="s">
        <v>44891</v>
      </c>
    </row>
    <row r="15107" spans="1:5" x14ac:dyDescent="0.2">
      <c r="A15107" t="s">
        <v>44892</v>
      </c>
      <c r="B15107" t="s">
        <v>44893</v>
      </c>
      <c r="C15107" t="s">
        <v>44893</v>
      </c>
      <c r="D15107" t="str">
        <f>HYPERLINK("https://zfin.org/")</f>
        <v>https://zfin.org/</v>
      </c>
      <c r="E15107" t="s">
        <v>44894</v>
      </c>
    </row>
    <row r="15108" spans="1:5" x14ac:dyDescent="0.2">
      <c r="A15108" t="s">
        <v>44895</v>
      </c>
      <c r="B15108" t="s">
        <v>44896</v>
      </c>
      <c r="C15108" t="s">
        <v>44896</v>
      </c>
      <c r="D15108" t="str">
        <f>HYPERLINK("https://zfin.org/ZDB-GENE-040426-1208")</f>
        <v>https://zfin.org/ZDB-GENE-040426-1208</v>
      </c>
      <c r="E15108" t="s">
        <v>44897</v>
      </c>
    </row>
    <row r="15109" spans="1:5" x14ac:dyDescent="0.2">
      <c r="A15109" t="s">
        <v>44898</v>
      </c>
      <c r="B15109" t="s">
        <v>44899</v>
      </c>
      <c r="C15109" t="s">
        <v>44899</v>
      </c>
      <c r="D15109" t="str">
        <f t="shared" ref="D15109:D15114" si="14">HYPERLINK("https://zfin.org/")</f>
        <v>https://zfin.org/</v>
      </c>
      <c r="E15109" t="s">
        <v>44900</v>
      </c>
    </row>
    <row r="15110" spans="1:5" x14ac:dyDescent="0.2">
      <c r="A15110" t="s">
        <v>44901</v>
      </c>
      <c r="B15110" t="s">
        <v>44902</v>
      </c>
      <c r="C15110" t="s">
        <v>44902</v>
      </c>
      <c r="D15110" t="str">
        <f t="shared" si="14"/>
        <v>https://zfin.org/</v>
      </c>
      <c r="E15110" t="s">
        <v>44903</v>
      </c>
    </row>
    <row r="15111" spans="1:5" x14ac:dyDescent="0.2">
      <c r="A15111" t="s">
        <v>44904</v>
      </c>
      <c r="B15111" t="s">
        <v>44905</v>
      </c>
      <c r="C15111" t="s">
        <v>44905</v>
      </c>
      <c r="D15111" t="str">
        <f t="shared" si="14"/>
        <v>https://zfin.org/</v>
      </c>
    </row>
    <row r="15112" spans="1:5" x14ac:dyDescent="0.2">
      <c r="A15112" t="s">
        <v>44906</v>
      </c>
      <c r="B15112" t="s">
        <v>44907</v>
      </c>
      <c r="C15112" t="s">
        <v>44907</v>
      </c>
      <c r="D15112" t="str">
        <f t="shared" si="14"/>
        <v>https://zfin.org/</v>
      </c>
      <c r="E15112" t="s">
        <v>44908</v>
      </c>
    </row>
    <row r="15113" spans="1:5" x14ac:dyDescent="0.2">
      <c r="A15113" t="s">
        <v>44909</v>
      </c>
      <c r="B15113" t="s">
        <v>44910</v>
      </c>
      <c r="C15113" t="s">
        <v>44910</v>
      </c>
      <c r="D15113" t="str">
        <f t="shared" si="14"/>
        <v>https://zfin.org/</v>
      </c>
      <c r="E15113" t="s">
        <v>44911</v>
      </c>
    </row>
    <row r="15114" spans="1:5" x14ac:dyDescent="0.2">
      <c r="A15114" t="s">
        <v>44912</v>
      </c>
      <c r="B15114" t="s">
        <v>44913</v>
      </c>
      <c r="C15114" t="s">
        <v>44913</v>
      </c>
      <c r="D15114" t="str">
        <f t="shared" si="14"/>
        <v>https://zfin.org/</v>
      </c>
      <c r="E15114" t="s">
        <v>44914</v>
      </c>
    </row>
    <row r="15115" spans="1:5" x14ac:dyDescent="0.2">
      <c r="A15115" t="s">
        <v>44915</v>
      </c>
      <c r="B15115" t="s">
        <v>44916</v>
      </c>
      <c r="C15115" t="s">
        <v>44917</v>
      </c>
      <c r="D15115" t="str">
        <f>HYPERLINK("https://zfin.org/ZDB-GENE-050208-62")</f>
        <v>https://zfin.org/ZDB-GENE-050208-62</v>
      </c>
      <c r="E15115" t="s">
        <v>44918</v>
      </c>
    </row>
    <row r="15116" spans="1:5" x14ac:dyDescent="0.2">
      <c r="A15116" t="s">
        <v>44919</v>
      </c>
      <c r="B15116" t="s">
        <v>44920</v>
      </c>
      <c r="C15116" t="s">
        <v>44920</v>
      </c>
      <c r="D15116" t="str">
        <f>HYPERLINK("https://zfin.org/")</f>
        <v>https://zfin.org/</v>
      </c>
    </row>
    <row r="15117" spans="1:5" x14ac:dyDescent="0.2">
      <c r="A15117" t="s">
        <v>44921</v>
      </c>
      <c r="B15117" t="s">
        <v>44922</v>
      </c>
      <c r="C15117" t="s">
        <v>44922</v>
      </c>
      <c r="D15117" t="str">
        <f>HYPERLINK("https://zfin.org/ZDB-GENE-111104-3")</f>
        <v>https://zfin.org/ZDB-GENE-111104-3</v>
      </c>
      <c r="E15117" t="s">
        <v>44923</v>
      </c>
    </row>
    <row r="15118" spans="1:5" x14ac:dyDescent="0.2">
      <c r="A15118" t="s">
        <v>44924</v>
      </c>
      <c r="B15118" t="s">
        <v>44925</v>
      </c>
      <c r="C15118" t="s">
        <v>44925</v>
      </c>
      <c r="D15118" t="str">
        <f>HYPERLINK("https://zfin.org/")</f>
        <v>https://zfin.org/</v>
      </c>
      <c r="E15118" t="s">
        <v>44926</v>
      </c>
    </row>
    <row r="15119" spans="1:5" x14ac:dyDescent="0.2">
      <c r="A15119" t="s">
        <v>44927</v>
      </c>
      <c r="B15119" t="s">
        <v>44928</v>
      </c>
      <c r="C15119" t="s">
        <v>44928</v>
      </c>
      <c r="D15119" t="str">
        <f>HYPERLINK("https://zfin.org/ZDB-GENE-061103-541")</f>
        <v>https://zfin.org/ZDB-GENE-061103-541</v>
      </c>
      <c r="E15119" t="s">
        <v>44929</v>
      </c>
    </row>
    <row r="15120" spans="1:5" x14ac:dyDescent="0.2">
      <c r="A15120" t="s">
        <v>44930</v>
      </c>
      <c r="B15120" t="s">
        <v>44931</v>
      </c>
      <c r="C15120" t="s">
        <v>44931</v>
      </c>
      <c r="D15120" t="str">
        <f>HYPERLINK("https://zfin.org/ZDB-GENE-030131-1731")</f>
        <v>https://zfin.org/ZDB-GENE-030131-1731</v>
      </c>
      <c r="E15120" t="s">
        <v>44932</v>
      </c>
    </row>
    <row r="15121" spans="1:5" x14ac:dyDescent="0.2">
      <c r="A15121" t="s">
        <v>44933</v>
      </c>
      <c r="B15121" t="s">
        <v>44934</v>
      </c>
      <c r="C15121" t="s">
        <v>44934</v>
      </c>
      <c r="D15121" t="str">
        <f t="shared" ref="D15121:D15126" si="15">HYPERLINK("https://zfin.org/")</f>
        <v>https://zfin.org/</v>
      </c>
      <c r="E15121" t="s">
        <v>44935</v>
      </c>
    </row>
    <row r="15122" spans="1:5" x14ac:dyDescent="0.2">
      <c r="A15122" t="s">
        <v>44936</v>
      </c>
      <c r="B15122" t="s">
        <v>44937</v>
      </c>
      <c r="C15122" t="s">
        <v>44937</v>
      </c>
      <c r="D15122" t="str">
        <f t="shared" si="15"/>
        <v>https://zfin.org/</v>
      </c>
      <c r="E15122" t="s">
        <v>44938</v>
      </c>
    </row>
    <row r="15123" spans="1:5" x14ac:dyDescent="0.2">
      <c r="A15123" t="s">
        <v>44939</v>
      </c>
      <c r="B15123" t="s">
        <v>44940</v>
      </c>
      <c r="C15123" t="s">
        <v>44940</v>
      </c>
      <c r="D15123" t="str">
        <f t="shared" si="15"/>
        <v>https://zfin.org/</v>
      </c>
      <c r="E15123" t="s">
        <v>44941</v>
      </c>
    </row>
    <row r="15124" spans="1:5" x14ac:dyDescent="0.2">
      <c r="A15124" t="s">
        <v>44942</v>
      </c>
      <c r="B15124" t="s">
        <v>44943</v>
      </c>
      <c r="C15124" t="s">
        <v>44943</v>
      </c>
      <c r="D15124" t="str">
        <f t="shared" si="15"/>
        <v>https://zfin.org/</v>
      </c>
      <c r="E15124" t="s">
        <v>44944</v>
      </c>
    </row>
    <row r="15125" spans="1:5" x14ac:dyDescent="0.2">
      <c r="A15125" t="s">
        <v>44945</v>
      </c>
      <c r="B15125" t="s">
        <v>44946</v>
      </c>
      <c r="C15125" t="s">
        <v>44946</v>
      </c>
      <c r="D15125" t="str">
        <f t="shared" si="15"/>
        <v>https://zfin.org/</v>
      </c>
    </row>
    <row r="15126" spans="1:5" x14ac:dyDescent="0.2">
      <c r="A15126" t="s">
        <v>44947</v>
      </c>
      <c r="B15126" t="s">
        <v>44948</v>
      </c>
      <c r="C15126" t="s">
        <v>44948</v>
      </c>
      <c r="D15126" t="str">
        <f t="shared" si="15"/>
        <v>https://zfin.org/</v>
      </c>
    </row>
    <row r="15127" spans="1:5" x14ac:dyDescent="0.2">
      <c r="A15127" t="s">
        <v>44949</v>
      </c>
      <c r="B15127" t="s">
        <v>44950</v>
      </c>
      <c r="C15127" t="s">
        <v>44950</v>
      </c>
      <c r="D15127" t="str">
        <f>HYPERLINK("https://zfin.org/ZDB-GENE-060929-1018")</f>
        <v>https://zfin.org/ZDB-GENE-060929-1018</v>
      </c>
      <c r="E15127" t="s">
        <v>44951</v>
      </c>
    </row>
    <row r="15128" spans="1:5" x14ac:dyDescent="0.2">
      <c r="A15128" t="s">
        <v>44952</v>
      </c>
      <c r="B15128" t="s">
        <v>44953</v>
      </c>
      <c r="C15128" t="s">
        <v>44953</v>
      </c>
      <c r="D15128" t="str">
        <f>HYPERLINK("https://zfin.org/")</f>
        <v>https://zfin.org/</v>
      </c>
    </row>
    <row r="15129" spans="1:5" x14ac:dyDescent="0.2">
      <c r="A15129" t="s">
        <v>44954</v>
      </c>
      <c r="B15129" t="s">
        <v>44955</v>
      </c>
      <c r="C15129" t="s">
        <v>44955</v>
      </c>
      <c r="D15129" t="str">
        <f>HYPERLINK("https://zfin.org/ZDB-GENE-041212-55")</f>
        <v>https://zfin.org/ZDB-GENE-041212-55</v>
      </c>
      <c r="E15129" t="s">
        <v>44956</v>
      </c>
    </row>
    <row r="15130" spans="1:5" x14ac:dyDescent="0.2">
      <c r="A15130" t="s">
        <v>44957</v>
      </c>
      <c r="B15130" t="s">
        <v>44958</v>
      </c>
      <c r="C15130" t="s">
        <v>44958</v>
      </c>
      <c r="D15130" t="str">
        <f>HYPERLINK("https://zfin.org/")</f>
        <v>https://zfin.org/</v>
      </c>
    </row>
    <row r="15131" spans="1:5" x14ac:dyDescent="0.2">
      <c r="A15131" t="s">
        <v>44959</v>
      </c>
      <c r="B15131" t="s">
        <v>44960</v>
      </c>
      <c r="C15131" t="s">
        <v>44960</v>
      </c>
      <c r="D15131" t="str">
        <f>HYPERLINK("https://zfin.org/")</f>
        <v>https://zfin.org/</v>
      </c>
    </row>
    <row r="15132" spans="1:5" x14ac:dyDescent="0.2">
      <c r="A15132" t="s">
        <v>44961</v>
      </c>
      <c r="B15132" t="s">
        <v>44962</v>
      </c>
      <c r="C15132" t="s">
        <v>44962</v>
      </c>
      <c r="D15132" t="str">
        <f>HYPERLINK("https://zfin.org/ZDB-GENE-040426-2523")</f>
        <v>https://zfin.org/ZDB-GENE-040426-2523</v>
      </c>
      <c r="E15132" t="s">
        <v>44963</v>
      </c>
    </row>
    <row r="15133" spans="1:5" x14ac:dyDescent="0.2">
      <c r="A15133" t="s">
        <v>44964</v>
      </c>
      <c r="B15133" t="s">
        <v>41362</v>
      </c>
      <c r="C15133" t="s">
        <v>44965</v>
      </c>
      <c r="D15133" t="str">
        <f>HYPERLINK("https://zfin.org/ZDB-GENE-070410-34")</f>
        <v>https://zfin.org/ZDB-GENE-070410-34</v>
      </c>
      <c r="E15133" t="s">
        <v>41363</v>
      </c>
    </row>
    <row r="15134" spans="1:5" x14ac:dyDescent="0.2">
      <c r="A15134" t="s">
        <v>44966</v>
      </c>
      <c r="B15134" t="s">
        <v>44967</v>
      </c>
      <c r="C15134" t="s">
        <v>44967</v>
      </c>
      <c r="D15134" t="str">
        <f>HYPERLINK("https://zfin.org/ZDB-GENE-030131-9792")</f>
        <v>https://zfin.org/ZDB-GENE-030131-9792</v>
      </c>
      <c r="E15134" t="s">
        <v>44968</v>
      </c>
    </row>
    <row r="15135" spans="1:5" x14ac:dyDescent="0.2">
      <c r="A15135" t="s">
        <v>44969</v>
      </c>
      <c r="B15135" t="s">
        <v>44970</v>
      </c>
      <c r="C15135" t="s">
        <v>44970</v>
      </c>
      <c r="D15135" t="str">
        <f>HYPERLINK("https://zfin.org/ZDB-GENE-080204-35")</f>
        <v>https://zfin.org/ZDB-GENE-080204-35</v>
      </c>
      <c r="E15135" t="s">
        <v>44971</v>
      </c>
    </row>
    <row r="15136" spans="1:5" x14ac:dyDescent="0.2">
      <c r="A15136" t="s">
        <v>44972</v>
      </c>
      <c r="B15136" t="s">
        <v>44973</v>
      </c>
      <c r="C15136" t="s">
        <v>44973</v>
      </c>
      <c r="D15136" t="str">
        <f>HYPERLINK("https://zfin.org/")</f>
        <v>https://zfin.org/</v>
      </c>
      <c r="E15136" t="s">
        <v>44974</v>
      </c>
    </row>
    <row r="15137" spans="1:5" x14ac:dyDescent="0.2">
      <c r="A15137" t="s">
        <v>44975</v>
      </c>
      <c r="B15137" t="s">
        <v>44976</v>
      </c>
      <c r="C15137" t="s">
        <v>44976</v>
      </c>
      <c r="D15137" t="str">
        <f>HYPERLINK("https://zfin.org/")</f>
        <v>https://zfin.org/</v>
      </c>
    </row>
    <row r="15138" spans="1:5" x14ac:dyDescent="0.2">
      <c r="A15138" t="s">
        <v>44977</v>
      </c>
      <c r="B15138" t="s">
        <v>44978</v>
      </c>
      <c r="C15138" t="s">
        <v>44978</v>
      </c>
      <c r="D15138" t="str">
        <f>HYPERLINK("https://zfin.org/ZDB-GENE-040426-869")</f>
        <v>https://zfin.org/ZDB-GENE-040426-869</v>
      </c>
      <c r="E15138" t="s">
        <v>44979</v>
      </c>
    </row>
    <row r="15139" spans="1:5" x14ac:dyDescent="0.2">
      <c r="A15139" t="s">
        <v>44980</v>
      </c>
      <c r="B15139" t="s">
        <v>44981</v>
      </c>
      <c r="C15139" t="s">
        <v>44981</v>
      </c>
      <c r="D15139" t="str">
        <f>HYPERLINK("https://zfin.org/")</f>
        <v>https://zfin.org/</v>
      </c>
    </row>
    <row r="15140" spans="1:5" x14ac:dyDescent="0.2">
      <c r="A15140" t="s">
        <v>44982</v>
      </c>
      <c r="B15140" t="s">
        <v>44983</v>
      </c>
      <c r="C15140" t="s">
        <v>44983</v>
      </c>
      <c r="D15140" t="str">
        <f>HYPERLINK("https://zfin.org/ZDB-GENE-040426-1644")</f>
        <v>https://zfin.org/ZDB-GENE-040426-1644</v>
      </c>
      <c r="E15140" t="s">
        <v>44984</v>
      </c>
    </row>
    <row r="15141" spans="1:5" x14ac:dyDescent="0.2">
      <c r="A15141" t="s">
        <v>44985</v>
      </c>
      <c r="B15141" t="s">
        <v>44986</v>
      </c>
      <c r="C15141" t="s">
        <v>44986</v>
      </c>
      <c r="D15141" t="str">
        <f>HYPERLINK("https://zfin.org/")</f>
        <v>https://zfin.org/</v>
      </c>
      <c r="E15141" t="s">
        <v>44987</v>
      </c>
    </row>
    <row r="15142" spans="1:5" x14ac:dyDescent="0.2">
      <c r="A15142" t="s">
        <v>44988</v>
      </c>
      <c r="B15142" t="s">
        <v>44989</v>
      </c>
      <c r="C15142" t="s">
        <v>44989</v>
      </c>
      <c r="D15142" t="str">
        <f>HYPERLINK("https://zfin.org/")</f>
        <v>https://zfin.org/</v>
      </c>
      <c r="E15142" t="s">
        <v>44990</v>
      </c>
    </row>
    <row r="15143" spans="1:5" x14ac:dyDescent="0.2">
      <c r="A15143" t="s">
        <v>44991</v>
      </c>
      <c r="B15143" t="s">
        <v>44992</v>
      </c>
      <c r="C15143" t="s">
        <v>44992</v>
      </c>
      <c r="D15143" t="str">
        <f>HYPERLINK("https://zfin.org/ZDB-GENE-031201-1")</f>
        <v>https://zfin.org/ZDB-GENE-031201-1</v>
      </c>
      <c r="E15143" t="s">
        <v>44993</v>
      </c>
    </row>
    <row r="15144" spans="1:5" x14ac:dyDescent="0.2">
      <c r="A15144" t="s">
        <v>44994</v>
      </c>
      <c r="B15144" t="s">
        <v>44995</v>
      </c>
      <c r="C15144" t="s">
        <v>44995</v>
      </c>
      <c r="D15144" t="str">
        <f>HYPERLINK("https://zfin.org/ZDB-GENE-040718-467")</f>
        <v>https://zfin.org/ZDB-GENE-040718-467</v>
      </c>
      <c r="E15144" t="s">
        <v>44996</v>
      </c>
    </row>
    <row r="15145" spans="1:5" x14ac:dyDescent="0.2">
      <c r="A15145" t="s">
        <v>44997</v>
      </c>
      <c r="B15145" t="s">
        <v>44998</v>
      </c>
      <c r="C15145" t="s">
        <v>44998</v>
      </c>
      <c r="D15145" t="str">
        <f>HYPERLINK("https://zfin.org/ZDB-GENE-041121-9")</f>
        <v>https://zfin.org/ZDB-GENE-041121-9</v>
      </c>
      <c r="E15145" t="s">
        <v>44999</v>
      </c>
    </row>
    <row r="15146" spans="1:5" x14ac:dyDescent="0.2">
      <c r="A15146" t="s">
        <v>45000</v>
      </c>
      <c r="B15146" t="s">
        <v>45001</v>
      </c>
      <c r="C15146" t="s">
        <v>45001</v>
      </c>
      <c r="D15146" t="str">
        <f>HYPERLINK("https://zfin.org/")</f>
        <v>https://zfin.org/</v>
      </c>
      <c r="E15146" t="s">
        <v>45002</v>
      </c>
    </row>
    <row r="15147" spans="1:5" x14ac:dyDescent="0.2">
      <c r="A15147" t="s">
        <v>45003</v>
      </c>
      <c r="B15147" t="s">
        <v>45004</v>
      </c>
      <c r="C15147" t="s">
        <v>45004</v>
      </c>
      <c r="D15147" t="str">
        <f>HYPERLINK("https://zfin.org/ZDB-GENE-080220-12")</f>
        <v>https://zfin.org/ZDB-GENE-080220-12</v>
      </c>
      <c r="E15147" t="s">
        <v>45005</v>
      </c>
    </row>
    <row r="15148" spans="1:5" x14ac:dyDescent="0.2">
      <c r="A15148" t="s">
        <v>45006</v>
      </c>
      <c r="B15148" t="s">
        <v>45007</v>
      </c>
      <c r="C15148" t="s">
        <v>45007</v>
      </c>
      <c r="D15148" t="str">
        <f>HYPERLINK("https://zfin.org/")</f>
        <v>https://zfin.org/</v>
      </c>
      <c r="E15148" t="s">
        <v>45008</v>
      </c>
    </row>
    <row r="15149" spans="1:5" x14ac:dyDescent="0.2">
      <c r="A15149" t="s">
        <v>45009</v>
      </c>
      <c r="B15149" t="s">
        <v>19037</v>
      </c>
      <c r="C15149" t="s">
        <v>45010</v>
      </c>
      <c r="D15149" t="str">
        <f>HYPERLINK("https://zfin.org/")</f>
        <v>https://zfin.org/</v>
      </c>
      <c r="E15149" t="s">
        <v>45011</v>
      </c>
    </row>
    <row r="15150" spans="1:5" x14ac:dyDescent="0.2">
      <c r="A15150" t="s">
        <v>45012</v>
      </c>
      <c r="B15150" t="s">
        <v>45013</v>
      </c>
      <c r="C15150" t="s">
        <v>45013</v>
      </c>
      <c r="D15150" t="str">
        <f>HYPERLINK("https://zfin.org/")</f>
        <v>https://zfin.org/</v>
      </c>
    </row>
    <row r="15151" spans="1:5" x14ac:dyDescent="0.2">
      <c r="A15151" t="s">
        <v>45014</v>
      </c>
      <c r="B15151" t="s">
        <v>45015</v>
      </c>
      <c r="C15151" t="s">
        <v>45016</v>
      </c>
      <c r="D15151" t="str">
        <f>HYPERLINK("https://zfin.org/")</f>
        <v>https://zfin.org/</v>
      </c>
      <c r="E15151" t="s">
        <v>45017</v>
      </c>
    </row>
    <row r="15152" spans="1:5" x14ac:dyDescent="0.2">
      <c r="A15152" t="s">
        <v>45018</v>
      </c>
      <c r="B15152" t="s">
        <v>45019</v>
      </c>
      <c r="C15152" t="s">
        <v>45019</v>
      </c>
      <c r="D15152" t="str">
        <f>HYPERLINK("https://zfin.org/ZDB-GENE-060929-910")</f>
        <v>https://zfin.org/ZDB-GENE-060929-910</v>
      </c>
      <c r="E15152" t="s">
        <v>45020</v>
      </c>
    </row>
    <row r="15153" spans="1:5" x14ac:dyDescent="0.2">
      <c r="A15153" t="s">
        <v>45021</v>
      </c>
      <c r="B15153" t="s">
        <v>41934</v>
      </c>
      <c r="C15153" t="s">
        <v>45022</v>
      </c>
      <c r="D15153" t="str">
        <f>HYPERLINK("https://zfin.org/ZDB-GENE-040426-1272")</f>
        <v>https://zfin.org/ZDB-GENE-040426-1272</v>
      </c>
      <c r="E15153" t="s">
        <v>41935</v>
      </c>
    </row>
    <row r="15154" spans="1:5" x14ac:dyDescent="0.2">
      <c r="A15154" t="s">
        <v>45023</v>
      </c>
      <c r="B15154" t="s">
        <v>45024</v>
      </c>
      <c r="C15154" t="s">
        <v>45024</v>
      </c>
      <c r="D15154" t="str">
        <f>HYPERLINK("https://zfin.org/ZDB-GENE-040426-1123")</f>
        <v>https://zfin.org/ZDB-GENE-040426-1123</v>
      </c>
      <c r="E15154" t="s">
        <v>45025</v>
      </c>
    </row>
    <row r="15155" spans="1:5" x14ac:dyDescent="0.2">
      <c r="A15155" t="s">
        <v>45026</v>
      </c>
      <c r="B15155" t="s">
        <v>45027</v>
      </c>
      <c r="C15155" t="s">
        <v>45027</v>
      </c>
      <c r="D15155" t="str">
        <f>HYPERLINK("https://zfin.org/")</f>
        <v>https://zfin.org/</v>
      </c>
      <c r="E15155" t="s">
        <v>45028</v>
      </c>
    </row>
    <row r="15156" spans="1:5" x14ac:dyDescent="0.2">
      <c r="A15156" t="s">
        <v>45029</v>
      </c>
      <c r="B15156" t="s">
        <v>45030</v>
      </c>
      <c r="C15156" t="s">
        <v>45030</v>
      </c>
      <c r="D15156" t="str">
        <f>HYPERLINK("https://zfin.org/ZDB-GENE-030131-6366")</f>
        <v>https://zfin.org/ZDB-GENE-030131-6366</v>
      </c>
      <c r="E15156" t="s">
        <v>45031</v>
      </c>
    </row>
    <row r="15157" spans="1:5" x14ac:dyDescent="0.2">
      <c r="A15157" t="s">
        <v>45032</v>
      </c>
      <c r="B15157" t="s">
        <v>45033</v>
      </c>
      <c r="C15157" t="s">
        <v>45033</v>
      </c>
      <c r="D15157" t="str">
        <f>HYPERLINK("https://zfin.org/")</f>
        <v>https://zfin.org/</v>
      </c>
    </row>
    <row r="15158" spans="1:5" x14ac:dyDescent="0.2">
      <c r="A15158" t="s">
        <v>45034</v>
      </c>
      <c r="B15158" t="s">
        <v>45035</v>
      </c>
      <c r="C15158" t="s">
        <v>45035</v>
      </c>
      <c r="D15158" t="str">
        <f>HYPERLINK("https://zfin.org/")</f>
        <v>https://zfin.org/</v>
      </c>
      <c r="E15158" t="s">
        <v>45036</v>
      </c>
    </row>
    <row r="15159" spans="1:5" x14ac:dyDescent="0.2">
      <c r="A15159" t="s">
        <v>45037</v>
      </c>
      <c r="B15159" t="s">
        <v>45038</v>
      </c>
      <c r="C15159" t="s">
        <v>45038</v>
      </c>
      <c r="D15159" t="str">
        <f>HYPERLINK("https://zfin.org/ZDB-GENE-031117-1")</f>
        <v>https://zfin.org/ZDB-GENE-031117-1</v>
      </c>
      <c r="E15159" t="s">
        <v>45039</v>
      </c>
    </row>
    <row r="15160" spans="1:5" x14ac:dyDescent="0.2">
      <c r="A15160" t="s">
        <v>45040</v>
      </c>
      <c r="B15160" t="s">
        <v>45041</v>
      </c>
      <c r="C15160" t="s">
        <v>45041</v>
      </c>
      <c r="D15160" t="str">
        <f>HYPERLINK("https://zfin.org/ZDB-GENE-080522-2")</f>
        <v>https://zfin.org/ZDB-GENE-080522-2</v>
      </c>
      <c r="E15160" t="s">
        <v>45042</v>
      </c>
    </row>
    <row r="15161" spans="1:5" x14ac:dyDescent="0.2">
      <c r="A15161" t="s">
        <v>45043</v>
      </c>
      <c r="B15161" t="s">
        <v>45044</v>
      </c>
      <c r="C15161" t="s">
        <v>45044</v>
      </c>
      <c r="D15161" t="str">
        <f>HYPERLINK("https://zfin.org/ZDB-GENE-040426-965")</f>
        <v>https://zfin.org/ZDB-GENE-040426-965</v>
      </c>
      <c r="E15161" t="s">
        <v>45045</v>
      </c>
    </row>
    <row r="15162" spans="1:5" x14ac:dyDescent="0.2">
      <c r="A15162" t="s">
        <v>45046</v>
      </c>
      <c r="B15162" t="s">
        <v>45047</v>
      </c>
      <c r="C15162" t="s">
        <v>45047</v>
      </c>
      <c r="D15162" t="str">
        <f>HYPERLINK("https://zfin.org/")</f>
        <v>https://zfin.org/</v>
      </c>
    </row>
    <row r="15163" spans="1:5" x14ac:dyDescent="0.2">
      <c r="A15163" t="s">
        <v>45048</v>
      </c>
      <c r="B15163" t="s">
        <v>45049</v>
      </c>
      <c r="C15163" t="s">
        <v>45049</v>
      </c>
      <c r="D15163" t="str">
        <f>HYPERLINK("https://zfin.org/ZDB-GENE-080215-4")</f>
        <v>https://zfin.org/ZDB-GENE-080215-4</v>
      </c>
      <c r="E15163" t="s">
        <v>45050</v>
      </c>
    </row>
    <row r="15164" spans="1:5" x14ac:dyDescent="0.2">
      <c r="A15164" t="s">
        <v>45051</v>
      </c>
      <c r="B15164" t="s">
        <v>45052</v>
      </c>
      <c r="C15164" t="s">
        <v>45052</v>
      </c>
      <c r="D15164" t="str">
        <f>HYPERLINK("https://zfin.org/")</f>
        <v>https://zfin.org/</v>
      </c>
    </row>
    <row r="15165" spans="1:5" x14ac:dyDescent="0.2">
      <c r="A15165" t="s">
        <v>45053</v>
      </c>
      <c r="B15165" t="s">
        <v>45054</v>
      </c>
      <c r="C15165" t="s">
        <v>45054</v>
      </c>
      <c r="D15165" t="str">
        <f>HYPERLINK("https://zfin.org/")</f>
        <v>https://zfin.org/</v>
      </c>
      <c r="E15165" t="s">
        <v>45055</v>
      </c>
    </row>
    <row r="15166" spans="1:5" x14ac:dyDescent="0.2">
      <c r="A15166" t="s">
        <v>45056</v>
      </c>
      <c r="B15166" t="s">
        <v>45057</v>
      </c>
      <c r="C15166" t="s">
        <v>45057</v>
      </c>
      <c r="D15166" t="str">
        <f>HYPERLINK("https://zfin.org/ZDB-GENE-090521-5")</f>
        <v>https://zfin.org/ZDB-GENE-090521-5</v>
      </c>
      <c r="E15166" t="s">
        <v>45058</v>
      </c>
    </row>
    <row r="15167" spans="1:5" x14ac:dyDescent="0.2">
      <c r="A15167" t="s">
        <v>45059</v>
      </c>
      <c r="B15167" t="s">
        <v>45060</v>
      </c>
      <c r="C15167" t="s">
        <v>45060</v>
      </c>
      <c r="D15167" t="str">
        <f>HYPERLINK("https://zfin.org/")</f>
        <v>https://zfin.org/</v>
      </c>
      <c r="E15167" t="s">
        <v>45061</v>
      </c>
    </row>
    <row r="15168" spans="1:5" x14ac:dyDescent="0.2">
      <c r="A15168" t="s">
        <v>45062</v>
      </c>
      <c r="B15168" t="s">
        <v>45063</v>
      </c>
      <c r="C15168" t="s">
        <v>45063</v>
      </c>
      <c r="D15168" t="str">
        <f>HYPERLINK("https://zfin.org/ZDB-GENE-090810-1")</f>
        <v>https://zfin.org/ZDB-GENE-090810-1</v>
      </c>
      <c r="E15168" t="s">
        <v>45064</v>
      </c>
    </row>
    <row r="15169" spans="1:5" x14ac:dyDescent="0.2">
      <c r="A15169" t="s">
        <v>45065</v>
      </c>
      <c r="B15169" t="s">
        <v>45066</v>
      </c>
      <c r="C15169" t="s">
        <v>45066</v>
      </c>
      <c r="D15169" t="str">
        <f>HYPERLINK("https://zfin.org/")</f>
        <v>https://zfin.org/</v>
      </c>
      <c r="E15169" t="s">
        <v>45067</v>
      </c>
    </row>
    <row r="15170" spans="1:5" x14ac:dyDescent="0.2">
      <c r="A15170" t="s">
        <v>45068</v>
      </c>
      <c r="B15170" t="s">
        <v>45069</v>
      </c>
      <c r="C15170" t="s">
        <v>45069</v>
      </c>
      <c r="D15170" t="str">
        <f>HYPERLINK("https://zfin.org/")</f>
        <v>https://zfin.org/</v>
      </c>
    </row>
    <row r="15171" spans="1:5" x14ac:dyDescent="0.2">
      <c r="A15171" t="s">
        <v>45070</v>
      </c>
      <c r="B15171" t="s">
        <v>45071</v>
      </c>
      <c r="C15171" t="s">
        <v>45071</v>
      </c>
      <c r="D15171" t="str">
        <f>HYPERLINK("https://zfin.org/")</f>
        <v>https://zfin.org/</v>
      </c>
      <c r="E15171" t="s">
        <v>45072</v>
      </c>
    </row>
    <row r="15172" spans="1:5" x14ac:dyDescent="0.2">
      <c r="A15172" t="s">
        <v>45073</v>
      </c>
      <c r="B15172" t="s">
        <v>45074</v>
      </c>
      <c r="C15172" t="s">
        <v>45074</v>
      </c>
      <c r="D15172" t="str">
        <f>HYPERLINK("https://zfin.org/")</f>
        <v>https://zfin.org/</v>
      </c>
    </row>
    <row r="15173" spans="1:5" x14ac:dyDescent="0.2">
      <c r="A15173" t="s">
        <v>45075</v>
      </c>
      <c r="B15173" t="s">
        <v>45076</v>
      </c>
      <c r="C15173" t="s">
        <v>45076</v>
      </c>
      <c r="D15173" t="str">
        <f>HYPERLINK("https://zfin.org/ZDB-GENE-050506-75")</f>
        <v>https://zfin.org/ZDB-GENE-050506-75</v>
      </c>
      <c r="E15173" t="s">
        <v>45077</v>
      </c>
    </row>
    <row r="15174" spans="1:5" x14ac:dyDescent="0.2">
      <c r="A15174" t="s">
        <v>45078</v>
      </c>
      <c r="B15174" t="s">
        <v>45079</v>
      </c>
      <c r="C15174" t="s">
        <v>45079</v>
      </c>
      <c r="D15174" t="str">
        <f>HYPERLINK("https://zfin.org/ZDB-GENE-040426-1136")</f>
        <v>https://zfin.org/ZDB-GENE-040426-1136</v>
      </c>
      <c r="E15174" t="s">
        <v>45080</v>
      </c>
    </row>
    <row r="15175" spans="1:5" x14ac:dyDescent="0.2">
      <c r="A15175" t="s">
        <v>45081</v>
      </c>
      <c r="B15175" t="s">
        <v>45082</v>
      </c>
      <c r="C15175" t="s">
        <v>45082</v>
      </c>
      <c r="D15175" t="str">
        <f>HYPERLINK("https://zfin.org/ZDB-GENE-050310-1")</f>
        <v>https://zfin.org/ZDB-GENE-050310-1</v>
      </c>
      <c r="E15175" t="s">
        <v>45083</v>
      </c>
    </row>
    <row r="15176" spans="1:5" x14ac:dyDescent="0.2">
      <c r="A15176" t="s">
        <v>45084</v>
      </c>
      <c r="B15176" t="s">
        <v>45085</v>
      </c>
      <c r="C15176" t="s">
        <v>45085</v>
      </c>
      <c r="D15176" t="str">
        <f>HYPERLINK("https://zfin.org/")</f>
        <v>https://zfin.org/</v>
      </c>
      <c r="E15176" t="s">
        <v>45086</v>
      </c>
    </row>
    <row r="15177" spans="1:5" x14ac:dyDescent="0.2">
      <c r="A15177" t="s">
        <v>45087</v>
      </c>
      <c r="B15177" t="s">
        <v>45088</v>
      </c>
      <c r="C15177" t="s">
        <v>45088</v>
      </c>
      <c r="D15177" t="str">
        <f>HYPERLINK("https://zfin.org/ZDB-GENE-080204-99")</f>
        <v>https://zfin.org/ZDB-GENE-080204-99</v>
      </c>
      <c r="E15177" t="s">
        <v>45089</v>
      </c>
    </row>
    <row r="15178" spans="1:5" x14ac:dyDescent="0.2">
      <c r="A15178" t="s">
        <v>45090</v>
      </c>
      <c r="B15178" t="s">
        <v>45091</v>
      </c>
      <c r="C15178" t="s">
        <v>45091</v>
      </c>
      <c r="D15178" t="str">
        <f>HYPERLINK("https://zfin.org/")</f>
        <v>https://zfin.org/</v>
      </c>
    </row>
    <row r="15179" spans="1:5" x14ac:dyDescent="0.2">
      <c r="A15179" t="s">
        <v>45092</v>
      </c>
      <c r="B15179" t="s">
        <v>45093</v>
      </c>
      <c r="C15179" t="s">
        <v>45093</v>
      </c>
      <c r="D15179" t="str">
        <f>HYPERLINK("https://zfin.org/")</f>
        <v>https://zfin.org/</v>
      </c>
    </row>
    <row r="15180" spans="1:5" x14ac:dyDescent="0.2">
      <c r="A15180" t="s">
        <v>45094</v>
      </c>
      <c r="B15180" t="s">
        <v>45095</v>
      </c>
      <c r="C15180" t="s">
        <v>45095</v>
      </c>
      <c r="D15180" t="str">
        <f>HYPERLINK("https://zfin.org/ZDB-GENE-030131-7003")</f>
        <v>https://zfin.org/ZDB-GENE-030131-7003</v>
      </c>
      <c r="E15180" t="s">
        <v>45096</v>
      </c>
    </row>
    <row r="15181" spans="1:5" x14ac:dyDescent="0.2">
      <c r="A15181" t="s">
        <v>45097</v>
      </c>
      <c r="B15181" t="s">
        <v>45098</v>
      </c>
      <c r="C15181" t="s">
        <v>45098</v>
      </c>
      <c r="D15181" t="str">
        <f>HYPERLINK("https://zfin.org/ZDB-GENE-040718-217")</f>
        <v>https://zfin.org/ZDB-GENE-040718-217</v>
      </c>
      <c r="E15181" t="s">
        <v>45099</v>
      </c>
    </row>
    <row r="15182" spans="1:5" x14ac:dyDescent="0.2">
      <c r="A15182" t="s">
        <v>45100</v>
      </c>
      <c r="B15182" t="s">
        <v>45101</v>
      </c>
      <c r="C15182" t="s">
        <v>45101</v>
      </c>
      <c r="D15182" t="str">
        <f>HYPERLINK("https://zfin.org/ZDB-GENE-110401-3")</f>
        <v>https://zfin.org/ZDB-GENE-110401-3</v>
      </c>
      <c r="E15182" t="s">
        <v>45102</v>
      </c>
    </row>
    <row r="15183" spans="1:5" x14ac:dyDescent="0.2">
      <c r="A15183" t="s">
        <v>45103</v>
      </c>
      <c r="B15183" t="s">
        <v>45104</v>
      </c>
      <c r="C15183" t="s">
        <v>45104</v>
      </c>
      <c r="D15183" t="str">
        <f>HYPERLINK("https://zfin.org/ZDB-GENE-080220-52")</f>
        <v>https://zfin.org/ZDB-GENE-080220-52</v>
      </c>
      <c r="E15183" t="s">
        <v>45105</v>
      </c>
    </row>
    <row r="15184" spans="1:5" x14ac:dyDescent="0.2">
      <c r="A15184" t="s">
        <v>45106</v>
      </c>
      <c r="B15184" t="s">
        <v>45107</v>
      </c>
      <c r="C15184" t="s">
        <v>45107</v>
      </c>
      <c r="D15184" t="str">
        <f>HYPERLINK("https://zfin.org/")</f>
        <v>https://zfin.org/</v>
      </c>
    </row>
    <row r="15185" spans="1:5" x14ac:dyDescent="0.2">
      <c r="A15185" t="s">
        <v>45108</v>
      </c>
      <c r="B15185" t="s">
        <v>45109</v>
      </c>
      <c r="C15185" t="s">
        <v>45109</v>
      </c>
      <c r="D15185" t="str">
        <f>HYPERLINK("https://zfin.org/ZDB-GENE-030826-28")</f>
        <v>https://zfin.org/ZDB-GENE-030826-28</v>
      </c>
      <c r="E15185" t="s">
        <v>45110</v>
      </c>
    </row>
    <row r="15186" spans="1:5" x14ac:dyDescent="0.2">
      <c r="A15186" t="s">
        <v>45111</v>
      </c>
      <c r="B15186" t="s">
        <v>45112</v>
      </c>
      <c r="C15186" t="s">
        <v>45112</v>
      </c>
      <c r="D15186" t="str">
        <f>HYPERLINK("https://zfin.org/")</f>
        <v>https://zfin.org/</v>
      </c>
    </row>
    <row r="15187" spans="1:5" x14ac:dyDescent="0.2">
      <c r="A15187" t="s">
        <v>45113</v>
      </c>
      <c r="B15187" t="s">
        <v>45114</v>
      </c>
      <c r="C15187" t="s">
        <v>45114</v>
      </c>
      <c r="D15187" t="str">
        <f>HYPERLINK("https://zfin.org/ZDB-GENE-131024-2")</f>
        <v>https://zfin.org/ZDB-GENE-131024-2</v>
      </c>
      <c r="E15187" t="s">
        <v>45115</v>
      </c>
    </row>
    <row r="15188" spans="1:5" x14ac:dyDescent="0.2">
      <c r="A15188" t="s">
        <v>45116</v>
      </c>
      <c r="B15188" t="s">
        <v>45117</v>
      </c>
      <c r="C15188" t="s">
        <v>45117</v>
      </c>
      <c r="D15188" t="str">
        <f>HYPERLINK("https://zfin.org/ZDB-GENE-070209-125")</f>
        <v>https://zfin.org/ZDB-GENE-070209-125</v>
      </c>
      <c r="E15188" t="s">
        <v>45118</v>
      </c>
    </row>
    <row r="15189" spans="1:5" x14ac:dyDescent="0.2">
      <c r="A15189" t="s">
        <v>45119</v>
      </c>
      <c r="B15189" t="s">
        <v>45120</v>
      </c>
      <c r="C15189" t="s">
        <v>45120</v>
      </c>
      <c r="D15189" t="str">
        <f>HYPERLINK("https://zfin.org/ZDB-GENE-080305-6")</f>
        <v>https://zfin.org/ZDB-GENE-080305-6</v>
      </c>
      <c r="E15189" t="s">
        <v>45121</v>
      </c>
    </row>
    <row r="15190" spans="1:5" x14ac:dyDescent="0.2">
      <c r="A15190" t="s">
        <v>45122</v>
      </c>
      <c r="B15190" t="s">
        <v>45123</v>
      </c>
      <c r="C15190" t="s">
        <v>45123</v>
      </c>
      <c r="D15190" t="str">
        <f>HYPERLINK("https://zfin.org/ZDB-GENE-041114-95")</f>
        <v>https://zfin.org/ZDB-GENE-041114-95</v>
      </c>
      <c r="E15190" t="s">
        <v>45124</v>
      </c>
    </row>
    <row r="15191" spans="1:5" x14ac:dyDescent="0.2">
      <c r="A15191" t="s">
        <v>45125</v>
      </c>
      <c r="B15191" t="s">
        <v>45126</v>
      </c>
      <c r="C15191" t="s">
        <v>45126</v>
      </c>
      <c r="D15191" t="str">
        <f>HYPERLINK("https://zfin.org/ZDB-GENE-050208-102")</f>
        <v>https://zfin.org/ZDB-GENE-050208-102</v>
      </c>
      <c r="E15191" t="s">
        <v>45127</v>
      </c>
    </row>
    <row r="15192" spans="1:5" x14ac:dyDescent="0.2">
      <c r="A15192" t="s">
        <v>45128</v>
      </c>
      <c r="B15192" t="s">
        <v>45129</v>
      </c>
      <c r="C15192" t="s">
        <v>45129</v>
      </c>
      <c r="D15192" t="str">
        <f>HYPERLINK("https://zfin.org/ZDB-GENE-030131-6896")</f>
        <v>https://zfin.org/ZDB-GENE-030131-6896</v>
      </c>
      <c r="E15192" t="s">
        <v>45130</v>
      </c>
    </row>
    <row r="15193" spans="1:5" x14ac:dyDescent="0.2">
      <c r="A15193" t="s">
        <v>45131</v>
      </c>
      <c r="B15193" t="s">
        <v>45132</v>
      </c>
      <c r="C15193" t="s">
        <v>45132</v>
      </c>
      <c r="D15193" t="str">
        <f t="shared" ref="D15193:D15198" si="16">HYPERLINK("https://zfin.org/")</f>
        <v>https://zfin.org/</v>
      </c>
    </row>
    <row r="15194" spans="1:5" x14ac:dyDescent="0.2">
      <c r="A15194" t="s">
        <v>45133</v>
      </c>
      <c r="B15194" t="s">
        <v>45134</v>
      </c>
      <c r="C15194" t="s">
        <v>45134</v>
      </c>
      <c r="D15194" t="str">
        <f t="shared" si="16"/>
        <v>https://zfin.org/</v>
      </c>
      <c r="E15194" t="s">
        <v>45135</v>
      </c>
    </row>
    <row r="15195" spans="1:5" x14ac:dyDescent="0.2">
      <c r="A15195" t="s">
        <v>45136</v>
      </c>
      <c r="B15195" t="s">
        <v>45137</v>
      </c>
      <c r="C15195" t="s">
        <v>45137</v>
      </c>
      <c r="D15195" t="str">
        <f t="shared" si="16"/>
        <v>https://zfin.org/</v>
      </c>
    </row>
    <row r="15196" spans="1:5" x14ac:dyDescent="0.2">
      <c r="A15196" t="s">
        <v>45138</v>
      </c>
      <c r="B15196" t="s">
        <v>45139</v>
      </c>
      <c r="C15196" t="s">
        <v>45139</v>
      </c>
      <c r="D15196" t="str">
        <f t="shared" si="16"/>
        <v>https://zfin.org/</v>
      </c>
    </row>
    <row r="15197" spans="1:5" x14ac:dyDescent="0.2">
      <c r="A15197" t="s">
        <v>45140</v>
      </c>
      <c r="B15197" t="s">
        <v>45141</v>
      </c>
      <c r="C15197" t="s">
        <v>45141</v>
      </c>
      <c r="D15197" t="str">
        <f t="shared" si="16"/>
        <v>https://zfin.org/</v>
      </c>
      <c r="E15197" t="s">
        <v>45142</v>
      </c>
    </row>
    <row r="15198" spans="1:5" x14ac:dyDescent="0.2">
      <c r="A15198" t="s">
        <v>45143</v>
      </c>
      <c r="B15198" t="s">
        <v>45144</v>
      </c>
      <c r="C15198" t="s">
        <v>45144</v>
      </c>
      <c r="D15198" t="str">
        <f t="shared" si="16"/>
        <v>https://zfin.org/</v>
      </c>
    </row>
    <row r="15199" spans="1:5" x14ac:dyDescent="0.2">
      <c r="A15199" t="s">
        <v>45145</v>
      </c>
      <c r="B15199" t="s">
        <v>45146</v>
      </c>
      <c r="C15199" t="s">
        <v>45146</v>
      </c>
      <c r="D15199" t="str">
        <f>HYPERLINK("https://zfin.org/ZDB-GENE-040323-2")</f>
        <v>https://zfin.org/ZDB-GENE-040323-2</v>
      </c>
      <c r="E15199" t="s">
        <v>45147</v>
      </c>
    </row>
    <row r="15200" spans="1:5" x14ac:dyDescent="0.2">
      <c r="A15200" t="s">
        <v>45148</v>
      </c>
      <c r="B15200" t="s">
        <v>45149</v>
      </c>
      <c r="C15200" t="s">
        <v>45149</v>
      </c>
      <c r="D15200" t="str">
        <f>HYPERLINK("https://zfin.org/")</f>
        <v>https://zfin.org/</v>
      </c>
    </row>
    <row r="15201" spans="1:5" x14ac:dyDescent="0.2">
      <c r="A15201" t="s">
        <v>45150</v>
      </c>
      <c r="B15201" t="s">
        <v>45151</v>
      </c>
      <c r="C15201" t="s">
        <v>45151</v>
      </c>
      <c r="D15201" t="str">
        <f>HYPERLINK("https://zfin.org/ZDB-GENE-050302-155")</f>
        <v>https://zfin.org/ZDB-GENE-050302-155</v>
      </c>
      <c r="E15201" t="s">
        <v>45152</v>
      </c>
    </row>
    <row r="15202" spans="1:5" x14ac:dyDescent="0.2">
      <c r="A15202" t="s">
        <v>45153</v>
      </c>
      <c r="B15202" t="s">
        <v>45154</v>
      </c>
      <c r="C15202" t="s">
        <v>45154</v>
      </c>
      <c r="D15202" t="str">
        <f>HYPERLINK("https://zfin.org/ZDB-GENE-071120-5")</f>
        <v>https://zfin.org/ZDB-GENE-071120-5</v>
      </c>
      <c r="E15202" t="s">
        <v>45155</v>
      </c>
    </row>
    <row r="15203" spans="1:5" x14ac:dyDescent="0.2">
      <c r="A15203" t="s">
        <v>45156</v>
      </c>
      <c r="B15203" t="s">
        <v>45157</v>
      </c>
      <c r="C15203" t="s">
        <v>45157</v>
      </c>
      <c r="D15203" t="str">
        <f>HYPERLINK("https://zfin.org/ZDB-GENE-050417-329")</f>
        <v>https://zfin.org/ZDB-GENE-050417-329</v>
      </c>
      <c r="E15203" t="s">
        <v>45158</v>
      </c>
    </row>
    <row r="15204" spans="1:5" x14ac:dyDescent="0.2">
      <c r="A15204" t="s">
        <v>45159</v>
      </c>
      <c r="B15204" t="s">
        <v>45160</v>
      </c>
      <c r="C15204" t="s">
        <v>45160</v>
      </c>
      <c r="D15204" t="str">
        <f>HYPERLINK("https://zfin.org/ZDB-GENE-050417-66")</f>
        <v>https://zfin.org/ZDB-GENE-050417-66</v>
      </c>
      <c r="E15204" t="s">
        <v>45161</v>
      </c>
    </row>
    <row r="15205" spans="1:5" x14ac:dyDescent="0.2">
      <c r="A15205" t="s">
        <v>45162</v>
      </c>
      <c r="B15205" t="s">
        <v>45163</v>
      </c>
      <c r="C15205" t="s">
        <v>45163</v>
      </c>
      <c r="D15205" t="str">
        <f>HYPERLINK("https://zfin.org/ZDB-GENE-061201-9")</f>
        <v>https://zfin.org/ZDB-GENE-061201-9</v>
      </c>
      <c r="E15205" t="s">
        <v>45164</v>
      </c>
    </row>
    <row r="15206" spans="1:5" x14ac:dyDescent="0.2">
      <c r="A15206" t="s">
        <v>45165</v>
      </c>
      <c r="B15206" t="s">
        <v>45166</v>
      </c>
      <c r="C15206" t="s">
        <v>45166</v>
      </c>
      <c r="D15206" t="str">
        <f>HYPERLINK("https://zfin.org/")</f>
        <v>https://zfin.org/</v>
      </c>
    </row>
    <row r="15207" spans="1:5" x14ac:dyDescent="0.2">
      <c r="A15207" t="s">
        <v>45167</v>
      </c>
      <c r="B15207" t="s">
        <v>45168</v>
      </c>
      <c r="C15207" t="s">
        <v>45168</v>
      </c>
      <c r="D15207" t="str">
        <f>HYPERLINK("https://zfin.org/")</f>
        <v>https://zfin.org/</v>
      </c>
    </row>
    <row r="15208" spans="1:5" x14ac:dyDescent="0.2">
      <c r="A15208" t="s">
        <v>45169</v>
      </c>
      <c r="B15208" t="s">
        <v>45170</v>
      </c>
      <c r="C15208" t="s">
        <v>45170</v>
      </c>
      <c r="D15208" t="str">
        <f>HYPERLINK("https://zfin.org/")</f>
        <v>https://zfin.org/</v>
      </c>
      <c r="E15208" t="s">
        <v>45171</v>
      </c>
    </row>
    <row r="15209" spans="1:5" x14ac:dyDescent="0.2">
      <c r="A15209" t="s">
        <v>45172</v>
      </c>
      <c r="B15209" t="s">
        <v>45173</v>
      </c>
      <c r="C15209" t="s">
        <v>45173</v>
      </c>
      <c r="D15209" t="str">
        <f>HYPERLINK("https://zfin.org/ZDB-GENE-060929-962")</f>
        <v>https://zfin.org/ZDB-GENE-060929-962</v>
      </c>
      <c r="E15209" t="s">
        <v>45174</v>
      </c>
    </row>
    <row r="15210" spans="1:5" x14ac:dyDescent="0.2">
      <c r="A15210" t="s">
        <v>45175</v>
      </c>
      <c r="B15210" t="s">
        <v>45176</v>
      </c>
      <c r="C15210" t="s">
        <v>45176</v>
      </c>
      <c r="D15210" t="str">
        <f>HYPERLINK("https://zfin.org/")</f>
        <v>https://zfin.org/</v>
      </c>
    </row>
    <row r="15211" spans="1:5" x14ac:dyDescent="0.2">
      <c r="A15211" t="s">
        <v>45177</v>
      </c>
      <c r="B15211" t="s">
        <v>45178</v>
      </c>
      <c r="C15211" t="s">
        <v>45178</v>
      </c>
      <c r="D15211" t="str">
        <f>HYPERLINK("https://zfin.org/ZDB-GENE-041010-103")</f>
        <v>https://zfin.org/ZDB-GENE-041010-103</v>
      </c>
      <c r="E15211" t="s">
        <v>45179</v>
      </c>
    </row>
    <row r="15212" spans="1:5" x14ac:dyDescent="0.2">
      <c r="A15212" t="s">
        <v>45180</v>
      </c>
      <c r="B15212" t="s">
        <v>45181</v>
      </c>
      <c r="C15212" t="s">
        <v>45181</v>
      </c>
      <c r="D15212" t="str">
        <f>HYPERLINK("https://zfin.org/")</f>
        <v>https://zfin.org/</v>
      </c>
      <c r="E15212" t="s">
        <v>45182</v>
      </c>
    </row>
    <row r="15213" spans="1:5" x14ac:dyDescent="0.2">
      <c r="A15213" t="s">
        <v>45183</v>
      </c>
      <c r="B15213" t="s">
        <v>45184</v>
      </c>
      <c r="C15213" t="s">
        <v>45184</v>
      </c>
      <c r="D15213" t="str">
        <f>HYPERLINK("https://zfin.org/ZDB-GENE-061027-183")</f>
        <v>https://zfin.org/ZDB-GENE-061027-183</v>
      </c>
      <c r="E15213" t="s">
        <v>45185</v>
      </c>
    </row>
    <row r="15214" spans="1:5" x14ac:dyDescent="0.2">
      <c r="A15214" t="s">
        <v>45186</v>
      </c>
      <c r="B15214" t="s">
        <v>45187</v>
      </c>
      <c r="C15214" t="s">
        <v>45187</v>
      </c>
      <c r="D15214" t="str">
        <f>HYPERLINK("https://zfin.org/")</f>
        <v>https://zfin.org/</v>
      </c>
      <c r="E15214" t="s">
        <v>45188</v>
      </c>
    </row>
    <row r="15215" spans="1:5" x14ac:dyDescent="0.2">
      <c r="A15215" t="s">
        <v>45189</v>
      </c>
      <c r="B15215" t="s">
        <v>45190</v>
      </c>
      <c r="C15215" t="s">
        <v>45190</v>
      </c>
      <c r="D15215" t="str">
        <f>HYPERLINK("https://zfin.org/")</f>
        <v>https://zfin.org/</v>
      </c>
    </row>
    <row r="15216" spans="1:5" x14ac:dyDescent="0.2">
      <c r="A15216" t="s">
        <v>45191</v>
      </c>
      <c r="B15216" t="s">
        <v>45192</v>
      </c>
      <c r="C15216" t="s">
        <v>45192</v>
      </c>
      <c r="D15216" t="str">
        <f>HYPERLINK("https://zfin.org/ZDB-GENE-030131-4878")</f>
        <v>https://zfin.org/ZDB-GENE-030131-4878</v>
      </c>
      <c r="E15216" t="s">
        <v>45193</v>
      </c>
    </row>
    <row r="15217" spans="1:5" x14ac:dyDescent="0.2">
      <c r="A15217" t="s">
        <v>45194</v>
      </c>
      <c r="B15217" t="s">
        <v>45195</v>
      </c>
      <c r="C15217" t="s">
        <v>45195</v>
      </c>
      <c r="D15217" t="str">
        <f>HYPERLINK("https://zfin.org/ZDB-GENE-030804-7")</f>
        <v>https://zfin.org/ZDB-GENE-030804-7</v>
      </c>
      <c r="E15217" t="s">
        <v>45196</v>
      </c>
    </row>
    <row r="15218" spans="1:5" x14ac:dyDescent="0.2">
      <c r="A15218" t="s">
        <v>45197</v>
      </c>
      <c r="B15218" t="s">
        <v>45198</v>
      </c>
      <c r="C15218" t="s">
        <v>45198</v>
      </c>
      <c r="D15218" t="str">
        <f>HYPERLINK("https://zfin.org/ZDB-GENE-091014-2")</f>
        <v>https://zfin.org/ZDB-GENE-091014-2</v>
      </c>
      <c r="E15218" t="s">
        <v>45199</v>
      </c>
    </row>
    <row r="15219" spans="1:5" x14ac:dyDescent="0.2">
      <c r="A15219" t="s">
        <v>45200</v>
      </c>
      <c r="B15219" t="s">
        <v>45201</v>
      </c>
      <c r="C15219" t="s">
        <v>45201</v>
      </c>
      <c r="D15219" t="str">
        <f>HYPERLINK("https://zfin.org/ZDB-GENE-040426-2907")</f>
        <v>https://zfin.org/ZDB-GENE-040426-2907</v>
      </c>
      <c r="E15219" t="s">
        <v>45202</v>
      </c>
    </row>
    <row r="15220" spans="1:5" x14ac:dyDescent="0.2">
      <c r="A15220" t="s">
        <v>45203</v>
      </c>
      <c r="B15220" t="s">
        <v>45204</v>
      </c>
      <c r="C15220" t="s">
        <v>45204</v>
      </c>
      <c r="D15220" t="str">
        <f>HYPERLINK("https://zfin.org/ZDB-GENE-050809-128")</f>
        <v>https://zfin.org/ZDB-GENE-050809-128</v>
      </c>
      <c r="E15220" t="s">
        <v>45205</v>
      </c>
    </row>
    <row r="15221" spans="1:5" x14ac:dyDescent="0.2">
      <c r="A15221" t="s">
        <v>45206</v>
      </c>
      <c r="B15221" t="s">
        <v>45207</v>
      </c>
      <c r="C15221" t="s">
        <v>45207</v>
      </c>
      <c r="D15221" t="str">
        <f>HYPERLINK("https://zfin.org/")</f>
        <v>https://zfin.org/</v>
      </c>
      <c r="E15221" t="s">
        <v>45208</v>
      </c>
    </row>
    <row r="15222" spans="1:5" x14ac:dyDescent="0.2">
      <c r="A15222" t="s">
        <v>45209</v>
      </c>
      <c r="B15222" t="s">
        <v>45210</v>
      </c>
      <c r="C15222" t="s">
        <v>45210</v>
      </c>
      <c r="D15222" t="str">
        <f>HYPERLINK("https://zfin.org/ZDB-GENE-030131-4988")</f>
        <v>https://zfin.org/ZDB-GENE-030131-4988</v>
      </c>
      <c r="E15222" t="s">
        <v>45211</v>
      </c>
    </row>
    <row r="15223" spans="1:5" x14ac:dyDescent="0.2">
      <c r="A15223" t="s">
        <v>45212</v>
      </c>
      <c r="B15223" t="s">
        <v>45213</v>
      </c>
      <c r="C15223" t="s">
        <v>45213</v>
      </c>
      <c r="D15223" t="str">
        <f>HYPERLINK("https://zfin.org/")</f>
        <v>https://zfin.org/</v>
      </c>
    </row>
    <row r="15224" spans="1:5" x14ac:dyDescent="0.2">
      <c r="A15224" t="s">
        <v>45214</v>
      </c>
      <c r="B15224" t="s">
        <v>45215</v>
      </c>
      <c r="C15224" t="s">
        <v>45215</v>
      </c>
      <c r="D15224" t="str">
        <f>HYPERLINK("https://zfin.org/ZDB-GENE-030131-7499")</f>
        <v>https://zfin.org/ZDB-GENE-030131-7499</v>
      </c>
      <c r="E15224" t="s">
        <v>45216</v>
      </c>
    </row>
    <row r="15225" spans="1:5" x14ac:dyDescent="0.2">
      <c r="A15225" t="s">
        <v>45217</v>
      </c>
      <c r="B15225" t="s">
        <v>45218</v>
      </c>
      <c r="C15225" t="s">
        <v>45218</v>
      </c>
      <c r="D15225" t="str">
        <f>HYPERLINK("https://zfin.org/")</f>
        <v>https://zfin.org/</v>
      </c>
    </row>
    <row r="15226" spans="1:5" x14ac:dyDescent="0.2">
      <c r="A15226" t="s">
        <v>45219</v>
      </c>
      <c r="B15226" t="s">
        <v>45220</v>
      </c>
      <c r="C15226" t="s">
        <v>45220</v>
      </c>
      <c r="D15226" t="str">
        <f>HYPERLINK("https://zfin.org/ZDB-GENE-030131-8631")</f>
        <v>https://zfin.org/ZDB-GENE-030131-8631</v>
      </c>
      <c r="E15226" t="s">
        <v>45221</v>
      </c>
    </row>
    <row r="15227" spans="1:5" x14ac:dyDescent="0.2">
      <c r="A15227" t="s">
        <v>45222</v>
      </c>
      <c r="B15227" t="s">
        <v>45223</v>
      </c>
      <c r="C15227" t="s">
        <v>45223</v>
      </c>
      <c r="D15227" t="str">
        <f>HYPERLINK("https://zfin.org/ZDB-GENE-030131-9126")</f>
        <v>https://zfin.org/ZDB-GENE-030131-9126</v>
      </c>
      <c r="E15227" t="s">
        <v>45224</v>
      </c>
    </row>
    <row r="15228" spans="1:5" x14ac:dyDescent="0.2">
      <c r="A15228" t="s">
        <v>45225</v>
      </c>
      <c r="B15228" t="s">
        <v>17650</v>
      </c>
      <c r="C15228" t="s">
        <v>45226</v>
      </c>
      <c r="D15228" t="str">
        <f>HYPERLINK("https://zfin.org/ZDB-GENE-060503-716")</f>
        <v>https://zfin.org/ZDB-GENE-060503-716</v>
      </c>
      <c r="E15228" t="s">
        <v>17651</v>
      </c>
    </row>
    <row r="15229" spans="1:5" x14ac:dyDescent="0.2">
      <c r="A15229" t="s">
        <v>45227</v>
      </c>
      <c r="B15229" t="s">
        <v>45228</v>
      </c>
      <c r="C15229" t="s">
        <v>45228</v>
      </c>
      <c r="D15229" t="str">
        <f>HYPERLINK("https://zfin.org/")</f>
        <v>https://zfin.org/</v>
      </c>
    </row>
    <row r="15230" spans="1:5" x14ac:dyDescent="0.2">
      <c r="A15230" t="s">
        <v>45229</v>
      </c>
      <c r="B15230" t="s">
        <v>45230</v>
      </c>
      <c r="C15230" t="s">
        <v>45230</v>
      </c>
      <c r="D15230" t="str">
        <f>HYPERLINK("https://zfin.org/ZDB-GENE-040426-1954")</f>
        <v>https://zfin.org/ZDB-GENE-040426-1954</v>
      </c>
      <c r="E15230" t="s">
        <v>45231</v>
      </c>
    </row>
    <row r="15231" spans="1:5" x14ac:dyDescent="0.2">
      <c r="A15231" t="s">
        <v>45232</v>
      </c>
      <c r="B15231" t="s">
        <v>45233</v>
      </c>
      <c r="C15231" t="s">
        <v>45233</v>
      </c>
      <c r="D15231" t="str">
        <f>HYPERLINK("https://zfin.org/")</f>
        <v>https://zfin.org/</v>
      </c>
    </row>
    <row r="15232" spans="1:5" x14ac:dyDescent="0.2">
      <c r="A15232" t="s">
        <v>45234</v>
      </c>
      <c r="B15232" t="s">
        <v>45235</v>
      </c>
      <c r="C15232" t="s">
        <v>45235</v>
      </c>
      <c r="D15232" t="str">
        <f>HYPERLINK("https://zfin.org/ZDB-GENE-081022-35")</f>
        <v>https://zfin.org/ZDB-GENE-081022-35</v>
      </c>
      <c r="E15232" t="s">
        <v>45236</v>
      </c>
    </row>
    <row r="15233" spans="1:5" x14ac:dyDescent="0.2">
      <c r="A15233" t="s">
        <v>45237</v>
      </c>
      <c r="B15233" t="s">
        <v>45238</v>
      </c>
      <c r="C15233" t="s">
        <v>45238</v>
      </c>
      <c r="D15233" t="str">
        <f>HYPERLINK("https://zfin.org/")</f>
        <v>https://zfin.org/</v>
      </c>
      <c r="E15233" t="s">
        <v>45239</v>
      </c>
    </row>
    <row r="15234" spans="1:5" x14ac:dyDescent="0.2">
      <c r="A15234" t="s">
        <v>45240</v>
      </c>
      <c r="B15234" t="s">
        <v>45241</v>
      </c>
      <c r="C15234" t="s">
        <v>45241</v>
      </c>
      <c r="D15234" t="str">
        <f>HYPERLINK("https://zfin.org/")</f>
        <v>https://zfin.org/</v>
      </c>
    </row>
    <row r="15235" spans="1:5" x14ac:dyDescent="0.2">
      <c r="A15235" t="s">
        <v>45242</v>
      </c>
      <c r="B15235" t="s">
        <v>45243</v>
      </c>
      <c r="C15235" t="s">
        <v>45243</v>
      </c>
      <c r="D15235" t="str">
        <f>HYPERLINK("https://zfin.org/")</f>
        <v>https://zfin.org/</v>
      </c>
    </row>
    <row r="15236" spans="1:5" x14ac:dyDescent="0.2">
      <c r="A15236" t="s">
        <v>45244</v>
      </c>
      <c r="B15236" t="s">
        <v>45245</v>
      </c>
      <c r="C15236" t="s">
        <v>45245</v>
      </c>
      <c r="D15236" t="str">
        <f>HYPERLINK("https://zfin.org/ZDB-GENE-991119-5")</f>
        <v>https://zfin.org/ZDB-GENE-991119-5</v>
      </c>
      <c r="E15236" t="s">
        <v>45246</v>
      </c>
    </row>
    <row r="15237" spans="1:5" x14ac:dyDescent="0.2">
      <c r="A15237" t="s">
        <v>45247</v>
      </c>
      <c r="B15237" t="s">
        <v>45248</v>
      </c>
      <c r="C15237" t="s">
        <v>45248</v>
      </c>
      <c r="D15237" t="str">
        <f>HYPERLINK("https://zfin.org/")</f>
        <v>https://zfin.org/</v>
      </c>
      <c r="E15237" t="s">
        <v>45249</v>
      </c>
    </row>
    <row r="15238" spans="1:5" x14ac:dyDescent="0.2">
      <c r="A15238" t="s">
        <v>45250</v>
      </c>
      <c r="B15238" t="s">
        <v>45251</v>
      </c>
      <c r="C15238" t="s">
        <v>45251</v>
      </c>
      <c r="D15238" t="str">
        <f>HYPERLINK("https://zfin.org/")</f>
        <v>https://zfin.org/</v>
      </c>
      <c r="E15238" t="s">
        <v>45252</v>
      </c>
    </row>
    <row r="15239" spans="1:5" x14ac:dyDescent="0.2">
      <c r="A15239" t="s">
        <v>45253</v>
      </c>
      <c r="B15239" t="s">
        <v>45254</v>
      </c>
      <c r="C15239" t="s">
        <v>45254</v>
      </c>
      <c r="D15239" t="str">
        <f>HYPERLINK("https://zfin.org/ZDB-GENE-030131-8304")</f>
        <v>https://zfin.org/ZDB-GENE-030131-8304</v>
      </c>
      <c r="E15239" t="s">
        <v>45255</v>
      </c>
    </row>
    <row r="15240" spans="1:5" x14ac:dyDescent="0.2">
      <c r="A15240" t="s">
        <v>45256</v>
      </c>
      <c r="B15240" t="s">
        <v>45257</v>
      </c>
      <c r="C15240" t="s">
        <v>45257</v>
      </c>
      <c r="D15240" t="str">
        <f>HYPERLINK("https://zfin.org/")</f>
        <v>https://zfin.org/</v>
      </c>
      <c r="E15240" t="s">
        <v>45258</v>
      </c>
    </row>
    <row r="15241" spans="1:5" x14ac:dyDescent="0.2">
      <c r="A15241" t="s">
        <v>45259</v>
      </c>
      <c r="B15241" t="s">
        <v>45260</v>
      </c>
      <c r="C15241" t="s">
        <v>45260</v>
      </c>
      <c r="D15241" t="str">
        <f>HYPERLINK("https://zfin.org/ZDB-GENE-050522-293")</f>
        <v>https://zfin.org/ZDB-GENE-050522-293</v>
      </c>
      <c r="E15241" t="s">
        <v>45261</v>
      </c>
    </row>
    <row r="15242" spans="1:5" x14ac:dyDescent="0.2">
      <c r="A15242" t="s">
        <v>45262</v>
      </c>
      <c r="B15242" t="s">
        <v>2859</v>
      </c>
      <c r="C15242" t="s">
        <v>45263</v>
      </c>
      <c r="D15242" t="str">
        <f>HYPERLINK("https://zfin.org/ZDB-GENE-081103-43")</f>
        <v>https://zfin.org/ZDB-GENE-081103-43</v>
      </c>
      <c r="E15242" t="s">
        <v>3707</v>
      </c>
    </row>
    <row r="15243" spans="1:5" x14ac:dyDescent="0.2">
      <c r="A15243" t="s">
        <v>45264</v>
      </c>
      <c r="B15243" t="s">
        <v>2433</v>
      </c>
      <c r="C15243" t="s">
        <v>45265</v>
      </c>
      <c r="D15243" t="str">
        <f>HYPERLINK("https://zfin.org/ZDB-GENE-110914-80")</f>
        <v>https://zfin.org/ZDB-GENE-110914-80</v>
      </c>
      <c r="E15243" t="s">
        <v>2434</v>
      </c>
    </row>
    <row r="15244" spans="1:5" x14ac:dyDescent="0.2">
      <c r="A15244" t="s">
        <v>45266</v>
      </c>
      <c r="B15244" t="s">
        <v>45267</v>
      </c>
      <c r="C15244" t="s">
        <v>45267</v>
      </c>
      <c r="D15244" t="str">
        <f>HYPERLINK("https://zfin.org/")</f>
        <v>https://zfin.org/</v>
      </c>
      <c r="E15244" t="s">
        <v>45268</v>
      </c>
    </row>
    <row r="15245" spans="1:5" x14ac:dyDescent="0.2">
      <c r="A15245" t="s">
        <v>45269</v>
      </c>
      <c r="B15245" t="s">
        <v>45270</v>
      </c>
      <c r="C15245" t="s">
        <v>45270</v>
      </c>
      <c r="D15245" t="str">
        <f>HYPERLINK("https://zfin.org/")</f>
        <v>https://zfin.org/</v>
      </c>
      <c r="E15245" t="s">
        <v>45271</v>
      </c>
    </row>
    <row r="15246" spans="1:5" x14ac:dyDescent="0.2">
      <c r="A15246" t="s">
        <v>45272</v>
      </c>
      <c r="B15246" t="s">
        <v>45273</v>
      </c>
      <c r="C15246" t="s">
        <v>45273</v>
      </c>
      <c r="D15246" t="str">
        <f>HYPERLINK("https://zfin.org/ZDB-GENE-040426-2884")</f>
        <v>https://zfin.org/ZDB-GENE-040426-2884</v>
      </c>
      <c r="E15246" t="s">
        <v>45274</v>
      </c>
    </row>
    <row r="15247" spans="1:5" x14ac:dyDescent="0.2">
      <c r="A15247" t="s">
        <v>45275</v>
      </c>
      <c r="B15247" t="s">
        <v>45276</v>
      </c>
      <c r="C15247" t="s">
        <v>45276</v>
      </c>
      <c r="D15247" t="str">
        <f>HYPERLINK("https://zfin.org/ZDB-GENE-040426-2366")</f>
        <v>https://zfin.org/ZDB-GENE-040426-2366</v>
      </c>
      <c r="E15247" t="s">
        <v>45277</v>
      </c>
    </row>
    <row r="15248" spans="1:5" x14ac:dyDescent="0.2">
      <c r="A15248" t="s">
        <v>45278</v>
      </c>
      <c r="B15248" t="s">
        <v>45279</v>
      </c>
      <c r="C15248" t="s">
        <v>45279</v>
      </c>
      <c r="D15248" t="str">
        <f>HYPERLINK("https://zfin.org/")</f>
        <v>https://zfin.org/</v>
      </c>
      <c r="E15248" t="s">
        <v>45280</v>
      </c>
    </row>
    <row r="15249" spans="1:5" x14ac:dyDescent="0.2">
      <c r="A15249" t="s">
        <v>45281</v>
      </c>
      <c r="B15249" t="s">
        <v>45282</v>
      </c>
      <c r="C15249" t="s">
        <v>45282</v>
      </c>
      <c r="D15249" t="str">
        <f>HYPERLINK("https://zfin.org/")</f>
        <v>https://zfin.org/</v>
      </c>
    </row>
    <row r="15250" spans="1:5" x14ac:dyDescent="0.2">
      <c r="A15250" t="s">
        <v>45283</v>
      </c>
      <c r="B15250" t="s">
        <v>45284</v>
      </c>
      <c r="C15250" t="s">
        <v>45284</v>
      </c>
      <c r="D15250" t="str">
        <f>HYPERLINK("https://zfin.org/ZDB-GENE-080208-3")</f>
        <v>https://zfin.org/ZDB-GENE-080208-3</v>
      </c>
      <c r="E15250" t="s">
        <v>45285</v>
      </c>
    </row>
    <row r="15251" spans="1:5" x14ac:dyDescent="0.2">
      <c r="A15251" t="s">
        <v>45286</v>
      </c>
      <c r="B15251" t="s">
        <v>45287</v>
      </c>
      <c r="C15251" t="s">
        <v>45287</v>
      </c>
      <c r="D15251" t="str">
        <f>HYPERLINK("https://zfin.org/")</f>
        <v>https://zfin.org/</v>
      </c>
    </row>
    <row r="15252" spans="1:5" x14ac:dyDescent="0.2">
      <c r="A15252" t="s">
        <v>45288</v>
      </c>
      <c r="B15252" t="s">
        <v>45289</v>
      </c>
      <c r="C15252" t="s">
        <v>45289</v>
      </c>
      <c r="D15252" t="str">
        <f>HYPERLINK("https://zfin.org/")</f>
        <v>https://zfin.org/</v>
      </c>
      <c r="E15252" t="s">
        <v>45290</v>
      </c>
    </row>
    <row r="15253" spans="1:5" x14ac:dyDescent="0.2">
      <c r="A15253" t="s">
        <v>45291</v>
      </c>
      <c r="B15253" t="s">
        <v>45292</v>
      </c>
      <c r="C15253" t="s">
        <v>45292</v>
      </c>
      <c r="D15253" t="str">
        <f>HYPERLINK("https://zfin.org/ZDB-GENE-111004-2")</f>
        <v>https://zfin.org/ZDB-GENE-111004-2</v>
      </c>
      <c r="E15253" t="s">
        <v>45293</v>
      </c>
    </row>
    <row r="15254" spans="1:5" x14ac:dyDescent="0.2">
      <c r="A15254" t="s">
        <v>45294</v>
      </c>
      <c r="B15254" t="s">
        <v>45295</v>
      </c>
      <c r="C15254" t="s">
        <v>45295</v>
      </c>
      <c r="D15254" t="str">
        <f>HYPERLINK("https://zfin.org/")</f>
        <v>https://zfin.org/</v>
      </c>
    </row>
    <row r="15255" spans="1:5" x14ac:dyDescent="0.2">
      <c r="A15255" t="s">
        <v>45296</v>
      </c>
      <c r="B15255" t="s">
        <v>45297</v>
      </c>
      <c r="C15255" t="s">
        <v>45297</v>
      </c>
      <c r="D15255" t="str">
        <f>HYPERLINK("https://zfin.org/")</f>
        <v>https://zfin.org/</v>
      </c>
    </row>
    <row r="15256" spans="1:5" x14ac:dyDescent="0.2">
      <c r="A15256" t="s">
        <v>45298</v>
      </c>
      <c r="B15256" t="s">
        <v>45299</v>
      </c>
      <c r="C15256" t="s">
        <v>45299</v>
      </c>
      <c r="D15256" t="str">
        <f>HYPERLINK("https://zfin.org/ZDB-GENE-020801-3")</f>
        <v>https://zfin.org/ZDB-GENE-020801-3</v>
      </c>
      <c r="E15256" t="s">
        <v>45300</v>
      </c>
    </row>
    <row r="15257" spans="1:5" x14ac:dyDescent="0.2">
      <c r="A15257" t="s">
        <v>45301</v>
      </c>
      <c r="B15257" t="s">
        <v>45302</v>
      </c>
      <c r="C15257" t="s">
        <v>45302</v>
      </c>
      <c r="D15257" t="str">
        <f>HYPERLINK("https://zfin.org/ZDB-GENE-070822-17")</f>
        <v>https://zfin.org/ZDB-GENE-070822-17</v>
      </c>
      <c r="E15257" t="s">
        <v>45303</v>
      </c>
    </row>
    <row r="15258" spans="1:5" x14ac:dyDescent="0.2">
      <c r="A15258" t="s">
        <v>45304</v>
      </c>
      <c r="B15258" t="s">
        <v>45305</v>
      </c>
      <c r="C15258" t="s">
        <v>45306</v>
      </c>
      <c r="D15258" t="str">
        <f>HYPERLINK("https://zfin.org/ZDB-GENE-050417-105")</f>
        <v>https://zfin.org/ZDB-GENE-050417-105</v>
      </c>
      <c r="E15258" t="s">
        <v>45307</v>
      </c>
    </row>
    <row r="15259" spans="1:5" x14ac:dyDescent="0.2">
      <c r="A15259" t="s">
        <v>45308</v>
      </c>
      <c r="B15259" t="s">
        <v>45309</v>
      </c>
      <c r="C15259" t="s">
        <v>45309</v>
      </c>
      <c r="D15259" t="str">
        <f>HYPERLINK("https://zfin.org/ZDB-GENE-050522-377")</f>
        <v>https://zfin.org/ZDB-GENE-050522-377</v>
      </c>
      <c r="E15259" t="s">
        <v>45310</v>
      </c>
    </row>
    <row r="15260" spans="1:5" x14ac:dyDescent="0.2">
      <c r="A15260" t="s">
        <v>45311</v>
      </c>
      <c r="B15260" t="s">
        <v>45312</v>
      </c>
      <c r="C15260" t="s">
        <v>45312</v>
      </c>
      <c r="D15260" t="str">
        <f>HYPERLINK("https://zfin.org/")</f>
        <v>https://zfin.org/</v>
      </c>
    </row>
    <row r="15261" spans="1:5" x14ac:dyDescent="0.2">
      <c r="A15261" t="s">
        <v>45313</v>
      </c>
      <c r="B15261" t="s">
        <v>45314</v>
      </c>
      <c r="C15261" t="s">
        <v>45314</v>
      </c>
      <c r="D15261" t="str">
        <f>HYPERLINK("https://zfin.org/")</f>
        <v>https://zfin.org/</v>
      </c>
      <c r="E15261" t="s">
        <v>45315</v>
      </c>
    </row>
    <row r="15262" spans="1:5" x14ac:dyDescent="0.2">
      <c r="A15262" t="s">
        <v>45316</v>
      </c>
      <c r="B15262" t="s">
        <v>45317</v>
      </c>
      <c r="C15262" t="s">
        <v>45317</v>
      </c>
      <c r="D15262" t="str">
        <f>HYPERLINK("https://zfin.org/ZDB-GENE-070410-44")</f>
        <v>https://zfin.org/ZDB-GENE-070410-44</v>
      </c>
      <c r="E15262" t="s">
        <v>45318</v>
      </c>
    </row>
    <row r="15263" spans="1:5" x14ac:dyDescent="0.2">
      <c r="A15263" t="s">
        <v>45319</v>
      </c>
      <c r="B15263" t="s">
        <v>45320</v>
      </c>
      <c r="C15263" t="s">
        <v>45320</v>
      </c>
      <c r="D15263" t="str">
        <f>HYPERLINK("https://zfin.org/ZDB-GENE-110316-2")</f>
        <v>https://zfin.org/ZDB-GENE-110316-2</v>
      </c>
      <c r="E15263" t="s">
        <v>45321</v>
      </c>
    </row>
    <row r="15264" spans="1:5" x14ac:dyDescent="0.2">
      <c r="A15264" t="s">
        <v>45322</v>
      </c>
      <c r="B15264" t="s">
        <v>45323</v>
      </c>
      <c r="C15264" t="s">
        <v>45323</v>
      </c>
      <c r="D15264" t="str">
        <f>HYPERLINK("https://zfin.org/ZDB-GENE-020418-1")</f>
        <v>https://zfin.org/ZDB-GENE-020418-1</v>
      </c>
      <c r="E15264" t="s">
        <v>45324</v>
      </c>
    </row>
    <row r="15265" spans="1:5" x14ac:dyDescent="0.2">
      <c r="A15265" t="s">
        <v>45325</v>
      </c>
      <c r="B15265" t="s">
        <v>45326</v>
      </c>
      <c r="C15265" t="s">
        <v>45326</v>
      </c>
      <c r="D15265" t="str">
        <f>HYPERLINK("https://zfin.org/ZDB-GENE-040426-1216")</f>
        <v>https://zfin.org/ZDB-GENE-040426-1216</v>
      </c>
      <c r="E15265" t="s">
        <v>45327</v>
      </c>
    </row>
    <row r="15266" spans="1:5" x14ac:dyDescent="0.2">
      <c r="A15266" t="s">
        <v>45328</v>
      </c>
      <c r="B15266" t="s">
        <v>45329</v>
      </c>
      <c r="C15266" t="s">
        <v>45329</v>
      </c>
      <c r="D15266" t="str">
        <f>HYPERLINK("https://zfin.org/ZDB-GENE-050809-12")</f>
        <v>https://zfin.org/ZDB-GENE-050809-12</v>
      </c>
      <c r="E15266" t="s">
        <v>45330</v>
      </c>
    </row>
    <row r="15267" spans="1:5" x14ac:dyDescent="0.2">
      <c r="A15267" t="s">
        <v>45331</v>
      </c>
      <c r="B15267" t="s">
        <v>45332</v>
      </c>
      <c r="C15267" t="s">
        <v>45332</v>
      </c>
      <c r="D15267" t="str">
        <f>HYPERLINK("https://zfin.org/ZDB-GENE-090313-104")</f>
        <v>https://zfin.org/ZDB-GENE-090313-104</v>
      </c>
      <c r="E15267" t="s">
        <v>45333</v>
      </c>
    </row>
    <row r="15268" spans="1:5" x14ac:dyDescent="0.2">
      <c r="A15268" t="s">
        <v>45334</v>
      </c>
      <c r="B15268" t="s">
        <v>45335</v>
      </c>
      <c r="C15268" t="s">
        <v>45335</v>
      </c>
      <c r="D15268" t="str">
        <f>HYPERLINK("https://zfin.org/ZDB-GENE-000523-2")</f>
        <v>https://zfin.org/ZDB-GENE-000523-2</v>
      </c>
      <c r="E15268" t="s">
        <v>45336</v>
      </c>
    </row>
    <row r="15269" spans="1:5" x14ac:dyDescent="0.2">
      <c r="A15269" t="s">
        <v>45337</v>
      </c>
      <c r="B15269" t="s">
        <v>45338</v>
      </c>
      <c r="C15269" t="s">
        <v>45338</v>
      </c>
      <c r="D15269" t="str">
        <f>HYPERLINK("https://zfin.org/")</f>
        <v>https://zfin.org/</v>
      </c>
    </row>
    <row r="15270" spans="1:5" x14ac:dyDescent="0.2">
      <c r="A15270" t="s">
        <v>45339</v>
      </c>
      <c r="B15270" t="s">
        <v>45340</v>
      </c>
      <c r="C15270" t="s">
        <v>45340</v>
      </c>
      <c r="D15270" t="str">
        <f>HYPERLINK("https://zfin.org/ZDB-GENE-030131-5299")</f>
        <v>https://zfin.org/ZDB-GENE-030131-5299</v>
      </c>
      <c r="E15270" t="s">
        <v>45341</v>
      </c>
    </row>
    <row r="15271" spans="1:5" x14ac:dyDescent="0.2">
      <c r="A15271" t="s">
        <v>45342</v>
      </c>
      <c r="B15271" t="s">
        <v>45343</v>
      </c>
      <c r="C15271" t="s">
        <v>45343</v>
      </c>
      <c r="D15271" t="str">
        <f>HYPERLINK("https://zfin.org/ZDB-GENE-081107-3")</f>
        <v>https://zfin.org/ZDB-GENE-081107-3</v>
      </c>
      <c r="E15271" t="s">
        <v>45344</v>
      </c>
    </row>
    <row r="15272" spans="1:5" x14ac:dyDescent="0.2">
      <c r="A15272" t="s">
        <v>45345</v>
      </c>
      <c r="B15272" t="s">
        <v>45346</v>
      </c>
      <c r="C15272" t="s">
        <v>45346</v>
      </c>
      <c r="D15272" t="str">
        <f>HYPERLINK("https://zfin.org/ZDB-GENE-040426-1306")</f>
        <v>https://zfin.org/ZDB-GENE-040426-1306</v>
      </c>
      <c r="E15272" t="s">
        <v>45347</v>
      </c>
    </row>
    <row r="15273" spans="1:5" x14ac:dyDescent="0.2">
      <c r="A15273" t="s">
        <v>45348</v>
      </c>
      <c r="B15273" t="s">
        <v>45349</v>
      </c>
      <c r="C15273" t="s">
        <v>45349</v>
      </c>
      <c r="D15273" t="str">
        <f>HYPERLINK("https://zfin.org/")</f>
        <v>https://zfin.org/</v>
      </c>
    </row>
    <row r="15274" spans="1:5" x14ac:dyDescent="0.2">
      <c r="A15274" t="s">
        <v>45350</v>
      </c>
      <c r="B15274" t="s">
        <v>45351</v>
      </c>
      <c r="C15274" t="s">
        <v>45351</v>
      </c>
      <c r="D15274" t="str">
        <f>HYPERLINK("https://zfin.org/ZDB-GENE-040426-2164")</f>
        <v>https://zfin.org/ZDB-GENE-040426-2164</v>
      </c>
      <c r="E15274" t="s">
        <v>45352</v>
      </c>
    </row>
    <row r="15275" spans="1:5" x14ac:dyDescent="0.2">
      <c r="A15275" t="s">
        <v>45353</v>
      </c>
      <c r="B15275" t="s">
        <v>45354</v>
      </c>
      <c r="C15275" t="s">
        <v>45354</v>
      </c>
      <c r="D15275" t="str">
        <f>HYPERLINK("https://zfin.org/ZDB-GENE-101108-3")</f>
        <v>https://zfin.org/ZDB-GENE-101108-3</v>
      </c>
      <c r="E15275" t="s">
        <v>45355</v>
      </c>
    </row>
    <row r="15276" spans="1:5" x14ac:dyDescent="0.2">
      <c r="A15276" t="s">
        <v>45356</v>
      </c>
      <c r="B15276" t="s">
        <v>45357</v>
      </c>
      <c r="C15276" t="s">
        <v>45357</v>
      </c>
      <c r="D15276" t="str">
        <f>HYPERLINK("https://zfin.org/")</f>
        <v>https://zfin.org/</v>
      </c>
    </row>
    <row r="15277" spans="1:5" x14ac:dyDescent="0.2">
      <c r="A15277" t="s">
        <v>45358</v>
      </c>
      <c r="B15277" t="s">
        <v>45359</v>
      </c>
      <c r="C15277" t="s">
        <v>45359</v>
      </c>
      <c r="D15277" t="str">
        <f>HYPERLINK("https://zfin.org/ZDB-GENE-050220-9")</f>
        <v>https://zfin.org/ZDB-GENE-050220-9</v>
      </c>
      <c r="E15277" t="s">
        <v>45360</v>
      </c>
    </row>
    <row r="15278" spans="1:5" x14ac:dyDescent="0.2">
      <c r="A15278" t="s">
        <v>45361</v>
      </c>
      <c r="B15278" t="s">
        <v>45362</v>
      </c>
      <c r="C15278" t="s">
        <v>45362</v>
      </c>
      <c r="D15278" t="str">
        <f>HYPERLINK("https://zfin.org/")</f>
        <v>https://zfin.org/</v>
      </c>
    </row>
    <row r="15279" spans="1:5" x14ac:dyDescent="0.2">
      <c r="A15279" t="s">
        <v>45363</v>
      </c>
      <c r="B15279" t="s">
        <v>45364</v>
      </c>
      <c r="C15279" t="s">
        <v>45364</v>
      </c>
      <c r="D15279" t="str">
        <f>HYPERLINK("https://zfin.org/ZDB-GENE-070209-226")</f>
        <v>https://zfin.org/ZDB-GENE-070209-226</v>
      </c>
      <c r="E15279" t="s">
        <v>45365</v>
      </c>
    </row>
    <row r="15280" spans="1:5" x14ac:dyDescent="0.2">
      <c r="A15280" t="s">
        <v>45366</v>
      </c>
      <c r="B15280" t="s">
        <v>45367</v>
      </c>
      <c r="C15280" t="s">
        <v>45367</v>
      </c>
      <c r="D15280" t="str">
        <f>HYPERLINK("https://zfin.org/")</f>
        <v>https://zfin.org/</v>
      </c>
      <c r="E15280" t="s">
        <v>45368</v>
      </c>
    </row>
    <row r="15281" spans="1:5" x14ac:dyDescent="0.2">
      <c r="A15281" t="s">
        <v>45369</v>
      </c>
      <c r="B15281" t="s">
        <v>45370</v>
      </c>
      <c r="C15281" t="s">
        <v>45370</v>
      </c>
      <c r="D15281" t="str">
        <f>HYPERLINK("https://zfin.org/")</f>
        <v>https://zfin.org/</v>
      </c>
      <c r="E15281" t="s">
        <v>45371</v>
      </c>
    </row>
    <row r="15282" spans="1:5" x14ac:dyDescent="0.2">
      <c r="A15282" t="s">
        <v>45372</v>
      </c>
      <c r="B15282" t="s">
        <v>45373</v>
      </c>
      <c r="C15282" t="s">
        <v>45373</v>
      </c>
      <c r="D15282" t="str">
        <f>HYPERLINK("https://zfin.org/")</f>
        <v>https://zfin.org/</v>
      </c>
    </row>
    <row r="15283" spans="1:5" x14ac:dyDescent="0.2">
      <c r="A15283" t="s">
        <v>45374</v>
      </c>
      <c r="B15283" t="s">
        <v>45375</v>
      </c>
      <c r="C15283" t="s">
        <v>45375</v>
      </c>
      <c r="D15283" t="str">
        <f>HYPERLINK("https://zfin.org/ZDB-GENE-060512-84")</f>
        <v>https://zfin.org/ZDB-GENE-060512-84</v>
      </c>
      <c r="E15283" t="s">
        <v>45376</v>
      </c>
    </row>
    <row r="15284" spans="1:5" x14ac:dyDescent="0.2">
      <c r="A15284" t="s">
        <v>45377</v>
      </c>
      <c r="B15284" t="s">
        <v>45378</v>
      </c>
      <c r="C15284" t="s">
        <v>45378</v>
      </c>
      <c r="D15284" t="str">
        <f>HYPERLINK("https://zfin.org/ZDB-GENE-031001-11")</f>
        <v>https://zfin.org/ZDB-GENE-031001-11</v>
      </c>
      <c r="E15284" t="s">
        <v>45379</v>
      </c>
    </row>
    <row r="15285" spans="1:5" x14ac:dyDescent="0.2">
      <c r="A15285" t="s">
        <v>45380</v>
      </c>
      <c r="B15285" t="s">
        <v>45381</v>
      </c>
      <c r="C15285" t="s">
        <v>45381</v>
      </c>
      <c r="D15285" t="str">
        <f>HYPERLINK("https://zfin.org/ZDB-GENE-071213-1")</f>
        <v>https://zfin.org/ZDB-GENE-071213-1</v>
      </c>
      <c r="E15285" t="s">
        <v>45382</v>
      </c>
    </row>
    <row r="15286" spans="1:5" x14ac:dyDescent="0.2">
      <c r="A15286" t="s">
        <v>45383</v>
      </c>
      <c r="B15286" t="s">
        <v>45384</v>
      </c>
      <c r="C15286" t="s">
        <v>45384</v>
      </c>
      <c r="D15286" t="str">
        <f>HYPERLINK("https://zfin.org/ZDB-GENE-050417-414")</f>
        <v>https://zfin.org/ZDB-GENE-050417-414</v>
      </c>
      <c r="E15286" t="s">
        <v>45385</v>
      </c>
    </row>
    <row r="15287" spans="1:5" x14ac:dyDescent="0.2">
      <c r="A15287" t="s">
        <v>45386</v>
      </c>
      <c r="B15287" t="s">
        <v>26508</v>
      </c>
      <c r="C15287" t="s">
        <v>45387</v>
      </c>
      <c r="D15287" t="str">
        <f>HYPERLINK("https://zfin.org/")</f>
        <v>https://zfin.org/</v>
      </c>
      <c r="E15287" t="s">
        <v>45388</v>
      </c>
    </row>
    <row r="15288" spans="1:5" x14ac:dyDescent="0.2">
      <c r="A15288" t="s">
        <v>45389</v>
      </c>
      <c r="B15288" t="s">
        <v>45390</v>
      </c>
      <c r="C15288" t="s">
        <v>45390</v>
      </c>
      <c r="D15288" t="str">
        <f>HYPERLINK("https://zfin.org/ZDB-GENE-030516-2")</f>
        <v>https://zfin.org/ZDB-GENE-030516-2</v>
      </c>
      <c r="E15288" t="s">
        <v>45391</v>
      </c>
    </row>
    <row r="15289" spans="1:5" x14ac:dyDescent="0.2">
      <c r="A15289" t="s">
        <v>45392</v>
      </c>
      <c r="B15289" t="s">
        <v>45393</v>
      </c>
      <c r="C15289" t="s">
        <v>45393</v>
      </c>
      <c r="D15289" t="str">
        <f>HYPERLINK("https://zfin.org/")</f>
        <v>https://zfin.org/</v>
      </c>
      <c r="E15289" t="s">
        <v>45394</v>
      </c>
    </row>
    <row r="15290" spans="1:5" x14ac:dyDescent="0.2">
      <c r="A15290" t="s">
        <v>45395</v>
      </c>
      <c r="B15290" t="s">
        <v>45396</v>
      </c>
      <c r="C15290" t="s">
        <v>45396</v>
      </c>
      <c r="D15290" t="str">
        <f>HYPERLINK("https://zfin.org/ZDB-GENE-061110-135")</f>
        <v>https://zfin.org/ZDB-GENE-061110-135</v>
      </c>
      <c r="E15290" t="s">
        <v>45397</v>
      </c>
    </row>
    <row r="15291" spans="1:5" x14ac:dyDescent="0.2">
      <c r="A15291" t="s">
        <v>45398</v>
      </c>
      <c r="B15291" t="s">
        <v>45399</v>
      </c>
      <c r="C15291" t="s">
        <v>45399</v>
      </c>
      <c r="D15291" t="str">
        <f>HYPERLINK("https://zfin.org/")</f>
        <v>https://zfin.org/</v>
      </c>
      <c r="E15291" t="s">
        <v>45400</v>
      </c>
    </row>
    <row r="15292" spans="1:5" x14ac:dyDescent="0.2">
      <c r="A15292" t="s">
        <v>45401</v>
      </c>
      <c r="B15292" t="s">
        <v>45402</v>
      </c>
      <c r="C15292" t="s">
        <v>45402</v>
      </c>
      <c r="D15292" t="str">
        <f>HYPERLINK("https://zfin.org/ZDB-GENE-070112-1072")</f>
        <v>https://zfin.org/ZDB-GENE-070112-1072</v>
      </c>
      <c r="E15292" t="s">
        <v>45403</v>
      </c>
    </row>
    <row r="15293" spans="1:5" x14ac:dyDescent="0.2">
      <c r="A15293" t="s">
        <v>45404</v>
      </c>
      <c r="B15293" t="s">
        <v>45405</v>
      </c>
      <c r="C15293" t="s">
        <v>45405</v>
      </c>
      <c r="D15293" t="str">
        <f>HYPERLINK("https://zfin.org/")</f>
        <v>https://zfin.org/</v>
      </c>
    </row>
    <row r="15294" spans="1:5" x14ac:dyDescent="0.2">
      <c r="A15294" t="s">
        <v>45406</v>
      </c>
      <c r="B15294" t="s">
        <v>45407</v>
      </c>
      <c r="C15294" t="s">
        <v>45407</v>
      </c>
      <c r="D15294" t="str">
        <f>HYPERLINK("https://zfin.org/")</f>
        <v>https://zfin.org/</v>
      </c>
      <c r="E15294" t="s">
        <v>45408</v>
      </c>
    </row>
    <row r="15295" spans="1:5" x14ac:dyDescent="0.2">
      <c r="A15295" t="s">
        <v>45409</v>
      </c>
      <c r="B15295" t="s">
        <v>45410</v>
      </c>
      <c r="C15295" t="s">
        <v>45410</v>
      </c>
      <c r="D15295" t="str">
        <f>HYPERLINK("https://zfin.org/ZDB-GENE-060428-1")</f>
        <v>https://zfin.org/ZDB-GENE-060428-1</v>
      </c>
      <c r="E15295" t="s">
        <v>45411</v>
      </c>
    </row>
    <row r="15296" spans="1:5" x14ac:dyDescent="0.2">
      <c r="A15296" t="s">
        <v>45412</v>
      </c>
      <c r="B15296" t="s">
        <v>45413</v>
      </c>
      <c r="C15296" t="s">
        <v>45413</v>
      </c>
      <c r="D15296" t="str">
        <f>HYPERLINK("https://zfin.org/")</f>
        <v>https://zfin.org/</v>
      </c>
    </row>
    <row r="15297" spans="1:5" x14ac:dyDescent="0.2">
      <c r="A15297" t="s">
        <v>45414</v>
      </c>
      <c r="B15297" t="s">
        <v>45415</v>
      </c>
      <c r="C15297" t="s">
        <v>45416</v>
      </c>
      <c r="D15297" t="str">
        <f>HYPERLINK("https://zfin.org/ZDB-GENE-131121-94")</f>
        <v>https://zfin.org/ZDB-GENE-131121-94</v>
      </c>
      <c r="E15297" t="s">
        <v>45417</v>
      </c>
    </row>
    <row r="15298" spans="1:5" x14ac:dyDescent="0.2">
      <c r="A15298" t="s">
        <v>45418</v>
      </c>
      <c r="B15298" t="s">
        <v>45419</v>
      </c>
      <c r="C15298" t="s">
        <v>45419</v>
      </c>
      <c r="D15298" t="str">
        <f>HYPERLINK("https://zfin.org/")</f>
        <v>https://zfin.org/</v>
      </c>
      <c r="E15298" t="s">
        <v>45420</v>
      </c>
    </row>
    <row r="15299" spans="1:5" x14ac:dyDescent="0.2">
      <c r="A15299" t="s">
        <v>45421</v>
      </c>
      <c r="B15299" t="s">
        <v>45422</v>
      </c>
      <c r="C15299" t="s">
        <v>45423</v>
      </c>
      <c r="D15299" t="str">
        <f>HYPERLINK("https://zfin.org/ZDB-GENE-030723-6")</f>
        <v>https://zfin.org/ZDB-GENE-030723-6</v>
      </c>
      <c r="E15299" t="s">
        <v>45424</v>
      </c>
    </row>
    <row r="15300" spans="1:5" x14ac:dyDescent="0.2">
      <c r="A15300" t="s">
        <v>45425</v>
      </c>
      <c r="B15300" t="s">
        <v>45426</v>
      </c>
      <c r="C15300" t="s">
        <v>45426</v>
      </c>
      <c r="D15300" t="str">
        <f>HYPERLINK("https://zfin.org/ZDB-GENE-081022-6")</f>
        <v>https://zfin.org/ZDB-GENE-081022-6</v>
      </c>
      <c r="E15300" t="s">
        <v>45427</v>
      </c>
    </row>
    <row r="15301" spans="1:5" x14ac:dyDescent="0.2">
      <c r="A15301" t="s">
        <v>45428</v>
      </c>
      <c r="B15301" t="s">
        <v>45429</v>
      </c>
      <c r="C15301" t="s">
        <v>45429</v>
      </c>
      <c r="D15301" t="str">
        <f t="shared" ref="D15301:D15306" si="17">HYPERLINK("https://zfin.org/")</f>
        <v>https://zfin.org/</v>
      </c>
    </row>
    <row r="15302" spans="1:5" x14ac:dyDescent="0.2">
      <c r="A15302" t="s">
        <v>45430</v>
      </c>
      <c r="B15302" t="s">
        <v>45431</v>
      </c>
      <c r="C15302" t="s">
        <v>45431</v>
      </c>
      <c r="D15302" t="str">
        <f t="shared" si="17"/>
        <v>https://zfin.org/</v>
      </c>
    </row>
    <row r="15303" spans="1:5" x14ac:dyDescent="0.2">
      <c r="A15303" t="s">
        <v>45432</v>
      </c>
      <c r="B15303" t="s">
        <v>45433</v>
      </c>
      <c r="C15303" t="s">
        <v>45433</v>
      </c>
      <c r="D15303" t="str">
        <f t="shared" si="17"/>
        <v>https://zfin.org/</v>
      </c>
    </row>
    <row r="15304" spans="1:5" x14ac:dyDescent="0.2">
      <c r="A15304" t="s">
        <v>45434</v>
      </c>
      <c r="B15304" t="s">
        <v>26508</v>
      </c>
      <c r="C15304" t="s">
        <v>45435</v>
      </c>
      <c r="D15304" t="str">
        <f t="shared" si="17"/>
        <v>https://zfin.org/</v>
      </c>
      <c r="E15304" t="s">
        <v>45388</v>
      </c>
    </row>
    <row r="15305" spans="1:5" x14ac:dyDescent="0.2">
      <c r="A15305" t="s">
        <v>45436</v>
      </c>
      <c r="B15305" t="s">
        <v>45437</v>
      </c>
      <c r="C15305" t="s">
        <v>45437</v>
      </c>
      <c r="D15305" t="str">
        <f t="shared" si="17"/>
        <v>https://zfin.org/</v>
      </c>
    </row>
    <row r="15306" spans="1:5" x14ac:dyDescent="0.2">
      <c r="A15306" t="s">
        <v>45438</v>
      </c>
      <c r="B15306" t="s">
        <v>45439</v>
      </c>
      <c r="C15306" t="s">
        <v>45439</v>
      </c>
      <c r="D15306" t="str">
        <f t="shared" si="17"/>
        <v>https://zfin.org/</v>
      </c>
    </row>
    <row r="15307" spans="1:5" x14ac:dyDescent="0.2">
      <c r="A15307" t="s">
        <v>45440</v>
      </c>
      <c r="B15307" t="s">
        <v>45441</v>
      </c>
      <c r="C15307" t="s">
        <v>45441</v>
      </c>
      <c r="D15307" t="str">
        <f>HYPERLINK("https://zfin.org/ZDB-GENE-080212-4")</f>
        <v>https://zfin.org/ZDB-GENE-080212-4</v>
      </c>
      <c r="E15307" t="s">
        <v>45442</v>
      </c>
    </row>
    <row r="15308" spans="1:5" x14ac:dyDescent="0.2">
      <c r="A15308" t="s">
        <v>45443</v>
      </c>
      <c r="B15308" t="s">
        <v>45444</v>
      </c>
      <c r="C15308" t="s">
        <v>45444</v>
      </c>
      <c r="D15308" t="str">
        <f>HYPERLINK("https://zfin.org/ZDB-GENE-040421-1")</f>
        <v>https://zfin.org/ZDB-GENE-040421-1</v>
      </c>
      <c r="E15308" t="s">
        <v>45445</v>
      </c>
    </row>
    <row r="15309" spans="1:5" x14ac:dyDescent="0.2">
      <c r="A15309" t="s">
        <v>45446</v>
      </c>
      <c r="B15309" t="s">
        <v>45447</v>
      </c>
      <c r="C15309" t="s">
        <v>45447</v>
      </c>
      <c r="D15309" t="str">
        <f>HYPERLINK("https://zfin.org/ZDB-GENE-070424-46")</f>
        <v>https://zfin.org/ZDB-GENE-070424-46</v>
      </c>
      <c r="E15309" t="s">
        <v>45448</v>
      </c>
    </row>
    <row r="15310" spans="1:5" x14ac:dyDescent="0.2">
      <c r="A15310" t="s">
        <v>45449</v>
      </c>
      <c r="B15310" t="s">
        <v>45450</v>
      </c>
      <c r="C15310" t="s">
        <v>45450</v>
      </c>
      <c r="D15310" t="str">
        <f>HYPERLINK("https://zfin.org/ZDB-GENE-050309-145")</f>
        <v>https://zfin.org/ZDB-GENE-050309-145</v>
      </c>
      <c r="E15310" t="s">
        <v>45451</v>
      </c>
    </row>
    <row r="15311" spans="1:5" x14ac:dyDescent="0.2">
      <c r="A15311" t="s">
        <v>45452</v>
      </c>
      <c r="B15311" t="s">
        <v>45453</v>
      </c>
      <c r="C15311" t="s">
        <v>45453</v>
      </c>
      <c r="D15311" t="str">
        <f>HYPERLINK("https://zfin.org/ZDB-GENE-070410-9")</f>
        <v>https://zfin.org/ZDB-GENE-070410-9</v>
      </c>
      <c r="E15311" t="s">
        <v>45454</v>
      </c>
    </row>
    <row r="15312" spans="1:5" x14ac:dyDescent="0.2">
      <c r="A15312" t="s">
        <v>45455</v>
      </c>
      <c r="B15312" t="s">
        <v>45456</v>
      </c>
      <c r="C15312" t="s">
        <v>45456</v>
      </c>
      <c r="D15312" t="str">
        <f>HYPERLINK("https://zfin.org/ZDB-GENE-030804-15")</f>
        <v>https://zfin.org/ZDB-GENE-030804-15</v>
      </c>
      <c r="E15312" t="s">
        <v>45457</v>
      </c>
    </row>
    <row r="15313" spans="1:5" x14ac:dyDescent="0.2">
      <c r="A15313" t="s">
        <v>45458</v>
      </c>
      <c r="B15313" t="s">
        <v>45459</v>
      </c>
      <c r="C15313" t="s">
        <v>45459</v>
      </c>
      <c r="D15313" t="str">
        <f>HYPERLINK("https://zfin.org/ZDB-GENE-060929-172")</f>
        <v>https://zfin.org/ZDB-GENE-060929-172</v>
      </c>
      <c r="E15313" t="s">
        <v>45460</v>
      </c>
    </row>
    <row r="15314" spans="1:5" x14ac:dyDescent="0.2">
      <c r="A15314" t="s">
        <v>45461</v>
      </c>
      <c r="B15314" t="s">
        <v>9151</v>
      </c>
      <c r="C15314" t="s">
        <v>45462</v>
      </c>
      <c r="D15314" t="str">
        <f>HYPERLINK("https://zfin.org/")</f>
        <v>https://zfin.org/</v>
      </c>
      <c r="E15314" t="s">
        <v>45463</v>
      </c>
    </row>
    <row r="15315" spans="1:5" x14ac:dyDescent="0.2">
      <c r="A15315" t="s">
        <v>45464</v>
      </c>
      <c r="B15315" t="s">
        <v>45465</v>
      </c>
      <c r="C15315" t="s">
        <v>45465</v>
      </c>
      <c r="D15315" t="str">
        <f>HYPERLINK("https://zfin.org/")</f>
        <v>https://zfin.org/</v>
      </c>
      <c r="E15315" t="s">
        <v>45466</v>
      </c>
    </row>
    <row r="15316" spans="1:5" x14ac:dyDescent="0.2">
      <c r="A15316" t="s">
        <v>45467</v>
      </c>
      <c r="B15316" t="s">
        <v>45468</v>
      </c>
      <c r="C15316" t="s">
        <v>45468</v>
      </c>
      <c r="D15316" t="str">
        <f>HYPERLINK("https://zfin.org/")</f>
        <v>https://zfin.org/</v>
      </c>
      <c r="E15316" t="s">
        <v>45469</v>
      </c>
    </row>
    <row r="15317" spans="1:5" x14ac:dyDescent="0.2">
      <c r="A15317" t="s">
        <v>45470</v>
      </c>
      <c r="B15317" t="s">
        <v>45471</v>
      </c>
      <c r="C15317" t="s">
        <v>45471</v>
      </c>
      <c r="D15317" t="str">
        <f>HYPERLINK("https://zfin.org/ZDB-GENE-030131-5556")</f>
        <v>https://zfin.org/ZDB-GENE-030131-5556</v>
      </c>
      <c r="E15317" t="s">
        <v>45472</v>
      </c>
    </row>
    <row r="15318" spans="1:5" x14ac:dyDescent="0.2">
      <c r="A15318" t="s">
        <v>45473</v>
      </c>
      <c r="B15318" t="s">
        <v>45474</v>
      </c>
      <c r="C15318" t="s">
        <v>45474</v>
      </c>
      <c r="D15318" t="str">
        <f>HYPERLINK("https://zfin.org/")</f>
        <v>https://zfin.org/</v>
      </c>
    </row>
    <row r="15319" spans="1:5" x14ac:dyDescent="0.2">
      <c r="A15319" t="s">
        <v>45475</v>
      </c>
      <c r="B15319" t="s">
        <v>45476</v>
      </c>
      <c r="C15319" t="s">
        <v>45476</v>
      </c>
      <c r="D15319" t="str">
        <f>HYPERLINK("https://zfin.org/ZDB-GENE-060512-206")</f>
        <v>https://zfin.org/ZDB-GENE-060512-206</v>
      </c>
      <c r="E15319" t="s">
        <v>45477</v>
      </c>
    </row>
    <row r="15320" spans="1:5" x14ac:dyDescent="0.2">
      <c r="A15320" t="s">
        <v>45478</v>
      </c>
      <c r="B15320" t="s">
        <v>45479</v>
      </c>
      <c r="C15320" t="s">
        <v>45479</v>
      </c>
      <c r="D15320" t="str">
        <f>HYPERLINK("https://zfin.org/")</f>
        <v>https://zfin.org/</v>
      </c>
      <c r="E15320" t="s">
        <v>45480</v>
      </c>
    </row>
    <row r="15321" spans="1:5" x14ac:dyDescent="0.2">
      <c r="A15321" t="s">
        <v>45481</v>
      </c>
      <c r="B15321" t="s">
        <v>45482</v>
      </c>
      <c r="C15321" t="s">
        <v>45482</v>
      </c>
      <c r="D15321" t="str">
        <f>HYPERLINK("https://zfin.org/")</f>
        <v>https://zfin.org/</v>
      </c>
    </row>
    <row r="15322" spans="1:5" x14ac:dyDescent="0.2">
      <c r="A15322" t="s">
        <v>45483</v>
      </c>
      <c r="B15322" t="s">
        <v>45484</v>
      </c>
      <c r="C15322" t="s">
        <v>45484</v>
      </c>
      <c r="D15322" t="str">
        <f>HYPERLINK("https://zfin.org/ZDB-GENE-061013-597")</f>
        <v>https://zfin.org/ZDB-GENE-061013-597</v>
      </c>
      <c r="E15322" t="s">
        <v>45485</v>
      </c>
    </row>
    <row r="15323" spans="1:5" x14ac:dyDescent="0.2">
      <c r="A15323" t="s">
        <v>45486</v>
      </c>
      <c r="B15323" t="s">
        <v>45487</v>
      </c>
      <c r="C15323" t="s">
        <v>45487</v>
      </c>
      <c r="D15323" t="str">
        <f>HYPERLINK("https://zfin.org/")</f>
        <v>https://zfin.org/</v>
      </c>
    </row>
    <row r="15324" spans="1:5" x14ac:dyDescent="0.2">
      <c r="A15324" t="s">
        <v>45488</v>
      </c>
      <c r="B15324" t="s">
        <v>45489</v>
      </c>
      <c r="C15324" t="s">
        <v>45489</v>
      </c>
      <c r="D15324" t="str">
        <f>HYPERLINK("https://zfin.org/ZDB-GENE-050913-13")</f>
        <v>https://zfin.org/ZDB-GENE-050913-13</v>
      </c>
      <c r="E15324" t="s">
        <v>45490</v>
      </c>
    </row>
    <row r="15325" spans="1:5" x14ac:dyDescent="0.2">
      <c r="A15325" t="s">
        <v>45491</v>
      </c>
      <c r="B15325" t="s">
        <v>45492</v>
      </c>
      <c r="C15325" t="s">
        <v>45492</v>
      </c>
      <c r="D15325" t="str">
        <f>HYPERLINK("https://zfin.org/ZDB-GENE-041024-8")</f>
        <v>https://zfin.org/ZDB-GENE-041024-8</v>
      </c>
      <c r="E15325" t="s">
        <v>45493</v>
      </c>
    </row>
    <row r="15326" spans="1:5" x14ac:dyDescent="0.2">
      <c r="A15326" t="s">
        <v>45494</v>
      </c>
      <c r="B15326" t="s">
        <v>45495</v>
      </c>
      <c r="C15326" t="s">
        <v>45495</v>
      </c>
      <c r="D15326" t="str">
        <f>HYPERLINK("https://zfin.org/")</f>
        <v>https://zfin.org/</v>
      </c>
    </row>
    <row r="15327" spans="1:5" x14ac:dyDescent="0.2">
      <c r="A15327" t="s">
        <v>45496</v>
      </c>
      <c r="B15327" t="s">
        <v>45497</v>
      </c>
      <c r="C15327" t="s">
        <v>45497</v>
      </c>
      <c r="D15327" t="str">
        <f>HYPERLINK("https://zfin.org/ZDB-GENE-081022-77")</f>
        <v>https://zfin.org/ZDB-GENE-081022-77</v>
      </c>
      <c r="E15327" t="s">
        <v>45498</v>
      </c>
    </row>
    <row r="15328" spans="1:5" x14ac:dyDescent="0.2">
      <c r="A15328" t="s">
        <v>45499</v>
      </c>
      <c r="B15328" t="s">
        <v>45500</v>
      </c>
      <c r="C15328" t="s">
        <v>45500</v>
      </c>
      <c r="D15328" t="str">
        <f>HYPERLINK("https://zfin.org/ZDB-GENE-050809-44")</f>
        <v>https://zfin.org/ZDB-GENE-050809-44</v>
      </c>
      <c r="E15328" t="s">
        <v>45501</v>
      </c>
    </row>
    <row r="15329" spans="1:5" x14ac:dyDescent="0.2">
      <c r="A15329" t="s">
        <v>45502</v>
      </c>
      <c r="B15329" t="s">
        <v>45503</v>
      </c>
      <c r="C15329" t="s">
        <v>45503</v>
      </c>
      <c r="D15329" t="str">
        <f>HYPERLINK("https://zfin.org/ZDB-GENE-070112-1912")</f>
        <v>https://zfin.org/ZDB-GENE-070112-1912</v>
      </c>
      <c r="E15329" t="s">
        <v>45504</v>
      </c>
    </row>
    <row r="15330" spans="1:5" x14ac:dyDescent="0.2">
      <c r="A15330" t="s">
        <v>45505</v>
      </c>
      <c r="B15330" t="s">
        <v>45506</v>
      </c>
      <c r="C15330" t="s">
        <v>45506</v>
      </c>
      <c r="D15330" t="str">
        <f>HYPERLINK("https://zfin.org/ZDB-GENE-040912-99")</f>
        <v>https://zfin.org/ZDB-GENE-040912-99</v>
      </c>
      <c r="E15330" t="s">
        <v>45507</v>
      </c>
    </row>
    <row r="15331" spans="1:5" x14ac:dyDescent="0.2">
      <c r="A15331" t="s">
        <v>45508</v>
      </c>
      <c r="B15331" t="s">
        <v>45509</v>
      </c>
      <c r="C15331" t="s">
        <v>45509</v>
      </c>
      <c r="D15331" t="str">
        <f>HYPERLINK("https://zfin.org/ZDB-GENE-041114-205")</f>
        <v>https://zfin.org/ZDB-GENE-041114-205</v>
      </c>
      <c r="E15331" t="s">
        <v>45510</v>
      </c>
    </row>
    <row r="15332" spans="1:5" x14ac:dyDescent="0.2">
      <c r="A15332" t="s">
        <v>45511</v>
      </c>
      <c r="B15332" t="s">
        <v>45512</v>
      </c>
      <c r="C15332" t="s">
        <v>45512</v>
      </c>
      <c r="D15332" t="str">
        <f>HYPERLINK("https://zfin.org/")</f>
        <v>https://zfin.org/</v>
      </c>
    </row>
    <row r="15333" spans="1:5" x14ac:dyDescent="0.2">
      <c r="A15333" t="s">
        <v>45513</v>
      </c>
      <c r="B15333" t="s">
        <v>45514</v>
      </c>
      <c r="C15333" t="s">
        <v>45514</v>
      </c>
      <c r="D15333" t="str">
        <f>HYPERLINK("https://zfin.org/ZDB-GENE-040912-34")</f>
        <v>https://zfin.org/ZDB-GENE-040912-34</v>
      </c>
      <c r="E15333" t="s">
        <v>45515</v>
      </c>
    </row>
    <row r="15334" spans="1:5" x14ac:dyDescent="0.2">
      <c r="A15334" t="s">
        <v>45516</v>
      </c>
      <c r="B15334" t="s">
        <v>45517</v>
      </c>
      <c r="C15334" t="s">
        <v>45517</v>
      </c>
      <c r="D15334" t="str">
        <f>HYPERLINK("https://zfin.org/ZDB-GENE-051120-54")</f>
        <v>https://zfin.org/ZDB-GENE-051120-54</v>
      </c>
      <c r="E15334" t="s">
        <v>45518</v>
      </c>
    </row>
    <row r="15335" spans="1:5" x14ac:dyDescent="0.2">
      <c r="A15335" t="s">
        <v>45519</v>
      </c>
      <c r="B15335" t="s">
        <v>45520</v>
      </c>
      <c r="C15335" t="s">
        <v>45520</v>
      </c>
      <c r="D15335" t="str">
        <f>HYPERLINK("https://zfin.org/")</f>
        <v>https://zfin.org/</v>
      </c>
      <c r="E15335" t="s">
        <v>45521</v>
      </c>
    </row>
    <row r="15336" spans="1:5" x14ac:dyDescent="0.2">
      <c r="A15336" t="s">
        <v>45522</v>
      </c>
      <c r="B15336" t="s">
        <v>45523</v>
      </c>
      <c r="C15336" t="s">
        <v>45523</v>
      </c>
      <c r="D15336" t="str">
        <f>HYPERLINK("https://zfin.org/")</f>
        <v>https://zfin.org/</v>
      </c>
    </row>
    <row r="15337" spans="1:5" x14ac:dyDescent="0.2">
      <c r="A15337" t="s">
        <v>45524</v>
      </c>
      <c r="B15337" t="s">
        <v>45525</v>
      </c>
      <c r="C15337" t="s">
        <v>45525</v>
      </c>
      <c r="D15337" t="str">
        <f>HYPERLINK("https://zfin.org/ZDB-GENE-040718-188")</f>
        <v>https://zfin.org/ZDB-GENE-040718-188</v>
      </c>
      <c r="E15337" t="s">
        <v>45526</v>
      </c>
    </row>
    <row r="15338" spans="1:5" x14ac:dyDescent="0.2">
      <c r="A15338" t="s">
        <v>45527</v>
      </c>
      <c r="B15338" t="s">
        <v>45528</v>
      </c>
      <c r="C15338" t="s">
        <v>45528</v>
      </c>
      <c r="D15338" t="str">
        <f>HYPERLINK("https://zfin.org/ZDB-GENE-040426-896")</f>
        <v>https://zfin.org/ZDB-GENE-040426-896</v>
      </c>
      <c r="E15338" t="s">
        <v>45529</v>
      </c>
    </row>
    <row r="15339" spans="1:5" x14ac:dyDescent="0.2">
      <c r="A15339" t="s">
        <v>45530</v>
      </c>
      <c r="B15339" t="s">
        <v>45531</v>
      </c>
      <c r="C15339" t="s">
        <v>45531</v>
      </c>
      <c r="D15339" t="str">
        <f>HYPERLINK("https://zfin.org/")</f>
        <v>https://zfin.org/</v>
      </c>
      <c r="E15339" t="s">
        <v>45532</v>
      </c>
    </row>
    <row r="15340" spans="1:5" x14ac:dyDescent="0.2">
      <c r="A15340" t="s">
        <v>45533</v>
      </c>
      <c r="B15340" t="s">
        <v>45534</v>
      </c>
      <c r="C15340" t="s">
        <v>45534</v>
      </c>
      <c r="D15340" t="str">
        <f>HYPERLINK("https://zfin.org/")</f>
        <v>https://zfin.org/</v>
      </c>
    </row>
    <row r="15341" spans="1:5" x14ac:dyDescent="0.2">
      <c r="A15341" t="s">
        <v>45535</v>
      </c>
      <c r="B15341" t="s">
        <v>41594</v>
      </c>
      <c r="C15341" t="s">
        <v>45536</v>
      </c>
      <c r="D15341" t="str">
        <f>HYPERLINK("https://zfin.org/")</f>
        <v>https://zfin.org/</v>
      </c>
      <c r="E15341" t="s">
        <v>41595</v>
      </c>
    </row>
    <row r="15342" spans="1:5" x14ac:dyDescent="0.2">
      <c r="A15342" t="s">
        <v>45537</v>
      </c>
      <c r="B15342" t="s">
        <v>45538</v>
      </c>
      <c r="C15342" t="s">
        <v>45538</v>
      </c>
      <c r="D15342" t="str">
        <f>HYPERLINK("https://zfin.org/")</f>
        <v>https://zfin.org/</v>
      </c>
    </row>
    <row r="15343" spans="1:5" x14ac:dyDescent="0.2">
      <c r="A15343" t="s">
        <v>45539</v>
      </c>
      <c r="B15343" t="s">
        <v>45540</v>
      </c>
      <c r="C15343" t="s">
        <v>45540</v>
      </c>
      <c r="D15343" t="str">
        <f>HYPERLINK("https://zfin.org/ZDB-GENE-040122-2")</f>
        <v>https://zfin.org/ZDB-GENE-040122-2</v>
      </c>
      <c r="E15343" t="s">
        <v>45541</v>
      </c>
    </row>
    <row r="15344" spans="1:5" x14ac:dyDescent="0.2">
      <c r="A15344" t="s">
        <v>45542</v>
      </c>
      <c r="B15344" t="s">
        <v>45543</v>
      </c>
      <c r="C15344" t="s">
        <v>45543</v>
      </c>
      <c r="D15344" t="str">
        <f>HYPERLINK("https://zfin.org/")</f>
        <v>https://zfin.org/</v>
      </c>
      <c r="E15344" t="s">
        <v>45544</v>
      </c>
    </row>
    <row r="15345" spans="1:5" x14ac:dyDescent="0.2">
      <c r="A15345" t="s">
        <v>45545</v>
      </c>
      <c r="B15345" t="s">
        <v>43096</v>
      </c>
      <c r="C15345" t="s">
        <v>45546</v>
      </c>
      <c r="D15345" t="str">
        <f>HYPERLINK("https://zfin.org/")</f>
        <v>https://zfin.org/</v>
      </c>
      <c r="E15345" t="s">
        <v>43097</v>
      </c>
    </row>
    <row r="15346" spans="1:5" x14ac:dyDescent="0.2">
      <c r="A15346" t="s">
        <v>45547</v>
      </c>
      <c r="B15346" t="s">
        <v>43096</v>
      </c>
      <c r="C15346" t="s">
        <v>45548</v>
      </c>
      <c r="D15346" t="str">
        <f>HYPERLINK("https://zfin.org/")</f>
        <v>https://zfin.org/</v>
      </c>
      <c r="E15346" t="s">
        <v>43097</v>
      </c>
    </row>
    <row r="15347" spans="1:5" x14ac:dyDescent="0.2">
      <c r="A15347" t="s">
        <v>45549</v>
      </c>
      <c r="B15347" t="s">
        <v>45550</v>
      </c>
      <c r="C15347" t="s">
        <v>45550</v>
      </c>
      <c r="D15347" t="str">
        <f>HYPERLINK("https://zfin.org/ZDB-GENE-021210-3")</f>
        <v>https://zfin.org/ZDB-GENE-021210-3</v>
      </c>
      <c r="E15347" t="s">
        <v>45551</v>
      </c>
    </row>
    <row r="15348" spans="1:5" x14ac:dyDescent="0.2">
      <c r="A15348" t="s">
        <v>45552</v>
      </c>
      <c r="B15348" t="s">
        <v>45553</v>
      </c>
      <c r="C15348" t="s">
        <v>45553</v>
      </c>
      <c r="D15348" t="str">
        <f>HYPERLINK("https://zfin.org/ZDB-GENE-070928-22")</f>
        <v>https://zfin.org/ZDB-GENE-070928-22</v>
      </c>
      <c r="E15348" t="s">
        <v>45554</v>
      </c>
    </row>
    <row r="15349" spans="1:5" x14ac:dyDescent="0.2">
      <c r="A15349" t="s">
        <v>45555</v>
      </c>
      <c r="B15349" t="s">
        <v>45556</v>
      </c>
      <c r="C15349" t="s">
        <v>45556</v>
      </c>
      <c r="D15349" t="str">
        <f>HYPERLINK("https://zfin.org/")</f>
        <v>https://zfin.org/</v>
      </c>
      <c r="E15349" t="s">
        <v>45557</v>
      </c>
    </row>
    <row r="15350" spans="1:5" x14ac:dyDescent="0.2">
      <c r="A15350" t="s">
        <v>45558</v>
      </c>
      <c r="B15350" t="s">
        <v>45559</v>
      </c>
      <c r="C15350" t="s">
        <v>45559</v>
      </c>
      <c r="D15350" t="str">
        <f>HYPERLINK("https://zfin.org/")</f>
        <v>https://zfin.org/</v>
      </c>
      <c r="E15350" t="s">
        <v>45560</v>
      </c>
    </row>
    <row r="15351" spans="1:5" x14ac:dyDescent="0.2">
      <c r="A15351" t="s">
        <v>45561</v>
      </c>
      <c r="B15351" t="s">
        <v>45562</v>
      </c>
      <c r="C15351" t="s">
        <v>45563</v>
      </c>
      <c r="D15351" t="str">
        <f>HYPERLINK("https://zfin.org/")</f>
        <v>https://zfin.org/</v>
      </c>
      <c r="E15351" t="s">
        <v>45564</v>
      </c>
    </row>
    <row r="15352" spans="1:5" x14ac:dyDescent="0.2">
      <c r="A15352" t="s">
        <v>45565</v>
      </c>
      <c r="B15352" t="s">
        <v>45566</v>
      </c>
      <c r="C15352" t="s">
        <v>45566</v>
      </c>
      <c r="D15352" t="str">
        <f>HYPERLINK("https://zfin.org/")</f>
        <v>https://zfin.org/</v>
      </c>
      <c r="E15352" t="s">
        <v>45567</v>
      </c>
    </row>
    <row r="15353" spans="1:5" x14ac:dyDescent="0.2">
      <c r="A15353" t="s">
        <v>45568</v>
      </c>
      <c r="B15353" t="s">
        <v>45569</v>
      </c>
      <c r="C15353" t="s">
        <v>45569</v>
      </c>
      <c r="D15353" t="str">
        <f>HYPERLINK("https://zfin.org/ZDB-GENE-050506-24")</f>
        <v>https://zfin.org/ZDB-GENE-050506-24</v>
      </c>
      <c r="E15353" t="s">
        <v>45570</v>
      </c>
    </row>
    <row r="15354" spans="1:5" x14ac:dyDescent="0.2">
      <c r="A15354" t="s">
        <v>45571</v>
      </c>
      <c r="B15354" t="s">
        <v>45572</v>
      </c>
      <c r="C15354" t="s">
        <v>45572</v>
      </c>
      <c r="D15354" t="str">
        <f>HYPERLINK("https://zfin.org/ZDB-GENE-041212-53")</f>
        <v>https://zfin.org/ZDB-GENE-041212-53</v>
      </c>
      <c r="E15354" t="s">
        <v>45573</v>
      </c>
    </row>
    <row r="15355" spans="1:5" x14ac:dyDescent="0.2">
      <c r="A15355" t="s">
        <v>45574</v>
      </c>
      <c r="B15355" t="s">
        <v>45575</v>
      </c>
      <c r="C15355" t="s">
        <v>45575</v>
      </c>
      <c r="D15355" t="str">
        <f>HYPERLINK("https://zfin.org/ZDB-GENE-980526-186")</f>
        <v>https://zfin.org/ZDB-GENE-980526-186</v>
      </c>
      <c r="E15355" t="s">
        <v>45576</v>
      </c>
    </row>
    <row r="15356" spans="1:5" x14ac:dyDescent="0.2">
      <c r="A15356" t="s">
        <v>45577</v>
      </c>
      <c r="B15356" t="s">
        <v>45578</v>
      </c>
      <c r="C15356" t="s">
        <v>45578</v>
      </c>
      <c r="D15356" t="str">
        <f>HYPERLINK("https://zfin.org/ZDB-GENE-030131-9700")</f>
        <v>https://zfin.org/ZDB-GENE-030131-9700</v>
      </c>
      <c r="E15356" t="s">
        <v>45579</v>
      </c>
    </row>
    <row r="15357" spans="1:5" x14ac:dyDescent="0.2">
      <c r="A15357" t="s">
        <v>45580</v>
      </c>
      <c r="B15357" t="s">
        <v>45581</v>
      </c>
      <c r="C15357" t="s">
        <v>45582</v>
      </c>
      <c r="D15357" t="str">
        <f>HYPERLINK("https://zfin.org/")</f>
        <v>https://zfin.org/</v>
      </c>
      <c r="E15357" t="s">
        <v>45583</v>
      </c>
    </row>
    <row r="15358" spans="1:5" x14ac:dyDescent="0.2">
      <c r="A15358" t="s">
        <v>45584</v>
      </c>
      <c r="B15358" t="s">
        <v>45585</v>
      </c>
      <c r="C15358" t="s">
        <v>45585</v>
      </c>
      <c r="D15358" t="str">
        <f>HYPERLINK("https://zfin.org/ZDB-GENE-040426-1859")</f>
        <v>https://zfin.org/ZDB-GENE-040426-1859</v>
      </c>
      <c r="E15358" t="s">
        <v>45586</v>
      </c>
    </row>
    <row r="15359" spans="1:5" x14ac:dyDescent="0.2">
      <c r="A15359" t="s">
        <v>45587</v>
      </c>
      <c r="B15359" t="s">
        <v>45588</v>
      </c>
      <c r="C15359" t="s">
        <v>45588</v>
      </c>
      <c r="D15359" t="str">
        <f>HYPERLINK("https://zfin.org/")</f>
        <v>https://zfin.org/</v>
      </c>
      <c r="E15359" t="s">
        <v>45589</v>
      </c>
    </row>
    <row r="15360" spans="1:5" x14ac:dyDescent="0.2">
      <c r="A15360" t="s">
        <v>45590</v>
      </c>
      <c r="B15360" t="s">
        <v>45591</v>
      </c>
      <c r="C15360" t="s">
        <v>45591</v>
      </c>
      <c r="D15360" t="str">
        <f>HYPERLINK("https://zfin.org/ZDB-GENE-030219-181")</f>
        <v>https://zfin.org/ZDB-GENE-030219-181</v>
      </c>
      <c r="E15360" t="s">
        <v>45592</v>
      </c>
    </row>
    <row r="15361" spans="1:5" x14ac:dyDescent="0.2">
      <c r="A15361" t="s">
        <v>45593</v>
      </c>
      <c r="B15361" t="s">
        <v>45594</v>
      </c>
      <c r="C15361" t="s">
        <v>45594</v>
      </c>
      <c r="D15361" t="str">
        <f>HYPERLINK("https://zfin.org/ZDB-GENE-061110-19")</f>
        <v>https://zfin.org/ZDB-GENE-061110-19</v>
      </c>
      <c r="E15361" t="s">
        <v>45595</v>
      </c>
    </row>
    <row r="15362" spans="1:5" x14ac:dyDescent="0.2">
      <c r="A15362" t="s">
        <v>45596</v>
      </c>
      <c r="B15362" t="s">
        <v>45597</v>
      </c>
      <c r="C15362" t="s">
        <v>45597</v>
      </c>
      <c r="D15362" t="str">
        <f>HYPERLINK("https://zfin.org/")</f>
        <v>https://zfin.org/</v>
      </c>
      <c r="E15362" t="s">
        <v>45598</v>
      </c>
    </row>
    <row r="15363" spans="1:5" x14ac:dyDescent="0.2">
      <c r="A15363" t="s">
        <v>45599</v>
      </c>
      <c r="B15363" t="s">
        <v>45600</v>
      </c>
      <c r="C15363" t="s">
        <v>45600</v>
      </c>
      <c r="D15363" t="str">
        <f>HYPERLINK("https://zfin.org/")</f>
        <v>https://zfin.org/</v>
      </c>
      <c r="E15363" t="s">
        <v>45601</v>
      </c>
    </row>
    <row r="15364" spans="1:5" x14ac:dyDescent="0.2">
      <c r="A15364" t="s">
        <v>45602</v>
      </c>
      <c r="B15364" t="s">
        <v>45603</v>
      </c>
      <c r="C15364" t="s">
        <v>45603</v>
      </c>
      <c r="D15364" t="str">
        <f>HYPERLINK("https://zfin.org/")</f>
        <v>https://zfin.org/</v>
      </c>
      <c r="E15364" t="s">
        <v>45604</v>
      </c>
    </row>
    <row r="15365" spans="1:5" x14ac:dyDescent="0.2">
      <c r="A15365" t="s">
        <v>45605</v>
      </c>
      <c r="B15365" t="s">
        <v>45606</v>
      </c>
      <c r="C15365" t="s">
        <v>45606</v>
      </c>
      <c r="D15365" t="str">
        <f>HYPERLINK("https://zfin.org/")</f>
        <v>https://zfin.org/</v>
      </c>
      <c r="E15365" t="s">
        <v>45607</v>
      </c>
    </row>
    <row r="15366" spans="1:5" x14ac:dyDescent="0.2">
      <c r="A15366" t="s">
        <v>45608</v>
      </c>
      <c r="B15366" t="s">
        <v>45609</v>
      </c>
      <c r="C15366" t="s">
        <v>45609</v>
      </c>
      <c r="D15366" t="str">
        <f>HYPERLINK("https://zfin.org/ZDB-GENE-121030-4")</f>
        <v>https://zfin.org/ZDB-GENE-121030-4</v>
      </c>
      <c r="E15366" t="s">
        <v>45610</v>
      </c>
    </row>
    <row r="15367" spans="1:5" x14ac:dyDescent="0.2">
      <c r="A15367" t="s">
        <v>45611</v>
      </c>
      <c r="B15367" t="s">
        <v>45612</v>
      </c>
      <c r="C15367" t="s">
        <v>45612</v>
      </c>
      <c r="D15367" t="str">
        <f>HYPERLINK("https://zfin.org/ZDB-GENE-070912-114")</f>
        <v>https://zfin.org/ZDB-GENE-070912-114</v>
      </c>
      <c r="E15367" t="s">
        <v>45613</v>
      </c>
    </row>
    <row r="15368" spans="1:5" x14ac:dyDescent="0.2">
      <c r="A15368" t="s">
        <v>45614</v>
      </c>
      <c r="B15368" t="s">
        <v>45615</v>
      </c>
      <c r="C15368" t="s">
        <v>45615</v>
      </c>
      <c r="D15368" t="str">
        <f>HYPERLINK("https://zfin.org/ZDB-GENE-990715-18")</f>
        <v>https://zfin.org/ZDB-GENE-990715-18</v>
      </c>
      <c r="E15368" t="s">
        <v>45616</v>
      </c>
    </row>
    <row r="15369" spans="1:5" x14ac:dyDescent="0.2">
      <c r="A15369" t="s">
        <v>45617</v>
      </c>
      <c r="B15369" t="s">
        <v>45618</v>
      </c>
      <c r="C15369" t="s">
        <v>45618</v>
      </c>
      <c r="D15369" t="str">
        <f>HYPERLINK("https://zfin.org/")</f>
        <v>https://zfin.org/</v>
      </c>
      <c r="E15369" t="s">
        <v>45619</v>
      </c>
    </row>
    <row r="15370" spans="1:5" x14ac:dyDescent="0.2">
      <c r="A15370" t="s">
        <v>45620</v>
      </c>
      <c r="B15370" t="s">
        <v>45621</v>
      </c>
      <c r="C15370" t="s">
        <v>45621</v>
      </c>
      <c r="D15370" t="str">
        <f>HYPERLINK("https://zfin.org/ZDB-GENE-060519-40")</f>
        <v>https://zfin.org/ZDB-GENE-060519-40</v>
      </c>
      <c r="E15370" t="s">
        <v>45622</v>
      </c>
    </row>
    <row r="15371" spans="1:5" x14ac:dyDescent="0.2">
      <c r="A15371" t="s">
        <v>45623</v>
      </c>
      <c r="B15371" t="s">
        <v>45624</v>
      </c>
      <c r="C15371" t="s">
        <v>45624</v>
      </c>
      <c r="D15371" t="str">
        <f>HYPERLINK("https://zfin.org/")</f>
        <v>https://zfin.org/</v>
      </c>
      <c r="E15371" t="s">
        <v>45625</v>
      </c>
    </row>
    <row r="15372" spans="1:5" x14ac:dyDescent="0.2">
      <c r="A15372" t="s">
        <v>45626</v>
      </c>
      <c r="B15372" t="s">
        <v>45627</v>
      </c>
      <c r="C15372" t="s">
        <v>45627</v>
      </c>
      <c r="D15372" t="str">
        <f>HYPERLINK("https://zfin.org/")</f>
        <v>https://zfin.org/</v>
      </c>
      <c r="E15372" t="s">
        <v>45628</v>
      </c>
    </row>
    <row r="15373" spans="1:5" x14ac:dyDescent="0.2">
      <c r="A15373" t="s">
        <v>45629</v>
      </c>
      <c r="B15373" t="s">
        <v>45630</v>
      </c>
      <c r="C15373" t="s">
        <v>45630</v>
      </c>
      <c r="D15373" t="str">
        <f>HYPERLINK("https://zfin.org/")</f>
        <v>https://zfin.org/</v>
      </c>
      <c r="E15373" t="s">
        <v>45631</v>
      </c>
    </row>
    <row r="15374" spans="1:5" x14ac:dyDescent="0.2">
      <c r="A15374" t="s">
        <v>45632</v>
      </c>
      <c r="B15374" t="s">
        <v>45633</v>
      </c>
      <c r="C15374" t="s">
        <v>45633</v>
      </c>
      <c r="D15374" t="str">
        <f>HYPERLINK("https://zfin.org/ZDB-GENE-040718-295")</f>
        <v>https://zfin.org/ZDB-GENE-040718-295</v>
      </c>
      <c r="E15374" t="s">
        <v>45634</v>
      </c>
    </row>
    <row r="15375" spans="1:5" x14ac:dyDescent="0.2">
      <c r="A15375" t="s">
        <v>45635</v>
      </c>
      <c r="B15375" t="s">
        <v>45636</v>
      </c>
      <c r="C15375" t="s">
        <v>45636</v>
      </c>
      <c r="D15375" t="str">
        <f>HYPERLINK("https://zfin.org/ZDB-GENE-030131-1312")</f>
        <v>https://zfin.org/ZDB-GENE-030131-1312</v>
      </c>
      <c r="E15375" t="s">
        <v>45637</v>
      </c>
    </row>
    <row r="15376" spans="1:5" x14ac:dyDescent="0.2">
      <c r="A15376" t="s">
        <v>45638</v>
      </c>
      <c r="B15376" t="s">
        <v>45639</v>
      </c>
      <c r="C15376" t="s">
        <v>45639</v>
      </c>
      <c r="D15376" t="str">
        <f>HYPERLINK("https://zfin.org/")</f>
        <v>https://zfin.org/</v>
      </c>
    </row>
    <row r="15377" spans="1:5" x14ac:dyDescent="0.2">
      <c r="A15377" t="s">
        <v>45640</v>
      </c>
      <c r="B15377" t="s">
        <v>45641</v>
      </c>
      <c r="C15377" t="s">
        <v>45641</v>
      </c>
      <c r="D15377" t="str">
        <f>HYPERLINK("https://zfin.org/")</f>
        <v>https://zfin.org/</v>
      </c>
      <c r="E15377" t="s">
        <v>45642</v>
      </c>
    </row>
    <row r="15378" spans="1:5" x14ac:dyDescent="0.2">
      <c r="A15378" t="s">
        <v>45643</v>
      </c>
      <c r="B15378" t="s">
        <v>45644</v>
      </c>
      <c r="C15378" t="s">
        <v>45644</v>
      </c>
      <c r="D15378" t="str">
        <f>HYPERLINK("https://zfin.org/ZDB-GENE-030131-8699")</f>
        <v>https://zfin.org/ZDB-GENE-030131-8699</v>
      </c>
      <c r="E15378" t="s">
        <v>45645</v>
      </c>
    </row>
    <row r="15379" spans="1:5" x14ac:dyDescent="0.2">
      <c r="A15379" t="s">
        <v>45646</v>
      </c>
      <c r="B15379" t="s">
        <v>45647</v>
      </c>
      <c r="C15379" t="s">
        <v>45647</v>
      </c>
      <c r="D15379" t="str">
        <f>HYPERLINK("https://zfin.org/ZDB-GENE-030131-1238")</f>
        <v>https://zfin.org/ZDB-GENE-030131-1238</v>
      </c>
      <c r="E15379" t="s">
        <v>45648</v>
      </c>
    </row>
    <row r="15380" spans="1:5" x14ac:dyDescent="0.2">
      <c r="A15380" t="s">
        <v>45649</v>
      </c>
      <c r="B15380" t="s">
        <v>45650</v>
      </c>
      <c r="C15380" t="s">
        <v>45650</v>
      </c>
      <c r="D15380" t="str">
        <f t="shared" ref="D15380:D15386" si="18">HYPERLINK("https://zfin.org/")</f>
        <v>https://zfin.org/</v>
      </c>
      <c r="E15380" t="s">
        <v>45651</v>
      </c>
    </row>
    <row r="15381" spans="1:5" x14ac:dyDescent="0.2">
      <c r="A15381" t="s">
        <v>45652</v>
      </c>
      <c r="B15381" t="s">
        <v>45653</v>
      </c>
      <c r="C15381" t="s">
        <v>45653</v>
      </c>
      <c r="D15381" t="str">
        <f t="shared" si="18"/>
        <v>https://zfin.org/</v>
      </c>
    </row>
    <row r="15382" spans="1:5" x14ac:dyDescent="0.2">
      <c r="A15382" t="s">
        <v>45654</v>
      </c>
      <c r="B15382" t="s">
        <v>45655</v>
      </c>
      <c r="C15382" t="s">
        <v>45655</v>
      </c>
      <c r="D15382" t="str">
        <f t="shared" si="18"/>
        <v>https://zfin.org/</v>
      </c>
      <c r="E15382" t="s">
        <v>45656</v>
      </c>
    </row>
    <row r="15383" spans="1:5" x14ac:dyDescent="0.2">
      <c r="A15383" t="s">
        <v>45657</v>
      </c>
      <c r="B15383" t="s">
        <v>45658</v>
      </c>
      <c r="C15383" t="s">
        <v>45658</v>
      </c>
      <c r="D15383" t="str">
        <f t="shared" si="18"/>
        <v>https://zfin.org/</v>
      </c>
    </row>
    <row r="15384" spans="1:5" x14ac:dyDescent="0.2">
      <c r="A15384" t="s">
        <v>45659</v>
      </c>
      <c r="B15384" t="s">
        <v>45660</v>
      </c>
      <c r="C15384" t="s">
        <v>45660</v>
      </c>
      <c r="D15384" t="str">
        <f t="shared" si="18"/>
        <v>https://zfin.org/</v>
      </c>
      <c r="E15384" t="s">
        <v>45661</v>
      </c>
    </row>
    <row r="15385" spans="1:5" x14ac:dyDescent="0.2">
      <c r="A15385" t="s">
        <v>45662</v>
      </c>
      <c r="B15385" t="s">
        <v>6124</v>
      </c>
      <c r="C15385" t="s">
        <v>45663</v>
      </c>
      <c r="D15385" t="str">
        <f t="shared" si="18"/>
        <v>https://zfin.org/</v>
      </c>
      <c r="E15385" t="s">
        <v>45664</v>
      </c>
    </row>
    <row r="15386" spans="1:5" x14ac:dyDescent="0.2">
      <c r="A15386" t="s">
        <v>45665</v>
      </c>
      <c r="B15386" t="s">
        <v>45666</v>
      </c>
      <c r="C15386" t="s">
        <v>45666</v>
      </c>
      <c r="D15386" t="str">
        <f t="shared" si="18"/>
        <v>https://zfin.org/</v>
      </c>
    </row>
    <row r="15387" spans="1:5" x14ac:dyDescent="0.2">
      <c r="A15387" t="s">
        <v>45667</v>
      </c>
      <c r="B15387" t="s">
        <v>45668</v>
      </c>
      <c r="C15387" t="s">
        <v>45668</v>
      </c>
      <c r="D15387" t="str">
        <f>HYPERLINK("https://zfin.org/ZDB-GENE-040801-15")</f>
        <v>https://zfin.org/ZDB-GENE-040801-15</v>
      </c>
      <c r="E15387" t="s">
        <v>45669</v>
      </c>
    </row>
    <row r="15388" spans="1:5" x14ac:dyDescent="0.2">
      <c r="A15388" t="s">
        <v>45670</v>
      </c>
      <c r="B15388" t="s">
        <v>45671</v>
      </c>
      <c r="C15388" t="s">
        <v>45671</v>
      </c>
      <c r="D15388" t="str">
        <f>HYPERLINK("https://zfin.org/")</f>
        <v>https://zfin.org/</v>
      </c>
      <c r="E15388" t="s">
        <v>45672</v>
      </c>
    </row>
    <row r="15389" spans="1:5" x14ac:dyDescent="0.2">
      <c r="A15389" t="s">
        <v>45673</v>
      </c>
      <c r="B15389" t="s">
        <v>45674</v>
      </c>
      <c r="C15389" t="s">
        <v>45674</v>
      </c>
      <c r="D15389" t="str">
        <f>HYPERLINK("https://zfin.org/")</f>
        <v>https://zfin.org/</v>
      </c>
      <c r="E15389" t="s">
        <v>45675</v>
      </c>
    </row>
    <row r="15390" spans="1:5" x14ac:dyDescent="0.2">
      <c r="A15390" t="s">
        <v>45676</v>
      </c>
      <c r="B15390" t="s">
        <v>45677</v>
      </c>
      <c r="C15390" t="s">
        <v>45677</v>
      </c>
      <c r="D15390" t="str">
        <f>HYPERLINK("https://zfin.org/")</f>
        <v>https://zfin.org/</v>
      </c>
    </row>
    <row r="15391" spans="1:5" x14ac:dyDescent="0.2">
      <c r="A15391" t="s">
        <v>45678</v>
      </c>
      <c r="B15391" t="s">
        <v>45679</v>
      </c>
      <c r="C15391" t="s">
        <v>45679</v>
      </c>
      <c r="D15391" t="str">
        <f>HYPERLINK("https://zfin.org/")</f>
        <v>https://zfin.org/</v>
      </c>
    </row>
    <row r="15392" spans="1:5" x14ac:dyDescent="0.2">
      <c r="A15392" t="s">
        <v>45680</v>
      </c>
      <c r="B15392" t="s">
        <v>45681</v>
      </c>
      <c r="C15392" t="s">
        <v>45681</v>
      </c>
      <c r="D15392" t="str">
        <f>HYPERLINK("https://zfin.org/ZDB-GENE-061013-154")</f>
        <v>https://zfin.org/ZDB-GENE-061013-154</v>
      </c>
      <c r="E15392" t="s">
        <v>45682</v>
      </c>
    </row>
    <row r="15393" spans="1:5" x14ac:dyDescent="0.2">
      <c r="A15393" t="s">
        <v>45683</v>
      </c>
      <c r="B15393" t="s">
        <v>45684</v>
      </c>
      <c r="C15393" t="s">
        <v>45684</v>
      </c>
      <c r="D15393" t="str">
        <f>HYPERLINK("https://zfin.org/")</f>
        <v>https://zfin.org/</v>
      </c>
    </row>
    <row r="15394" spans="1:5" x14ac:dyDescent="0.2">
      <c r="A15394" t="s">
        <v>45685</v>
      </c>
      <c r="B15394" t="s">
        <v>11683</v>
      </c>
      <c r="C15394" t="s">
        <v>45686</v>
      </c>
      <c r="D15394" t="str">
        <f>HYPERLINK("https://zfin.org/ZDB-GENE-020415-2")</f>
        <v>https://zfin.org/ZDB-GENE-020415-2</v>
      </c>
      <c r="E15394" t="s">
        <v>11684</v>
      </c>
    </row>
    <row r="15395" spans="1:5" x14ac:dyDescent="0.2">
      <c r="A15395" t="s">
        <v>45687</v>
      </c>
      <c r="B15395" t="s">
        <v>45688</v>
      </c>
      <c r="C15395" t="s">
        <v>45688</v>
      </c>
      <c r="D15395" t="str">
        <f>HYPERLINK("https://zfin.org/ZDB-GENE-050522-397")</f>
        <v>https://zfin.org/ZDB-GENE-050522-397</v>
      </c>
      <c r="E15395" t="s">
        <v>45689</v>
      </c>
    </row>
    <row r="15396" spans="1:5" x14ac:dyDescent="0.2">
      <c r="A15396" t="s">
        <v>45690</v>
      </c>
      <c r="B15396" t="s">
        <v>45691</v>
      </c>
      <c r="C15396" t="s">
        <v>45691</v>
      </c>
      <c r="D15396" t="str">
        <f>HYPERLINK("https://zfin.org/ZDB-GENE-120807-1")</f>
        <v>https://zfin.org/ZDB-GENE-120807-1</v>
      </c>
      <c r="E15396" t="s">
        <v>45692</v>
      </c>
    </row>
    <row r="15397" spans="1:5" x14ac:dyDescent="0.2">
      <c r="A15397" t="s">
        <v>45693</v>
      </c>
      <c r="B15397" t="s">
        <v>45694</v>
      </c>
      <c r="C15397" t="s">
        <v>45694</v>
      </c>
      <c r="D15397" t="str">
        <f>HYPERLINK("https://zfin.org/")</f>
        <v>https://zfin.org/</v>
      </c>
    </row>
    <row r="15398" spans="1:5" x14ac:dyDescent="0.2">
      <c r="A15398" t="s">
        <v>45695</v>
      </c>
      <c r="B15398" t="s">
        <v>45696</v>
      </c>
      <c r="C15398" t="s">
        <v>45696</v>
      </c>
      <c r="D15398" t="str">
        <f>HYPERLINK("https://zfin.org/")</f>
        <v>https://zfin.org/</v>
      </c>
    </row>
    <row r="15399" spans="1:5" x14ac:dyDescent="0.2">
      <c r="A15399" t="s">
        <v>45697</v>
      </c>
      <c r="B15399" t="s">
        <v>45698</v>
      </c>
      <c r="C15399" t="s">
        <v>45698</v>
      </c>
      <c r="D15399" t="str">
        <f>HYPERLINK("https://zfin.org/ZDB-GENE-040426-1627")</f>
        <v>https://zfin.org/ZDB-GENE-040426-1627</v>
      </c>
      <c r="E15399" t="s">
        <v>45699</v>
      </c>
    </row>
    <row r="15400" spans="1:5" x14ac:dyDescent="0.2">
      <c r="A15400" t="s">
        <v>45700</v>
      </c>
      <c r="B15400" t="s">
        <v>45701</v>
      </c>
      <c r="C15400" t="s">
        <v>45701</v>
      </c>
      <c r="D15400" t="str">
        <f>HYPERLINK("https://zfin.org/ZDB-GENE-060526-229")</f>
        <v>https://zfin.org/ZDB-GENE-060526-229</v>
      </c>
      <c r="E15400" t="s">
        <v>45702</v>
      </c>
    </row>
    <row r="15401" spans="1:5" x14ac:dyDescent="0.2">
      <c r="A15401" t="s">
        <v>45703</v>
      </c>
      <c r="B15401" t="s">
        <v>45704</v>
      </c>
      <c r="C15401" t="s">
        <v>45704</v>
      </c>
      <c r="D15401" t="str">
        <f>HYPERLINK("https://zfin.org/ZDB-GENE-110929-1")</f>
        <v>https://zfin.org/ZDB-GENE-110929-1</v>
      </c>
      <c r="E15401" t="s">
        <v>45705</v>
      </c>
    </row>
    <row r="15402" spans="1:5" x14ac:dyDescent="0.2">
      <c r="A15402" t="s">
        <v>45706</v>
      </c>
      <c r="B15402" t="s">
        <v>2127</v>
      </c>
      <c r="C15402" t="s">
        <v>45707</v>
      </c>
      <c r="D15402" t="str">
        <f>HYPERLINK("https://zfin.org/ZDB-GENE-030131-5338")</f>
        <v>https://zfin.org/ZDB-GENE-030131-5338</v>
      </c>
      <c r="E15402" t="s">
        <v>2128</v>
      </c>
    </row>
    <row r="15403" spans="1:5" x14ac:dyDescent="0.2">
      <c r="A15403" t="s">
        <v>45708</v>
      </c>
      <c r="B15403" t="s">
        <v>45709</v>
      </c>
      <c r="C15403" t="s">
        <v>45709</v>
      </c>
      <c r="D15403" t="str">
        <f>HYPERLINK("https://zfin.org/")</f>
        <v>https://zfin.org/</v>
      </c>
    </row>
    <row r="15404" spans="1:5" x14ac:dyDescent="0.2">
      <c r="A15404" t="s">
        <v>45710</v>
      </c>
      <c r="B15404" t="s">
        <v>45711</v>
      </c>
      <c r="C15404" t="s">
        <v>45711</v>
      </c>
      <c r="D15404" t="str">
        <f>HYPERLINK("https://zfin.org/")</f>
        <v>https://zfin.org/</v>
      </c>
      <c r="E15404" t="s">
        <v>45712</v>
      </c>
    </row>
    <row r="15405" spans="1:5" x14ac:dyDescent="0.2">
      <c r="A15405" t="s">
        <v>45713</v>
      </c>
      <c r="B15405" t="s">
        <v>45714</v>
      </c>
      <c r="C15405" t="s">
        <v>45714</v>
      </c>
      <c r="D15405" t="str">
        <f>HYPERLINK("https://zfin.org/ZDB-GENE-061103-619")</f>
        <v>https://zfin.org/ZDB-GENE-061103-619</v>
      </c>
      <c r="E15405" t="s">
        <v>45715</v>
      </c>
    </row>
    <row r="15406" spans="1:5" x14ac:dyDescent="0.2">
      <c r="A15406" t="s">
        <v>45716</v>
      </c>
      <c r="B15406" t="s">
        <v>45717</v>
      </c>
      <c r="C15406" t="s">
        <v>45717</v>
      </c>
      <c r="D15406" t="str">
        <f>HYPERLINK("https://zfin.org/")</f>
        <v>https://zfin.org/</v>
      </c>
    </row>
    <row r="15407" spans="1:5" x14ac:dyDescent="0.2">
      <c r="A15407" t="s">
        <v>45718</v>
      </c>
      <c r="B15407" t="s">
        <v>45719</v>
      </c>
      <c r="C15407" t="s">
        <v>45719</v>
      </c>
      <c r="D15407" t="str">
        <f>HYPERLINK("https://zfin.org/")</f>
        <v>https://zfin.org/</v>
      </c>
    </row>
    <row r="15408" spans="1:5" x14ac:dyDescent="0.2">
      <c r="A15408" t="s">
        <v>45720</v>
      </c>
      <c r="B15408" t="s">
        <v>45721</v>
      </c>
      <c r="C15408" t="s">
        <v>45721</v>
      </c>
      <c r="D15408" t="str">
        <f>HYPERLINK("https://zfin.org/ZDB-GENE-050522-323")</f>
        <v>https://zfin.org/ZDB-GENE-050522-323</v>
      </c>
      <c r="E15408" t="s">
        <v>45722</v>
      </c>
    </row>
    <row r="15409" spans="1:5" x14ac:dyDescent="0.2">
      <c r="A15409" t="s">
        <v>45723</v>
      </c>
      <c r="B15409" t="s">
        <v>45724</v>
      </c>
      <c r="C15409" t="s">
        <v>45724</v>
      </c>
      <c r="D15409" t="str">
        <f>HYPERLINK("https://zfin.org/ZDB-GENE-040426-2143")</f>
        <v>https://zfin.org/ZDB-GENE-040426-2143</v>
      </c>
      <c r="E15409" t="s">
        <v>45725</v>
      </c>
    </row>
    <row r="15410" spans="1:5" x14ac:dyDescent="0.2">
      <c r="A15410" t="s">
        <v>45726</v>
      </c>
      <c r="B15410" t="s">
        <v>45727</v>
      </c>
      <c r="C15410" t="s">
        <v>45727</v>
      </c>
      <c r="D15410" t="str">
        <f>HYPERLINK("https://zfin.org/ZDB-GENE-051113-192")</f>
        <v>https://zfin.org/ZDB-GENE-051113-192</v>
      </c>
      <c r="E15410" t="s">
        <v>45728</v>
      </c>
    </row>
    <row r="15411" spans="1:5" x14ac:dyDescent="0.2">
      <c r="A15411" t="s">
        <v>45729</v>
      </c>
      <c r="B15411" t="s">
        <v>17271</v>
      </c>
      <c r="C15411" t="s">
        <v>45730</v>
      </c>
      <c r="D15411" t="str">
        <f>HYPERLINK("https://zfin.org/ZDB-GENE-980526-174")</f>
        <v>https://zfin.org/ZDB-GENE-980526-174</v>
      </c>
      <c r="E15411" t="s">
        <v>17272</v>
      </c>
    </row>
    <row r="15412" spans="1:5" x14ac:dyDescent="0.2">
      <c r="A15412" t="s">
        <v>45731</v>
      </c>
      <c r="B15412" t="s">
        <v>45732</v>
      </c>
      <c r="C15412" t="s">
        <v>45732</v>
      </c>
      <c r="D15412" t="str">
        <f>HYPERLINK("https://zfin.org/")</f>
        <v>https://zfin.org/</v>
      </c>
    </row>
    <row r="15413" spans="1:5" x14ac:dyDescent="0.2">
      <c r="A15413" t="s">
        <v>45733</v>
      </c>
      <c r="B15413" t="s">
        <v>45734</v>
      </c>
      <c r="C15413" t="s">
        <v>45734</v>
      </c>
      <c r="D15413" t="str">
        <f>HYPERLINK("https://zfin.org/")</f>
        <v>https://zfin.org/</v>
      </c>
    </row>
    <row r="15414" spans="1:5" x14ac:dyDescent="0.2">
      <c r="A15414" t="s">
        <v>45735</v>
      </c>
      <c r="B15414" t="s">
        <v>45736</v>
      </c>
      <c r="C15414" t="s">
        <v>45736</v>
      </c>
      <c r="D15414" t="str">
        <f>HYPERLINK("https://zfin.org/")</f>
        <v>https://zfin.org/</v>
      </c>
    </row>
    <row r="15415" spans="1:5" x14ac:dyDescent="0.2">
      <c r="A15415" t="s">
        <v>45737</v>
      </c>
      <c r="B15415" t="s">
        <v>45738</v>
      </c>
      <c r="C15415" t="s">
        <v>45738</v>
      </c>
      <c r="D15415" t="str">
        <f>HYPERLINK("https://zfin.org/ZDB-GENE-050610-6")</f>
        <v>https://zfin.org/ZDB-GENE-050610-6</v>
      </c>
      <c r="E15415" t="s">
        <v>45739</v>
      </c>
    </row>
    <row r="15416" spans="1:5" x14ac:dyDescent="0.2">
      <c r="A15416" t="s">
        <v>45740</v>
      </c>
      <c r="B15416" t="s">
        <v>41700</v>
      </c>
      <c r="C15416" t="s">
        <v>45741</v>
      </c>
      <c r="D15416" t="str">
        <f>HYPERLINK("https://zfin.org/ZDB-GENE-000511-4")</f>
        <v>https://zfin.org/ZDB-GENE-000511-4</v>
      </c>
      <c r="E15416" t="s">
        <v>41701</v>
      </c>
    </row>
    <row r="15417" spans="1:5" x14ac:dyDescent="0.2">
      <c r="A15417" t="s">
        <v>45742</v>
      </c>
      <c r="B15417" t="s">
        <v>45743</v>
      </c>
      <c r="C15417" t="s">
        <v>45743</v>
      </c>
      <c r="D15417" t="str">
        <f>HYPERLINK("https://zfin.org/ZDB-GENE-040801-168")</f>
        <v>https://zfin.org/ZDB-GENE-040801-168</v>
      </c>
      <c r="E15417" t="s">
        <v>45744</v>
      </c>
    </row>
    <row r="15418" spans="1:5" x14ac:dyDescent="0.2">
      <c r="A15418" t="s">
        <v>45745</v>
      </c>
      <c r="B15418" t="s">
        <v>45746</v>
      </c>
      <c r="C15418" t="s">
        <v>45746</v>
      </c>
      <c r="D15418" t="str">
        <f>HYPERLINK("https://zfin.org/ZDB-GENE-041114-32")</f>
        <v>https://zfin.org/ZDB-GENE-041114-32</v>
      </c>
      <c r="E15418" t="s">
        <v>45747</v>
      </c>
    </row>
    <row r="15419" spans="1:5" x14ac:dyDescent="0.2">
      <c r="A15419" t="s">
        <v>45748</v>
      </c>
      <c r="B15419" t="s">
        <v>45749</v>
      </c>
      <c r="C15419" t="s">
        <v>45749</v>
      </c>
      <c r="D15419" t="str">
        <f>HYPERLINK("https://zfin.org/ZDB-GENE-070912-116")</f>
        <v>https://zfin.org/ZDB-GENE-070912-116</v>
      </c>
      <c r="E15419" t="s">
        <v>45750</v>
      </c>
    </row>
    <row r="15420" spans="1:5" x14ac:dyDescent="0.2">
      <c r="A15420" t="s">
        <v>45751</v>
      </c>
      <c r="B15420" t="s">
        <v>32358</v>
      </c>
      <c r="C15420" t="s">
        <v>45752</v>
      </c>
      <c r="D15420" t="str">
        <f>HYPERLINK("https://zfin.org/ZDB-GENE-131127-41")</f>
        <v>https://zfin.org/ZDB-GENE-131127-41</v>
      </c>
      <c r="E15420" t="s">
        <v>32359</v>
      </c>
    </row>
    <row r="15421" spans="1:5" x14ac:dyDescent="0.2">
      <c r="A15421" t="s">
        <v>45753</v>
      </c>
      <c r="B15421" t="s">
        <v>45754</v>
      </c>
      <c r="C15421" t="s">
        <v>45754</v>
      </c>
      <c r="D15421" t="str">
        <f>HYPERLINK("https://zfin.org/ZDB-GENE-081022-80")</f>
        <v>https://zfin.org/ZDB-GENE-081022-80</v>
      </c>
      <c r="E15421" t="s">
        <v>45755</v>
      </c>
    </row>
    <row r="15422" spans="1:5" x14ac:dyDescent="0.2">
      <c r="A15422" t="s">
        <v>45756</v>
      </c>
      <c r="B15422" t="s">
        <v>45757</v>
      </c>
      <c r="C15422" t="s">
        <v>45757</v>
      </c>
      <c r="D15422" t="str">
        <f>HYPERLINK("https://zfin.org/ZDB-GENE-051120-99")</f>
        <v>https://zfin.org/ZDB-GENE-051120-99</v>
      </c>
      <c r="E15422" t="s">
        <v>45758</v>
      </c>
    </row>
    <row r="15423" spans="1:5" x14ac:dyDescent="0.2">
      <c r="A15423" t="s">
        <v>45759</v>
      </c>
      <c r="B15423" t="s">
        <v>15308</v>
      </c>
      <c r="C15423" t="s">
        <v>45760</v>
      </c>
      <c r="D15423" t="str">
        <f>HYPERLINK("https://zfin.org/ZDB-GENE-050417-31")</f>
        <v>https://zfin.org/ZDB-GENE-050417-31</v>
      </c>
      <c r="E15423" t="s">
        <v>15309</v>
      </c>
    </row>
    <row r="15424" spans="1:5" x14ac:dyDescent="0.2">
      <c r="A15424" t="s">
        <v>45761</v>
      </c>
      <c r="B15424" t="s">
        <v>45762</v>
      </c>
      <c r="C15424" t="s">
        <v>45762</v>
      </c>
      <c r="D15424" t="str">
        <f>HYPERLINK("https://zfin.org/ZDB-GENE-051030-48")</f>
        <v>https://zfin.org/ZDB-GENE-051030-48</v>
      </c>
      <c r="E15424" t="s">
        <v>45763</v>
      </c>
    </row>
    <row r="15425" spans="1:5" x14ac:dyDescent="0.2">
      <c r="A15425" t="s">
        <v>45764</v>
      </c>
      <c r="B15425" t="s">
        <v>33255</v>
      </c>
      <c r="C15425" t="s">
        <v>45765</v>
      </c>
      <c r="D15425" t="str">
        <f>HYPERLINK("https://zfin.org/ZDB-GENE-130531-67")</f>
        <v>https://zfin.org/ZDB-GENE-130531-67</v>
      </c>
      <c r="E15425" t="s">
        <v>33256</v>
      </c>
    </row>
    <row r="15426" spans="1:5" x14ac:dyDescent="0.2">
      <c r="A15426" t="s">
        <v>45766</v>
      </c>
      <c r="B15426" t="s">
        <v>45767</v>
      </c>
      <c r="C15426" t="s">
        <v>45767</v>
      </c>
      <c r="D15426" t="str">
        <f>HYPERLINK("https://zfin.org/ZDB-GENE-040426-1949")</f>
        <v>https://zfin.org/ZDB-GENE-040426-1949</v>
      </c>
      <c r="E15426" t="s">
        <v>45768</v>
      </c>
    </row>
    <row r="15427" spans="1:5" x14ac:dyDescent="0.2">
      <c r="A15427" t="s">
        <v>45769</v>
      </c>
      <c r="B15427" t="s">
        <v>45762</v>
      </c>
      <c r="C15427" t="s">
        <v>45770</v>
      </c>
      <c r="D15427" t="str">
        <f>HYPERLINK("https://zfin.org/ZDB-GENE-051030-48")</f>
        <v>https://zfin.org/ZDB-GENE-051030-48</v>
      </c>
      <c r="E15427" t="s">
        <v>45763</v>
      </c>
    </row>
    <row r="15428" spans="1:5" x14ac:dyDescent="0.2">
      <c r="A15428" t="s">
        <v>45771</v>
      </c>
      <c r="B15428" t="s">
        <v>34855</v>
      </c>
      <c r="C15428" t="s">
        <v>45772</v>
      </c>
      <c r="D15428" t="str">
        <f>HYPERLINK("https://zfin.org/ZDB-GENE-071004-71")</f>
        <v>https://zfin.org/ZDB-GENE-071004-71</v>
      </c>
      <c r="E15428" t="s">
        <v>34856</v>
      </c>
    </row>
    <row r="15429" spans="1:5" x14ac:dyDescent="0.2">
      <c r="A15429" t="s">
        <v>45773</v>
      </c>
      <c r="B15429" t="s">
        <v>45774</v>
      </c>
      <c r="C15429" t="s">
        <v>45774</v>
      </c>
      <c r="D15429" t="str">
        <f>HYPERLINK("https://zfin.org/")</f>
        <v>https://zfin.org/</v>
      </c>
    </row>
    <row r="15430" spans="1:5" x14ac:dyDescent="0.2">
      <c r="A15430" t="s">
        <v>45775</v>
      </c>
      <c r="B15430" t="s">
        <v>45776</v>
      </c>
      <c r="C15430" t="s">
        <v>45776</v>
      </c>
      <c r="D15430" t="str">
        <f>HYPERLINK("https://zfin.org/ZDB-GENE-071004-20")</f>
        <v>https://zfin.org/ZDB-GENE-071004-20</v>
      </c>
      <c r="E15430" t="s">
        <v>45777</v>
      </c>
    </row>
    <row r="15431" spans="1:5" x14ac:dyDescent="0.2">
      <c r="A15431" t="s">
        <v>45778</v>
      </c>
      <c r="B15431" t="s">
        <v>45779</v>
      </c>
      <c r="C15431" t="s">
        <v>45779</v>
      </c>
      <c r="D15431" t="str">
        <f>HYPERLINK("https://zfin.org/ZDB-GENE-050522-555")</f>
        <v>https://zfin.org/ZDB-GENE-050522-555</v>
      </c>
      <c r="E15431" t="s">
        <v>45780</v>
      </c>
    </row>
    <row r="15432" spans="1:5" x14ac:dyDescent="0.2">
      <c r="A15432" t="s">
        <v>45781</v>
      </c>
      <c r="B15432" t="s">
        <v>45782</v>
      </c>
      <c r="C15432" t="s">
        <v>45783</v>
      </c>
      <c r="D15432" t="str">
        <f>HYPERLINK("https://zfin.org/ZDB-GENE-070927-10")</f>
        <v>https://zfin.org/ZDB-GENE-070927-10</v>
      </c>
      <c r="E15432" t="s">
        <v>45784</v>
      </c>
    </row>
    <row r="15433" spans="1:5" x14ac:dyDescent="0.2">
      <c r="A15433" t="s">
        <v>45785</v>
      </c>
      <c r="B15433" t="s">
        <v>45786</v>
      </c>
      <c r="C15433" t="s">
        <v>45786</v>
      </c>
      <c r="D15433" t="str">
        <f>HYPERLINK("https://zfin.org/ZDB-GENE-040426-1414")</f>
        <v>https://zfin.org/ZDB-GENE-040426-1414</v>
      </c>
      <c r="E15433" t="s">
        <v>45787</v>
      </c>
    </row>
    <row r="15434" spans="1:5" x14ac:dyDescent="0.2">
      <c r="A15434" t="s">
        <v>45788</v>
      </c>
      <c r="B15434" t="s">
        <v>45789</v>
      </c>
      <c r="C15434" t="s">
        <v>45789</v>
      </c>
      <c r="D15434" t="str">
        <f>HYPERLINK("https://zfin.org/ZDB-GENE-040426-1714")</f>
        <v>https://zfin.org/ZDB-GENE-040426-1714</v>
      </c>
      <c r="E15434" t="s">
        <v>45790</v>
      </c>
    </row>
    <row r="15435" spans="1:5" x14ac:dyDescent="0.2">
      <c r="A15435" t="s">
        <v>45791</v>
      </c>
      <c r="B15435" t="s">
        <v>44812</v>
      </c>
      <c r="C15435" t="s">
        <v>45792</v>
      </c>
      <c r="D15435" t="str">
        <f>HYPERLINK("https://zfin.org/")</f>
        <v>https://zfin.org/</v>
      </c>
      <c r="E15435" t="s">
        <v>44813</v>
      </c>
    </row>
    <row r="15436" spans="1:5" x14ac:dyDescent="0.2">
      <c r="A15436" t="s">
        <v>45793</v>
      </c>
      <c r="B15436" t="s">
        <v>45794</v>
      </c>
      <c r="C15436" t="s">
        <v>45794</v>
      </c>
      <c r="D15436" t="str">
        <f>HYPERLINK("https://zfin.org/")</f>
        <v>https://zfin.org/</v>
      </c>
    </row>
    <row r="15437" spans="1:5" x14ac:dyDescent="0.2">
      <c r="A15437" t="s">
        <v>45795</v>
      </c>
      <c r="B15437" t="s">
        <v>45796</v>
      </c>
      <c r="C15437" t="s">
        <v>45796</v>
      </c>
      <c r="D15437" t="str">
        <f>HYPERLINK("https://zfin.org/")</f>
        <v>https://zfin.org/</v>
      </c>
    </row>
    <row r="15438" spans="1:5" x14ac:dyDescent="0.2">
      <c r="A15438" t="s">
        <v>45797</v>
      </c>
      <c r="B15438" t="s">
        <v>45798</v>
      </c>
      <c r="C15438" t="s">
        <v>45798</v>
      </c>
      <c r="D15438" t="str">
        <f>HYPERLINK("https://zfin.org/")</f>
        <v>https://zfin.org/</v>
      </c>
    </row>
    <row r="15439" spans="1:5" x14ac:dyDescent="0.2">
      <c r="A15439" t="s">
        <v>45799</v>
      </c>
      <c r="B15439" t="s">
        <v>45800</v>
      </c>
      <c r="C15439" t="s">
        <v>45800</v>
      </c>
      <c r="D15439" t="str">
        <f>HYPERLINK("https://zfin.org/")</f>
        <v>https://zfin.org/</v>
      </c>
      <c r="E15439" t="s">
        <v>45801</v>
      </c>
    </row>
    <row r="15440" spans="1:5" x14ac:dyDescent="0.2">
      <c r="A15440" t="s">
        <v>45802</v>
      </c>
      <c r="B15440" t="s">
        <v>45803</v>
      </c>
      <c r="C15440" t="s">
        <v>45804</v>
      </c>
      <c r="D15440" t="str">
        <f>HYPERLINK("https://zfin.org/ZDB-GENE-090313-349")</f>
        <v>https://zfin.org/ZDB-GENE-090313-349</v>
      </c>
      <c r="E15440" t="s">
        <v>45805</v>
      </c>
    </row>
    <row r="15441" spans="1:5" x14ac:dyDescent="0.2">
      <c r="A15441" t="s">
        <v>45806</v>
      </c>
      <c r="B15441" t="s">
        <v>45807</v>
      </c>
      <c r="C15441" t="s">
        <v>45808</v>
      </c>
      <c r="D15441" t="str">
        <f>HYPERLINK("https://zfin.org/")</f>
        <v>https://zfin.org/</v>
      </c>
      <c r="E15441" t="s">
        <v>45809</v>
      </c>
    </row>
    <row r="15442" spans="1:5" x14ac:dyDescent="0.2">
      <c r="A15442" t="s">
        <v>45810</v>
      </c>
      <c r="B15442" t="s">
        <v>44575</v>
      </c>
      <c r="C15442" t="s">
        <v>45811</v>
      </c>
      <c r="D15442" t="str">
        <f>HYPERLINK("https://zfin.org/ZDB-GENE-060929-28")</f>
        <v>https://zfin.org/ZDB-GENE-060929-28</v>
      </c>
      <c r="E15442" t="s">
        <v>44576</v>
      </c>
    </row>
    <row r="15443" spans="1:5" x14ac:dyDescent="0.2">
      <c r="A15443" t="s">
        <v>45812</v>
      </c>
      <c r="B15443" t="s">
        <v>45813</v>
      </c>
      <c r="C15443" t="s">
        <v>45813</v>
      </c>
      <c r="D15443" t="str">
        <f>HYPERLINK("https://zfin.org/")</f>
        <v>https://zfin.org/</v>
      </c>
      <c r="E15443" t="s">
        <v>45814</v>
      </c>
    </row>
    <row r="15444" spans="1:5" x14ac:dyDescent="0.2">
      <c r="A15444" t="s">
        <v>45815</v>
      </c>
      <c r="B15444" t="s">
        <v>45816</v>
      </c>
      <c r="C15444" t="s">
        <v>45816</v>
      </c>
      <c r="D15444" t="str">
        <f>HYPERLINK("https://zfin.org/ZDB-GENE-050208-644")</f>
        <v>https://zfin.org/ZDB-GENE-050208-644</v>
      </c>
      <c r="E15444" t="s">
        <v>45817</v>
      </c>
    </row>
    <row r="15445" spans="1:5" x14ac:dyDescent="0.2">
      <c r="A15445" t="s">
        <v>45818</v>
      </c>
      <c r="B15445" t="s">
        <v>45819</v>
      </c>
      <c r="C15445" t="s">
        <v>45819</v>
      </c>
      <c r="D15445" t="str">
        <f>HYPERLINK("https://zfin.org/")</f>
        <v>https://zfin.org/</v>
      </c>
      <c r="E15445" t="s">
        <v>45820</v>
      </c>
    </row>
    <row r="15446" spans="1:5" x14ac:dyDescent="0.2">
      <c r="A15446" t="s">
        <v>45821</v>
      </c>
      <c r="B15446" t="s">
        <v>45822</v>
      </c>
      <c r="C15446" t="s">
        <v>45822</v>
      </c>
      <c r="D15446" t="str">
        <f>HYPERLINK("https://zfin.org/ZDB-GENE-030131-5364")</f>
        <v>https://zfin.org/ZDB-GENE-030131-5364</v>
      </c>
      <c r="E15446" t="s">
        <v>45823</v>
      </c>
    </row>
    <row r="15447" spans="1:5" x14ac:dyDescent="0.2">
      <c r="A15447" t="s">
        <v>45824</v>
      </c>
      <c r="B15447" t="s">
        <v>45825</v>
      </c>
      <c r="C15447" t="s">
        <v>45825</v>
      </c>
      <c r="D15447" t="str">
        <f>HYPERLINK("https://zfin.org/")</f>
        <v>https://zfin.org/</v>
      </c>
    </row>
    <row r="15448" spans="1:5" x14ac:dyDescent="0.2">
      <c r="A15448" t="s">
        <v>45826</v>
      </c>
      <c r="B15448" t="s">
        <v>45827</v>
      </c>
      <c r="C15448" t="s">
        <v>45827</v>
      </c>
      <c r="D15448" t="str">
        <f>HYPERLINK("https://zfin.org/ZDB-GENE-070424-87")</f>
        <v>https://zfin.org/ZDB-GENE-070424-87</v>
      </c>
      <c r="E15448" t="s">
        <v>45828</v>
      </c>
    </row>
    <row r="15449" spans="1:5" x14ac:dyDescent="0.2">
      <c r="A15449" t="s">
        <v>45829</v>
      </c>
      <c r="B15449" t="s">
        <v>45830</v>
      </c>
      <c r="C15449" t="s">
        <v>45830</v>
      </c>
      <c r="D15449" t="str">
        <f>HYPERLINK("https://zfin.org/ZDB-GENE-050913-71")</f>
        <v>https://zfin.org/ZDB-GENE-050913-71</v>
      </c>
      <c r="E15449" t="s">
        <v>45831</v>
      </c>
    </row>
    <row r="15450" spans="1:5" x14ac:dyDescent="0.2">
      <c r="A15450" t="s">
        <v>45832</v>
      </c>
      <c r="B15450" t="s">
        <v>45833</v>
      </c>
      <c r="C15450" t="s">
        <v>45833</v>
      </c>
      <c r="D15450" t="str">
        <f>HYPERLINK("https://zfin.org/")</f>
        <v>https://zfin.org/</v>
      </c>
      <c r="E15450" t="s">
        <v>45834</v>
      </c>
    </row>
    <row r="15451" spans="1:5" x14ac:dyDescent="0.2">
      <c r="A15451" t="s">
        <v>45835</v>
      </c>
      <c r="B15451" t="s">
        <v>24410</v>
      </c>
      <c r="C15451" t="s">
        <v>45836</v>
      </c>
      <c r="D15451" t="str">
        <f>HYPERLINK("https://zfin.org/")</f>
        <v>https://zfin.org/</v>
      </c>
      <c r="E15451" t="s">
        <v>45837</v>
      </c>
    </row>
    <row r="15452" spans="1:5" x14ac:dyDescent="0.2">
      <c r="A15452" t="s">
        <v>45838</v>
      </c>
      <c r="B15452" t="s">
        <v>43096</v>
      </c>
      <c r="C15452" t="s">
        <v>45839</v>
      </c>
      <c r="D15452" t="str">
        <f>HYPERLINK("https://zfin.org/")</f>
        <v>https://zfin.org/</v>
      </c>
      <c r="E15452" t="s">
        <v>43097</v>
      </c>
    </row>
    <row r="15453" spans="1:5" x14ac:dyDescent="0.2">
      <c r="A15453" t="s">
        <v>45840</v>
      </c>
      <c r="B15453" t="s">
        <v>1472</v>
      </c>
      <c r="C15453" t="s">
        <v>45841</v>
      </c>
      <c r="D15453" t="str">
        <f>HYPERLINK("https://zfin.org/ZDB-GENE-040912-143")</f>
        <v>https://zfin.org/ZDB-GENE-040912-143</v>
      </c>
      <c r="E15453" t="s">
        <v>1473</v>
      </c>
    </row>
    <row r="15454" spans="1:5" x14ac:dyDescent="0.2">
      <c r="A15454" t="s">
        <v>45842</v>
      </c>
      <c r="B15454" t="s">
        <v>45843</v>
      </c>
      <c r="C15454" t="s">
        <v>45843</v>
      </c>
      <c r="D15454" t="str">
        <f>HYPERLINK("https://zfin.org/")</f>
        <v>https://zfin.org/</v>
      </c>
    </row>
    <row r="15455" spans="1:5" x14ac:dyDescent="0.2">
      <c r="A15455" t="s">
        <v>45844</v>
      </c>
      <c r="B15455" t="s">
        <v>45845</v>
      </c>
      <c r="C15455" t="s">
        <v>45845</v>
      </c>
      <c r="D15455" t="str">
        <f>HYPERLINK("https://zfin.org/")</f>
        <v>https://zfin.org/</v>
      </c>
      <c r="E15455" t="s">
        <v>45846</v>
      </c>
    </row>
    <row r="15456" spans="1:5" x14ac:dyDescent="0.2">
      <c r="A15456" t="s">
        <v>45847</v>
      </c>
      <c r="B15456" t="s">
        <v>45848</v>
      </c>
      <c r="C15456" t="s">
        <v>45848</v>
      </c>
      <c r="D15456" t="str">
        <f>HYPERLINK("https://zfin.org/ZDB-GENE-081105-111")</f>
        <v>https://zfin.org/ZDB-GENE-081105-111</v>
      </c>
      <c r="E15456" t="s">
        <v>45849</v>
      </c>
    </row>
    <row r="15457" spans="1:5" x14ac:dyDescent="0.2">
      <c r="A15457" t="s">
        <v>45850</v>
      </c>
      <c r="B15457" t="s">
        <v>45851</v>
      </c>
      <c r="C15457" t="s">
        <v>45851</v>
      </c>
      <c r="D15457" t="str">
        <f>HYPERLINK("https://zfin.org/ZDB-GENE-061013-463")</f>
        <v>https://zfin.org/ZDB-GENE-061013-463</v>
      </c>
      <c r="E15457" t="s">
        <v>45852</v>
      </c>
    </row>
    <row r="15458" spans="1:5" x14ac:dyDescent="0.2">
      <c r="A15458" t="s">
        <v>45853</v>
      </c>
      <c r="B15458" t="s">
        <v>45854</v>
      </c>
      <c r="C15458" t="s">
        <v>45854</v>
      </c>
      <c r="D15458" t="str">
        <f>HYPERLINK("https://zfin.org/")</f>
        <v>https://zfin.org/</v>
      </c>
      <c r="E15458" t="s">
        <v>45855</v>
      </c>
    </row>
    <row r="15459" spans="1:5" x14ac:dyDescent="0.2">
      <c r="A15459" t="s">
        <v>45856</v>
      </c>
      <c r="B15459" t="s">
        <v>45857</v>
      </c>
      <c r="C15459" t="s">
        <v>45857</v>
      </c>
      <c r="D15459" t="str">
        <f>HYPERLINK("https://zfin.org/")</f>
        <v>https://zfin.org/</v>
      </c>
      <c r="E15459" t="s">
        <v>45858</v>
      </c>
    </row>
    <row r="15460" spans="1:5" x14ac:dyDescent="0.2">
      <c r="A15460" t="s">
        <v>45859</v>
      </c>
      <c r="B15460" t="s">
        <v>45860</v>
      </c>
      <c r="C15460" t="s">
        <v>45860</v>
      </c>
      <c r="D15460" t="str">
        <f>HYPERLINK("https://zfin.org/ZDB-GENE-041008-202")</f>
        <v>https://zfin.org/ZDB-GENE-041008-202</v>
      </c>
      <c r="E15460" t="s">
        <v>45861</v>
      </c>
    </row>
    <row r="15461" spans="1:5" x14ac:dyDescent="0.2">
      <c r="A15461" t="s">
        <v>45862</v>
      </c>
      <c r="B15461" t="s">
        <v>45863</v>
      </c>
      <c r="C15461" t="s">
        <v>45863</v>
      </c>
      <c r="D15461" t="str">
        <f>HYPERLINK("https://zfin.org/ZDB-GENE-080204-115")</f>
        <v>https://zfin.org/ZDB-GENE-080204-115</v>
      </c>
      <c r="E15461" t="s">
        <v>45864</v>
      </c>
    </row>
    <row r="15462" spans="1:5" x14ac:dyDescent="0.2">
      <c r="A15462" t="s">
        <v>45865</v>
      </c>
      <c r="B15462" t="s">
        <v>45866</v>
      </c>
      <c r="C15462" t="s">
        <v>45866</v>
      </c>
      <c r="D15462" t="str">
        <f>HYPERLINK("https://zfin.org/")</f>
        <v>https://zfin.org/</v>
      </c>
    </row>
    <row r="15463" spans="1:5" x14ac:dyDescent="0.2">
      <c r="A15463" t="s">
        <v>45867</v>
      </c>
      <c r="B15463" t="s">
        <v>45868</v>
      </c>
      <c r="C15463" t="s">
        <v>45868</v>
      </c>
      <c r="D15463" t="str">
        <f>HYPERLINK("https://zfin.org/ZDB-GENE-060929-256")</f>
        <v>https://zfin.org/ZDB-GENE-060929-256</v>
      </c>
      <c r="E15463" t="s">
        <v>45869</v>
      </c>
    </row>
    <row r="15464" spans="1:5" x14ac:dyDescent="0.2">
      <c r="A15464" t="s">
        <v>45870</v>
      </c>
      <c r="B15464" t="s">
        <v>45871</v>
      </c>
      <c r="C15464" t="s">
        <v>45871</v>
      </c>
      <c r="D15464" t="str">
        <f>HYPERLINK("https://zfin.org/ZDB-GENE-030131-4656")</f>
        <v>https://zfin.org/ZDB-GENE-030131-4656</v>
      </c>
      <c r="E15464" t="s">
        <v>45872</v>
      </c>
    </row>
    <row r="15465" spans="1:5" x14ac:dyDescent="0.2">
      <c r="A15465" t="s">
        <v>45873</v>
      </c>
      <c r="B15465" t="s">
        <v>45874</v>
      </c>
      <c r="C15465" t="s">
        <v>45874</v>
      </c>
      <c r="D15465" t="str">
        <f>HYPERLINK("https://zfin.org/")</f>
        <v>https://zfin.org/</v>
      </c>
      <c r="E15465" t="s">
        <v>45875</v>
      </c>
    </row>
    <row r="15466" spans="1:5" x14ac:dyDescent="0.2">
      <c r="A15466" t="s">
        <v>45876</v>
      </c>
      <c r="B15466" t="s">
        <v>45877</v>
      </c>
      <c r="C15466" t="s">
        <v>45877</v>
      </c>
      <c r="D15466" t="str">
        <f>HYPERLINK("https://zfin.org/ZDB-GENE-060825-287")</f>
        <v>https://zfin.org/ZDB-GENE-060825-287</v>
      </c>
      <c r="E15466" t="s">
        <v>45878</v>
      </c>
    </row>
    <row r="15467" spans="1:5" x14ac:dyDescent="0.2">
      <c r="A15467" t="s">
        <v>45879</v>
      </c>
      <c r="B15467" t="s">
        <v>45880</v>
      </c>
      <c r="C15467" t="s">
        <v>45880</v>
      </c>
      <c r="D15467" t="str">
        <f>HYPERLINK("https://zfin.org/")</f>
        <v>https://zfin.org/</v>
      </c>
      <c r="E15467" t="s">
        <v>45881</v>
      </c>
    </row>
    <row r="15468" spans="1:5" x14ac:dyDescent="0.2">
      <c r="A15468" t="s">
        <v>45882</v>
      </c>
      <c r="B15468" t="s">
        <v>45883</v>
      </c>
      <c r="C15468" t="s">
        <v>45883</v>
      </c>
      <c r="D15468" t="str">
        <f>HYPERLINK("https://zfin.org/")</f>
        <v>https://zfin.org/</v>
      </c>
      <c r="E15468" t="s">
        <v>45884</v>
      </c>
    </row>
    <row r="15469" spans="1:5" x14ac:dyDescent="0.2">
      <c r="A15469" t="s">
        <v>45885</v>
      </c>
      <c r="B15469" t="s">
        <v>45886</v>
      </c>
      <c r="C15469" t="s">
        <v>45886</v>
      </c>
      <c r="D15469" t="str">
        <f>HYPERLINK("https://zfin.org/")</f>
        <v>https://zfin.org/</v>
      </c>
      <c r="E15469" t="s">
        <v>45887</v>
      </c>
    </row>
    <row r="15470" spans="1:5" x14ac:dyDescent="0.2">
      <c r="A15470" t="s">
        <v>45888</v>
      </c>
      <c r="B15470" t="s">
        <v>45889</v>
      </c>
      <c r="C15470" t="s">
        <v>45889</v>
      </c>
      <c r="D15470" t="str">
        <f>HYPERLINK("https://zfin.org/ZDB-GENE-060825-134")</f>
        <v>https://zfin.org/ZDB-GENE-060825-134</v>
      </c>
      <c r="E15470" t="s">
        <v>45890</v>
      </c>
    </row>
    <row r="15471" spans="1:5" x14ac:dyDescent="0.2">
      <c r="A15471" t="s">
        <v>45891</v>
      </c>
      <c r="B15471" t="s">
        <v>45892</v>
      </c>
      <c r="C15471" t="s">
        <v>45892</v>
      </c>
      <c r="D15471" t="str">
        <f>HYPERLINK("https://zfin.org/ZDB-GENE-040426-1133")</f>
        <v>https://zfin.org/ZDB-GENE-040426-1133</v>
      </c>
      <c r="E15471" t="s">
        <v>45893</v>
      </c>
    </row>
    <row r="15472" spans="1:5" x14ac:dyDescent="0.2">
      <c r="A15472" t="s">
        <v>45894</v>
      </c>
      <c r="B15472" t="s">
        <v>45895</v>
      </c>
      <c r="C15472" t="s">
        <v>45895</v>
      </c>
      <c r="D15472" t="str">
        <f>HYPERLINK("https://zfin.org/ZDB-GENE-030131-5895")</f>
        <v>https://zfin.org/ZDB-GENE-030131-5895</v>
      </c>
      <c r="E15472" t="s">
        <v>45896</v>
      </c>
    </row>
    <row r="15473" spans="1:5" x14ac:dyDescent="0.2">
      <c r="A15473" t="s">
        <v>45897</v>
      </c>
      <c r="B15473" t="s">
        <v>45898</v>
      </c>
      <c r="C15473" t="s">
        <v>45898</v>
      </c>
      <c r="D15473" t="str">
        <f>HYPERLINK("https://zfin.org/")</f>
        <v>https://zfin.org/</v>
      </c>
    </row>
    <row r="15474" spans="1:5" x14ac:dyDescent="0.2">
      <c r="A15474" t="s">
        <v>45899</v>
      </c>
      <c r="B15474" t="s">
        <v>45900</v>
      </c>
      <c r="C15474" t="s">
        <v>45900</v>
      </c>
      <c r="D15474" t="str">
        <f>HYPERLINK("https://zfin.org/")</f>
        <v>https://zfin.org/</v>
      </c>
    </row>
    <row r="15475" spans="1:5" x14ac:dyDescent="0.2">
      <c r="A15475" t="s">
        <v>45901</v>
      </c>
      <c r="B15475" t="s">
        <v>45902</v>
      </c>
      <c r="C15475" t="s">
        <v>45902</v>
      </c>
      <c r="D15475" t="str">
        <f>HYPERLINK("https://zfin.org/ZDB-GENE-040801-189")</f>
        <v>https://zfin.org/ZDB-GENE-040801-189</v>
      </c>
      <c r="E15475" t="s">
        <v>45903</v>
      </c>
    </row>
    <row r="15476" spans="1:5" x14ac:dyDescent="0.2">
      <c r="A15476" t="s">
        <v>45904</v>
      </c>
      <c r="B15476" t="s">
        <v>45905</v>
      </c>
      <c r="C15476" t="s">
        <v>45905</v>
      </c>
      <c r="D15476" t="str">
        <f>HYPERLINK("https://zfin.org/ZDB-GENE-020419-29")</f>
        <v>https://zfin.org/ZDB-GENE-020419-29</v>
      </c>
      <c r="E15476" t="s">
        <v>45906</v>
      </c>
    </row>
    <row r="15477" spans="1:5" x14ac:dyDescent="0.2">
      <c r="A15477" t="s">
        <v>45907</v>
      </c>
      <c r="B15477" t="s">
        <v>45908</v>
      </c>
      <c r="C15477" t="s">
        <v>45908</v>
      </c>
      <c r="D15477" t="str">
        <f>HYPERLINK("https://zfin.org/ZDB-GENE-050320-154")</f>
        <v>https://zfin.org/ZDB-GENE-050320-154</v>
      </c>
      <c r="E15477" t="s">
        <v>45909</v>
      </c>
    </row>
    <row r="15478" spans="1:5" x14ac:dyDescent="0.2">
      <c r="A15478" t="s">
        <v>45910</v>
      </c>
      <c r="B15478" t="s">
        <v>45911</v>
      </c>
      <c r="C15478" t="s">
        <v>45911</v>
      </c>
      <c r="D15478" t="str">
        <f>HYPERLINK("https://zfin.org/ZDB-GENE-081022-114")</f>
        <v>https://zfin.org/ZDB-GENE-081022-114</v>
      </c>
      <c r="E15478" t="s">
        <v>45912</v>
      </c>
    </row>
    <row r="15479" spans="1:5" x14ac:dyDescent="0.2">
      <c r="A15479" t="s">
        <v>45913</v>
      </c>
      <c r="B15479" t="s">
        <v>45914</v>
      </c>
      <c r="C15479" t="s">
        <v>45914</v>
      </c>
      <c r="D15479" t="str">
        <f>HYPERLINK("https://zfin.org/ZDB-GENE-030410-3")</f>
        <v>https://zfin.org/ZDB-GENE-030410-3</v>
      </c>
      <c r="E15479" t="s">
        <v>45915</v>
      </c>
    </row>
    <row r="15480" spans="1:5" x14ac:dyDescent="0.2">
      <c r="A15480" t="s">
        <v>45916</v>
      </c>
      <c r="B15480" t="s">
        <v>45917</v>
      </c>
      <c r="C15480" t="s">
        <v>45917</v>
      </c>
      <c r="D15480" t="str">
        <f>HYPERLINK("https://zfin.org/")</f>
        <v>https://zfin.org/</v>
      </c>
    </row>
    <row r="15481" spans="1:5" x14ac:dyDescent="0.2">
      <c r="A15481" t="s">
        <v>45918</v>
      </c>
      <c r="B15481" t="s">
        <v>45919</v>
      </c>
      <c r="C15481" t="s">
        <v>45919</v>
      </c>
      <c r="D15481" t="str">
        <f>HYPERLINK("https://zfin.org/")</f>
        <v>https://zfin.org/</v>
      </c>
    </row>
    <row r="15482" spans="1:5" x14ac:dyDescent="0.2">
      <c r="A15482" t="s">
        <v>45920</v>
      </c>
      <c r="B15482" t="s">
        <v>45921</v>
      </c>
      <c r="C15482" t="s">
        <v>45921</v>
      </c>
      <c r="D15482" t="str">
        <f>HYPERLINK("https://zfin.org/ZDB-GENE-020111-3")</f>
        <v>https://zfin.org/ZDB-GENE-020111-3</v>
      </c>
      <c r="E15482" t="s">
        <v>45922</v>
      </c>
    </row>
    <row r="15483" spans="1:5" x14ac:dyDescent="0.2">
      <c r="A15483" t="s">
        <v>45923</v>
      </c>
      <c r="B15483" t="s">
        <v>45924</v>
      </c>
      <c r="C15483" t="s">
        <v>45925</v>
      </c>
      <c r="D15483" t="str">
        <f>HYPERLINK("https://zfin.org/")</f>
        <v>https://zfin.org/</v>
      </c>
      <c r="E15483" t="s">
        <v>45926</v>
      </c>
    </row>
    <row r="15484" spans="1:5" x14ac:dyDescent="0.2">
      <c r="A15484" t="s">
        <v>45927</v>
      </c>
      <c r="B15484" t="s">
        <v>45928</v>
      </c>
      <c r="C15484" t="s">
        <v>45928</v>
      </c>
      <c r="D15484" t="str">
        <f>HYPERLINK("https://zfin.org/")</f>
        <v>https://zfin.org/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Diaz, Daniel</cp:lastModifiedBy>
  <dcterms:created xsi:type="dcterms:W3CDTF">2018-11-27T14:20:39Z</dcterms:created>
  <dcterms:modified xsi:type="dcterms:W3CDTF">2018-12-05T22:04:51Z</dcterms:modified>
</cp:coreProperties>
</file>