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10_LBO Analysis in Excel/ABC model/"/>
    </mc:Choice>
  </mc:AlternateContent>
  <xr:revisionPtr revIDLastSave="2" documentId="8_{85436B2F-F0A7-47B6-83B5-4542BFD3B801}" xr6:coauthVersionLast="47" xr6:coauthVersionMax="47" xr10:uidLastSave="{9ECF5D1E-1AE0-4D4E-8E73-1582B9C925DA}"/>
  <bookViews>
    <workbookView xWindow="-120" yWindow="-120" windowWidth="29040" windowHeight="16440" tabRatio="969" firstSheet="2" activeTab="10" xr2:uid="{B1AC68A7-0B43-42FA-BFFE-6660F48A1A89}"/>
  </bookViews>
  <sheets>
    <sheet name="Intro" sheetId="16" r:id="rId1"/>
    <sheet name="Drivers" sheetId="5" r:id="rId2"/>
    <sheet name="P&amp;L" sheetId="17" r:id="rId3"/>
    <sheet name="Balance sheet" sheetId="20" r:id="rId4"/>
    <sheet name="Cash flow" sheetId="28" r:id="rId5"/>
    <sheet name="Valuation" sheetId="18" r:id="rId6"/>
    <sheet name="Transaction fees" sheetId="21" r:id="rId7"/>
    <sheet name="Sources &amp; Uses of funds" sheetId="22" r:id="rId8"/>
    <sheet name="Balance Sheet@Transaction" sheetId="23" r:id="rId9"/>
    <sheet name="Goodwill" sheetId="24" r:id="rId10"/>
    <sheet name="Fixed assets roll forward" sheetId="25" r:id="rId11"/>
    <sheet name="Working capital" sheetId="26" r:id="rId12"/>
    <sheet name="Debt schedule" sheetId="27" r:id="rId13"/>
    <sheet name="Financing" sheetId="29" r:id="rId14"/>
    <sheet name="Equity schedule" sheetId="30" r:id="rId15"/>
    <sheet name="Exit valuation" sheetId="31" r:id="rId1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25" l="1"/>
  <c r="D16" i="31"/>
  <c r="D15" i="31"/>
  <c r="D14" i="31"/>
  <c r="P16" i="31"/>
  <c r="O16" i="31"/>
  <c r="N16" i="31"/>
  <c r="M16" i="31"/>
  <c r="L16" i="31"/>
  <c r="K16" i="31"/>
  <c r="J16" i="31"/>
  <c r="I16" i="31"/>
  <c r="H16" i="31"/>
  <c r="G16" i="31"/>
  <c r="F16" i="31"/>
  <c r="P15" i="31"/>
  <c r="O15" i="31"/>
  <c r="N15" i="31"/>
  <c r="M15" i="31"/>
  <c r="L15" i="31"/>
  <c r="K15" i="31"/>
  <c r="J15" i="31"/>
  <c r="I15" i="31"/>
  <c r="H15" i="31"/>
  <c r="G15" i="31"/>
  <c r="F15" i="31"/>
  <c r="P14" i="31"/>
  <c r="O14" i="31"/>
  <c r="N14" i="31"/>
  <c r="M14" i="31"/>
  <c r="L14" i="31"/>
  <c r="K14" i="31"/>
  <c r="J14" i="31"/>
  <c r="I14" i="31"/>
  <c r="H14" i="31"/>
  <c r="G14" i="31"/>
  <c r="F14" i="31"/>
  <c r="F13" i="31"/>
  <c r="B12" i="31"/>
  <c r="G12" i="31"/>
  <c r="C5" i="31"/>
  <c r="C75" i="5"/>
  <c r="C74" i="5"/>
  <c r="H12" i="31" l="1"/>
  <c r="I12" i="31" s="1"/>
  <c r="J12" i="31" s="1"/>
  <c r="K12" i="31" s="1"/>
  <c r="L12" i="31" s="1"/>
  <c r="M12" i="31" s="1"/>
  <c r="N12" i="31" s="1"/>
  <c r="O12" i="31" s="1"/>
  <c r="P12" i="31" s="1"/>
  <c r="P21" i="25"/>
  <c r="O21" i="25"/>
  <c r="N21" i="25"/>
  <c r="M21" i="25"/>
  <c r="L21" i="25"/>
  <c r="K21" i="25"/>
  <c r="J21" i="25"/>
  <c r="I21" i="25"/>
  <c r="H21" i="25"/>
  <c r="P17" i="29"/>
  <c r="O17" i="29"/>
  <c r="N17" i="29"/>
  <c r="M17" i="29"/>
  <c r="L17" i="29"/>
  <c r="K17" i="29"/>
  <c r="J17" i="29"/>
  <c r="I17" i="29"/>
  <c r="H17" i="29"/>
  <c r="G17" i="29"/>
  <c r="P12" i="29"/>
  <c r="O12" i="29"/>
  <c r="N12" i="29"/>
  <c r="M12" i="29"/>
  <c r="L12" i="29"/>
  <c r="K12" i="29"/>
  <c r="J12" i="29"/>
  <c r="I12" i="29"/>
  <c r="H12" i="29"/>
  <c r="G12" i="29"/>
  <c r="P11" i="20"/>
  <c r="O11" i="20"/>
  <c r="N11" i="20"/>
  <c r="M11" i="20"/>
  <c r="L11" i="20"/>
  <c r="K11" i="20"/>
  <c r="J11" i="20"/>
  <c r="I11" i="20"/>
  <c r="H11" i="20"/>
  <c r="G11" i="20"/>
  <c r="F28" i="20"/>
  <c r="P29" i="29" l="1"/>
  <c r="O29" i="29"/>
  <c r="N29" i="29"/>
  <c r="M29" i="29"/>
  <c r="L29" i="29"/>
  <c r="K29" i="29"/>
  <c r="J29" i="29"/>
  <c r="I29" i="29"/>
  <c r="H29" i="29"/>
  <c r="G29" i="29"/>
  <c r="G27" i="29"/>
  <c r="P21" i="28" l="1"/>
  <c r="O21" i="28"/>
  <c r="N21" i="28"/>
  <c r="M21" i="28"/>
  <c r="L21" i="28"/>
  <c r="K21" i="28"/>
  <c r="J21" i="28"/>
  <c r="I21" i="28"/>
  <c r="H21" i="28"/>
  <c r="G21" i="28"/>
  <c r="P20" i="28"/>
  <c r="O20" i="28"/>
  <c r="N20" i="28"/>
  <c r="M20" i="28"/>
  <c r="L20" i="28"/>
  <c r="K20" i="28"/>
  <c r="J20" i="28"/>
  <c r="I20" i="28"/>
  <c r="H20" i="28"/>
  <c r="G20" i="28"/>
  <c r="P19" i="28"/>
  <c r="O19" i="28"/>
  <c r="N19" i="28"/>
  <c r="M19" i="28"/>
  <c r="L19" i="28"/>
  <c r="K19" i="28"/>
  <c r="J19" i="28"/>
  <c r="I19" i="28"/>
  <c r="H19" i="28"/>
  <c r="G19" i="28"/>
  <c r="P10" i="30" l="1"/>
  <c r="O10" i="30"/>
  <c r="N10" i="30"/>
  <c r="M10" i="30"/>
  <c r="L10" i="30"/>
  <c r="K10" i="30"/>
  <c r="J10" i="30"/>
  <c r="I10" i="30"/>
  <c r="H10" i="30"/>
  <c r="G10" i="30"/>
  <c r="G6" i="30"/>
  <c r="F11" i="30"/>
  <c r="E11" i="30" l="1"/>
  <c r="D11" i="30"/>
  <c r="G5" i="30" l="1"/>
  <c r="H5" i="30" s="1"/>
  <c r="I5" i="30" s="1"/>
  <c r="J5" i="30" s="1"/>
  <c r="K5" i="30" s="1"/>
  <c r="L5" i="30" s="1"/>
  <c r="M5" i="30" s="1"/>
  <c r="N5" i="30" s="1"/>
  <c r="O5" i="30" s="1"/>
  <c r="P5" i="30" s="1"/>
  <c r="E5" i="30"/>
  <c r="D5" i="30" s="1"/>
  <c r="C5" i="30" s="1"/>
  <c r="B5" i="30"/>
  <c r="E12" i="28" l="1"/>
  <c r="D12" i="28"/>
  <c r="E11" i="28"/>
  <c r="D11" i="28"/>
  <c r="E10" i="28"/>
  <c r="D10" i="28"/>
  <c r="E9" i="28"/>
  <c r="D9" i="28"/>
  <c r="E8" i="28"/>
  <c r="D8" i="28"/>
  <c r="E7" i="28"/>
  <c r="D7" i="28"/>
  <c r="C7" i="28"/>
  <c r="E6" i="28"/>
  <c r="D6" i="28"/>
  <c r="C6" i="28"/>
  <c r="E24" i="28"/>
  <c r="D24" i="28"/>
  <c r="C24" i="28"/>
  <c r="C16" i="28"/>
  <c r="G19" i="29" l="1"/>
  <c r="G14" i="29"/>
  <c r="P9" i="29"/>
  <c r="O9" i="29"/>
  <c r="N9" i="29"/>
  <c r="M9" i="29"/>
  <c r="L9" i="29"/>
  <c r="K9" i="29"/>
  <c r="J9" i="29"/>
  <c r="I9" i="29"/>
  <c r="H9" i="29"/>
  <c r="G9" i="29"/>
  <c r="G18" i="29"/>
  <c r="H16" i="29" s="1"/>
  <c r="H18" i="29" s="1"/>
  <c r="I16" i="29" s="1"/>
  <c r="I18" i="29" s="1"/>
  <c r="J16" i="29" s="1"/>
  <c r="J18" i="29" s="1"/>
  <c r="K16" i="29" s="1"/>
  <c r="K18" i="29" s="1"/>
  <c r="L16" i="29" s="1"/>
  <c r="L18" i="29" s="1"/>
  <c r="M16" i="29" s="1"/>
  <c r="M18" i="29" s="1"/>
  <c r="N16" i="29" s="1"/>
  <c r="N18" i="29" s="1"/>
  <c r="O16" i="29" s="1"/>
  <c r="O18" i="29" s="1"/>
  <c r="P16" i="29" s="1"/>
  <c r="P18" i="29" s="1"/>
  <c r="G13" i="29"/>
  <c r="H11" i="29" s="1"/>
  <c r="H13" i="29" s="1"/>
  <c r="I11" i="29" s="1"/>
  <c r="I13" i="29" s="1"/>
  <c r="J11" i="29" s="1"/>
  <c r="J13" i="29" s="1"/>
  <c r="K11" i="29" s="1"/>
  <c r="K13" i="29" s="1"/>
  <c r="L11" i="29" s="1"/>
  <c r="L13" i="29" s="1"/>
  <c r="M11" i="29" s="1"/>
  <c r="M13" i="29" s="1"/>
  <c r="N11" i="29" s="1"/>
  <c r="N13" i="29" s="1"/>
  <c r="O11" i="29" s="1"/>
  <c r="O13" i="29" s="1"/>
  <c r="P11" i="29" s="1"/>
  <c r="P13" i="29" s="1"/>
  <c r="G7" i="29"/>
  <c r="G8" i="29" s="1"/>
  <c r="H6" i="29" s="1"/>
  <c r="H8" i="29" s="1"/>
  <c r="P7" i="29"/>
  <c r="O7" i="29"/>
  <c r="N7" i="29"/>
  <c r="M7" i="29"/>
  <c r="L7" i="29"/>
  <c r="K7" i="29"/>
  <c r="J7" i="29"/>
  <c r="I7" i="29"/>
  <c r="H7" i="29"/>
  <c r="G16" i="29"/>
  <c r="G11" i="29"/>
  <c r="G6" i="29"/>
  <c r="I19" i="29" l="1"/>
  <c r="J19" i="29"/>
  <c r="K19" i="29"/>
  <c r="L19" i="29"/>
  <c r="M19" i="29"/>
  <c r="H19" i="29"/>
  <c r="N19" i="29"/>
  <c r="O19" i="29"/>
  <c r="P19" i="29"/>
  <c r="L14" i="29"/>
  <c r="J14" i="29"/>
  <c r="H14" i="29"/>
  <c r="O14" i="29"/>
  <c r="I14" i="29"/>
  <c r="P14" i="29"/>
  <c r="K14" i="29"/>
  <c r="M14" i="29"/>
  <c r="N14" i="29"/>
  <c r="I6" i="29"/>
  <c r="G5" i="29"/>
  <c r="H5" i="29" s="1"/>
  <c r="I5" i="29" s="1"/>
  <c r="J5" i="29" s="1"/>
  <c r="K5" i="29" s="1"/>
  <c r="L5" i="29" s="1"/>
  <c r="M5" i="29" s="1"/>
  <c r="N5" i="29" s="1"/>
  <c r="O5" i="29" s="1"/>
  <c r="P5" i="29" s="1"/>
  <c r="B5" i="29"/>
  <c r="I8" i="29" l="1"/>
  <c r="J6" i="29" s="1"/>
  <c r="E5" i="29"/>
  <c r="D5" i="29" s="1"/>
  <c r="C5" i="29" s="1"/>
  <c r="C3" i="28"/>
  <c r="G5" i="28"/>
  <c r="E5" i="28" s="1"/>
  <c r="D5" i="28" s="1"/>
  <c r="C5" i="28" s="1"/>
  <c r="B5" i="28"/>
  <c r="J8" i="29" l="1"/>
  <c r="K6" i="29" s="1"/>
  <c r="K8" i="29" s="1"/>
  <c r="L6" i="29" s="1"/>
  <c r="H5" i="28"/>
  <c r="I5" i="28" s="1"/>
  <c r="J5" i="28" s="1"/>
  <c r="K5" i="28" s="1"/>
  <c r="L5" i="28" s="1"/>
  <c r="M5" i="28" s="1"/>
  <c r="N5" i="28" s="1"/>
  <c r="O5" i="28" s="1"/>
  <c r="P5" i="28" s="1"/>
  <c r="P35" i="25"/>
  <c r="O35" i="25"/>
  <c r="N35" i="25"/>
  <c r="M35" i="25"/>
  <c r="L35" i="25"/>
  <c r="K35" i="25"/>
  <c r="J35" i="25"/>
  <c r="I35" i="25"/>
  <c r="H35" i="25"/>
  <c r="G35" i="25"/>
  <c r="H6" i="21"/>
  <c r="G7" i="21"/>
  <c r="G6" i="21"/>
  <c r="P8" i="21"/>
  <c r="O8" i="21"/>
  <c r="N8" i="21"/>
  <c r="M8" i="21"/>
  <c r="L8" i="21"/>
  <c r="K8" i="21"/>
  <c r="J8" i="21"/>
  <c r="I8" i="21"/>
  <c r="H8" i="21"/>
  <c r="G8" i="21"/>
  <c r="P30" i="21"/>
  <c r="O30" i="21"/>
  <c r="N30" i="21"/>
  <c r="M30" i="21"/>
  <c r="L30" i="21"/>
  <c r="K30" i="21"/>
  <c r="J30" i="21"/>
  <c r="I30" i="21"/>
  <c r="H30" i="21"/>
  <c r="G30" i="21"/>
  <c r="P29" i="21"/>
  <c r="O29" i="21"/>
  <c r="N29" i="21"/>
  <c r="M29" i="21"/>
  <c r="L29" i="21"/>
  <c r="K29" i="21"/>
  <c r="J29" i="21"/>
  <c r="I29" i="21"/>
  <c r="H29" i="21"/>
  <c r="G29" i="21"/>
  <c r="P28" i="21"/>
  <c r="O28" i="21"/>
  <c r="N28" i="21"/>
  <c r="M28" i="21"/>
  <c r="L28" i="21"/>
  <c r="K28" i="21"/>
  <c r="J28" i="21"/>
  <c r="I28" i="21"/>
  <c r="H28" i="21"/>
  <c r="G28" i="21"/>
  <c r="P27" i="21"/>
  <c r="O27" i="21"/>
  <c r="N27" i="21"/>
  <c r="M27" i="21"/>
  <c r="L27" i="21"/>
  <c r="K27" i="21"/>
  <c r="J27" i="21"/>
  <c r="I27" i="21"/>
  <c r="H27" i="21"/>
  <c r="G27" i="21"/>
  <c r="K21" i="21"/>
  <c r="K20" i="21"/>
  <c r="K19" i="21"/>
  <c r="L8" i="29" l="1"/>
  <c r="M6" i="29" s="1"/>
  <c r="F12" i="25"/>
  <c r="E14" i="25"/>
  <c r="D14" i="25"/>
  <c r="C14" i="25"/>
  <c r="F9" i="25"/>
  <c r="G6" i="25" s="1"/>
  <c r="F6" i="25"/>
  <c r="M8" i="29" l="1"/>
  <c r="N6" i="29" s="1"/>
  <c r="F14" i="25"/>
  <c r="G11" i="25" s="1"/>
  <c r="G14" i="25" s="1"/>
  <c r="H11" i="25" l="1"/>
  <c r="H14" i="25" s="1"/>
  <c r="G13" i="20"/>
  <c r="N8" i="29"/>
  <c r="O6" i="29" s="1"/>
  <c r="G14" i="27"/>
  <c r="G13" i="27"/>
  <c r="H12" i="27"/>
  <c r="G12" i="27"/>
  <c r="I11" i="25" l="1"/>
  <c r="I14" i="25" s="1"/>
  <c r="H13" i="20"/>
  <c r="O8" i="29"/>
  <c r="P6" i="29" s="1"/>
  <c r="P8" i="29" s="1"/>
  <c r="H14" i="27"/>
  <c r="I14" i="27" s="1"/>
  <c r="H13" i="27"/>
  <c r="I13" i="27"/>
  <c r="J13" i="27"/>
  <c r="I12" i="27"/>
  <c r="L12" i="27" s="1"/>
  <c r="J12" i="27"/>
  <c r="K12" i="27"/>
  <c r="M12" i="27" s="1"/>
  <c r="P9" i="27"/>
  <c r="O9" i="27"/>
  <c r="N9" i="27"/>
  <c r="M9" i="27"/>
  <c r="L9" i="27"/>
  <c r="K9" i="27"/>
  <c r="J9" i="27"/>
  <c r="I9" i="27"/>
  <c r="H9" i="27"/>
  <c r="G9" i="27"/>
  <c r="P8" i="27"/>
  <c r="O8" i="27"/>
  <c r="N8" i="27"/>
  <c r="M8" i="27"/>
  <c r="L8" i="27"/>
  <c r="K8" i="27"/>
  <c r="J8" i="27"/>
  <c r="I8" i="27"/>
  <c r="H8" i="27"/>
  <c r="G8" i="27"/>
  <c r="P7" i="27"/>
  <c r="O7" i="27"/>
  <c r="N7" i="27"/>
  <c r="M7" i="27"/>
  <c r="L7" i="27"/>
  <c r="K7" i="27"/>
  <c r="J7" i="27"/>
  <c r="I7" i="27"/>
  <c r="H7" i="27"/>
  <c r="G7" i="27"/>
  <c r="P6" i="27"/>
  <c r="O6" i="27"/>
  <c r="N6" i="27"/>
  <c r="M6" i="27"/>
  <c r="L6" i="27"/>
  <c r="K6" i="27"/>
  <c r="J6" i="27"/>
  <c r="I6" i="27"/>
  <c r="H6" i="27"/>
  <c r="G6" i="27"/>
  <c r="G5" i="27"/>
  <c r="H5" i="27" s="1"/>
  <c r="I5" i="27" s="1"/>
  <c r="J5" i="27" s="1"/>
  <c r="K5" i="27" s="1"/>
  <c r="L5" i="27" s="1"/>
  <c r="M5" i="27" s="1"/>
  <c r="N5" i="27" s="1"/>
  <c r="O5" i="27" s="1"/>
  <c r="P5" i="27" s="1"/>
  <c r="J11" i="25" l="1"/>
  <c r="J14" i="25" s="1"/>
  <c r="I13" i="20"/>
  <c r="J14" i="27"/>
  <c r="N12" i="27"/>
  <c r="O12" i="27" s="1"/>
  <c r="P12" i="27" s="1"/>
  <c r="K13" i="27"/>
  <c r="E5" i="27"/>
  <c r="D5" i="27" s="1"/>
  <c r="C5" i="27" s="1"/>
  <c r="F16" i="20"/>
  <c r="F26" i="20"/>
  <c r="F24" i="20"/>
  <c r="F22" i="20"/>
  <c r="F21" i="20"/>
  <c r="F19" i="20"/>
  <c r="F18" i="20"/>
  <c r="F14" i="20"/>
  <c r="F13" i="20"/>
  <c r="F12" i="20"/>
  <c r="F11" i="20"/>
  <c r="F9" i="20"/>
  <c r="F8" i="20"/>
  <c r="F7" i="20"/>
  <c r="F6" i="20"/>
  <c r="I6" i="23"/>
  <c r="I21" i="23"/>
  <c r="H24" i="23"/>
  <c r="H11" i="23"/>
  <c r="H6" i="23"/>
  <c r="G24" i="23"/>
  <c r="G21" i="23"/>
  <c r="G6" i="23"/>
  <c r="F13" i="23"/>
  <c r="F24" i="23"/>
  <c r="F6" i="23"/>
  <c r="K11" i="25" l="1"/>
  <c r="K14" i="25" s="1"/>
  <c r="J13" i="20"/>
  <c r="K14" i="27"/>
  <c r="L14" i="27" s="1"/>
  <c r="M14" i="27"/>
  <c r="N14" i="27"/>
  <c r="L13" i="27"/>
  <c r="M13" i="27" s="1"/>
  <c r="N13" i="27" s="1"/>
  <c r="J15" i="26"/>
  <c r="I15" i="26"/>
  <c r="H15" i="26"/>
  <c r="G15" i="26"/>
  <c r="P14" i="26"/>
  <c r="O14" i="26"/>
  <c r="N14" i="26"/>
  <c r="M14" i="26"/>
  <c r="L14" i="26"/>
  <c r="K14" i="26"/>
  <c r="J14" i="26"/>
  <c r="I14" i="26"/>
  <c r="H14" i="26"/>
  <c r="G14" i="26"/>
  <c r="P13" i="26"/>
  <c r="O13" i="26"/>
  <c r="N13" i="26"/>
  <c r="M13" i="26"/>
  <c r="L13" i="26"/>
  <c r="K13" i="26"/>
  <c r="J13" i="26"/>
  <c r="I13" i="26"/>
  <c r="H13" i="26"/>
  <c r="G13" i="26"/>
  <c r="P12" i="26"/>
  <c r="O12" i="26"/>
  <c r="N12" i="26"/>
  <c r="M12" i="26"/>
  <c r="L12" i="26"/>
  <c r="K12" i="26"/>
  <c r="J12" i="26"/>
  <c r="I12" i="26"/>
  <c r="H12" i="26"/>
  <c r="G12" i="26"/>
  <c r="F9" i="26"/>
  <c r="E9" i="26"/>
  <c r="D9" i="26"/>
  <c r="F8" i="26"/>
  <c r="F7" i="26"/>
  <c r="F6" i="26"/>
  <c r="E8" i="26"/>
  <c r="E7" i="26"/>
  <c r="E6" i="26"/>
  <c r="D8" i="26"/>
  <c r="D7" i="26"/>
  <c r="D6" i="26"/>
  <c r="C8" i="26"/>
  <c r="C7" i="26"/>
  <c r="C6" i="26"/>
  <c r="E15" i="26"/>
  <c r="D15" i="26"/>
  <c r="C15" i="26"/>
  <c r="E14" i="26"/>
  <c r="D14" i="26"/>
  <c r="C14" i="26"/>
  <c r="E13" i="26"/>
  <c r="D13" i="26"/>
  <c r="C13" i="26"/>
  <c r="E12" i="26"/>
  <c r="D12" i="26"/>
  <c r="C12" i="26"/>
  <c r="G5" i="26"/>
  <c r="H5" i="26" s="1"/>
  <c r="I5" i="26" s="1"/>
  <c r="J5" i="26" s="1"/>
  <c r="K5" i="26" s="1"/>
  <c r="L5" i="26" s="1"/>
  <c r="M5" i="26" s="1"/>
  <c r="N5" i="26" s="1"/>
  <c r="O5" i="26" s="1"/>
  <c r="P5" i="26" s="1"/>
  <c r="B5" i="26"/>
  <c r="K15" i="26" l="1"/>
  <c r="L15" i="26"/>
  <c r="M15" i="26"/>
  <c r="N15" i="26"/>
  <c r="O15" i="26"/>
  <c r="P15" i="26"/>
  <c r="L11" i="25"/>
  <c r="L14" i="25" s="1"/>
  <c r="K13" i="20"/>
  <c r="O13" i="27"/>
  <c r="P13" i="27" s="1"/>
  <c r="O14" i="27"/>
  <c r="P14" i="27" s="1"/>
  <c r="C9" i="26"/>
  <c r="E5" i="26"/>
  <c r="D5" i="26" s="1"/>
  <c r="C5" i="26" s="1"/>
  <c r="G6" i="17"/>
  <c r="H6" i="17" s="1"/>
  <c r="P13" i="17"/>
  <c r="O13" i="17"/>
  <c r="N13" i="17"/>
  <c r="M13" i="17"/>
  <c r="L13" i="17"/>
  <c r="K13" i="17"/>
  <c r="J13" i="17"/>
  <c r="I13" i="17"/>
  <c r="H13" i="17"/>
  <c r="H12" i="17" s="1"/>
  <c r="G13" i="17"/>
  <c r="P9" i="17"/>
  <c r="O9" i="17"/>
  <c r="N9" i="17"/>
  <c r="M9" i="17"/>
  <c r="L9" i="17"/>
  <c r="K9" i="17"/>
  <c r="J9" i="17"/>
  <c r="I9" i="17"/>
  <c r="H9" i="17"/>
  <c r="H8" i="17" s="1"/>
  <c r="G9" i="17"/>
  <c r="P7" i="17"/>
  <c r="O7" i="17"/>
  <c r="N7" i="17"/>
  <c r="M7" i="17"/>
  <c r="L7" i="17"/>
  <c r="K7" i="17"/>
  <c r="J7" i="17"/>
  <c r="I7" i="17"/>
  <c r="H7" i="17"/>
  <c r="G7" i="17"/>
  <c r="P64" i="5"/>
  <c r="O64" i="5"/>
  <c r="N64" i="5"/>
  <c r="M64" i="5"/>
  <c r="L64" i="5"/>
  <c r="K64" i="5"/>
  <c r="J64" i="5"/>
  <c r="I64" i="5"/>
  <c r="H64" i="5"/>
  <c r="G64" i="5"/>
  <c r="P63" i="5"/>
  <c r="O63" i="5"/>
  <c r="N63" i="5"/>
  <c r="M63" i="5"/>
  <c r="L63" i="5"/>
  <c r="K63" i="5"/>
  <c r="J63" i="5"/>
  <c r="I63" i="5"/>
  <c r="H63" i="5"/>
  <c r="G63" i="5"/>
  <c r="P62" i="5"/>
  <c r="O62" i="5"/>
  <c r="N62" i="5"/>
  <c r="M62" i="5"/>
  <c r="L62" i="5"/>
  <c r="K62" i="5"/>
  <c r="J62" i="5"/>
  <c r="I62" i="5"/>
  <c r="H62" i="5"/>
  <c r="G62" i="5"/>
  <c r="P61" i="5"/>
  <c r="O61" i="5"/>
  <c r="N61" i="5"/>
  <c r="M61" i="5"/>
  <c r="L61" i="5"/>
  <c r="K61" i="5"/>
  <c r="J61" i="5"/>
  <c r="I61" i="5"/>
  <c r="H61" i="5"/>
  <c r="G61" i="5"/>
  <c r="P60" i="5"/>
  <c r="O60" i="5"/>
  <c r="N60" i="5"/>
  <c r="M60" i="5"/>
  <c r="L60" i="5"/>
  <c r="K60" i="5"/>
  <c r="J60" i="5"/>
  <c r="I60" i="5"/>
  <c r="H60" i="5"/>
  <c r="G60" i="5"/>
  <c r="P59" i="5"/>
  <c r="O59" i="5"/>
  <c r="N59" i="5"/>
  <c r="M59" i="5"/>
  <c r="L59" i="5"/>
  <c r="K59" i="5"/>
  <c r="J59" i="5"/>
  <c r="I59" i="5"/>
  <c r="H59" i="5"/>
  <c r="G59" i="5"/>
  <c r="P58" i="5"/>
  <c r="O58" i="5"/>
  <c r="N58" i="5"/>
  <c r="M58" i="5"/>
  <c r="L58" i="5"/>
  <c r="K58" i="5"/>
  <c r="J58" i="5"/>
  <c r="I58" i="5"/>
  <c r="H58" i="5"/>
  <c r="G58" i="5"/>
  <c r="P38" i="5"/>
  <c r="O38" i="5"/>
  <c r="N38" i="5"/>
  <c r="M38" i="5"/>
  <c r="L38" i="5"/>
  <c r="K38" i="5"/>
  <c r="J38" i="5"/>
  <c r="I38" i="5"/>
  <c r="H38" i="5"/>
  <c r="G38" i="5"/>
  <c r="P37" i="5"/>
  <c r="O37" i="5"/>
  <c r="N37" i="5"/>
  <c r="M37" i="5"/>
  <c r="L37" i="5"/>
  <c r="K37" i="5"/>
  <c r="J37" i="5"/>
  <c r="I37" i="5"/>
  <c r="H37" i="5"/>
  <c r="G37" i="5"/>
  <c r="P36" i="5"/>
  <c r="O36" i="5"/>
  <c r="N36" i="5"/>
  <c r="M36" i="5"/>
  <c r="L36" i="5"/>
  <c r="K36" i="5"/>
  <c r="J36" i="5"/>
  <c r="I36" i="5"/>
  <c r="H36" i="5"/>
  <c r="G36" i="5"/>
  <c r="P35" i="5"/>
  <c r="O35" i="5"/>
  <c r="N35" i="5"/>
  <c r="M35" i="5"/>
  <c r="L35" i="5"/>
  <c r="K35" i="5"/>
  <c r="J35" i="5"/>
  <c r="I35" i="5"/>
  <c r="H35" i="5"/>
  <c r="G35" i="5"/>
  <c r="P34" i="5"/>
  <c r="O34" i="5"/>
  <c r="N34" i="5"/>
  <c r="M34" i="5"/>
  <c r="L34" i="5"/>
  <c r="K34" i="5"/>
  <c r="J34" i="5"/>
  <c r="I34" i="5"/>
  <c r="H34" i="5"/>
  <c r="G34" i="5"/>
  <c r="P33" i="5"/>
  <c r="O33" i="5"/>
  <c r="N33" i="5"/>
  <c r="M33" i="5"/>
  <c r="L33" i="5"/>
  <c r="K33" i="5"/>
  <c r="J33" i="5"/>
  <c r="I33" i="5"/>
  <c r="H33" i="5"/>
  <c r="G33" i="5"/>
  <c r="P32" i="5"/>
  <c r="O32" i="5"/>
  <c r="N32" i="5"/>
  <c r="M32" i="5"/>
  <c r="L32" i="5"/>
  <c r="K32" i="5"/>
  <c r="J32" i="5"/>
  <c r="I32" i="5"/>
  <c r="H32" i="5"/>
  <c r="G32" i="5"/>
  <c r="P57" i="5"/>
  <c r="O57" i="5"/>
  <c r="N57" i="5"/>
  <c r="M57" i="5"/>
  <c r="L57" i="5"/>
  <c r="K57" i="5"/>
  <c r="J57" i="5"/>
  <c r="I57" i="5"/>
  <c r="H57" i="5"/>
  <c r="G57" i="5"/>
  <c r="P56" i="5"/>
  <c r="O56" i="5"/>
  <c r="N56" i="5"/>
  <c r="M56" i="5"/>
  <c r="L56" i="5"/>
  <c r="K56" i="5"/>
  <c r="J56" i="5"/>
  <c r="I56" i="5"/>
  <c r="H56" i="5"/>
  <c r="G56" i="5"/>
  <c r="P55" i="5"/>
  <c r="O55" i="5"/>
  <c r="N55" i="5"/>
  <c r="M55" i="5"/>
  <c r="L55" i="5"/>
  <c r="K55" i="5"/>
  <c r="J55" i="5"/>
  <c r="I55" i="5"/>
  <c r="H55" i="5"/>
  <c r="G55" i="5"/>
  <c r="P31" i="5"/>
  <c r="O31" i="5"/>
  <c r="N31" i="5"/>
  <c r="M31" i="5"/>
  <c r="L31" i="5"/>
  <c r="K31" i="5"/>
  <c r="J31" i="5"/>
  <c r="I31" i="5"/>
  <c r="H31" i="5"/>
  <c r="G31" i="5"/>
  <c r="P30" i="5"/>
  <c r="O30" i="5"/>
  <c r="N30" i="5"/>
  <c r="M30" i="5"/>
  <c r="L30" i="5"/>
  <c r="K30" i="5"/>
  <c r="J30" i="5"/>
  <c r="I30" i="5"/>
  <c r="H30" i="5"/>
  <c r="G30" i="5"/>
  <c r="P29" i="5"/>
  <c r="O29" i="5"/>
  <c r="N29" i="5"/>
  <c r="M29" i="5"/>
  <c r="L29" i="5"/>
  <c r="K29" i="5"/>
  <c r="J29" i="5"/>
  <c r="I29" i="5"/>
  <c r="H29" i="5"/>
  <c r="G29" i="5"/>
  <c r="P51" i="5"/>
  <c r="O51" i="5"/>
  <c r="N51" i="5"/>
  <c r="M51" i="5"/>
  <c r="L51" i="5"/>
  <c r="K51" i="5"/>
  <c r="J51" i="5"/>
  <c r="I51" i="5"/>
  <c r="H51" i="5"/>
  <c r="G51" i="5"/>
  <c r="P50" i="5"/>
  <c r="O50" i="5"/>
  <c r="N50" i="5"/>
  <c r="M50" i="5"/>
  <c r="L50" i="5"/>
  <c r="K50" i="5"/>
  <c r="J50" i="5"/>
  <c r="I50" i="5"/>
  <c r="H50" i="5"/>
  <c r="G50" i="5"/>
  <c r="P49" i="5"/>
  <c r="O49" i="5"/>
  <c r="N49" i="5"/>
  <c r="M49" i="5"/>
  <c r="L49" i="5"/>
  <c r="K49" i="5"/>
  <c r="J49" i="5"/>
  <c r="I49" i="5"/>
  <c r="H49" i="5"/>
  <c r="G49" i="5"/>
  <c r="P48" i="5"/>
  <c r="O48" i="5"/>
  <c r="N48" i="5"/>
  <c r="M48" i="5"/>
  <c r="L48" i="5"/>
  <c r="K48" i="5"/>
  <c r="J48" i="5"/>
  <c r="I48" i="5"/>
  <c r="H48" i="5"/>
  <c r="G48" i="5"/>
  <c r="P47" i="5"/>
  <c r="O47" i="5"/>
  <c r="N47" i="5"/>
  <c r="M47" i="5"/>
  <c r="L47" i="5"/>
  <c r="K47" i="5"/>
  <c r="J47" i="5"/>
  <c r="I47" i="5"/>
  <c r="H47" i="5"/>
  <c r="G47" i="5"/>
  <c r="P46" i="5"/>
  <c r="O46" i="5"/>
  <c r="N46" i="5"/>
  <c r="M46" i="5"/>
  <c r="L46" i="5"/>
  <c r="K46" i="5"/>
  <c r="J46" i="5"/>
  <c r="I46" i="5"/>
  <c r="H46" i="5"/>
  <c r="G46" i="5"/>
  <c r="P45" i="5"/>
  <c r="O45" i="5"/>
  <c r="N45" i="5"/>
  <c r="M45" i="5"/>
  <c r="L45" i="5"/>
  <c r="K45" i="5"/>
  <c r="J45" i="5"/>
  <c r="I45" i="5"/>
  <c r="H45" i="5"/>
  <c r="G45" i="5"/>
  <c r="P44" i="5"/>
  <c r="O44" i="5"/>
  <c r="N44" i="5"/>
  <c r="M44" i="5"/>
  <c r="L44" i="5"/>
  <c r="K44" i="5"/>
  <c r="J44" i="5"/>
  <c r="I44" i="5"/>
  <c r="H44" i="5"/>
  <c r="G44" i="5"/>
  <c r="P43" i="5"/>
  <c r="O43" i="5"/>
  <c r="N43" i="5"/>
  <c r="M43" i="5"/>
  <c r="L43" i="5"/>
  <c r="K43" i="5"/>
  <c r="J43" i="5"/>
  <c r="I43" i="5"/>
  <c r="H43" i="5"/>
  <c r="G43" i="5"/>
  <c r="E9" i="25"/>
  <c r="E8" i="25"/>
  <c r="D9" i="25"/>
  <c r="D8" i="25"/>
  <c r="C9" i="25"/>
  <c r="D6" i="25" s="1"/>
  <c r="H7" i="26" l="1"/>
  <c r="H8" i="20" s="1"/>
  <c r="H8" i="26"/>
  <c r="H18" i="20" s="1"/>
  <c r="H22" i="20"/>
  <c r="H9" i="20"/>
  <c r="H14" i="20"/>
  <c r="H19" i="20"/>
  <c r="H6" i="26"/>
  <c r="H10" i="17"/>
  <c r="I6" i="17"/>
  <c r="G12" i="17"/>
  <c r="G19" i="20"/>
  <c r="G10" i="28" s="1"/>
  <c r="G22" i="20"/>
  <c r="G12" i="28" s="1"/>
  <c r="G9" i="20"/>
  <c r="G9" i="28" s="1"/>
  <c r="G14" i="20"/>
  <c r="G11" i="28" s="1"/>
  <c r="G6" i="26"/>
  <c r="G8" i="17"/>
  <c r="G10" i="17"/>
  <c r="D7" i="25"/>
  <c r="E6" i="25"/>
  <c r="E7" i="25" s="1"/>
  <c r="M11" i="25"/>
  <c r="M14" i="25" s="1"/>
  <c r="L13" i="20"/>
  <c r="G5" i="25"/>
  <c r="H5" i="25" s="1"/>
  <c r="I5" i="25" s="1"/>
  <c r="J5" i="25" s="1"/>
  <c r="K5" i="25" s="1"/>
  <c r="L5" i="25" s="1"/>
  <c r="M5" i="25" s="1"/>
  <c r="N5" i="25" s="1"/>
  <c r="O5" i="25" s="1"/>
  <c r="P5" i="25" s="1"/>
  <c r="B5" i="25"/>
  <c r="H9" i="26" l="1"/>
  <c r="H7" i="20"/>
  <c r="J6" i="17"/>
  <c r="I22" i="20"/>
  <c r="I12" i="28" s="1"/>
  <c r="I19" i="20"/>
  <c r="I10" i="28" s="1"/>
  <c r="I14" i="20"/>
  <c r="I11" i="28" s="1"/>
  <c r="I9" i="20"/>
  <c r="I9" i="28" s="1"/>
  <c r="I6" i="26"/>
  <c r="I10" i="17"/>
  <c r="I12" i="17"/>
  <c r="H11" i="17"/>
  <c r="H14" i="17"/>
  <c r="H10" i="28"/>
  <c r="H11" i="28"/>
  <c r="G7" i="26"/>
  <c r="G8" i="20" s="1"/>
  <c r="G8" i="26"/>
  <c r="G18" i="20" s="1"/>
  <c r="H9" i="28"/>
  <c r="I8" i="17"/>
  <c r="G11" i="17"/>
  <c r="G14" i="17"/>
  <c r="G7" i="20"/>
  <c r="G9" i="26"/>
  <c r="G8" i="28" s="1"/>
  <c r="H12" i="28"/>
  <c r="E15" i="28"/>
  <c r="E16" i="28" s="1"/>
  <c r="E52" i="5"/>
  <c r="D15" i="28"/>
  <c r="D16" i="28" s="1"/>
  <c r="D52" i="5"/>
  <c r="N11" i="25"/>
  <c r="N14" i="25" s="1"/>
  <c r="M13" i="20"/>
  <c r="E5" i="25"/>
  <c r="D5" i="25" s="1"/>
  <c r="C5" i="25" s="1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I7" i="20" l="1"/>
  <c r="K6" i="17"/>
  <c r="J14" i="20"/>
  <c r="J11" i="28" s="1"/>
  <c r="J19" i="20"/>
  <c r="J10" i="28" s="1"/>
  <c r="J9" i="20"/>
  <c r="J9" i="28" s="1"/>
  <c r="J22" i="20"/>
  <c r="J12" i="28" s="1"/>
  <c r="J6" i="26"/>
  <c r="J8" i="17"/>
  <c r="J10" i="17"/>
  <c r="J12" i="17"/>
  <c r="I11" i="17"/>
  <c r="I14" i="17"/>
  <c r="I7" i="26"/>
  <c r="I8" i="20" s="1"/>
  <c r="I8" i="26"/>
  <c r="I18" i="20" s="1"/>
  <c r="H8" i="28"/>
  <c r="O11" i="25"/>
  <c r="O14" i="25" s="1"/>
  <c r="N13" i="20"/>
  <c r="N52" i="5"/>
  <c r="L52" i="5"/>
  <c r="K52" i="5"/>
  <c r="J52" i="5"/>
  <c r="I52" i="5"/>
  <c r="H52" i="5"/>
  <c r="G52" i="5"/>
  <c r="P52" i="5"/>
  <c r="O52" i="5"/>
  <c r="M52" i="5"/>
  <c r="E44" i="5"/>
  <c r="D44" i="5"/>
  <c r="C44" i="5"/>
  <c r="E43" i="5"/>
  <c r="D43" i="5"/>
  <c r="C43" i="5"/>
  <c r="E42" i="5"/>
  <c r="D42" i="5"/>
  <c r="G54" i="5"/>
  <c r="H54" i="5" s="1"/>
  <c r="I54" i="5" s="1"/>
  <c r="J54" i="5" s="1"/>
  <c r="K54" i="5" s="1"/>
  <c r="L54" i="5" s="1"/>
  <c r="M54" i="5" s="1"/>
  <c r="N54" i="5" s="1"/>
  <c r="O54" i="5" s="1"/>
  <c r="P54" i="5" s="1"/>
  <c r="G41" i="5"/>
  <c r="H41" i="5"/>
  <c r="I41" i="5" s="1"/>
  <c r="J41" i="5" s="1"/>
  <c r="K41" i="5" s="1"/>
  <c r="L41" i="5" s="1"/>
  <c r="M41" i="5" s="1"/>
  <c r="N41" i="5" s="1"/>
  <c r="O41" i="5" s="1"/>
  <c r="P41" i="5" s="1"/>
  <c r="G28" i="5"/>
  <c r="H28" i="5" s="1"/>
  <c r="I28" i="5" s="1"/>
  <c r="J28" i="5" s="1"/>
  <c r="K28" i="5" s="1"/>
  <c r="L28" i="5" s="1"/>
  <c r="M28" i="5" s="1"/>
  <c r="N28" i="5" s="1"/>
  <c r="O28" i="5" s="1"/>
  <c r="P28" i="5" s="1"/>
  <c r="C5" i="24"/>
  <c r="J14" i="17" l="1"/>
  <c r="J11" i="17"/>
  <c r="J7" i="26"/>
  <c r="J8" i="20" s="1"/>
  <c r="J8" i="26"/>
  <c r="J18" i="20" s="1"/>
  <c r="L6" i="17"/>
  <c r="K9" i="20"/>
  <c r="K9" i="28" s="1"/>
  <c r="K14" i="20"/>
  <c r="K11" i="28" s="1"/>
  <c r="K22" i="20"/>
  <c r="K12" i="28" s="1"/>
  <c r="K19" i="20"/>
  <c r="K10" i="28" s="1"/>
  <c r="K6" i="26"/>
  <c r="K7" i="20" s="1"/>
  <c r="K12" i="17"/>
  <c r="K10" i="17"/>
  <c r="K8" i="17"/>
  <c r="J7" i="20"/>
  <c r="I9" i="26"/>
  <c r="I8" i="28" s="1"/>
  <c r="G7" i="25"/>
  <c r="G15" i="28" s="1"/>
  <c r="G16" i="28" s="1"/>
  <c r="G24" i="29" s="1"/>
  <c r="G65" i="5"/>
  <c r="G39" i="5"/>
  <c r="M39" i="5"/>
  <c r="M65" i="5"/>
  <c r="O39" i="5"/>
  <c r="O65" i="5"/>
  <c r="L39" i="5"/>
  <c r="L65" i="5"/>
  <c r="P11" i="25"/>
  <c r="P14" i="25" s="1"/>
  <c r="P13" i="20" s="1"/>
  <c r="O13" i="20"/>
  <c r="P39" i="5"/>
  <c r="P65" i="5"/>
  <c r="H7" i="25"/>
  <c r="H15" i="28" s="1"/>
  <c r="H16" i="28" s="1"/>
  <c r="H24" i="29" s="1"/>
  <c r="H65" i="5"/>
  <c r="H39" i="5"/>
  <c r="I7" i="25"/>
  <c r="I15" i="28" s="1"/>
  <c r="I16" i="28" s="1"/>
  <c r="I24" i="29" s="1"/>
  <c r="I39" i="5"/>
  <c r="I65" i="5"/>
  <c r="J7" i="25"/>
  <c r="J15" i="28" s="1"/>
  <c r="J16" i="28" s="1"/>
  <c r="J24" i="29" s="1"/>
  <c r="J65" i="5"/>
  <c r="J39" i="5"/>
  <c r="N39" i="5"/>
  <c r="N65" i="5"/>
  <c r="K7" i="25"/>
  <c r="K15" i="28" s="1"/>
  <c r="K16" i="28" s="1"/>
  <c r="K24" i="29" s="1"/>
  <c r="K39" i="5"/>
  <c r="K65" i="5"/>
  <c r="E54" i="5"/>
  <c r="D54" i="5" s="1"/>
  <c r="C54" i="5" s="1"/>
  <c r="E41" i="5"/>
  <c r="D41" i="5" s="1"/>
  <c r="C41" i="5" s="1"/>
  <c r="E28" i="5"/>
  <c r="D28" i="5" s="1"/>
  <c r="C28" i="5" s="1"/>
  <c r="D12" i="23"/>
  <c r="D8" i="23"/>
  <c r="E8" i="23" s="1"/>
  <c r="J8" i="23" s="1"/>
  <c r="D7" i="23"/>
  <c r="D16" i="23" s="1"/>
  <c r="J24" i="23"/>
  <c r="J23" i="23"/>
  <c r="J22" i="23"/>
  <c r="J21" i="23"/>
  <c r="J20" i="23"/>
  <c r="J19" i="23"/>
  <c r="J18" i="23"/>
  <c r="J14" i="23"/>
  <c r="J13" i="23"/>
  <c r="J11" i="23"/>
  <c r="J10" i="23"/>
  <c r="J9" i="23"/>
  <c r="J6" i="23"/>
  <c r="E24" i="23"/>
  <c r="E23" i="23"/>
  <c r="E22" i="23"/>
  <c r="E21" i="23"/>
  <c r="E20" i="23"/>
  <c r="E19" i="23"/>
  <c r="E26" i="23" s="1"/>
  <c r="E18" i="23"/>
  <c r="E14" i="23"/>
  <c r="E13" i="23"/>
  <c r="E12" i="23"/>
  <c r="J12" i="23" s="1"/>
  <c r="E11" i="23"/>
  <c r="E10" i="23"/>
  <c r="E9" i="23"/>
  <c r="E6" i="23"/>
  <c r="I26" i="23"/>
  <c r="H26" i="23"/>
  <c r="G26" i="23"/>
  <c r="F26" i="23"/>
  <c r="D26" i="23"/>
  <c r="I16" i="23"/>
  <c r="H16" i="23"/>
  <c r="G16" i="23"/>
  <c r="F16" i="23"/>
  <c r="C26" i="23"/>
  <c r="C16" i="23"/>
  <c r="B5" i="23"/>
  <c r="M6" i="17" l="1"/>
  <c r="L9" i="20"/>
  <c r="L9" i="28" s="1"/>
  <c r="L14" i="20"/>
  <c r="L11" i="28" s="1"/>
  <c r="L19" i="20"/>
  <c r="L10" i="28" s="1"/>
  <c r="L22" i="20"/>
  <c r="L12" i="28" s="1"/>
  <c r="L12" i="17"/>
  <c r="L6" i="26"/>
  <c r="L7" i="20" s="1"/>
  <c r="L8" i="17"/>
  <c r="K14" i="17"/>
  <c r="K11" i="17"/>
  <c r="J9" i="26"/>
  <c r="J8" i="28" s="1"/>
  <c r="L7" i="25"/>
  <c r="L15" i="28" s="1"/>
  <c r="L16" i="28" s="1"/>
  <c r="L24" i="29" s="1"/>
  <c r="K8" i="26"/>
  <c r="K18" i="20" s="1"/>
  <c r="K7" i="26"/>
  <c r="J26" i="23"/>
  <c r="C7" i="24"/>
  <c r="E7" i="23"/>
  <c r="J7" i="23" s="1"/>
  <c r="J16" i="23" s="1"/>
  <c r="I19" i="21"/>
  <c r="I21" i="21"/>
  <c r="I20" i="21"/>
  <c r="L21" i="21"/>
  <c r="L20" i="21"/>
  <c r="L19" i="21"/>
  <c r="F6" i="22"/>
  <c r="C17" i="5"/>
  <c r="H9" i="21"/>
  <c r="I6" i="21" s="1"/>
  <c r="G9" i="21"/>
  <c r="F9" i="21"/>
  <c r="E9" i="21"/>
  <c r="D9" i="21"/>
  <c r="L7" i="26" l="1"/>
  <c r="L8" i="20" s="1"/>
  <c r="L8" i="26"/>
  <c r="L10" i="17"/>
  <c r="K9" i="26"/>
  <c r="K8" i="28" s="1"/>
  <c r="K8" i="20"/>
  <c r="N6" i="17"/>
  <c r="M14" i="20"/>
  <c r="M11" i="28" s="1"/>
  <c r="M9" i="20"/>
  <c r="M9" i="28" s="1"/>
  <c r="M19" i="20"/>
  <c r="M10" i="28" s="1"/>
  <c r="M22" i="20"/>
  <c r="M12" i="28" s="1"/>
  <c r="M6" i="26"/>
  <c r="M7" i="20" s="1"/>
  <c r="M10" i="17"/>
  <c r="M12" i="17"/>
  <c r="M8" i="17"/>
  <c r="M7" i="25"/>
  <c r="M15" i="28" s="1"/>
  <c r="M16" i="28" s="1"/>
  <c r="M24" i="29" s="1"/>
  <c r="I9" i="21"/>
  <c r="J6" i="21" s="1"/>
  <c r="E16" i="23"/>
  <c r="C9" i="21"/>
  <c r="C12" i="21"/>
  <c r="G5" i="21"/>
  <c r="E5" i="21" s="1"/>
  <c r="D5" i="21" s="1"/>
  <c r="C5" i="21" s="1"/>
  <c r="B5" i="21"/>
  <c r="M14" i="17" l="1"/>
  <c r="M11" i="17"/>
  <c r="O6" i="17"/>
  <c r="N9" i="20"/>
  <c r="N9" i="28" s="1"/>
  <c r="N22" i="20"/>
  <c r="N12" i="28" s="1"/>
  <c r="N14" i="20"/>
  <c r="N11" i="28" s="1"/>
  <c r="N19" i="20"/>
  <c r="N10" i="28" s="1"/>
  <c r="N6" i="26"/>
  <c r="N12" i="17"/>
  <c r="N8" i="17"/>
  <c r="N7" i="25"/>
  <c r="N15" i="28" s="1"/>
  <c r="N16" i="28" s="1"/>
  <c r="N24" i="29" s="1"/>
  <c r="L14" i="17"/>
  <c r="L11" i="17"/>
  <c r="M8" i="26"/>
  <c r="M7" i="26"/>
  <c r="M8" i="20" s="1"/>
  <c r="L9" i="26"/>
  <c r="L8" i="28" s="1"/>
  <c r="L18" i="20"/>
  <c r="J9" i="21"/>
  <c r="K6" i="21" s="1"/>
  <c r="H5" i="21"/>
  <c r="I5" i="21" s="1"/>
  <c r="J5" i="21" s="1"/>
  <c r="K5" i="21" s="1"/>
  <c r="L5" i="21" s="1"/>
  <c r="M5" i="21" s="1"/>
  <c r="N5" i="21" s="1"/>
  <c r="O5" i="21" s="1"/>
  <c r="P5" i="21" s="1"/>
  <c r="C11" i="18"/>
  <c r="C8" i="18"/>
  <c r="C6" i="18"/>
  <c r="B6" i="18"/>
  <c r="C4" i="18"/>
  <c r="B4" i="18"/>
  <c r="C3" i="18"/>
  <c r="C5" i="18" s="1"/>
  <c r="C7" i="18" s="1"/>
  <c r="E28" i="20"/>
  <c r="E26" i="20"/>
  <c r="D26" i="20"/>
  <c r="C26" i="20"/>
  <c r="E16" i="20"/>
  <c r="D16" i="20"/>
  <c r="D28" i="20" s="1"/>
  <c r="C16" i="20"/>
  <c r="C28" i="20" s="1"/>
  <c r="G5" i="20"/>
  <c r="E5" i="20" s="1"/>
  <c r="D5" i="20" s="1"/>
  <c r="C5" i="20" s="1"/>
  <c r="B5" i="20"/>
  <c r="C3" i="20"/>
  <c r="N8" i="26" l="1"/>
  <c r="N18" i="20" s="1"/>
  <c r="N7" i="26"/>
  <c r="N8" i="20" s="1"/>
  <c r="P6" i="17"/>
  <c r="O9" i="20"/>
  <c r="O9" i="28" s="1"/>
  <c r="O22" i="20"/>
  <c r="O12" i="28" s="1"/>
  <c r="O14" i="20"/>
  <c r="O11" i="28" s="1"/>
  <c r="O19" i="20"/>
  <c r="O10" i="28" s="1"/>
  <c r="O6" i="26"/>
  <c r="O12" i="17"/>
  <c r="O8" i="17"/>
  <c r="O7" i="25"/>
  <c r="O15" i="28" s="1"/>
  <c r="O16" i="28" s="1"/>
  <c r="O24" i="29" s="1"/>
  <c r="N10" i="17"/>
  <c r="N7" i="20"/>
  <c r="M9" i="26"/>
  <c r="M8" i="28" s="1"/>
  <c r="M18" i="20"/>
  <c r="K9" i="21"/>
  <c r="L6" i="21" s="1"/>
  <c r="C4" i="24"/>
  <c r="C6" i="24" s="1"/>
  <c r="C8" i="24" s="1"/>
  <c r="F5" i="22"/>
  <c r="L23" i="21"/>
  <c r="I23" i="21" s="1"/>
  <c r="L16" i="21"/>
  <c r="I16" i="21" s="1"/>
  <c r="L15" i="21"/>
  <c r="I15" i="21" s="1"/>
  <c r="C11" i="21" s="1"/>
  <c r="F7" i="22" s="1"/>
  <c r="C9" i="18"/>
  <c r="C12" i="18" s="1"/>
  <c r="H5" i="20"/>
  <c r="I5" i="20" s="1"/>
  <c r="J5" i="20" s="1"/>
  <c r="K5" i="20" s="1"/>
  <c r="L5" i="20" s="1"/>
  <c r="M5" i="20" s="1"/>
  <c r="N5" i="20" s="1"/>
  <c r="O5" i="20" s="1"/>
  <c r="P5" i="20" s="1"/>
  <c r="E13" i="17"/>
  <c r="D13" i="17"/>
  <c r="C13" i="17"/>
  <c r="E11" i="17"/>
  <c r="D11" i="17"/>
  <c r="C11" i="17"/>
  <c r="E9" i="17"/>
  <c r="D9" i="17"/>
  <c r="C9" i="17"/>
  <c r="E7" i="17"/>
  <c r="D7" i="17"/>
  <c r="E14" i="17"/>
  <c r="E16" i="17" s="1"/>
  <c r="E18" i="17" s="1"/>
  <c r="E20" i="17" s="1"/>
  <c r="D14" i="17"/>
  <c r="D16" i="17" s="1"/>
  <c r="D18" i="17" s="1"/>
  <c r="D20" i="17" s="1"/>
  <c r="C14" i="17"/>
  <c r="C16" i="17" s="1"/>
  <c r="C18" i="17" s="1"/>
  <c r="C20" i="17" s="1"/>
  <c r="E10" i="17"/>
  <c r="D10" i="17"/>
  <c r="C10" i="17"/>
  <c r="O9" i="26" l="1"/>
  <c r="O7" i="20"/>
  <c r="P14" i="20"/>
  <c r="P11" i="28" s="1"/>
  <c r="P19" i="20"/>
  <c r="P10" i="28" s="1"/>
  <c r="P9" i="20"/>
  <c r="P9" i="28" s="1"/>
  <c r="P22" i="20"/>
  <c r="P12" i="28" s="1"/>
  <c r="P6" i="26"/>
  <c r="P8" i="17"/>
  <c r="P12" i="17"/>
  <c r="P7" i="25"/>
  <c r="P15" i="28" s="1"/>
  <c r="P16" i="28" s="1"/>
  <c r="P24" i="29" s="1"/>
  <c r="N11" i="17"/>
  <c r="N14" i="17"/>
  <c r="O8" i="26"/>
  <c r="O18" i="20" s="1"/>
  <c r="O7" i="26"/>
  <c r="O8" i="20" s="1"/>
  <c r="O10" i="17"/>
  <c r="N9" i="26"/>
  <c r="N8" i="28" s="1"/>
  <c r="L9" i="21"/>
  <c r="M6" i="21" s="1"/>
  <c r="F11" i="22"/>
  <c r="G5" i="17"/>
  <c r="H5" i="17" s="1"/>
  <c r="I5" i="17" s="1"/>
  <c r="J5" i="17" s="1"/>
  <c r="K5" i="17" s="1"/>
  <c r="L5" i="17" s="1"/>
  <c r="M5" i="17" s="1"/>
  <c r="N5" i="17" s="1"/>
  <c r="O5" i="17" s="1"/>
  <c r="P5" i="17" s="1"/>
  <c r="B5" i="17"/>
  <c r="C3" i="17"/>
  <c r="P8" i="26" l="1"/>
  <c r="P18" i="20" s="1"/>
  <c r="P7" i="26"/>
  <c r="P8" i="20" s="1"/>
  <c r="P7" i="20"/>
  <c r="P10" i="17"/>
  <c r="O11" i="17"/>
  <c r="O14" i="17"/>
  <c r="O8" i="28"/>
  <c r="M9" i="21"/>
  <c r="N6" i="21" s="1"/>
  <c r="E5" i="17"/>
  <c r="D5" i="17" s="1"/>
  <c r="C5" i="17" s="1"/>
  <c r="B6" i="5"/>
  <c r="B3" i="18" s="1"/>
  <c r="P9" i="26" l="1"/>
  <c r="P8" i="28" s="1"/>
  <c r="P11" i="17"/>
  <c r="P14" i="17"/>
  <c r="C4" i="31" s="1"/>
  <c r="C6" i="31" s="1"/>
  <c r="N9" i="21"/>
  <c r="O6" i="21" s="1"/>
  <c r="C11" i="22"/>
  <c r="O9" i="21" l="1"/>
  <c r="P6" i="21" s="1"/>
  <c r="P9" i="21" s="1"/>
  <c r="E13" i="28" l="1"/>
  <c r="E26" i="28" s="1"/>
  <c r="D13" i="28"/>
  <c r="D26" i="28" s="1"/>
  <c r="C13" i="28"/>
  <c r="C26" i="28" s="1"/>
  <c r="G6" i="20"/>
  <c r="H6" i="20"/>
  <c r="I6" i="20"/>
  <c r="J6" i="20"/>
  <c r="K6" i="20"/>
  <c r="L6" i="20"/>
  <c r="M6" i="20"/>
  <c r="N6" i="20"/>
  <c r="O6" i="20"/>
  <c r="P6" i="20"/>
  <c r="G12" i="20"/>
  <c r="H12" i="20"/>
  <c r="I12" i="20"/>
  <c r="J12" i="20"/>
  <c r="K12" i="20"/>
  <c r="L12" i="20"/>
  <c r="M12" i="20"/>
  <c r="N12" i="20"/>
  <c r="O12" i="20"/>
  <c r="P12" i="20"/>
  <c r="G16" i="20"/>
  <c r="H16" i="20"/>
  <c r="I16" i="20"/>
  <c r="J16" i="20"/>
  <c r="K16" i="20"/>
  <c r="L16" i="20"/>
  <c r="M16" i="20"/>
  <c r="N16" i="20"/>
  <c r="O16" i="20"/>
  <c r="P16" i="20"/>
  <c r="G21" i="20"/>
  <c r="H21" i="20"/>
  <c r="I21" i="20"/>
  <c r="J21" i="20"/>
  <c r="K21" i="20"/>
  <c r="L21" i="20"/>
  <c r="M21" i="20"/>
  <c r="N21" i="20"/>
  <c r="O21" i="20"/>
  <c r="P21" i="20"/>
  <c r="G24" i="20"/>
  <c r="H24" i="20"/>
  <c r="I24" i="20"/>
  <c r="J24" i="20"/>
  <c r="K24" i="20"/>
  <c r="L24" i="20"/>
  <c r="M24" i="20"/>
  <c r="N24" i="20"/>
  <c r="O24" i="20"/>
  <c r="P24" i="20"/>
  <c r="G26" i="20"/>
  <c r="H26" i="20"/>
  <c r="I26" i="20"/>
  <c r="J26" i="20"/>
  <c r="K26" i="20"/>
  <c r="L26" i="20"/>
  <c r="M26" i="20"/>
  <c r="N26" i="20"/>
  <c r="O26" i="20"/>
  <c r="P26" i="20"/>
  <c r="G28" i="20"/>
  <c r="H28" i="20"/>
  <c r="I28" i="20"/>
  <c r="J28" i="20"/>
  <c r="K28" i="20"/>
  <c r="L28" i="20"/>
  <c r="M28" i="20"/>
  <c r="N28" i="20"/>
  <c r="O28" i="20"/>
  <c r="P28" i="20"/>
  <c r="G6" i="28"/>
  <c r="H6" i="28"/>
  <c r="I6" i="28"/>
  <c r="J6" i="28"/>
  <c r="K6" i="28"/>
  <c r="L6" i="28"/>
  <c r="M6" i="28"/>
  <c r="N6" i="28"/>
  <c r="O6" i="28"/>
  <c r="P6" i="28"/>
  <c r="G7" i="28"/>
  <c r="H7" i="28"/>
  <c r="I7" i="28"/>
  <c r="J7" i="28"/>
  <c r="K7" i="28"/>
  <c r="L7" i="28"/>
  <c r="M7" i="28"/>
  <c r="N7" i="28"/>
  <c r="O7" i="28"/>
  <c r="P7" i="28"/>
  <c r="G13" i="28"/>
  <c r="H13" i="28"/>
  <c r="I13" i="28"/>
  <c r="J13" i="28"/>
  <c r="K13" i="28"/>
  <c r="L13" i="28"/>
  <c r="M13" i="28"/>
  <c r="N13" i="28"/>
  <c r="O13" i="28"/>
  <c r="P13" i="28"/>
  <c r="G18" i="28"/>
  <c r="H18" i="28"/>
  <c r="I18" i="28"/>
  <c r="J18" i="28"/>
  <c r="K18" i="28"/>
  <c r="L18" i="28"/>
  <c r="M18" i="28"/>
  <c r="N18" i="28"/>
  <c r="O18" i="28"/>
  <c r="P18" i="28"/>
  <c r="G22" i="28"/>
  <c r="H22" i="28"/>
  <c r="I22" i="28"/>
  <c r="J22" i="28"/>
  <c r="K22" i="28"/>
  <c r="L22" i="28"/>
  <c r="M22" i="28"/>
  <c r="N22" i="28"/>
  <c r="O22" i="28"/>
  <c r="P22" i="28"/>
  <c r="G23" i="28"/>
  <c r="H23" i="28"/>
  <c r="I23" i="28"/>
  <c r="J23" i="28"/>
  <c r="K23" i="28"/>
  <c r="L23" i="28"/>
  <c r="M23" i="28"/>
  <c r="N23" i="28"/>
  <c r="O23" i="28"/>
  <c r="P23" i="28"/>
  <c r="G24" i="28"/>
  <c r="H24" i="28"/>
  <c r="I24" i="28"/>
  <c r="J24" i="28"/>
  <c r="K24" i="28"/>
  <c r="L24" i="28"/>
  <c r="M24" i="28"/>
  <c r="N24" i="28"/>
  <c r="O24" i="28"/>
  <c r="P24" i="28"/>
  <c r="G26" i="28"/>
  <c r="H26" i="28"/>
  <c r="I26" i="28"/>
  <c r="J26" i="28"/>
  <c r="K26" i="28"/>
  <c r="L26" i="28"/>
  <c r="M26" i="28"/>
  <c r="N26" i="28"/>
  <c r="O26" i="28"/>
  <c r="P26" i="28"/>
  <c r="H6" i="30"/>
  <c r="I6" i="30"/>
  <c r="J6" i="30"/>
  <c r="K6" i="30"/>
  <c r="L6" i="30"/>
  <c r="M6" i="30"/>
  <c r="N6" i="30"/>
  <c r="O6" i="30"/>
  <c r="P6" i="30"/>
  <c r="G7" i="30"/>
  <c r="H7" i="30"/>
  <c r="I7" i="30"/>
  <c r="J7" i="30"/>
  <c r="K7" i="30"/>
  <c r="L7" i="30"/>
  <c r="M7" i="30"/>
  <c r="N7" i="30"/>
  <c r="O7" i="30"/>
  <c r="P7" i="30"/>
  <c r="G8" i="30"/>
  <c r="H8" i="30"/>
  <c r="I8" i="30"/>
  <c r="J8" i="30"/>
  <c r="K8" i="30"/>
  <c r="L8" i="30"/>
  <c r="M8" i="30"/>
  <c r="N8" i="30"/>
  <c r="O8" i="30"/>
  <c r="P8" i="30"/>
  <c r="G9" i="30"/>
  <c r="H9" i="30"/>
  <c r="I9" i="30"/>
  <c r="J9" i="30"/>
  <c r="K9" i="30"/>
  <c r="L9" i="30"/>
  <c r="M9" i="30"/>
  <c r="N9" i="30"/>
  <c r="O9" i="30"/>
  <c r="P9" i="30"/>
  <c r="G11" i="30"/>
  <c r="H11" i="30"/>
  <c r="I11" i="30"/>
  <c r="J11" i="30"/>
  <c r="K11" i="30"/>
  <c r="L11" i="30"/>
  <c r="M11" i="30"/>
  <c r="N11" i="30"/>
  <c r="O11" i="30"/>
  <c r="P11" i="30"/>
  <c r="C7" i="31"/>
  <c r="C8" i="31"/>
  <c r="C9" i="31"/>
  <c r="D13" i="31"/>
  <c r="P13" i="31"/>
  <c r="G23" i="29"/>
  <c r="H23" i="29"/>
  <c r="I23" i="29"/>
  <c r="J23" i="29"/>
  <c r="K23" i="29"/>
  <c r="L23" i="29"/>
  <c r="M23" i="29"/>
  <c r="N23" i="29"/>
  <c r="O23" i="29"/>
  <c r="P23" i="29"/>
  <c r="G25" i="29"/>
  <c r="H25" i="29"/>
  <c r="I25" i="29"/>
  <c r="J25" i="29"/>
  <c r="K25" i="29"/>
  <c r="L25" i="29"/>
  <c r="M25" i="29"/>
  <c r="N25" i="29"/>
  <c r="O25" i="29"/>
  <c r="P25" i="29"/>
  <c r="G26" i="29"/>
  <c r="H26" i="29"/>
  <c r="I26" i="29"/>
  <c r="J26" i="29"/>
  <c r="K26" i="29"/>
  <c r="L26" i="29"/>
  <c r="M26" i="29"/>
  <c r="N26" i="29"/>
  <c r="O26" i="29"/>
  <c r="P26" i="29"/>
  <c r="H27" i="29"/>
  <c r="I27" i="29"/>
  <c r="J27" i="29"/>
  <c r="K27" i="29"/>
  <c r="L27" i="29"/>
  <c r="M27" i="29"/>
  <c r="N27" i="29"/>
  <c r="O27" i="29"/>
  <c r="P27" i="29"/>
  <c r="G28" i="29"/>
  <c r="H28" i="29"/>
  <c r="I28" i="29"/>
  <c r="J28" i="29"/>
  <c r="K28" i="29"/>
  <c r="L28" i="29"/>
  <c r="M28" i="29"/>
  <c r="N28" i="29"/>
  <c r="O28" i="29"/>
  <c r="P28" i="29"/>
  <c r="G30" i="29"/>
  <c r="H30" i="29"/>
  <c r="I30" i="29"/>
  <c r="J30" i="29"/>
  <c r="K30" i="29"/>
  <c r="L30" i="29"/>
  <c r="M30" i="29"/>
  <c r="N30" i="29"/>
  <c r="O30" i="29"/>
  <c r="P30" i="29"/>
  <c r="G32" i="29"/>
  <c r="H32" i="29"/>
  <c r="I32" i="29"/>
  <c r="J32" i="29"/>
  <c r="K32" i="29"/>
  <c r="L32" i="29"/>
  <c r="M32" i="29"/>
  <c r="N32" i="29"/>
  <c r="O32" i="29"/>
  <c r="P32" i="29"/>
  <c r="G33" i="29"/>
  <c r="H33" i="29"/>
  <c r="I33" i="29"/>
  <c r="J33" i="29"/>
  <c r="K33" i="29"/>
  <c r="L33" i="29"/>
  <c r="M33" i="29"/>
  <c r="N33" i="29"/>
  <c r="O33" i="29"/>
  <c r="P33" i="29"/>
  <c r="G34" i="29"/>
  <c r="H34" i="29"/>
  <c r="I34" i="29"/>
  <c r="J34" i="29"/>
  <c r="K34" i="29"/>
  <c r="L34" i="29"/>
  <c r="M34" i="29"/>
  <c r="N34" i="29"/>
  <c r="O34" i="29"/>
  <c r="P34" i="29"/>
  <c r="G35" i="29"/>
  <c r="H35" i="29"/>
  <c r="I35" i="29"/>
  <c r="J35" i="29"/>
  <c r="K35" i="29"/>
  <c r="L35" i="29"/>
  <c r="M35" i="29"/>
  <c r="N35" i="29"/>
  <c r="O35" i="29"/>
  <c r="P35" i="29"/>
  <c r="H6" i="25"/>
  <c r="I6" i="25"/>
  <c r="J6" i="25"/>
  <c r="K6" i="25"/>
  <c r="L6" i="25"/>
  <c r="M6" i="25"/>
  <c r="N6" i="25"/>
  <c r="O6" i="25"/>
  <c r="P6" i="25"/>
  <c r="G8" i="25"/>
  <c r="H8" i="25"/>
  <c r="I8" i="25"/>
  <c r="J8" i="25"/>
  <c r="K8" i="25"/>
  <c r="L8" i="25"/>
  <c r="M8" i="25"/>
  <c r="N8" i="25"/>
  <c r="O8" i="25"/>
  <c r="P8" i="25"/>
  <c r="G9" i="25"/>
  <c r="H9" i="25"/>
  <c r="I9" i="25"/>
  <c r="J9" i="25"/>
  <c r="K9" i="25"/>
  <c r="L9" i="25"/>
  <c r="M9" i="25"/>
  <c r="N9" i="25"/>
  <c r="O9" i="25"/>
  <c r="P9" i="25"/>
  <c r="G22" i="25"/>
  <c r="H22" i="25"/>
  <c r="I22" i="25"/>
  <c r="J22" i="25"/>
  <c r="K22" i="25"/>
  <c r="L22" i="25"/>
  <c r="M22" i="25"/>
  <c r="N22" i="25"/>
  <c r="O22" i="25"/>
  <c r="P22" i="25"/>
  <c r="H23" i="25"/>
  <c r="I23" i="25"/>
  <c r="J23" i="25"/>
  <c r="K23" i="25"/>
  <c r="L23" i="25"/>
  <c r="M23" i="25"/>
  <c r="N23" i="25"/>
  <c r="O23" i="25"/>
  <c r="P23" i="25"/>
  <c r="I24" i="25"/>
  <c r="J24" i="25"/>
  <c r="K24" i="25"/>
  <c r="L24" i="25"/>
  <c r="M24" i="25"/>
  <c r="N24" i="25"/>
  <c r="O24" i="25"/>
  <c r="P24" i="25"/>
  <c r="J25" i="25"/>
  <c r="K25" i="25"/>
  <c r="L25" i="25"/>
  <c r="M25" i="25"/>
  <c r="N25" i="25"/>
  <c r="O25" i="25"/>
  <c r="P25" i="25"/>
  <c r="K26" i="25"/>
  <c r="L26" i="25"/>
  <c r="M26" i="25"/>
  <c r="N26" i="25"/>
  <c r="O26" i="25"/>
  <c r="P26" i="25"/>
  <c r="L27" i="25"/>
  <c r="M27" i="25"/>
  <c r="N27" i="25"/>
  <c r="O27" i="25"/>
  <c r="P27" i="25"/>
  <c r="M28" i="25"/>
  <c r="N28" i="25"/>
  <c r="O28" i="25"/>
  <c r="P28" i="25"/>
  <c r="N29" i="25"/>
  <c r="O29" i="25"/>
  <c r="P29" i="25"/>
  <c r="O30" i="25"/>
  <c r="P30" i="25"/>
  <c r="P31" i="25"/>
  <c r="G32" i="25"/>
  <c r="H32" i="25"/>
  <c r="I32" i="25"/>
  <c r="J32" i="25"/>
  <c r="K32" i="25"/>
  <c r="L32" i="25"/>
  <c r="M32" i="25"/>
  <c r="N32" i="25"/>
  <c r="O32" i="25"/>
  <c r="P32" i="25"/>
  <c r="G37" i="25"/>
  <c r="H37" i="25"/>
  <c r="I37" i="25"/>
  <c r="J37" i="25"/>
  <c r="K37" i="25"/>
  <c r="L37" i="25"/>
  <c r="M37" i="25"/>
  <c r="N37" i="25"/>
  <c r="O37" i="25"/>
  <c r="P37" i="25"/>
  <c r="G15" i="17"/>
  <c r="H15" i="17"/>
  <c r="I15" i="17"/>
  <c r="J15" i="17"/>
  <c r="K15" i="17"/>
  <c r="L15" i="17"/>
  <c r="M15" i="17"/>
  <c r="N15" i="17"/>
  <c r="O15" i="17"/>
  <c r="P15" i="17"/>
  <c r="G16" i="17"/>
  <c r="H16" i="17"/>
  <c r="I16" i="17"/>
  <c r="J16" i="17"/>
  <c r="K16" i="17"/>
  <c r="L16" i="17"/>
  <c r="M16" i="17"/>
  <c r="N16" i="17"/>
  <c r="O16" i="17"/>
  <c r="P16" i="17"/>
  <c r="G17" i="17"/>
  <c r="H17" i="17"/>
  <c r="I17" i="17"/>
  <c r="J17" i="17"/>
  <c r="K17" i="17"/>
  <c r="L17" i="17"/>
  <c r="M17" i="17"/>
  <c r="N17" i="17"/>
  <c r="O17" i="17"/>
  <c r="P17" i="17"/>
  <c r="G18" i="17"/>
  <c r="H18" i="17"/>
  <c r="I18" i="17"/>
  <c r="J18" i="17"/>
  <c r="K18" i="17"/>
  <c r="L18" i="17"/>
  <c r="M18" i="17"/>
  <c r="N18" i="17"/>
  <c r="O18" i="17"/>
  <c r="P18" i="17"/>
  <c r="G19" i="17"/>
  <c r="H19" i="17"/>
  <c r="I19" i="17"/>
  <c r="J19" i="17"/>
  <c r="K19" i="17"/>
  <c r="L19" i="17"/>
  <c r="M19" i="17"/>
  <c r="N19" i="17"/>
  <c r="O19" i="17"/>
  <c r="P19" i="17"/>
  <c r="G20" i="17"/>
  <c r="H20" i="17"/>
  <c r="I20" i="17"/>
  <c r="J20" i="17"/>
  <c r="K20" i="17"/>
  <c r="L20" i="17"/>
  <c r="M20" i="17"/>
  <c r="N20" i="17"/>
  <c r="O20" i="17"/>
  <c r="P20" i="17"/>
</calcChain>
</file>

<file path=xl/sharedStrings.xml><?xml version="1.0" encoding="utf-8"?>
<sst xmlns="http://schemas.openxmlformats.org/spreadsheetml/2006/main" count="315" uniqueCount="206">
  <si>
    <t>Drivers</t>
  </si>
  <si>
    <t>ABC LBO Model</t>
  </si>
  <si>
    <t>Scenario</t>
  </si>
  <si>
    <t>ABC</t>
  </si>
  <si>
    <t>Target</t>
  </si>
  <si>
    <t>Fully diluted shares outstanding</t>
  </si>
  <si>
    <t>Acquisition premium</t>
  </si>
  <si>
    <t>LBO date</t>
  </si>
  <si>
    <t>First forecast year</t>
  </si>
  <si>
    <t>Currency</t>
  </si>
  <si>
    <t>$</t>
  </si>
  <si>
    <t>Reporting units</t>
  </si>
  <si>
    <t>000s</t>
  </si>
  <si>
    <t>Domestic country</t>
  </si>
  <si>
    <t>Italy</t>
  </si>
  <si>
    <t>Minimum cash balance</t>
  </si>
  <si>
    <t>Deviation</t>
  </si>
  <si>
    <t>Fiscal year end</t>
  </si>
  <si>
    <t>Days in year</t>
  </si>
  <si>
    <t>Tax rate</t>
  </si>
  <si>
    <t>P&amp;L</t>
  </si>
  <si>
    <t>Selected case</t>
  </si>
  <si>
    <t>Revenue</t>
  </si>
  <si>
    <t>y-o-y growth</t>
  </si>
  <si>
    <t>Cost of goods sold</t>
  </si>
  <si>
    <t>% of revenue</t>
  </si>
  <si>
    <t>Gross profit</t>
  </si>
  <si>
    <t>% margin</t>
  </si>
  <si>
    <t>Operating expenses</t>
  </si>
  <si>
    <t>EBITDA</t>
  </si>
  <si>
    <t>D&amp;A</t>
  </si>
  <si>
    <t>EBIT</t>
  </si>
  <si>
    <t>Interest expenses</t>
  </si>
  <si>
    <t>EBT</t>
  </si>
  <si>
    <t>Taxes</t>
  </si>
  <si>
    <t>Net income</t>
  </si>
  <si>
    <t>Valuation</t>
  </si>
  <si>
    <t>Balance sheet</t>
  </si>
  <si>
    <t>Cash</t>
  </si>
  <si>
    <t>Trade receivables</t>
  </si>
  <si>
    <t>Inventory</t>
  </si>
  <si>
    <t>Other current assets</t>
  </si>
  <si>
    <t>Capitalized financing costs</t>
  </si>
  <si>
    <t>PP&amp;E</t>
  </si>
  <si>
    <t>Goodwill</t>
  </si>
  <si>
    <t>Other noncurrent assets</t>
  </si>
  <si>
    <t>Total assets</t>
  </si>
  <si>
    <t>Trade payables</t>
  </si>
  <si>
    <t>Other current liabilities</t>
  </si>
  <si>
    <t>Financial debt</t>
  </si>
  <si>
    <t>Other noncurrent liabilities</t>
  </si>
  <si>
    <t>Shareholders' equity</t>
  </si>
  <si>
    <t>Total liabilities &amp; equity</t>
  </si>
  <si>
    <t>Check</t>
  </si>
  <si>
    <t>Closing</t>
  </si>
  <si>
    <t>Equity at transaction</t>
  </si>
  <si>
    <t>Net debt</t>
  </si>
  <si>
    <t>Price per share at transaction</t>
  </si>
  <si>
    <t>Enterprise value</t>
  </si>
  <si>
    <t>EV/EBITDA entry multiple</t>
  </si>
  <si>
    <t>Transaction fees</t>
  </si>
  <si>
    <t>Capitalized financing costs opening</t>
  </si>
  <si>
    <t>Increase in capitalized financing costs</t>
  </si>
  <si>
    <t>Amortization</t>
  </si>
  <si>
    <t>Capitalized financing costs ending</t>
  </si>
  <si>
    <t>Expensed fees</t>
  </si>
  <si>
    <t>Capitalized fees</t>
  </si>
  <si>
    <t>M&amp;A / Sponsor fees</t>
  </si>
  <si>
    <t>Notes</t>
  </si>
  <si>
    <t>Expensed</t>
  </si>
  <si>
    <t>Amort. Period</t>
  </si>
  <si>
    <t>Sponsor fee</t>
  </si>
  <si>
    <t>Investment bank fee</t>
  </si>
  <si>
    <t>of Transaction value excluding fees &amp; expenses</t>
  </si>
  <si>
    <t>Fees</t>
  </si>
  <si>
    <t>Amount</t>
  </si>
  <si>
    <t>Debt financing</t>
  </si>
  <si>
    <t>Senior note</t>
  </si>
  <si>
    <t>of Total principal amount</t>
  </si>
  <si>
    <t>Term A</t>
  </si>
  <si>
    <t>Term B</t>
  </si>
  <si>
    <t>Capitalized</t>
  </si>
  <si>
    <t>Legal fees</t>
  </si>
  <si>
    <t>Sources &amp; Uses of funds</t>
  </si>
  <si>
    <t>Excess cash</t>
  </si>
  <si>
    <t>Sources of Funds</t>
  </si>
  <si>
    <t>Total</t>
  </si>
  <si>
    <t>Uses of Funds</t>
  </si>
  <si>
    <t>Common equity</t>
  </si>
  <si>
    <t>Acquisition price</t>
  </si>
  <si>
    <t>Fees &amp; expenses</t>
  </si>
  <si>
    <t>Refinance existing debt</t>
  </si>
  <si>
    <t>Balance Sheet@Transaction</t>
  </si>
  <si>
    <t xml:space="preserve"> </t>
  </si>
  <si>
    <t>Transaction settlement</t>
  </si>
  <si>
    <t>Financing</t>
  </si>
  <si>
    <t>FV adjustments:</t>
  </si>
  <si>
    <t>FV adj.</t>
  </si>
  <si>
    <t>BS prior deal</t>
  </si>
  <si>
    <t>Target BS post deal</t>
  </si>
  <si>
    <t>Fair Value</t>
  </si>
  <si>
    <t>Financing fees</t>
  </si>
  <si>
    <t>Refinance debt</t>
  </si>
  <si>
    <t>Equity purchase price</t>
  </si>
  <si>
    <t>Excess purchase price</t>
  </si>
  <si>
    <t>Net book value of assets</t>
  </si>
  <si>
    <t>Fair value adjustments</t>
  </si>
  <si>
    <t>Scenario 1: Optimistic case</t>
  </si>
  <si>
    <t>DSO</t>
  </si>
  <si>
    <t>DIO</t>
  </si>
  <si>
    <t>DPO</t>
  </si>
  <si>
    <t>Capex % of revenue</t>
  </si>
  <si>
    <t>Scenario 2: Base case</t>
  </si>
  <si>
    <t>Scenario 3: Worst case</t>
  </si>
  <si>
    <t>Fixed assets roll forward</t>
  </si>
  <si>
    <t>PP&amp;E Opening</t>
  </si>
  <si>
    <t>Capex</t>
  </si>
  <si>
    <t>Depreciation</t>
  </si>
  <si>
    <t>PP&amp;E Ending</t>
  </si>
  <si>
    <t>Goodwill Opening</t>
  </si>
  <si>
    <t>Increase Goodwill</t>
  </si>
  <si>
    <t>Impairment</t>
  </si>
  <si>
    <t>Goodwill Ending</t>
  </si>
  <si>
    <t>Capex depreciation</t>
  </si>
  <si>
    <t>years</t>
  </si>
  <si>
    <t>Assumption</t>
  </si>
  <si>
    <t>Depreciation schedule</t>
  </si>
  <si>
    <t>Depreciation year 1</t>
  </si>
  <si>
    <t>Depreciation year 2</t>
  </si>
  <si>
    <t>Depreciation year 3</t>
  </si>
  <si>
    <t>Depreciation year 4</t>
  </si>
  <si>
    <t>Depreciation year 5</t>
  </si>
  <si>
    <t>Depreciation year 6</t>
  </si>
  <si>
    <t>Depreciation year 7</t>
  </si>
  <si>
    <t>Depreciation year 8</t>
  </si>
  <si>
    <t>Depreciation year 9</t>
  </si>
  <si>
    <t>Depreciation year 10</t>
  </si>
  <si>
    <t>Amortization - transaction fees</t>
  </si>
  <si>
    <t>Total D&amp;A</t>
  </si>
  <si>
    <t>Total Depreciation</t>
  </si>
  <si>
    <t>Working capital</t>
  </si>
  <si>
    <t>Net trade working capital</t>
  </si>
  <si>
    <t>Net cycle</t>
  </si>
  <si>
    <t>Debt schedule</t>
  </si>
  <si>
    <t>LIBOR curve</t>
  </si>
  <si>
    <t>Revolver</t>
  </si>
  <si>
    <t>Interest rates</t>
  </si>
  <si>
    <t>LIBOR+ (spread)</t>
  </si>
  <si>
    <t>Repayment schedule</t>
  </si>
  <si>
    <t>Bullet year</t>
  </si>
  <si>
    <t>Rep. schedule</t>
  </si>
  <si>
    <t>Amortization of capitalized financing costs - schedule</t>
  </si>
  <si>
    <t>Cash flow</t>
  </si>
  <si>
    <t>Plus: D&amp;A</t>
  </si>
  <si>
    <t>Less: Investments in working capital</t>
  </si>
  <si>
    <t>Operating cash flow</t>
  </si>
  <si>
    <t>Investing cash flow</t>
  </si>
  <si>
    <t>Debt issuance</t>
  </si>
  <si>
    <t>Debt repayment</t>
  </si>
  <si>
    <t>Equity issuance</t>
  </si>
  <si>
    <t>Equity repurchase</t>
  </si>
  <si>
    <t>Dividends</t>
  </si>
  <si>
    <t>Financing cash flow</t>
  </si>
  <si>
    <t>Net cash flow</t>
  </si>
  <si>
    <t>Senior note - beginning</t>
  </si>
  <si>
    <t>Senior note - repayment</t>
  </si>
  <si>
    <t>Senior note - remaining</t>
  </si>
  <si>
    <t>Senior note - interest expense</t>
  </si>
  <si>
    <t>Term A - beginning</t>
  </si>
  <si>
    <t>Term A - repayment</t>
  </si>
  <si>
    <t>Term A - remaining</t>
  </si>
  <si>
    <t>Term A - interest expense</t>
  </si>
  <si>
    <t>Term B - beginning</t>
  </si>
  <si>
    <t>Term B - repayment</t>
  </si>
  <si>
    <t>Term B - remaining</t>
  </si>
  <si>
    <t>Term B - interest expense</t>
  </si>
  <si>
    <t>Equity schedule</t>
  </si>
  <si>
    <t>Shareholders equity opening</t>
  </si>
  <si>
    <t>Equity repurchases</t>
  </si>
  <si>
    <t>Issuance of equity</t>
  </si>
  <si>
    <t>Shareholders equity ending</t>
  </si>
  <si>
    <t>Assumptions</t>
  </si>
  <si>
    <t>Equity repurchases (% of net income)</t>
  </si>
  <si>
    <t>Dividends (% of net income)</t>
  </si>
  <si>
    <t>Revolver drawdown calculation</t>
  </si>
  <si>
    <t>Financing cash flow (excl. revolver)</t>
  </si>
  <si>
    <t>Cash flow (excl. revolver)</t>
  </si>
  <si>
    <t>Cash available before revolver</t>
  </si>
  <si>
    <t>Cash surplus/deficit</t>
  </si>
  <si>
    <t xml:space="preserve">Opening cash </t>
  </si>
  <si>
    <t>Revolver drawn</t>
  </si>
  <si>
    <t>Revolver repayment</t>
  </si>
  <si>
    <t>Revolver outstanding - ending</t>
  </si>
  <si>
    <t>Revolver interest expense</t>
  </si>
  <si>
    <t>Historical PP&amp;E</t>
  </si>
  <si>
    <t>Historical PP&amp;E Depreciation</t>
  </si>
  <si>
    <t>Exit valuation</t>
  </si>
  <si>
    <t>Entry EBITDA multiple</t>
  </si>
  <si>
    <t>Exit EBITDA multiple</t>
  </si>
  <si>
    <t>Terminal EV</t>
  </si>
  <si>
    <t>Transaction multiples</t>
  </si>
  <si>
    <t>Financial liabilities</t>
  </si>
  <si>
    <t>Terminal equity value</t>
  </si>
  <si>
    <t>EBITDA exit</t>
  </si>
  <si>
    <t>Equity owners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</si>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</sst>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\(#,##0\);\-"/>
    <numFmt numFmtId="165" formatCode="#\F"/>
    <numFmt numFmtId="166" formatCode="#\A"/>
    <numFmt numFmtId="167" formatCode="#,##0.0;\(#,##0.0\);\-;"/>
    <numFmt numFmtId="168" formatCode="#,##0.0;\(#,##0.0\);\-"/>
    <numFmt numFmtId="169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40"/>
      <color rgb="FF0070C0"/>
      <name val="Arial"/>
      <family val="2"/>
    </font>
    <font>
      <b/>
      <sz val="12"/>
      <color rgb="FF0070C0"/>
      <name val="Arial"/>
      <family val="2"/>
    </font>
    <font>
      <sz val="9"/>
      <color rgb="FF0000FF"/>
      <name val="Arial"/>
      <family val="2"/>
    </font>
    <font>
      <sz val="11"/>
      <color rgb="FF0000FF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color theme="1"/>
      <name val="Arial"/>
      <family val="2"/>
    </font>
    <font>
      <b/>
      <u/>
      <sz val="9"/>
      <name val="Arial"/>
      <family val="2"/>
    </font>
    <font>
      <b/>
      <sz val="9"/>
      <color rgb="FF0000FF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5" fillId="2" borderId="0"/>
    <xf numFmtId="164" fontId="2" fillId="2" borderId="0"/>
    <xf numFmtId="9" fontId="5" fillId="2" borderId="0"/>
    <xf numFmtId="9" fontId="2" fillId="2" borderId="0"/>
    <xf numFmtId="9" fontId="16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164" fontId="5" fillId="2" borderId="0" xfId="1"/>
    <xf numFmtId="164" fontId="5" fillId="2" borderId="0" xfId="1" applyAlignment="1">
      <alignment horizontal="right"/>
    </xf>
    <xf numFmtId="9" fontId="5" fillId="2" borderId="0" xfId="3"/>
    <xf numFmtId="16" fontId="5" fillId="2" borderId="0" xfId="0" applyNumberFormat="1" applyFont="1" applyFill="1"/>
    <xf numFmtId="14" fontId="5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7" fillId="3" borderId="0" xfId="0" applyFont="1" applyFill="1"/>
    <xf numFmtId="0" fontId="8" fillId="2" borderId="1" xfId="0" applyFont="1" applyFill="1" applyBorder="1"/>
    <xf numFmtId="166" fontId="8" fillId="2" borderId="1" xfId="0" applyNumberFormat="1" applyFont="1" applyFill="1" applyBorder="1"/>
    <xf numFmtId="165" fontId="8" fillId="2" borderId="1" xfId="0" applyNumberFormat="1" applyFont="1" applyFill="1" applyBorder="1"/>
    <xf numFmtId="164" fontId="5" fillId="2" borderId="0" xfId="0" applyNumberFormat="1" applyFont="1" applyFill="1"/>
    <xf numFmtId="0" fontId="9" fillId="2" borderId="0" xfId="0" applyFont="1" applyFill="1"/>
    <xf numFmtId="0" fontId="8" fillId="2" borderId="2" xfId="0" applyFont="1" applyFill="1" applyBorder="1"/>
    <xf numFmtId="164" fontId="8" fillId="2" borderId="2" xfId="0" applyNumberFormat="1" applyFont="1" applyFill="1" applyBorder="1"/>
    <xf numFmtId="0" fontId="8" fillId="2" borderId="3" xfId="0" applyFont="1" applyFill="1" applyBorder="1"/>
    <xf numFmtId="164" fontId="8" fillId="2" borderId="3" xfId="0" applyNumberFormat="1" applyFont="1" applyFill="1" applyBorder="1"/>
    <xf numFmtId="9" fontId="9" fillId="2" borderId="0" xfId="4" applyFont="1"/>
    <xf numFmtId="9" fontId="2" fillId="2" borderId="0" xfId="4"/>
    <xf numFmtId="164" fontId="2" fillId="2" borderId="0" xfId="2"/>
    <xf numFmtId="167" fontId="5" fillId="2" borderId="0" xfId="0" applyNumberFormat="1" applyFont="1" applyFill="1"/>
    <xf numFmtId="164" fontId="10" fillId="2" borderId="3" xfId="0" applyNumberFormat="1" applyFont="1" applyFill="1" applyBorder="1"/>
    <xf numFmtId="164" fontId="2" fillId="2" borderId="0" xfId="0" applyNumberFormat="1" applyFont="1" applyFill="1"/>
    <xf numFmtId="4" fontId="9" fillId="2" borderId="0" xfId="0" applyNumberFormat="1" applyFont="1" applyFill="1"/>
    <xf numFmtId="164" fontId="11" fillId="2" borderId="0" xfId="0" applyNumberFormat="1" applyFont="1" applyFill="1"/>
    <xf numFmtId="164" fontId="8" fillId="2" borderId="2" xfId="2" applyFont="1" applyBorder="1"/>
    <xf numFmtId="168" fontId="2" fillId="2" borderId="0" xfId="2" applyNumberFormat="1"/>
    <xf numFmtId="0" fontId="12" fillId="2" borderId="0" xfId="0" applyFont="1" applyFill="1"/>
    <xf numFmtId="10" fontId="5" fillId="2" borderId="0" xfId="3" applyNumberFormat="1"/>
    <xf numFmtId="0" fontId="8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64" fontId="2" fillId="2" borderId="2" xfId="2" applyBorder="1"/>
    <xf numFmtId="0" fontId="13" fillId="2" borderId="0" xfId="0" applyFont="1" applyFill="1"/>
    <xf numFmtId="0" fontId="8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 vertical="top"/>
    </xf>
    <xf numFmtId="0" fontId="14" fillId="2" borderId="0" xfId="0" applyFont="1" applyFill="1"/>
    <xf numFmtId="166" fontId="8" fillId="4" borderId="1" xfId="0" applyNumberFormat="1" applyFont="1" applyFill="1" applyBorder="1"/>
    <xf numFmtId="0" fontId="2" fillId="4" borderId="0" xfId="0" applyFont="1" applyFill="1"/>
    <xf numFmtId="9" fontId="2" fillId="4" borderId="0" xfId="0" applyNumberFormat="1" applyFont="1" applyFill="1"/>
    <xf numFmtId="164" fontId="2" fillId="4" borderId="0" xfId="2" applyFill="1"/>
    <xf numFmtId="168" fontId="2" fillId="4" borderId="0" xfId="2" applyNumberFormat="1" applyFill="1"/>
    <xf numFmtId="169" fontId="2" fillId="4" borderId="0" xfId="4" applyNumberFormat="1" applyFill="1"/>
    <xf numFmtId="0" fontId="2" fillId="2" borderId="2" xfId="0" applyFont="1" applyFill="1" applyBorder="1"/>
    <xf numFmtId="0" fontId="8" fillId="4" borderId="0" xfId="0" applyFont="1" applyFill="1"/>
    <xf numFmtId="0" fontId="2" fillId="2" borderId="1" xfId="0" applyFont="1" applyFill="1" applyBorder="1"/>
    <xf numFmtId="164" fontId="8" fillId="2" borderId="1" xfId="2" applyFont="1" applyBorder="1"/>
    <xf numFmtId="9" fontId="2" fillId="2" borderId="0" xfId="0" applyNumberFormat="1" applyFont="1" applyFill="1"/>
    <xf numFmtId="168" fontId="2" fillId="2" borderId="0" xfId="0" applyNumberFormat="1" applyFont="1" applyFill="1"/>
    <xf numFmtId="0" fontId="8" fillId="4" borderId="2" xfId="0" applyFont="1" applyFill="1" applyBorder="1"/>
    <xf numFmtId="168" fontId="8" fillId="4" borderId="2" xfId="0" applyNumberFormat="1" applyFont="1" applyFill="1" applyBorder="1"/>
    <xf numFmtId="168" fontId="2" fillId="4" borderId="0" xfId="0" applyNumberFormat="1" applyFont="1" applyFill="1"/>
    <xf numFmtId="169" fontId="2" fillId="2" borderId="0" xfId="4" applyNumberFormat="1"/>
    <xf numFmtId="10" fontId="5" fillId="2" borderId="0" xfId="5" applyNumberFormat="1" applyFont="1" applyFill="1"/>
    <xf numFmtId="169" fontId="5" fillId="2" borderId="0" xfId="3" applyNumberFormat="1"/>
    <xf numFmtId="169" fontId="2" fillId="2" borderId="0" xfId="0" applyNumberFormat="1" applyFont="1" applyFill="1"/>
    <xf numFmtId="0" fontId="8" fillId="2" borderId="0" xfId="0" applyFont="1" applyFill="1"/>
    <xf numFmtId="164" fontId="8" fillId="2" borderId="0" xfId="2" applyFont="1"/>
  </cellXfs>
  <cellStyles count="6">
    <cellStyle name="Formula reference" xfId="2" xr:uid="{7787432B-FC88-402A-BB74-E900E09DFE51}"/>
    <cellStyle name="Formula reference %" xfId="4" xr:uid="{7359C58E-B1A6-4902-8FD4-F7BF7C6166E3}"/>
    <cellStyle name="Hard input" xfId="1" xr:uid="{C6E381E5-EDBA-4EC3-8F9E-0C08AC3BE50B}"/>
    <cellStyle name="Hard input %" xfId="3" xr:uid="{826E8445-2AE9-4336-8601-B3A16E6BBE26}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063-9713-47D3-B148-18592A62A474}">
  <dimension ref="B15"/>
  <sheetViews>
    <sheetView workbookViewId="0"/>
  </sheetViews>
  <sheetFormatPr defaultColWidth="9.140625" defaultRowHeight="14.25" x14ac:dyDescent="0.2"/>
  <cols>
    <col min="1" max="1" width="2" style="2" customWidth="1"/>
    <col min="2" max="16384" width="9.140625" style="2"/>
  </cols>
  <sheetData>
    <row r="15" spans="2:2" ht="50.25" x14ac:dyDescent="0.7">
      <c r="B15" s="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4BB7-4B77-4C6E-A92C-4305E2259FE0}">
  <dimension ref="B1:D24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23.42578125" style="1" customWidth="1"/>
    <col min="3" max="3" width="11.42578125" style="1" customWidth="1"/>
    <col min="4" max="4" width="11.5703125" style="1" customWidth="1"/>
    <col min="5" max="5" width="11.42578125" style="1" customWidth="1"/>
    <col min="6" max="6" width="20.42578125" style="1" bestFit="1" customWidth="1"/>
    <col min="7" max="7" width="11.42578125" style="1" customWidth="1"/>
    <col min="8" max="8" width="15.140625" style="1" bestFit="1" customWidth="1"/>
    <col min="9" max="9" width="24.85546875" style="1" customWidth="1"/>
    <col min="10" max="10" width="22.140625" style="1" customWidth="1"/>
    <col min="11" max="12" width="11.42578125" style="1" customWidth="1"/>
    <col min="13" max="16384" width="9.140625" style="1"/>
  </cols>
  <sheetData>
    <row r="1" spans="2:4" ht="15.75" x14ac:dyDescent="0.25">
      <c r="B1" s="4" t="s">
        <v>44</v>
      </c>
    </row>
    <row r="2" spans="2:4" x14ac:dyDescent="0.2">
      <c r="C2" s="7"/>
      <c r="D2" s="7"/>
    </row>
    <row r="3" spans="2:4" x14ac:dyDescent="0.2">
      <c r="B3" s="1" t="s">
        <v>93</v>
      </c>
    </row>
    <row r="4" spans="2:4" x14ac:dyDescent="0.2">
      <c r="B4" s="1" t="s">
        <v>103</v>
      </c>
      <c r="C4" s="28">
        <f>Valuation!C7</f>
        <v>187500</v>
      </c>
    </row>
    <row r="5" spans="2:4" x14ac:dyDescent="0.2">
      <c r="B5" s="1" t="s">
        <v>105</v>
      </c>
      <c r="C5" s="28">
        <f>-('Balance sheet'!E16-SUM('Balance sheet'!E18:E22))</f>
        <v>-47704.07358799917</v>
      </c>
    </row>
    <row r="6" spans="2:4" x14ac:dyDescent="0.2">
      <c r="B6" s="19" t="s">
        <v>104</v>
      </c>
      <c r="C6" s="20">
        <f>C4+C5</f>
        <v>139795.92641200084</v>
      </c>
    </row>
    <row r="7" spans="2:4" x14ac:dyDescent="0.2">
      <c r="B7" s="1" t="s">
        <v>106</v>
      </c>
      <c r="C7" s="28">
        <f>-('Balance Sheet@Transaction'!D12+'Balance Sheet@Transaction'!D8+'Balance Sheet@Transaction'!D7)</f>
        <v>-2869</v>
      </c>
    </row>
    <row r="8" spans="2:4" x14ac:dyDescent="0.2">
      <c r="B8" s="19" t="s">
        <v>44</v>
      </c>
      <c r="C8" s="20">
        <f>C6+C7</f>
        <v>136926.92641200084</v>
      </c>
    </row>
    <row r="9" spans="2:4" x14ac:dyDescent="0.2">
      <c r="C9" s="28"/>
    </row>
    <row r="10" spans="2:4" x14ac:dyDescent="0.2">
      <c r="C10" s="28"/>
    </row>
    <row r="11" spans="2:4" x14ac:dyDescent="0.2">
      <c r="C11" s="28"/>
    </row>
    <row r="12" spans="2:4" x14ac:dyDescent="0.2">
      <c r="C12" s="28"/>
    </row>
    <row r="13" spans="2:4" x14ac:dyDescent="0.2">
      <c r="C13" s="28"/>
    </row>
    <row r="14" spans="2:4" x14ac:dyDescent="0.2">
      <c r="C14" s="28"/>
    </row>
    <row r="15" spans="2:4" x14ac:dyDescent="0.2">
      <c r="C15" s="28"/>
    </row>
    <row r="16" spans="2:4" x14ac:dyDescent="0.2">
      <c r="C16" s="28"/>
    </row>
    <row r="17" spans="3:3" x14ac:dyDescent="0.2">
      <c r="C17" s="28"/>
    </row>
    <row r="18" spans="3:3" x14ac:dyDescent="0.2">
      <c r="C18" s="28"/>
    </row>
    <row r="19" spans="3:3" x14ac:dyDescent="0.2">
      <c r="C19" s="28"/>
    </row>
    <row r="20" spans="3:3" x14ac:dyDescent="0.2">
      <c r="C20" s="28"/>
    </row>
    <row r="21" spans="3:3" x14ac:dyDescent="0.2">
      <c r="C21" s="28"/>
    </row>
    <row r="22" spans="3:3" x14ac:dyDescent="0.2">
      <c r="C22" s="28"/>
    </row>
    <row r="23" spans="3:3" x14ac:dyDescent="0.2">
      <c r="C23" s="28"/>
    </row>
    <row r="24" spans="3:3" x14ac:dyDescent="0.2">
      <c r="C24" s="2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4054-8225-429F-8F40-84C9850B3E74}">
  <dimension ref="B1:P37"/>
  <sheetViews>
    <sheetView tabSelected="1" zoomScale="130" zoomScaleNormal="130" workbookViewId="0">
      <selection activeCell="G21" sqref="G21"/>
    </sheetView>
  </sheetViews>
  <sheetFormatPr defaultColWidth="9.140625" defaultRowHeight="12" x14ac:dyDescent="0.2"/>
  <cols>
    <col min="1" max="1" width="2" style="1" customWidth="1"/>
    <col min="2" max="2" width="22.28515625" style="1" customWidth="1"/>
    <col min="3" max="5" width="11.5703125" style="1" customWidth="1"/>
    <col min="6" max="6" width="7.5703125" style="1" bestFit="1" customWidth="1"/>
    <col min="7" max="16" width="11.5703125" style="1" customWidth="1"/>
    <col min="17" max="16384" width="9.140625" style="1"/>
  </cols>
  <sheetData>
    <row r="1" spans="2:16" ht="15.75" x14ac:dyDescent="0.25">
      <c r="B1" s="4" t="s">
        <v>114</v>
      </c>
    </row>
    <row r="2" spans="2:16" x14ac:dyDescent="0.2">
      <c r="C2" s="7"/>
      <c r="D2" s="7"/>
    </row>
    <row r="3" spans="2:16" x14ac:dyDescent="0.2">
      <c r="B3" s="1" t="s">
        <v>93</v>
      </c>
    </row>
    <row r="4" spans="2:16" x14ac:dyDescent="0.2">
      <c r="C4" s="28"/>
    </row>
    <row r="5" spans="2:16" x14ac:dyDescent="0.2">
      <c r="B5" s="14" t="str">
        <f>Drivers!C13&amp;" "&amp;Drivers!C14</f>
        <v>$ 000s</v>
      </c>
      <c r="C5" s="15">
        <f>D5-1</f>
        <v>2020</v>
      </c>
      <c r="D5" s="15">
        <f>E5-1</f>
        <v>2021</v>
      </c>
      <c r="E5" s="15">
        <f>G5-1</f>
        <v>2022</v>
      </c>
      <c r="F5" s="14" t="s">
        <v>54</v>
      </c>
      <c r="G5" s="16">
        <f>Drivers!C11</f>
        <v>2023</v>
      </c>
      <c r="H5" s="16">
        <f>G5+1</f>
        <v>2024</v>
      </c>
      <c r="I5" s="16">
        <f t="shared" ref="I5:P5" si="0">H5+1</f>
        <v>2025</v>
      </c>
      <c r="J5" s="16">
        <f t="shared" si="0"/>
        <v>2026</v>
      </c>
      <c r="K5" s="16">
        <f t="shared" si="0"/>
        <v>2027</v>
      </c>
      <c r="L5" s="16">
        <f t="shared" si="0"/>
        <v>2028</v>
      </c>
      <c r="M5" s="16">
        <f t="shared" si="0"/>
        <v>2029</v>
      </c>
      <c r="N5" s="16">
        <f t="shared" si="0"/>
        <v>2030</v>
      </c>
      <c r="O5" s="16">
        <f t="shared" si="0"/>
        <v>2031</v>
      </c>
      <c r="P5" s="16">
        <f t="shared" si="0"/>
        <v>2032</v>
      </c>
    </row>
    <row r="6" spans="2:16" x14ac:dyDescent="0.2">
      <c r="B6" s="1" t="s">
        <v>115</v>
      </c>
      <c r="C6" s="25"/>
      <c r="D6" s="25">
        <f>C9</f>
        <v>27027.925999999999</v>
      </c>
      <c r="E6" s="25">
        <f>D9</f>
        <v>29170.655999999999</v>
      </c>
      <c r="F6" s="25">
        <f>'Balance Sheet@Transaction'!J12</f>
        <v>35226.483999999997</v>
      </c>
      <c r="G6" s="25">
        <f>F9</f>
        <v>35226.483999999997</v>
      </c>
      <c r="H6" s="25">
        <f t="shared" ref="H6:P6" ca="1" si="1">G9</f>
        <v>35444.750399999997</v>
      </c>
      <c r="I6" s="25">
        <f t="shared" ca="1" si="1"/>
        <v>35696.269376000004</v>
      </c>
      <c r="J6" s="25">
        <f t="shared" ca="1" si="1"/>
        <v>35985.031237120005</v>
      </c>
      <c r="K6" s="25">
        <f t="shared" ca="1" si="1"/>
        <v>36174.727023820815</v>
      </c>
      <c r="L6" s="25">
        <f t="shared" ca="1" si="1"/>
        <v>36256.440789404696</v>
      </c>
      <c r="M6" s="25">
        <f t="shared" ca="1" si="1"/>
        <v>36220.454151971127</v>
      </c>
      <c r="N6" s="25">
        <f t="shared" ca="1" si="1"/>
        <v>35934.632922237877</v>
      </c>
      <c r="O6" s="25">
        <f t="shared" ca="1" si="1"/>
        <v>35381.488678743975</v>
      </c>
      <c r="P6" s="25">
        <f t="shared" ca="1" si="1"/>
        <v>34472.732577485229</v>
      </c>
    </row>
    <row r="7" spans="2:16" x14ac:dyDescent="0.2">
      <c r="B7" s="1" t="s">
        <v>116</v>
      </c>
      <c r="C7" s="25"/>
      <c r="D7" s="25">
        <f>D9-D6-D8</f>
        <v>3653.1067303073382</v>
      </c>
      <c r="E7" s="25">
        <f>E9-E6-E8</f>
        <v>3711.2250000000013</v>
      </c>
      <c r="F7" s="25"/>
      <c r="G7" s="25">
        <f>CHOOSE(Drivers!$C$3,Drivers!G39*'P&amp;L'!G$6,Drivers!G52*'P&amp;L'!G$6,Drivers!G65*'P&amp;L'!G$6)</f>
        <v>4156.5720000000019</v>
      </c>
      <c r="H7" s="25">
        <f>CHOOSE(Drivers!$C$3,Drivers!H39*'P&amp;L'!H$6,Drivers!H52*'P&amp;L'!H$6,Drivers!H65*'P&amp;L'!H$6)</f>
        <v>4655.3606400000026</v>
      </c>
      <c r="I7" s="25">
        <f>CHOOSE(Drivers!$C$3,Drivers!I39*'P&amp;L'!I$6,Drivers!I52*'P&amp;L'!I$6,Drivers!I65*'P&amp;L'!I$6)</f>
        <v>5214.003916800003</v>
      </c>
      <c r="J7" s="25">
        <f>CHOOSE(Drivers!$C$3,Drivers!J39*'P&amp;L'!J$6,Drivers!J52*'P&amp;L'!J$6,Drivers!J65*'P&amp;L'!J$6)</f>
        <v>5683.2642693120042</v>
      </c>
      <c r="K7" s="25">
        <f>CHOOSE(Drivers!$C$3,Drivers!K39*'P&amp;L'!K$6,Drivers!K52*'P&amp;L'!K$6,Drivers!K65*'P&amp;L'!K$6)</f>
        <v>6194.7580535500856</v>
      </c>
      <c r="L7" s="25">
        <f>CHOOSE(Drivers!$C$3,Drivers!L39*'P&amp;L'!L$6,Drivers!L52*'P&amp;L'!L$6,Drivers!L65*'P&amp;L'!L$6)</f>
        <v>6752.2862783695928</v>
      </c>
      <c r="M7" s="25">
        <f>CHOOSE(Drivers!$C$3,Drivers!M39*'P&amp;L'!M$6,Drivers!M52*'P&amp;L'!M$6,Drivers!M65*'P&amp;L'!M$6)</f>
        <v>7224.9463178554652</v>
      </c>
      <c r="N7" s="25">
        <f>CHOOSE(Drivers!$C$3,Drivers!N39*'P&amp;L'!N$6,Drivers!N52*'P&amp;L'!N$6,Drivers!N65*'P&amp;L'!N$6)</f>
        <v>7730.6925601053481</v>
      </c>
      <c r="O7" s="25">
        <f>CHOOSE(Drivers!$C$3,Drivers!O39*'P&amp;L'!O$6,Drivers!O52*'P&amp;L'!O$6,Drivers!O65*'P&amp;L'!O$6)</f>
        <v>8194.5341137116684</v>
      </c>
      <c r="P7" s="25">
        <f>CHOOSE(Drivers!$C$3,Drivers!P39*'P&amp;L'!P$6,Drivers!P52*'P&amp;L'!P$6,Drivers!P65*'P&amp;L'!P$6)</f>
        <v>8604.2608193972537</v>
      </c>
    </row>
    <row r="8" spans="2:16" x14ac:dyDescent="0.2">
      <c r="B8" s="1" t="s">
        <v>117</v>
      </c>
      <c r="C8" s="25"/>
      <c r="D8" s="25">
        <f>'P&amp;L'!D15</f>
        <v>-1510.3767303073387</v>
      </c>
      <c r="E8" s="25">
        <f>'P&amp;L'!E15</f>
        <v>-1870.3969999999999</v>
      </c>
      <c r="F8" s="25"/>
      <c r="G8" s="25">
        <f ca="1">G32</f>
        <v>-3938.3055999999997</v>
      </c>
      <c r="H8" s="25">
        <f t="shared" ref="H8:P8" ca="1" si="2">H32</f>
        <v>-4403.8416639999996</v>
      </c>
      <c r="I8" s="25">
        <f t="shared" ca="1" si="2"/>
        <v>-4925.2420556799998</v>
      </c>
      <c r="J8" s="25">
        <f t="shared" ca="1" si="2"/>
        <v>-5493.5684826112001</v>
      </c>
      <c r="K8" s="25">
        <f t="shared" ca="1" si="2"/>
        <v>-6113.0442879662087</v>
      </c>
      <c r="L8" s="25">
        <f t="shared" ca="1" si="2"/>
        <v>-6788.272915803168</v>
      </c>
      <c r="M8" s="25">
        <f t="shared" ca="1" si="2"/>
        <v>-7510.7675475887145</v>
      </c>
      <c r="N8" s="25">
        <f t="shared" ca="1" si="2"/>
        <v>-8283.8368035992498</v>
      </c>
      <c r="O8" s="25">
        <f t="shared" ca="1" si="2"/>
        <v>-9103.2902149704169</v>
      </c>
      <c r="P8" s="25">
        <f t="shared" ca="1" si="2"/>
        <v>-9963.7162969101428</v>
      </c>
    </row>
    <row r="9" spans="2:16" x14ac:dyDescent="0.2">
      <c r="B9" s="19" t="s">
        <v>118</v>
      </c>
      <c r="C9" s="31">
        <f>'Balance sheet'!C12</f>
        <v>27027.925999999999</v>
      </c>
      <c r="D9" s="31">
        <f>'Balance sheet'!D12</f>
        <v>29170.655999999999</v>
      </c>
      <c r="E9" s="31">
        <f>'Balance sheet'!E12</f>
        <v>31011.484</v>
      </c>
      <c r="F9" s="31">
        <f>'Balance sheet'!F12</f>
        <v>35226.483999999997</v>
      </c>
      <c r="G9" s="31">
        <f ca="1">SUM(G6:G8)</f>
        <v>35444.750399999997</v>
      </c>
      <c r="H9" s="31">
        <f t="shared" ref="H9:P9" ca="1" si="3">SUM(H6:H8)</f>
        <v>35696.269376000004</v>
      </c>
      <c r="I9" s="31">
        <f t="shared" ca="1" si="3"/>
        <v>35985.031237120005</v>
      </c>
      <c r="J9" s="31">
        <f t="shared" ca="1" si="3"/>
        <v>36174.727023820815</v>
      </c>
      <c r="K9" s="31">
        <f t="shared" ca="1" si="3"/>
        <v>36256.440789404696</v>
      </c>
      <c r="L9" s="31">
        <f t="shared" ca="1" si="3"/>
        <v>36220.454151971127</v>
      </c>
      <c r="M9" s="31">
        <f t="shared" ca="1" si="3"/>
        <v>35934.632922237877</v>
      </c>
      <c r="N9" s="31">
        <f t="shared" ca="1" si="3"/>
        <v>35381.488678743975</v>
      </c>
      <c r="O9" s="31">
        <f t="shared" ca="1" si="3"/>
        <v>34472.732577485229</v>
      </c>
      <c r="P9" s="31">
        <f t="shared" ca="1" si="3"/>
        <v>33113.277099972343</v>
      </c>
    </row>
    <row r="10" spans="2:16" x14ac:dyDescent="0.2"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2:16" x14ac:dyDescent="0.2">
      <c r="B11" s="1" t="s">
        <v>119</v>
      </c>
      <c r="C11" s="5">
        <v>0</v>
      </c>
      <c r="D11" s="5">
        <v>0</v>
      </c>
      <c r="E11" s="5">
        <v>0</v>
      </c>
      <c r="F11" s="25"/>
      <c r="G11" s="25">
        <f>F14</f>
        <v>136926.92641200084</v>
      </c>
      <c r="H11" s="25">
        <f t="shared" ref="H11:P11" si="4">G14</f>
        <v>136926.92641200084</v>
      </c>
      <c r="I11" s="25">
        <f t="shared" si="4"/>
        <v>136926.92641200084</v>
      </c>
      <c r="J11" s="25">
        <f t="shared" si="4"/>
        <v>136926.92641200084</v>
      </c>
      <c r="K11" s="25">
        <f t="shared" si="4"/>
        <v>136926.92641200084</v>
      </c>
      <c r="L11" s="25">
        <f t="shared" si="4"/>
        <v>136926.92641200084</v>
      </c>
      <c r="M11" s="25">
        <f t="shared" si="4"/>
        <v>136926.92641200084</v>
      </c>
      <c r="N11" s="25">
        <f t="shared" si="4"/>
        <v>136926.92641200084</v>
      </c>
      <c r="O11" s="25">
        <f t="shared" si="4"/>
        <v>136926.92641200084</v>
      </c>
      <c r="P11" s="25">
        <f t="shared" si="4"/>
        <v>136926.92641200084</v>
      </c>
    </row>
    <row r="12" spans="2:16" x14ac:dyDescent="0.2">
      <c r="B12" s="1" t="s">
        <v>120</v>
      </c>
      <c r="C12" s="5">
        <v>0</v>
      </c>
      <c r="D12" s="5">
        <v>0</v>
      </c>
      <c r="E12" s="5">
        <v>0</v>
      </c>
      <c r="F12" s="25">
        <f>Goodwill!C8</f>
        <v>136926.92641200084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2:16" x14ac:dyDescent="0.2">
      <c r="B13" s="1" t="s">
        <v>121</v>
      </c>
      <c r="C13" s="5">
        <v>0</v>
      </c>
      <c r="D13" s="5">
        <v>0</v>
      </c>
      <c r="E13" s="5">
        <v>0</v>
      </c>
      <c r="F13" s="2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</row>
    <row r="14" spans="2:16" x14ac:dyDescent="0.2">
      <c r="B14" s="19" t="s">
        <v>122</v>
      </c>
      <c r="C14" s="31">
        <f>SUM(C11:C13)</f>
        <v>0</v>
      </c>
      <c r="D14" s="31">
        <f>SUM(D11:D13)</f>
        <v>0</v>
      </c>
      <c r="E14" s="31">
        <f>SUM(E11:E13)</f>
        <v>0</v>
      </c>
      <c r="F14" s="31">
        <f>SUM(F11:F13)</f>
        <v>136926.92641200084</v>
      </c>
      <c r="G14" s="31">
        <f t="shared" ref="G14:P14" si="5">SUM(G11:G13)</f>
        <v>136926.92641200084</v>
      </c>
      <c r="H14" s="31">
        <f t="shared" si="5"/>
        <v>136926.92641200084</v>
      </c>
      <c r="I14" s="31">
        <f t="shared" si="5"/>
        <v>136926.92641200084</v>
      </c>
      <c r="J14" s="31">
        <f t="shared" si="5"/>
        <v>136926.92641200084</v>
      </c>
      <c r="K14" s="31">
        <f t="shared" si="5"/>
        <v>136926.92641200084</v>
      </c>
      <c r="L14" s="31">
        <f t="shared" si="5"/>
        <v>136926.92641200084</v>
      </c>
      <c r="M14" s="31">
        <f t="shared" si="5"/>
        <v>136926.92641200084</v>
      </c>
      <c r="N14" s="31">
        <f t="shared" si="5"/>
        <v>136926.92641200084</v>
      </c>
      <c r="O14" s="31">
        <f t="shared" si="5"/>
        <v>136926.92641200084</v>
      </c>
      <c r="P14" s="31">
        <f t="shared" si="5"/>
        <v>136926.92641200084</v>
      </c>
    </row>
    <row r="15" spans="2:16" x14ac:dyDescent="0.2"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2:16" x14ac:dyDescent="0.2">
      <c r="B16" s="49" t="s">
        <v>125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</row>
    <row r="17" spans="2:16" x14ac:dyDescent="0.2">
      <c r="B17" s="43" t="s">
        <v>123</v>
      </c>
      <c r="C17" s="45">
        <v>10</v>
      </c>
      <c r="D17" s="45" t="s">
        <v>124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</row>
    <row r="18" spans="2:16" x14ac:dyDescent="0.2">
      <c r="B18" s="43" t="s">
        <v>194</v>
      </c>
      <c r="C18" s="45">
        <v>10</v>
      </c>
      <c r="D18" s="45" t="s">
        <v>124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</row>
    <row r="19" spans="2:16" x14ac:dyDescent="0.2"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2:16" x14ac:dyDescent="0.2">
      <c r="B20" s="14" t="s">
        <v>126</v>
      </c>
      <c r="C20" s="51"/>
      <c r="D20" s="51"/>
      <c r="E20" s="51"/>
      <c r="F20" s="51"/>
      <c r="G20" s="51">
        <v>1</v>
      </c>
      <c r="H20" s="51">
        <v>2</v>
      </c>
      <c r="I20" s="51">
        <v>3</v>
      </c>
      <c r="J20" s="51">
        <v>4</v>
      </c>
      <c r="K20" s="51">
        <v>5</v>
      </c>
      <c r="L20" s="51">
        <v>6</v>
      </c>
      <c r="M20" s="51">
        <v>7</v>
      </c>
      <c r="N20" s="51">
        <v>8</v>
      </c>
      <c r="O20" s="51">
        <v>9</v>
      </c>
      <c r="P20" s="51">
        <v>10</v>
      </c>
    </row>
    <row r="21" spans="2:16" x14ac:dyDescent="0.2">
      <c r="B21" s="1" t="s">
        <v>195</v>
      </c>
      <c r="C21" s="62"/>
      <c r="D21" s="62"/>
      <c r="E21" s="62"/>
      <c r="F21" s="62"/>
      <c r="G21" s="25">
        <f>-$F$9/$C$18</f>
        <v>-3522.6483999999996</v>
      </c>
      <c r="H21" s="25">
        <f t="shared" ref="H21:P21" si="6">-$F$9/$C$18</f>
        <v>-3522.6483999999996</v>
      </c>
      <c r="I21" s="25">
        <f t="shared" si="6"/>
        <v>-3522.6483999999996</v>
      </c>
      <c r="J21" s="25">
        <f t="shared" si="6"/>
        <v>-3522.6483999999996</v>
      </c>
      <c r="K21" s="25">
        <f t="shared" si="6"/>
        <v>-3522.6483999999996</v>
      </c>
      <c r="L21" s="25">
        <f t="shared" si="6"/>
        <v>-3522.6483999999996</v>
      </c>
      <c r="M21" s="25">
        <f t="shared" si="6"/>
        <v>-3522.6483999999996</v>
      </c>
      <c r="N21" s="25">
        <f t="shared" si="6"/>
        <v>-3522.6483999999996</v>
      </c>
      <c r="O21" s="25">
        <f t="shared" si="6"/>
        <v>-3522.6483999999996</v>
      </c>
      <c r="P21" s="25">
        <f t="shared" si="6"/>
        <v>-3522.6483999999996</v>
      </c>
    </row>
    <row r="22" spans="2:16" x14ac:dyDescent="0.2">
      <c r="B22" s="1" t="s">
        <v>127</v>
      </c>
      <c r="C22" s="25"/>
      <c r="D22" s="25"/>
      <c r="E22" s="25"/>
      <c r="F22" s="25"/>
      <c r="G22" s="25">
        <f ca="1">-IF(G$22&lt;=$C$17,$G$7/$C$17,0)</f>
        <v>-415.65720000000022</v>
      </c>
      <c r="H22" s="25">
        <f t="shared" ref="H22:P22" ca="1" si="7">-IF(H$22&lt;=$C$17,$G$7/$C$17,0)</f>
        <v>-415.65720000000022</v>
      </c>
      <c r="I22" s="25">
        <f t="shared" ca="1" si="7"/>
        <v>-415.65720000000022</v>
      </c>
      <c r="J22" s="25">
        <f t="shared" ca="1" si="7"/>
        <v>-415.65720000000022</v>
      </c>
      <c r="K22" s="25">
        <f t="shared" ca="1" si="7"/>
        <v>-415.65720000000022</v>
      </c>
      <c r="L22" s="25">
        <f t="shared" ca="1" si="7"/>
        <v>-415.65720000000022</v>
      </c>
      <c r="M22" s="25">
        <f t="shared" ca="1" si="7"/>
        <v>-415.65720000000022</v>
      </c>
      <c r="N22" s="25">
        <f t="shared" ca="1" si="7"/>
        <v>-415.65720000000022</v>
      </c>
      <c r="O22" s="25">
        <f t="shared" ca="1" si="7"/>
        <v>-415.65720000000022</v>
      </c>
      <c r="P22" s="25">
        <f t="shared" ca="1" si="7"/>
        <v>-415.65720000000022</v>
      </c>
    </row>
    <row r="23" spans="2:16" x14ac:dyDescent="0.2">
      <c r="B23" s="1" t="s">
        <v>128</v>
      </c>
      <c r="C23" s="25"/>
      <c r="D23" s="25"/>
      <c r="E23" s="25"/>
      <c r="F23" s="25"/>
      <c r="G23" s="45"/>
      <c r="H23" s="25">
        <f ca="1">-IF(H$22&lt;=$C$17,$H$7/$C$17,0)</f>
        <v>-465.53606400000024</v>
      </c>
      <c r="I23" s="25">
        <f t="shared" ref="I23:P23" ca="1" si="8">-IF(I$22&lt;=$C$17,$H$7/$C$17,0)</f>
        <v>-465.53606400000024</v>
      </c>
      <c r="J23" s="25">
        <f t="shared" ca="1" si="8"/>
        <v>-465.53606400000024</v>
      </c>
      <c r="K23" s="25">
        <f t="shared" ca="1" si="8"/>
        <v>-465.53606400000024</v>
      </c>
      <c r="L23" s="25">
        <f t="shared" ca="1" si="8"/>
        <v>-465.53606400000024</v>
      </c>
      <c r="M23" s="25">
        <f t="shared" ca="1" si="8"/>
        <v>-465.53606400000024</v>
      </c>
      <c r="N23" s="25">
        <f t="shared" ca="1" si="8"/>
        <v>-465.53606400000024</v>
      </c>
      <c r="O23" s="25">
        <f t="shared" ca="1" si="8"/>
        <v>-465.53606400000024</v>
      </c>
      <c r="P23" s="25">
        <f t="shared" ca="1" si="8"/>
        <v>-465.53606400000024</v>
      </c>
    </row>
    <row r="24" spans="2:16" x14ac:dyDescent="0.2">
      <c r="B24" s="1" t="s">
        <v>129</v>
      </c>
      <c r="G24" s="43"/>
      <c r="H24" s="43"/>
      <c r="I24" s="25">
        <f ca="1">-IF(I$22&lt;=$C$17,$I$7/$C$17,0)</f>
        <v>-521.40039168000033</v>
      </c>
      <c r="J24" s="25">
        <f t="shared" ref="J24:P24" ca="1" si="9">-IF(J$22&lt;=$C$17,$I$7/$C$17,0)</f>
        <v>-521.40039168000033</v>
      </c>
      <c r="K24" s="25">
        <f t="shared" ca="1" si="9"/>
        <v>-521.40039168000033</v>
      </c>
      <c r="L24" s="25">
        <f t="shared" ca="1" si="9"/>
        <v>-521.40039168000033</v>
      </c>
      <c r="M24" s="25">
        <f t="shared" ca="1" si="9"/>
        <v>-521.40039168000033</v>
      </c>
      <c r="N24" s="25">
        <f t="shared" ca="1" si="9"/>
        <v>-521.40039168000033</v>
      </c>
      <c r="O24" s="25">
        <f t="shared" ca="1" si="9"/>
        <v>-521.40039168000033</v>
      </c>
      <c r="P24" s="25">
        <f t="shared" ca="1" si="9"/>
        <v>-521.40039168000033</v>
      </c>
    </row>
    <row r="25" spans="2:16" x14ac:dyDescent="0.2">
      <c r="B25" s="1" t="s">
        <v>130</v>
      </c>
      <c r="G25" s="43"/>
      <c r="H25" s="43"/>
      <c r="I25" s="43"/>
      <c r="J25" s="25">
        <f ca="1">-IF(J$22&lt;=$C$17,$J$7/$C$17,0)</f>
        <v>-568.32642693120044</v>
      </c>
      <c r="K25" s="25">
        <f t="shared" ref="K25:P25" ca="1" si="10">-IF(K$22&lt;=$C$17,$J$7/$C$17,0)</f>
        <v>-568.32642693120044</v>
      </c>
      <c r="L25" s="25">
        <f t="shared" ca="1" si="10"/>
        <v>-568.32642693120044</v>
      </c>
      <c r="M25" s="25">
        <f t="shared" ca="1" si="10"/>
        <v>-568.32642693120044</v>
      </c>
      <c r="N25" s="25">
        <f t="shared" ca="1" si="10"/>
        <v>-568.32642693120044</v>
      </c>
      <c r="O25" s="25">
        <f t="shared" ca="1" si="10"/>
        <v>-568.32642693120044</v>
      </c>
      <c r="P25" s="25">
        <f t="shared" ca="1" si="10"/>
        <v>-568.32642693120044</v>
      </c>
    </row>
    <row r="26" spans="2:16" x14ac:dyDescent="0.2">
      <c r="B26" s="1" t="s">
        <v>131</v>
      </c>
      <c r="G26" s="43"/>
      <c r="H26" s="43"/>
      <c r="I26" s="43"/>
      <c r="J26" s="43"/>
      <c r="K26" s="25">
        <f ca="1">-IF(K$22&lt;=$C$17,$K$7/$C$17,0)</f>
        <v>-619.47580535500856</v>
      </c>
      <c r="L26" s="25">
        <f t="shared" ref="L26:P26" ca="1" si="11">-IF(L$22&lt;=$C$17,$K$7/$C$17,0)</f>
        <v>-619.47580535500856</v>
      </c>
      <c r="M26" s="25">
        <f t="shared" ca="1" si="11"/>
        <v>-619.47580535500856</v>
      </c>
      <c r="N26" s="25">
        <f t="shared" ca="1" si="11"/>
        <v>-619.47580535500856</v>
      </c>
      <c r="O26" s="25">
        <f t="shared" ca="1" si="11"/>
        <v>-619.47580535500856</v>
      </c>
      <c r="P26" s="25">
        <f t="shared" ca="1" si="11"/>
        <v>-619.47580535500856</v>
      </c>
    </row>
    <row r="27" spans="2:16" x14ac:dyDescent="0.2">
      <c r="B27" s="1" t="s">
        <v>132</v>
      </c>
      <c r="G27" s="43"/>
      <c r="H27" s="43"/>
      <c r="I27" s="43"/>
      <c r="J27" s="43"/>
      <c r="K27" s="43"/>
      <c r="L27" s="25">
        <f ca="1">-IF(L$22&lt;=$C$17,$L$7/$C$17,0)</f>
        <v>-675.22862783695928</v>
      </c>
      <c r="M27" s="25">
        <f t="shared" ref="M27:P27" ca="1" si="12">-IF(M$22&lt;=$C$17,$L$7/$C$17,0)</f>
        <v>-675.22862783695928</v>
      </c>
      <c r="N27" s="25">
        <f t="shared" ca="1" si="12"/>
        <v>-675.22862783695928</v>
      </c>
      <c r="O27" s="25">
        <f t="shared" ca="1" si="12"/>
        <v>-675.22862783695928</v>
      </c>
      <c r="P27" s="25">
        <f t="shared" ca="1" si="12"/>
        <v>-675.22862783695928</v>
      </c>
    </row>
    <row r="28" spans="2:16" x14ac:dyDescent="0.2">
      <c r="B28" s="1" t="s">
        <v>133</v>
      </c>
      <c r="G28" s="43"/>
      <c r="H28" s="43"/>
      <c r="I28" s="43"/>
      <c r="J28" s="43"/>
      <c r="K28" s="43"/>
      <c r="L28" s="43"/>
      <c r="M28" s="25">
        <f ca="1">-IF(M$22&lt;=$C$17,$M$7/$C$17,0)</f>
        <v>-722.49463178554652</v>
      </c>
      <c r="N28" s="25">
        <f t="shared" ref="N28:P28" ca="1" si="13">-IF(N$22&lt;=$C$17,$M$7/$C$17,0)</f>
        <v>-722.49463178554652</v>
      </c>
      <c r="O28" s="25">
        <f t="shared" ca="1" si="13"/>
        <v>-722.49463178554652</v>
      </c>
      <c r="P28" s="25">
        <f t="shared" ca="1" si="13"/>
        <v>-722.49463178554652</v>
      </c>
    </row>
    <row r="29" spans="2:16" x14ac:dyDescent="0.2">
      <c r="B29" s="1" t="s">
        <v>134</v>
      </c>
      <c r="G29" s="43"/>
      <c r="H29" s="43"/>
      <c r="I29" s="43"/>
      <c r="J29" s="43"/>
      <c r="K29" s="43"/>
      <c r="L29" s="43"/>
      <c r="M29" s="43"/>
      <c r="N29" s="25">
        <f ca="1">-IF(N$22&lt;=$C$17,$N$7/$C$17,0)</f>
        <v>-773.06925601053479</v>
      </c>
      <c r="O29" s="25">
        <f t="shared" ref="O29:P29" ca="1" si="14">-IF(O$22&lt;=$C$17,$N$7/$C$17,0)</f>
        <v>-773.06925601053479</v>
      </c>
      <c r="P29" s="25">
        <f t="shared" ca="1" si="14"/>
        <v>-773.06925601053479</v>
      </c>
    </row>
    <row r="30" spans="2:16" x14ac:dyDescent="0.2">
      <c r="B30" s="1" t="s">
        <v>135</v>
      </c>
      <c r="G30" s="43"/>
      <c r="H30" s="43"/>
      <c r="I30" s="43"/>
      <c r="J30" s="43"/>
      <c r="K30" s="43"/>
      <c r="L30" s="43"/>
      <c r="M30" s="43"/>
      <c r="N30" s="43"/>
      <c r="O30" s="25">
        <f ca="1">-IF(O$22&lt;=$C$17,$O$7/$C$17,0)</f>
        <v>-819.45341137116679</v>
      </c>
      <c r="P30" s="25">
        <f t="shared" ref="P30" ca="1" si="15">-IF(P$22&lt;=$C$17,$O$7/$C$17,0)</f>
        <v>-819.45341137116679</v>
      </c>
    </row>
    <row r="31" spans="2:16" x14ac:dyDescent="0.2">
      <c r="B31" s="1" t="s">
        <v>136</v>
      </c>
      <c r="G31" s="43"/>
      <c r="H31" s="43"/>
      <c r="I31" s="43"/>
      <c r="J31" s="43"/>
      <c r="K31" s="43"/>
      <c r="L31" s="43"/>
      <c r="M31" s="43"/>
      <c r="N31" s="43"/>
      <c r="O31" s="43"/>
      <c r="P31" s="25">
        <f ca="1">-IF(P$22&lt;=$C$17,$P$7/$C$17,0)</f>
        <v>-860.42608193972535</v>
      </c>
    </row>
    <row r="32" spans="2:16" x14ac:dyDescent="0.2">
      <c r="B32" s="19" t="s">
        <v>139</v>
      </c>
      <c r="C32" s="48"/>
      <c r="D32" s="48"/>
      <c r="E32" s="48"/>
      <c r="F32" s="48"/>
      <c r="G32" s="20">
        <f ca="1">SUM(G21:G31)</f>
        <v>-3938.3055999999997</v>
      </c>
      <c r="H32" s="20">
        <f t="shared" ref="H32:P32" ca="1" si="16">SUM(H21:H31)</f>
        <v>-4403.8416639999996</v>
      </c>
      <c r="I32" s="20">
        <f t="shared" ca="1" si="16"/>
        <v>-4925.2420556799998</v>
      </c>
      <c r="J32" s="20">
        <f t="shared" ca="1" si="16"/>
        <v>-5493.5684826112001</v>
      </c>
      <c r="K32" s="20">
        <f t="shared" ca="1" si="16"/>
        <v>-6113.0442879662087</v>
      </c>
      <c r="L32" s="20">
        <f t="shared" ca="1" si="16"/>
        <v>-6788.272915803168</v>
      </c>
      <c r="M32" s="20">
        <f t="shared" ca="1" si="16"/>
        <v>-7510.7675475887145</v>
      </c>
      <c r="N32" s="20">
        <f t="shared" ca="1" si="16"/>
        <v>-8283.8368035992498</v>
      </c>
      <c r="O32" s="20">
        <f t="shared" ca="1" si="16"/>
        <v>-9103.2902149704169</v>
      </c>
      <c r="P32" s="20">
        <f t="shared" ca="1" si="16"/>
        <v>-9963.7162969101428</v>
      </c>
    </row>
    <row r="34" spans="2:16" x14ac:dyDescent="0.2">
      <c r="B34" s="14" t="s">
        <v>137</v>
      </c>
      <c r="C34" s="50"/>
      <c r="D34" s="50"/>
      <c r="E34" s="50"/>
      <c r="F34" s="50"/>
      <c r="G34" s="51">
        <v>1</v>
      </c>
      <c r="H34" s="51">
        <v>2</v>
      </c>
      <c r="I34" s="51">
        <v>3</v>
      </c>
      <c r="J34" s="51">
        <v>4</v>
      </c>
      <c r="K34" s="51">
        <v>5</v>
      </c>
      <c r="L34" s="51">
        <v>6</v>
      </c>
      <c r="M34" s="51">
        <v>7</v>
      </c>
      <c r="N34" s="51">
        <v>8</v>
      </c>
      <c r="O34" s="51">
        <v>9</v>
      </c>
      <c r="P34" s="51">
        <v>10</v>
      </c>
    </row>
    <row r="35" spans="2:16" x14ac:dyDescent="0.2">
      <c r="B35" s="1" t="s">
        <v>63</v>
      </c>
      <c r="G35" s="25">
        <f>'Transaction fees'!G8</f>
        <v>-444.94047619047626</v>
      </c>
      <c r="H35" s="25">
        <f>'Transaction fees'!H8</f>
        <v>-444.94047619047626</v>
      </c>
      <c r="I35" s="25">
        <f>'Transaction fees'!I8</f>
        <v>-444.94047619047626</v>
      </c>
      <c r="J35" s="25">
        <f>'Transaction fees'!J8</f>
        <v>-444.94047619047626</v>
      </c>
      <c r="K35" s="25">
        <f>'Transaction fees'!K8</f>
        <v>-444.94047619047626</v>
      </c>
      <c r="L35" s="25">
        <f>'Transaction fees'!L8</f>
        <v>-444.94047619047626</v>
      </c>
      <c r="M35" s="25">
        <f>'Transaction fees'!M8</f>
        <v>-444.94047619047626</v>
      </c>
      <c r="N35" s="25">
        <f>'Transaction fees'!N8</f>
        <v>-302.08333333333337</v>
      </c>
      <c r="O35" s="25">
        <f>'Transaction fees'!O8</f>
        <v>-133.33333333333334</v>
      </c>
      <c r="P35" s="25">
        <f>'Transaction fees'!P8</f>
        <v>0</v>
      </c>
    </row>
    <row r="37" spans="2:16" ht="12.75" thickBot="1" x14ac:dyDescent="0.25">
      <c r="B37" s="21" t="s">
        <v>138</v>
      </c>
      <c r="C37" s="21"/>
      <c r="D37" s="21"/>
      <c r="E37" s="21"/>
      <c r="F37" s="21"/>
      <c r="G37" s="22">
        <f ca="1">G35+G32</f>
        <v>-4383.2460761904758</v>
      </c>
      <c r="H37" s="22">
        <f t="shared" ref="H37:P37" ca="1" si="17">H35+H32</f>
        <v>-4848.7821401904757</v>
      </c>
      <c r="I37" s="22">
        <f t="shared" ca="1" si="17"/>
        <v>-5370.1825318704759</v>
      </c>
      <c r="J37" s="22">
        <f t="shared" ca="1" si="17"/>
        <v>-5938.5089588016763</v>
      </c>
      <c r="K37" s="22">
        <f t="shared" ca="1" si="17"/>
        <v>-6557.9847641566848</v>
      </c>
      <c r="L37" s="22">
        <f t="shared" ca="1" si="17"/>
        <v>-7233.2133919936441</v>
      </c>
      <c r="M37" s="22">
        <f t="shared" ca="1" si="17"/>
        <v>-7955.7080237791906</v>
      </c>
      <c r="N37" s="22">
        <f t="shared" ca="1" si="17"/>
        <v>-8585.9201369325838</v>
      </c>
      <c r="O37" s="22">
        <f t="shared" ca="1" si="17"/>
        <v>-9236.6235483037508</v>
      </c>
      <c r="P37" s="22">
        <f t="shared" ca="1" si="17"/>
        <v>-9963.7162969101428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89DD-7EBE-42F6-BD56-014E6E289DF9}">
  <dimension ref="B1:P15"/>
  <sheetViews>
    <sheetView zoomScale="130" zoomScaleNormal="130" workbookViewId="0">
      <selection activeCell="G9" sqref="G9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6384" width="9.140625" style="1"/>
  </cols>
  <sheetData>
    <row r="1" spans="2:16" ht="15.75" x14ac:dyDescent="0.25">
      <c r="B1" s="4" t="s">
        <v>140</v>
      </c>
    </row>
    <row r="2" spans="2:16" x14ac:dyDescent="0.2">
      <c r="C2" s="7"/>
    </row>
    <row r="5" spans="2:16" x14ac:dyDescent="0.2">
      <c r="B5" s="14" t="str">
        <f>Drivers!C13&amp;" "&amp;Drivers!C14</f>
        <v>$ 000s</v>
      </c>
      <c r="C5" s="15">
        <f>D5-1</f>
        <v>2020</v>
      </c>
      <c r="D5" s="15">
        <f>E5-1</f>
        <v>2021</v>
      </c>
      <c r="E5" s="15">
        <f>G5-1</f>
        <v>2022</v>
      </c>
      <c r="F5" s="14" t="s">
        <v>54</v>
      </c>
      <c r="G5" s="16">
        <f>Drivers!C11</f>
        <v>2023</v>
      </c>
      <c r="H5" s="16">
        <f>G5+1</f>
        <v>2024</v>
      </c>
      <c r="I5" s="16">
        <f t="shared" ref="I5:P5" si="0">H5+1</f>
        <v>2025</v>
      </c>
      <c r="J5" s="16">
        <f t="shared" si="0"/>
        <v>2026</v>
      </c>
      <c r="K5" s="16">
        <f t="shared" si="0"/>
        <v>2027</v>
      </c>
      <c r="L5" s="16">
        <f t="shared" si="0"/>
        <v>2028</v>
      </c>
      <c r="M5" s="16">
        <f t="shared" si="0"/>
        <v>2029</v>
      </c>
      <c r="N5" s="16">
        <f t="shared" si="0"/>
        <v>2030</v>
      </c>
      <c r="O5" s="16">
        <f t="shared" si="0"/>
        <v>2031</v>
      </c>
      <c r="P5" s="16">
        <f t="shared" si="0"/>
        <v>2032</v>
      </c>
    </row>
    <row r="6" spans="2:16" x14ac:dyDescent="0.2">
      <c r="B6" s="1" t="s">
        <v>39</v>
      </c>
      <c r="C6" s="25">
        <f>'Balance sheet'!C7</f>
        <v>7823.6718099999998</v>
      </c>
      <c r="D6" s="25">
        <f>'Balance sheet'!D7</f>
        <v>9112.2839399999993</v>
      </c>
      <c r="E6" s="25">
        <f>'Balance sheet'!E7</f>
        <v>7669.1698500000002</v>
      </c>
      <c r="F6" s="1">
        <f>'Balance Sheet@Transaction'!J7</f>
        <v>7121.1698500000002</v>
      </c>
      <c r="G6" s="25">
        <f>G12*'P&amp;L'!G6/Drivers!$C$12</f>
        <v>8589.4702319999997</v>
      </c>
      <c r="H6" s="25">
        <f>H12*'P&amp;L'!H6/Drivers!$C$12</f>
        <v>9620.2066598400015</v>
      </c>
      <c r="I6" s="25">
        <f>I12*'P&amp;L'!I6/Drivers!$C$12</f>
        <v>10774.631459020802</v>
      </c>
      <c r="J6" s="25">
        <f>J12*'P&amp;L'!J6/Drivers!$C$12</f>
        <v>11744.348290332675</v>
      </c>
      <c r="K6" s="25">
        <f>K12*'P&amp;L'!K6/Drivers!$C$12</f>
        <v>12801.339636462619</v>
      </c>
      <c r="L6" s="25">
        <f>L12*'P&amp;L'!L6/Drivers!$C$12</f>
        <v>13953.460203744255</v>
      </c>
      <c r="M6" s="25">
        <f>M12*'P&amp;L'!M6/Drivers!$C$12</f>
        <v>14930.202418006353</v>
      </c>
      <c r="N6" s="25">
        <f>N12*'P&amp;L'!N6/Drivers!$C$12</f>
        <v>15975.316587266801</v>
      </c>
      <c r="O6" s="25">
        <f>O12*'P&amp;L'!O6/Drivers!$C$12</f>
        <v>16933.835582502805</v>
      </c>
      <c r="P6" s="25">
        <f>P12*'P&amp;L'!P6/Drivers!$C$12</f>
        <v>17780.527361627948</v>
      </c>
    </row>
    <row r="7" spans="2:16" x14ac:dyDescent="0.2">
      <c r="B7" s="1" t="s">
        <v>40</v>
      </c>
      <c r="C7" s="25">
        <f>'Balance sheet'!C8</f>
        <v>8631.9470099999999</v>
      </c>
      <c r="D7" s="25">
        <f>'Balance sheet'!D8</f>
        <v>10494.88005</v>
      </c>
      <c r="E7" s="25">
        <f>'Balance sheet'!E8</f>
        <v>10325.6981</v>
      </c>
      <c r="F7" s="1">
        <f>'Balance Sheet@Transaction'!J8</f>
        <v>9527.6980999999996</v>
      </c>
      <c r="G7" s="25">
        <f>-G13*'P&amp;L'!G$8/Drivers!$C$12</f>
        <v>10585.922931833298</v>
      </c>
      <c r="H7" s="25">
        <f>-H13*'P&amp;L'!H$8/Drivers!$C$12</f>
        <v>11856.233683653294</v>
      </c>
      <c r="I7" s="25">
        <f>-I13*'P&amp;L'!I$8/Drivers!$C$12</f>
        <v>13278.98172569169</v>
      </c>
      <c r="J7" s="25">
        <f>-J13*'P&amp;L'!J$8/Drivers!$C$12</f>
        <v>14474.090081003944</v>
      </c>
      <c r="K7" s="25">
        <f>-K13*'P&amp;L'!K$8/Drivers!$C$12</f>
        <v>15776.7581882943</v>
      </c>
      <c r="L7" s="25">
        <f>-L13*'P&amp;L'!L$8/Drivers!$C$12</f>
        <v>17196.66642524079</v>
      </c>
      <c r="M7" s="25">
        <f>-M13*'P&amp;L'!M$8/Drivers!$C$12</f>
        <v>18400.433075007644</v>
      </c>
      <c r="N7" s="25">
        <f>-N13*'P&amp;L'!N$8/Drivers!$C$12</f>
        <v>19688.463390258181</v>
      </c>
      <c r="O7" s="25">
        <f>-O13*'P&amp;L'!O$8/Drivers!$C$12</f>
        <v>20869.771193673674</v>
      </c>
      <c r="P7" s="25">
        <f>-P13*'P&amp;L'!P$8/Drivers!$C$12</f>
        <v>21913.259753357357</v>
      </c>
    </row>
    <row r="8" spans="2:16" x14ac:dyDescent="0.2">
      <c r="B8" s="1" t="s">
        <v>47</v>
      </c>
      <c r="C8" s="25">
        <f>'Balance sheet'!C18</f>
        <v>5814.7977899999996</v>
      </c>
      <c r="D8" s="25">
        <f>'Balance sheet'!D18</f>
        <v>6256.3756599999997</v>
      </c>
      <c r="E8" s="25">
        <f>'Balance sheet'!E18</f>
        <v>7474.0862500000003</v>
      </c>
      <c r="F8" s="1">
        <f>'Balance Sheet@Transaction'!J18</f>
        <v>7474.0862500000003</v>
      </c>
      <c r="G8" s="25">
        <f>-G14*'P&amp;L'!G$8/Drivers!$C$12</f>
        <v>7662.4457021821045</v>
      </c>
      <c r="H8" s="25">
        <f>-H14*'P&amp;L'!H$8/Drivers!$C$12</f>
        <v>8581.9391864439585</v>
      </c>
      <c r="I8" s="25">
        <f>-I14*'P&amp;L'!I$8/Drivers!$C$12</f>
        <v>9611.7718888172349</v>
      </c>
      <c r="J8" s="25">
        <f>-J14*'P&amp;L'!J$8/Drivers!$C$12</f>
        <v>10476.831358810787</v>
      </c>
      <c r="K8" s="25">
        <f>-K14*'P&amp;L'!K$8/Drivers!$C$12</f>
        <v>11419.746181103757</v>
      </c>
      <c r="L8" s="25">
        <f>-L14*'P&amp;L'!L$8/Drivers!$C$12</f>
        <v>12447.523337403098</v>
      </c>
      <c r="M8" s="25">
        <f>-M14*'P&amp;L'!M$8/Drivers!$C$12</f>
        <v>13318.849971021315</v>
      </c>
      <c r="N8" s="25">
        <f>-N14*'P&amp;L'!N$8/Drivers!$C$12</f>
        <v>14251.169468992808</v>
      </c>
      <c r="O8" s="25">
        <f>-O14*'P&amp;L'!O$8/Drivers!$C$12</f>
        <v>15106.239637132378</v>
      </c>
      <c r="P8" s="25">
        <f>-P14*'P&amp;L'!P$8/Drivers!$C$12</f>
        <v>15861.551618988995</v>
      </c>
    </row>
    <row r="9" spans="2:16" x14ac:dyDescent="0.2">
      <c r="B9" s="19" t="s">
        <v>141</v>
      </c>
      <c r="C9" s="31">
        <f>C6+C7-C8</f>
        <v>10640.821029999999</v>
      </c>
      <c r="D9" s="31">
        <f t="shared" ref="D9:P9" si="1">D6+D7-D8</f>
        <v>13350.788330000001</v>
      </c>
      <c r="E9" s="31">
        <f t="shared" si="1"/>
        <v>10520.7817</v>
      </c>
      <c r="F9" s="31">
        <f t="shared" si="1"/>
        <v>9174.7816999999995</v>
      </c>
      <c r="G9" s="31">
        <f t="shared" si="1"/>
        <v>11512.947461651194</v>
      </c>
      <c r="H9" s="31">
        <f t="shared" si="1"/>
        <v>12894.501157049339</v>
      </c>
      <c r="I9" s="31">
        <f t="shared" si="1"/>
        <v>14441.841295895258</v>
      </c>
      <c r="J9" s="31">
        <f t="shared" si="1"/>
        <v>15741.607012525832</v>
      </c>
      <c r="K9" s="31">
        <f t="shared" si="1"/>
        <v>17158.351643653161</v>
      </c>
      <c r="L9" s="31">
        <f t="shared" si="1"/>
        <v>18702.603291581949</v>
      </c>
      <c r="M9" s="31">
        <f t="shared" si="1"/>
        <v>20011.785521992679</v>
      </c>
      <c r="N9" s="31">
        <f t="shared" si="1"/>
        <v>21412.610508532172</v>
      </c>
      <c r="O9" s="31">
        <f t="shared" si="1"/>
        <v>22697.367139044101</v>
      </c>
      <c r="P9" s="31">
        <f t="shared" si="1"/>
        <v>23832.235495996305</v>
      </c>
    </row>
    <row r="11" spans="2:16" x14ac:dyDescent="0.2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</row>
    <row r="12" spans="2:16" x14ac:dyDescent="0.2">
      <c r="B12" s="43" t="s">
        <v>108</v>
      </c>
      <c r="C12" s="46">
        <f>Drivers!C45</f>
        <v>43.78230578142314</v>
      </c>
      <c r="D12" s="46">
        <f>Drivers!D45</f>
        <v>47.748220847244262</v>
      </c>
      <c r="E12" s="46">
        <f>Drivers!E45</f>
        <v>35.531377222665036</v>
      </c>
      <c r="F12" s="56"/>
      <c r="G12" s="46">
        <f>CHOOSE(Drivers!$C$3,Drivers!G32,Drivers!G45,Drivers!G58)</f>
        <v>35.531377222665036</v>
      </c>
      <c r="H12" s="46">
        <f>CHOOSE(Drivers!$C$3,Drivers!H32,Drivers!H45,Drivers!H58)</f>
        <v>35.531377222665036</v>
      </c>
      <c r="I12" s="46">
        <f>CHOOSE(Drivers!$C$3,Drivers!I32,Drivers!I45,Drivers!I58)</f>
        <v>35.531377222665036</v>
      </c>
      <c r="J12" s="46">
        <f>CHOOSE(Drivers!$C$3,Drivers!J32,Drivers!J45,Drivers!J58)</f>
        <v>35.531377222665036</v>
      </c>
      <c r="K12" s="46">
        <f>CHOOSE(Drivers!$C$3,Drivers!K32,Drivers!K45,Drivers!K58)</f>
        <v>35.531377222665036</v>
      </c>
      <c r="L12" s="46">
        <f>CHOOSE(Drivers!$C$3,Drivers!L32,Drivers!L45,Drivers!L58)</f>
        <v>35.531377222665036</v>
      </c>
      <c r="M12" s="46">
        <f>CHOOSE(Drivers!$C$3,Drivers!M32,Drivers!M45,Drivers!M58)</f>
        <v>35.531377222665036</v>
      </c>
      <c r="N12" s="46">
        <f>CHOOSE(Drivers!$C$3,Drivers!N32,Drivers!N45,Drivers!N58)</f>
        <v>35.531377222665036</v>
      </c>
      <c r="O12" s="46">
        <f>CHOOSE(Drivers!$C$3,Drivers!O32,Drivers!O45,Drivers!O58)</f>
        <v>35.531377222665036</v>
      </c>
      <c r="P12" s="46">
        <f>CHOOSE(Drivers!$C$3,Drivers!P32,Drivers!P45,Drivers!P58)</f>
        <v>35.531377222665036</v>
      </c>
    </row>
    <row r="13" spans="2:16" x14ac:dyDescent="0.2">
      <c r="B13" s="43" t="s">
        <v>109</v>
      </c>
      <c r="C13" s="46">
        <f>Drivers!C46</f>
        <v>109.97364206692042</v>
      </c>
      <c r="D13" s="46">
        <f>Drivers!D46</f>
        <v>102.01637865851723</v>
      </c>
      <c r="E13" s="46">
        <f>Drivers!E46</f>
        <v>90.961663094334497</v>
      </c>
      <c r="F13" s="56"/>
      <c r="G13" s="46">
        <f>CHOOSE(Drivers!$C$3,Drivers!G33,Drivers!G46,Drivers!G59)</f>
        <v>90.961663094334497</v>
      </c>
      <c r="H13" s="46">
        <f>CHOOSE(Drivers!$C$3,Drivers!H33,Drivers!H46,Drivers!H59)</f>
        <v>90.961663094334497</v>
      </c>
      <c r="I13" s="46">
        <f>CHOOSE(Drivers!$C$3,Drivers!I33,Drivers!I46,Drivers!I59)</f>
        <v>90.961663094334497</v>
      </c>
      <c r="J13" s="46">
        <f>CHOOSE(Drivers!$C$3,Drivers!J33,Drivers!J46,Drivers!J59)</f>
        <v>90.961663094334497</v>
      </c>
      <c r="K13" s="46">
        <f>CHOOSE(Drivers!$C$3,Drivers!K33,Drivers!K46,Drivers!K59)</f>
        <v>90.961663094334497</v>
      </c>
      <c r="L13" s="46">
        <f>CHOOSE(Drivers!$C$3,Drivers!L33,Drivers!L46,Drivers!L59)</f>
        <v>90.961663094334497</v>
      </c>
      <c r="M13" s="46">
        <f>CHOOSE(Drivers!$C$3,Drivers!M33,Drivers!M46,Drivers!M59)</f>
        <v>90.961663094334497</v>
      </c>
      <c r="N13" s="46">
        <f>CHOOSE(Drivers!$C$3,Drivers!N33,Drivers!N46,Drivers!N59)</f>
        <v>90.961663094334497</v>
      </c>
      <c r="O13" s="46">
        <f>CHOOSE(Drivers!$C$3,Drivers!O33,Drivers!O46,Drivers!O59)</f>
        <v>90.961663094334497</v>
      </c>
      <c r="P13" s="46">
        <f>CHOOSE(Drivers!$C$3,Drivers!P33,Drivers!P46,Drivers!P59)</f>
        <v>90.961663094334497</v>
      </c>
    </row>
    <row r="14" spans="2:16" x14ac:dyDescent="0.2">
      <c r="B14" s="43" t="s">
        <v>110</v>
      </c>
      <c r="C14" s="46">
        <f>Drivers!C47</f>
        <v>74.082300332492409</v>
      </c>
      <c r="D14" s="46">
        <f>Drivers!D47</f>
        <v>60.815634415992264</v>
      </c>
      <c r="E14" s="46">
        <f>Drivers!E47</f>
        <v>65.841099442031705</v>
      </c>
      <c r="F14" s="56"/>
      <c r="G14" s="46">
        <f>CHOOSE(Drivers!$C$3,Drivers!G34,Drivers!G47,Drivers!G60)</f>
        <v>65.841099442031705</v>
      </c>
      <c r="H14" s="46">
        <f>CHOOSE(Drivers!$C$3,Drivers!H34,Drivers!H47,Drivers!H60)</f>
        <v>65.841099442031705</v>
      </c>
      <c r="I14" s="46">
        <f>CHOOSE(Drivers!$C$3,Drivers!I34,Drivers!I47,Drivers!I60)</f>
        <v>65.841099442031705</v>
      </c>
      <c r="J14" s="46">
        <f>CHOOSE(Drivers!$C$3,Drivers!J34,Drivers!J47,Drivers!J60)</f>
        <v>65.841099442031705</v>
      </c>
      <c r="K14" s="46">
        <f>CHOOSE(Drivers!$C$3,Drivers!K34,Drivers!K47,Drivers!K60)</f>
        <v>65.841099442031705</v>
      </c>
      <c r="L14" s="46">
        <f>CHOOSE(Drivers!$C$3,Drivers!L34,Drivers!L47,Drivers!L60)</f>
        <v>65.841099442031705</v>
      </c>
      <c r="M14" s="46">
        <f>CHOOSE(Drivers!$C$3,Drivers!M34,Drivers!M47,Drivers!M60)</f>
        <v>65.841099442031705</v>
      </c>
      <c r="N14" s="46">
        <f>CHOOSE(Drivers!$C$3,Drivers!N34,Drivers!N47,Drivers!N60)</f>
        <v>65.841099442031705</v>
      </c>
      <c r="O14" s="46">
        <f>CHOOSE(Drivers!$C$3,Drivers!O34,Drivers!O47,Drivers!O60)</f>
        <v>65.841099442031705</v>
      </c>
      <c r="P14" s="46">
        <f>CHOOSE(Drivers!$C$3,Drivers!P34,Drivers!P47,Drivers!P60)</f>
        <v>65.841099442031705</v>
      </c>
    </row>
    <row r="15" spans="2:16" x14ac:dyDescent="0.2">
      <c r="B15" s="54" t="s">
        <v>142</v>
      </c>
      <c r="C15" s="55">
        <f>C12+C13-C14</f>
        <v>79.673647515851158</v>
      </c>
      <c r="D15" s="55">
        <f t="shared" ref="D15:E15" si="2">D12+D13-D14</f>
        <v>88.948965089769217</v>
      </c>
      <c r="E15" s="55">
        <f t="shared" si="2"/>
        <v>60.651940874967821</v>
      </c>
      <c r="F15" s="56"/>
      <c r="G15" s="55">
        <f t="shared" ref="G15" si="3">G12+G13-G14</f>
        <v>60.651940874967821</v>
      </c>
      <c r="H15" s="55">
        <f t="shared" ref="H15" si="4">H12+H13-H14</f>
        <v>60.651940874967821</v>
      </c>
      <c r="I15" s="55">
        <f t="shared" ref="I15" si="5">I12+I13-I14</f>
        <v>60.651940874967821</v>
      </c>
      <c r="J15" s="55">
        <f t="shared" ref="J15" si="6">J12+J13-J14</f>
        <v>60.651940874967821</v>
      </c>
      <c r="K15" s="55">
        <f t="shared" ref="K15" si="7">K12+K13-K14</f>
        <v>60.651940874967821</v>
      </c>
      <c r="L15" s="55">
        <f t="shared" ref="L15" si="8">L12+L13-L14</f>
        <v>60.651940874967821</v>
      </c>
      <c r="M15" s="55">
        <f t="shared" ref="M15" si="9">M12+M13-M14</f>
        <v>60.651940874967821</v>
      </c>
      <c r="N15" s="55">
        <f t="shared" ref="N15" si="10">N12+N13-N14</f>
        <v>60.651940874967821</v>
      </c>
      <c r="O15" s="55">
        <f t="shared" ref="O15" si="11">O12+O13-O14</f>
        <v>60.651940874967821</v>
      </c>
      <c r="P15" s="55">
        <f t="shared" ref="P15" si="12">P12+P13-P14</f>
        <v>60.651940874967821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2CF7-41B9-445A-8391-21C9091D5C35}">
  <dimension ref="B1:S14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6" width="9.140625" style="1"/>
    <col min="17" max="17" width="2.140625" style="1" customWidth="1"/>
    <col min="18" max="18" width="15" style="1" bestFit="1" customWidth="1"/>
    <col min="19" max="19" width="9.85546875" style="1" bestFit="1" customWidth="1"/>
    <col min="20" max="16384" width="9.140625" style="1"/>
  </cols>
  <sheetData>
    <row r="1" spans="2:19" ht="15.75" x14ac:dyDescent="0.25">
      <c r="B1" s="4" t="s">
        <v>143</v>
      </c>
    </row>
    <row r="2" spans="2:19" x14ac:dyDescent="0.2">
      <c r="C2" s="7"/>
    </row>
    <row r="3" spans="2:19" x14ac:dyDescent="0.2">
      <c r="B3" s="1" t="s">
        <v>144</v>
      </c>
      <c r="C3" s="58">
        <v>1.8200000000000001E-2</v>
      </c>
      <c r="D3" s="58">
        <v>2.99E-3</v>
      </c>
      <c r="E3" s="58">
        <v>1.0999999999999999E-2</v>
      </c>
      <c r="G3" s="59">
        <v>0.02</v>
      </c>
      <c r="H3" s="59">
        <v>2.5000000000000001E-2</v>
      </c>
      <c r="I3" s="59">
        <v>2.5000000000000001E-2</v>
      </c>
      <c r="J3" s="59">
        <v>0.03</v>
      </c>
      <c r="K3" s="59">
        <v>0.03</v>
      </c>
      <c r="L3" s="59">
        <v>0.03</v>
      </c>
      <c r="M3" s="59">
        <v>0.03</v>
      </c>
      <c r="N3" s="59">
        <v>0.03</v>
      </c>
      <c r="O3" s="59">
        <v>0.03</v>
      </c>
      <c r="P3" s="59">
        <v>0.03</v>
      </c>
    </row>
    <row r="5" spans="2:19" x14ac:dyDescent="0.2">
      <c r="B5" s="14" t="s">
        <v>146</v>
      </c>
      <c r="C5" s="15">
        <f>D5-1</f>
        <v>2020</v>
      </c>
      <c r="D5" s="15">
        <f>E5-1</f>
        <v>2021</v>
      </c>
      <c r="E5" s="15">
        <f>G5-1</f>
        <v>2022</v>
      </c>
      <c r="F5" s="14"/>
      <c r="G5" s="16">
        <f>Drivers!C11</f>
        <v>2023</v>
      </c>
      <c r="H5" s="16">
        <f>G5+1</f>
        <v>2024</v>
      </c>
      <c r="I5" s="16">
        <f t="shared" ref="I5:P5" si="0">H5+1</f>
        <v>2025</v>
      </c>
      <c r="J5" s="16">
        <f t="shared" si="0"/>
        <v>2026</v>
      </c>
      <c r="K5" s="16">
        <f t="shared" si="0"/>
        <v>2027</v>
      </c>
      <c r="L5" s="16">
        <f t="shared" si="0"/>
        <v>2028</v>
      </c>
      <c r="M5" s="16">
        <f t="shared" si="0"/>
        <v>2029</v>
      </c>
      <c r="N5" s="16">
        <f t="shared" si="0"/>
        <v>2030</v>
      </c>
      <c r="O5" s="16">
        <f t="shared" si="0"/>
        <v>2031</v>
      </c>
      <c r="P5" s="16">
        <f t="shared" si="0"/>
        <v>2032</v>
      </c>
      <c r="R5" s="14" t="s">
        <v>147</v>
      </c>
    </row>
    <row r="6" spans="2:19" x14ac:dyDescent="0.2">
      <c r="B6" s="1" t="s">
        <v>77</v>
      </c>
      <c r="G6" s="60">
        <f>G$3+$R6</f>
        <v>0.05</v>
      </c>
      <c r="H6" s="60">
        <f t="shared" ref="H6:P9" si="1">H$3+$R6</f>
        <v>5.5E-2</v>
      </c>
      <c r="I6" s="60">
        <f t="shared" si="1"/>
        <v>5.5E-2</v>
      </c>
      <c r="J6" s="60">
        <f t="shared" si="1"/>
        <v>0.06</v>
      </c>
      <c r="K6" s="60">
        <f t="shared" si="1"/>
        <v>0.06</v>
      </c>
      <c r="L6" s="60">
        <f t="shared" si="1"/>
        <v>0.06</v>
      </c>
      <c r="M6" s="60">
        <f t="shared" si="1"/>
        <v>0.06</v>
      </c>
      <c r="N6" s="60">
        <f t="shared" si="1"/>
        <v>0.06</v>
      </c>
      <c r="O6" s="60">
        <f t="shared" si="1"/>
        <v>0.06</v>
      </c>
      <c r="P6" s="60">
        <f t="shared" si="1"/>
        <v>0.06</v>
      </c>
      <c r="R6" s="59">
        <v>0.03</v>
      </c>
    </row>
    <row r="7" spans="2:19" x14ac:dyDescent="0.2">
      <c r="B7" s="1" t="s">
        <v>79</v>
      </c>
      <c r="G7" s="60">
        <f t="shared" ref="G7:G9" si="2">G$3+$R7</f>
        <v>5.5000000000000007E-2</v>
      </c>
      <c r="H7" s="60">
        <f t="shared" si="1"/>
        <v>6.0000000000000005E-2</v>
      </c>
      <c r="I7" s="60">
        <f t="shared" si="1"/>
        <v>6.0000000000000005E-2</v>
      </c>
      <c r="J7" s="60">
        <f t="shared" si="1"/>
        <v>6.5000000000000002E-2</v>
      </c>
      <c r="K7" s="60">
        <f t="shared" si="1"/>
        <v>6.5000000000000002E-2</v>
      </c>
      <c r="L7" s="60">
        <f t="shared" si="1"/>
        <v>6.5000000000000002E-2</v>
      </c>
      <c r="M7" s="60">
        <f t="shared" si="1"/>
        <v>6.5000000000000002E-2</v>
      </c>
      <c r="N7" s="60">
        <f t="shared" si="1"/>
        <v>6.5000000000000002E-2</v>
      </c>
      <c r="O7" s="60">
        <f t="shared" si="1"/>
        <v>6.5000000000000002E-2</v>
      </c>
      <c r="P7" s="60">
        <f t="shared" si="1"/>
        <v>6.5000000000000002E-2</v>
      </c>
      <c r="R7" s="59">
        <v>3.5000000000000003E-2</v>
      </c>
    </row>
    <row r="8" spans="2:19" x14ac:dyDescent="0.2">
      <c r="B8" s="1" t="s">
        <v>80</v>
      </c>
      <c r="G8" s="60">
        <f t="shared" si="2"/>
        <v>0.06</v>
      </c>
      <c r="H8" s="60">
        <f t="shared" si="1"/>
        <v>6.5000000000000002E-2</v>
      </c>
      <c r="I8" s="60">
        <f t="shared" si="1"/>
        <v>6.5000000000000002E-2</v>
      </c>
      <c r="J8" s="60">
        <f t="shared" si="1"/>
        <v>7.0000000000000007E-2</v>
      </c>
      <c r="K8" s="60">
        <f t="shared" si="1"/>
        <v>7.0000000000000007E-2</v>
      </c>
      <c r="L8" s="60">
        <f t="shared" si="1"/>
        <v>7.0000000000000007E-2</v>
      </c>
      <c r="M8" s="60">
        <f t="shared" si="1"/>
        <v>7.0000000000000007E-2</v>
      </c>
      <c r="N8" s="60">
        <f t="shared" si="1"/>
        <v>7.0000000000000007E-2</v>
      </c>
      <c r="O8" s="60">
        <f t="shared" si="1"/>
        <v>7.0000000000000007E-2</v>
      </c>
      <c r="P8" s="60">
        <f t="shared" si="1"/>
        <v>7.0000000000000007E-2</v>
      </c>
      <c r="R8" s="59">
        <v>0.04</v>
      </c>
    </row>
    <row r="9" spans="2:19" x14ac:dyDescent="0.2">
      <c r="B9" s="1" t="s">
        <v>145</v>
      </c>
      <c r="G9" s="60">
        <f t="shared" si="2"/>
        <v>7.0000000000000007E-2</v>
      </c>
      <c r="H9" s="60">
        <f t="shared" si="1"/>
        <v>7.5000000000000011E-2</v>
      </c>
      <c r="I9" s="60">
        <f t="shared" si="1"/>
        <v>7.5000000000000011E-2</v>
      </c>
      <c r="J9" s="60">
        <f t="shared" si="1"/>
        <v>0.08</v>
      </c>
      <c r="K9" s="60">
        <f t="shared" si="1"/>
        <v>0.08</v>
      </c>
      <c r="L9" s="60">
        <f t="shared" si="1"/>
        <v>0.08</v>
      </c>
      <c r="M9" s="60">
        <f t="shared" si="1"/>
        <v>0.08</v>
      </c>
      <c r="N9" s="60">
        <f t="shared" si="1"/>
        <v>0.08</v>
      </c>
      <c r="O9" s="60">
        <f t="shared" si="1"/>
        <v>0.08</v>
      </c>
      <c r="P9" s="60">
        <f t="shared" si="1"/>
        <v>0.08</v>
      </c>
      <c r="R9" s="59">
        <v>0.05</v>
      </c>
    </row>
    <row r="11" spans="2:19" x14ac:dyDescent="0.2">
      <c r="B11" s="61" t="s">
        <v>148</v>
      </c>
      <c r="G11" s="14">
        <v>1</v>
      </c>
      <c r="H11" s="14">
        <v>2</v>
      </c>
      <c r="I11" s="14">
        <v>3</v>
      </c>
      <c r="J11" s="14">
        <v>4</v>
      </c>
      <c r="K11" s="14">
        <v>5</v>
      </c>
      <c r="L11" s="14">
        <v>6</v>
      </c>
      <c r="M11" s="14">
        <v>7</v>
      </c>
      <c r="N11" s="14">
        <v>8</v>
      </c>
      <c r="O11" s="14">
        <v>9</v>
      </c>
      <c r="P11" s="14">
        <v>10</v>
      </c>
      <c r="R11" s="14" t="s">
        <v>150</v>
      </c>
      <c r="S11" s="14" t="s">
        <v>149</v>
      </c>
    </row>
    <row r="12" spans="2:19" x14ac:dyDescent="0.2">
      <c r="B12" s="1" t="s">
        <v>77</v>
      </c>
      <c r="G12" s="57">
        <f>IF(G$11&lt;=$S12,MIN($R12,1-SUM($F12:F12)),1-SUM($F12:F12))</f>
        <v>0</v>
      </c>
      <c r="H12" s="57">
        <f>IF(H$11&lt;=$S12,MIN($R12,1-SUM($F12:G12)),1-SUM($F12:G12))</f>
        <v>0</v>
      </c>
      <c r="I12" s="57">
        <f>IF(I$11&lt;=$S12,MIN($R12,1-SUM($F12:H12)),1-SUM($F12:H12))</f>
        <v>0</v>
      </c>
      <c r="J12" s="57">
        <f>IF(J$11&lt;=$S12,MIN($R12,1-SUM($F12:I12)),1-SUM($F12:I12))</f>
        <v>0</v>
      </c>
      <c r="K12" s="57">
        <f>IF(K$11&lt;=$S12,MIN($R12,1-SUM($F12:J12)),1-SUM($F12:J12))</f>
        <v>0</v>
      </c>
      <c r="L12" s="57">
        <f>IF(L$11&lt;=$S12,MIN($R12,1-SUM($F12:K12)),1-SUM($F12:K12))</f>
        <v>0</v>
      </c>
      <c r="M12" s="57">
        <f>IF(M$11&lt;=$S12,MIN($R12,1-SUM($F12:L12)),1-SUM($F12:L12))</f>
        <v>0</v>
      </c>
      <c r="N12" s="57">
        <f>IF(N$11&lt;=$S12,MIN($R12,1-SUM($F12:M12)),1-SUM($F12:M12))</f>
        <v>1</v>
      </c>
      <c r="O12" s="57">
        <f>IF(O$11&lt;=$S12,MIN($R12,1-SUM($F12:N12)),1-SUM($F12:N12))</f>
        <v>0</v>
      </c>
      <c r="P12" s="57">
        <f>IF(P$11&lt;=$S12,MIN($R12,1-SUM($F12:O12)),1-SUM($F12:O12))</f>
        <v>0</v>
      </c>
      <c r="R12" s="7">
        <v>0</v>
      </c>
      <c r="S12" s="5">
        <v>7</v>
      </c>
    </row>
    <row r="13" spans="2:19" x14ac:dyDescent="0.2">
      <c r="B13" s="1" t="s">
        <v>79</v>
      </c>
      <c r="G13" s="57">
        <f>IF(G$11&lt;=$S13,MIN($R13,1-SUM($F13:F13)),1-SUM($F13:F13))</f>
        <v>0.1</v>
      </c>
      <c r="H13" s="57">
        <f>IF(H$11&lt;=$S13,MIN($R13,1-SUM($F13:G13)),1-SUM($F13:G13))</f>
        <v>0.1</v>
      </c>
      <c r="I13" s="57">
        <f>IF(I$11&lt;=$S13,MIN($R13,1-SUM($F13:H13)),1-SUM($F13:H13))</f>
        <v>0.1</v>
      </c>
      <c r="J13" s="57">
        <f>IF(J$11&lt;=$S13,MIN($R13,1-SUM($F13:I13)),1-SUM($F13:I13))</f>
        <v>0.1</v>
      </c>
      <c r="K13" s="57">
        <f>IF(K$11&lt;=$S13,MIN($R13,1-SUM($F13:J13)),1-SUM($F13:J13))</f>
        <v>0.1</v>
      </c>
      <c r="L13" s="57">
        <f>IF(L$11&lt;=$S13,MIN($R13,1-SUM($F13:K13)),1-SUM($F13:K13))</f>
        <v>0.1</v>
      </c>
      <c r="M13" s="57">
        <f>IF(M$11&lt;=$S13,MIN($R13,1-SUM($F13:L13)),1-SUM($F13:L13))</f>
        <v>0.1</v>
      </c>
      <c r="N13" s="57">
        <f>IF(N$11&lt;=$S13,MIN($R13,1-SUM($F13:M13)),1-SUM($F13:M13))</f>
        <v>0.1</v>
      </c>
      <c r="O13" s="57">
        <f>IF(O$11&lt;=$S13,MIN($R13,1-SUM($F13:N13)),1-SUM($F13:N13))</f>
        <v>0.20000000000000007</v>
      </c>
      <c r="P13" s="57">
        <f>IF(P$11&lt;=$S13,MIN($R13,1-SUM($F13:O13)),1-SUM($F13:O13))</f>
        <v>0</v>
      </c>
      <c r="R13" s="7">
        <v>0.1</v>
      </c>
      <c r="S13" s="5">
        <v>8</v>
      </c>
    </row>
    <row r="14" spans="2:19" x14ac:dyDescent="0.2">
      <c r="B14" s="1" t="s">
        <v>80</v>
      </c>
      <c r="G14" s="57">
        <f>IF(G$11&lt;=$S14,MIN($R14,1-SUM($F14:F14)),1-SUM($F14:F14))</f>
        <v>0.05</v>
      </c>
      <c r="H14" s="57">
        <f>IF(H$11&lt;=$S14,MIN($R14,1-SUM($F14:G14)),1-SUM($F14:G14))</f>
        <v>0.05</v>
      </c>
      <c r="I14" s="57">
        <f>IF(I$11&lt;=$S14,MIN($R14,1-SUM($F14:H14)),1-SUM($F14:H14))</f>
        <v>0.05</v>
      </c>
      <c r="J14" s="57">
        <f>IF(J$11&lt;=$S14,MIN($R14,1-SUM($F14:I14)),1-SUM($F14:I14))</f>
        <v>0.05</v>
      </c>
      <c r="K14" s="57">
        <f>IF(K$11&lt;=$S14,MIN($R14,1-SUM($F14:J14)),1-SUM($F14:J14))</f>
        <v>0.05</v>
      </c>
      <c r="L14" s="57">
        <f>IF(L$11&lt;=$S14,MIN($R14,1-SUM($F14:K14)),1-SUM($F14:K14))</f>
        <v>0.05</v>
      </c>
      <c r="M14" s="57">
        <f>IF(M$11&lt;=$S14,MIN($R14,1-SUM($F14:L14)),1-SUM($F14:L14))</f>
        <v>0.05</v>
      </c>
      <c r="N14" s="57">
        <f>IF(N$11&lt;=$S14,MIN($R14,1-SUM($F14:M14)),1-SUM($F14:M14))</f>
        <v>0.05</v>
      </c>
      <c r="O14" s="57">
        <f>IF(O$11&lt;=$S14,MIN($R14,1-SUM($F14:N14)),1-SUM($F14:N14))</f>
        <v>0.05</v>
      </c>
      <c r="P14" s="57">
        <f>IF(P$11&lt;=$S14,MIN($R14,1-SUM($F14:O14)),1-SUM($F14:O14))</f>
        <v>0.55000000000000004</v>
      </c>
      <c r="R14" s="7">
        <v>0.05</v>
      </c>
      <c r="S14" s="5">
        <v>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4B4B-54F9-4503-B19F-FE208706C1D1}">
  <dimension ref="B1:P35"/>
  <sheetViews>
    <sheetView zoomScale="130" zoomScaleNormal="130" workbookViewId="0">
      <selection activeCell="P17" sqref="P17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6" width="9.140625" style="1"/>
    <col min="17" max="17" width="2.140625" style="1" customWidth="1"/>
    <col min="18" max="18" width="15" style="1" bestFit="1" customWidth="1"/>
    <col min="19" max="19" width="9.85546875" style="1" bestFit="1" customWidth="1"/>
    <col min="20" max="16384" width="9.140625" style="1"/>
  </cols>
  <sheetData>
    <row r="1" spans="2:16" ht="15.75" x14ac:dyDescent="0.25">
      <c r="B1" s="4" t="s">
        <v>95</v>
      </c>
    </row>
    <row r="2" spans="2:16" x14ac:dyDescent="0.2">
      <c r="C2" s="7"/>
    </row>
    <row r="5" spans="2:16" x14ac:dyDescent="0.2">
      <c r="B5" s="14" t="str">
        <f>Drivers!C13&amp;" "&amp;Drivers!C14</f>
        <v>$ 000s</v>
      </c>
      <c r="C5" s="15">
        <f>D5-1</f>
        <v>2020</v>
      </c>
      <c r="D5" s="15">
        <f>E5-1</f>
        <v>2021</v>
      </c>
      <c r="E5" s="15">
        <f>G5-1</f>
        <v>2022</v>
      </c>
      <c r="F5" s="14"/>
      <c r="G5" s="16">
        <f>Drivers!C11</f>
        <v>2023</v>
      </c>
      <c r="H5" s="16">
        <f>G5+1</f>
        <v>2024</v>
      </c>
      <c r="I5" s="16">
        <f t="shared" ref="I5:P5" si="0">H5+1</f>
        <v>2025</v>
      </c>
      <c r="J5" s="16">
        <f t="shared" si="0"/>
        <v>2026</v>
      </c>
      <c r="K5" s="16">
        <f t="shared" si="0"/>
        <v>2027</v>
      </c>
      <c r="L5" s="16">
        <f t="shared" si="0"/>
        <v>2028</v>
      </c>
      <c r="M5" s="16">
        <f t="shared" si="0"/>
        <v>2029</v>
      </c>
      <c r="N5" s="16">
        <f t="shared" si="0"/>
        <v>2030</v>
      </c>
      <c r="O5" s="16">
        <f t="shared" si="0"/>
        <v>2031</v>
      </c>
      <c r="P5" s="16">
        <f t="shared" si="0"/>
        <v>2032</v>
      </c>
    </row>
    <row r="6" spans="2:16" x14ac:dyDescent="0.2">
      <c r="B6" s="1" t="s">
        <v>164</v>
      </c>
      <c r="G6" s="25">
        <f>'Sources &amp; Uses of funds'!C6</f>
        <v>40000</v>
      </c>
      <c r="H6" s="25">
        <f>G8</f>
        <v>40000</v>
      </c>
      <c r="I6" s="25">
        <f t="shared" ref="I6:P6" si="1">H8</f>
        <v>40000</v>
      </c>
      <c r="J6" s="25">
        <f t="shared" si="1"/>
        <v>40000</v>
      </c>
      <c r="K6" s="25">
        <f t="shared" si="1"/>
        <v>40000</v>
      </c>
      <c r="L6" s="25">
        <f t="shared" si="1"/>
        <v>40000</v>
      </c>
      <c r="M6" s="25">
        <f t="shared" si="1"/>
        <v>40000</v>
      </c>
      <c r="N6" s="25">
        <f t="shared" si="1"/>
        <v>40000</v>
      </c>
      <c r="O6" s="25">
        <f t="shared" si="1"/>
        <v>0</v>
      </c>
      <c r="P6" s="25">
        <f t="shared" si="1"/>
        <v>0</v>
      </c>
    </row>
    <row r="7" spans="2:16" x14ac:dyDescent="0.2">
      <c r="B7" s="1" t="s">
        <v>165</v>
      </c>
      <c r="G7" s="25">
        <f>-$G6*'Debt schedule'!G12</f>
        <v>0</v>
      </c>
      <c r="H7" s="25">
        <f>-$G6*'Debt schedule'!H12</f>
        <v>0</v>
      </c>
      <c r="I7" s="25">
        <f>-$G6*'Debt schedule'!I12</f>
        <v>0</v>
      </c>
      <c r="J7" s="25">
        <f>-$G6*'Debt schedule'!J12</f>
        <v>0</v>
      </c>
      <c r="K7" s="25">
        <f>-$G6*'Debt schedule'!K12</f>
        <v>0</v>
      </c>
      <c r="L7" s="25">
        <f>-$G6*'Debt schedule'!L12</f>
        <v>0</v>
      </c>
      <c r="M7" s="25">
        <f>-$G6*'Debt schedule'!M12</f>
        <v>0</v>
      </c>
      <c r="N7" s="25">
        <f>-$G6*'Debt schedule'!N12</f>
        <v>-40000</v>
      </c>
      <c r="O7" s="25">
        <f>-$G6*'Debt schedule'!O12</f>
        <v>0</v>
      </c>
      <c r="P7" s="25">
        <f>-$G6*'Debt schedule'!P12</f>
        <v>0</v>
      </c>
    </row>
    <row r="8" spans="2:16" x14ac:dyDescent="0.2">
      <c r="B8" s="1" t="s">
        <v>166</v>
      </c>
      <c r="G8" s="25">
        <f>G6+G7</f>
        <v>40000</v>
      </c>
      <c r="H8" s="25">
        <f t="shared" ref="H8:P8" si="2">H6+H7</f>
        <v>40000</v>
      </c>
      <c r="I8" s="25">
        <f t="shared" si="2"/>
        <v>40000</v>
      </c>
      <c r="J8" s="25">
        <f t="shared" si="2"/>
        <v>40000</v>
      </c>
      <c r="K8" s="25">
        <f t="shared" si="2"/>
        <v>40000</v>
      </c>
      <c r="L8" s="25">
        <f t="shared" si="2"/>
        <v>40000</v>
      </c>
      <c r="M8" s="25">
        <f t="shared" si="2"/>
        <v>40000</v>
      </c>
      <c r="N8" s="25">
        <f t="shared" si="2"/>
        <v>0</v>
      </c>
      <c r="O8" s="25">
        <f t="shared" si="2"/>
        <v>0</v>
      </c>
      <c r="P8" s="25">
        <f t="shared" si="2"/>
        <v>0</v>
      </c>
    </row>
    <row r="9" spans="2:16" x14ac:dyDescent="0.2">
      <c r="B9" s="1" t="s">
        <v>167</v>
      </c>
      <c r="G9" s="25">
        <f>-G6*'Debt schedule'!G6</f>
        <v>-2000</v>
      </c>
      <c r="H9" s="25">
        <f>-H6*'Debt schedule'!H6</f>
        <v>-2200</v>
      </c>
      <c r="I9" s="25">
        <f>-I6*'Debt schedule'!I6</f>
        <v>-2200</v>
      </c>
      <c r="J9" s="25">
        <f>-J6*'Debt schedule'!J6</f>
        <v>-2400</v>
      </c>
      <c r="K9" s="25">
        <f>-K6*'Debt schedule'!K6</f>
        <v>-2400</v>
      </c>
      <c r="L9" s="25">
        <f>-L6*'Debt schedule'!L6</f>
        <v>-2400</v>
      </c>
      <c r="M9" s="25">
        <f>-M6*'Debt schedule'!M6</f>
        <v>-2400</v>
      </c>
      <c r="N9" s="25">
        <f>-N6*'Debt schedule'!N6</f>
        <v>-2400</v>
      </c>
      <c r="O9" s="25">
        <f>-O6*'Debt schedule'!O6</f>
        <v>0</v>
      </c>
      <c r="P9" s="25">
        <f>-P6*'Debt schedule'!P6</f>
        <v>0</v>
      </c>
    </row>
    <row r="10" spans="2:16" x14ac:dyDescent="0.2"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2:16" x14ac:dyDescent="0.2">
      <c r="B11" s="1" t="s">
        <v>168</v>
      </c>
      <c r="G11" s="25">
        <f>'Sources &amp; Uses of funds'!C7</f>
        <v>60000</v>
      </c>
      <c r="H11" s="25">
        <f t="shared" ref="H11:P11" si="3">G13</f>
        <v>54000</v>
      </c>
      <c r="I11" s="25">
        <f t="shared" si="3"/>
        <v>48000</v>
      </c>
      <c r="J11" s="25">
        <f t="shared" si="3"/>
        <v>42000</v>
      </c>
      <c r="K11" s="25">
        <f t="shared" si="3"/>
        <v>36000</v>
      </c>
      <c r="L11" s="25">
        <f t="shared" si="3"/>
        <v>30000</v>
      </c>
      <c r="M11" s="25">
        <f t="shared" si="3"/>
        <v>24000</v>
      </c>
      <c r="N11" s="25">
        <f t="shared" si="3"/>
        <v>18000</v>
      </c>
      <c r="O11" s="25">
        <f t="shared" si="3"/>
        <v>12000</v>
      </c>
      <c r="P11" s="25">
        <f t="shared" si="3"/>
        <v>0</v>
      </c>
    </row>
    <row r="12" spans="2:16" x14ac:dyDescent="0.2">
      <c r="B12" s="1" t="s">
        <v>169</v>
      </c>
      <c r="G12" s="25">
        <f>-$G11*'Debt schedule'!G13</f>
        <v>-6000</v>
      </c>
      <c r="H12" s="25">
        <f>-$G11*'Debt schedule'!H13</f>
        <v>-6000</v>
      </c>
      <c r="I12" s="25">
        <f>-$G11*'Debt schedule'!I13</f>
        <v>-6000</v>
      </c>
      <c r="J12" s="25">
        <f>-$G11*'Debt schedule'!J13</f>
        <v>-6000</v>
      </c>
      <c r="K12" s="25">
        <f>-$G11*'Debt schedule'!K13</f>
        <v>-6000</v>
      </c>
      <c r="L12" s="25">
        <f>-$G11*'Debt schedule'!L13</f>
        <v>-6000</v>
      </c>
      <c r="M12" s="25">
        <f>-$G11*'Debt schedule'!M13</f>
        <v>-6000</v>
      </c>
      <c r="N12" s="25">
        <f>-$G11*'Debt schedule'!N13</f>
        <v>-6000</v>
      </c>
      <c r="O12" s="25">
        <f>-$G11*'Debt schedule'!O13</f>
        <v>-12000.000000000004</v>
      </c>
      <c r="P12" s="25">
        <f>-$G11*'Debt schedule'!P13</f>
        <v>0</v>
      </c>
    </row>
    <row r="13" spans="2:16" x14ac:dyDescent="0.2">
      <c r="B13" s="1" t="s">
        <v>170</v>
      </c>
      <c r="G13" s="25">
        <f t="shared" ref="G13:P13" si="4">G11+G12</f>
        <v>54000</v>
      </c>
      <c r="H13" s="25">
        <f t="shared" si="4"/>
        <v>48000</v>
      </c>
      <c r="I13" s="25">
        <f t="shared" si="4"/>
        <v>42000</v>
      </c>
      <c r="J13" s="25">
        <f t="shared" si="4"/>
        <v>36000</v>
      </c>
      <c r="K13" s="25">
        <f t="shared" si="4"/>
        <v>30000</v>
      </c>
      <c r="L13" s="25">
        <f t="shared" si="4"/>
        <v>24000</v>
      </c>
      <c r="M13" s="25">
        <f t="shared" si="4"/>
        <v>18000</v>
      </c>
      <c r="N13" s="25">
        <f t="shared" si="4"/>
        <v>12000</v>
      </c>
      <c r="O13" s="25">
        <f t="shared" si="4"/>
        <v>0</v>
      </c>
      <c r="P13" s="25">
        <f t="shared" si="4"/>
        <v>0</v>
      </c>
    </row>
    <row r="14" spans="2:16" x14ac:dyDescent="0.2">
      <c r="B14" s="1" t="s">
        <v>171</v>
      </c>
      <c r="G14" s="25">
        <f>-G11*'Debt schedule'!G7</f>
        <v>-3300.0000000000005</v>
      </c>
      <c r="H14" s="25">
        <f>-H11*'Debt schedule'!H7</f>
        <v>-3240.0000000000005</v>
      </c>
      <c r="I14" s="25">
        <f>-I11*'Debt schedule'!I7</f>
        <v>-2880</v>
      </c>
      <c r="J14" s="25">
        <f>-J11*'Debt schedule'!J7</f>
        <v>-2730</v>
      </c>
      <c r="K14" s="25">
        <f>-K11*'Debt schedule'!K7</f>
        <v>-2340</v>
      </c>
      <c r="L14" s="25">
        <f>-L11*'Debt schedule'!L7</f>
        <v>-1950</v>
      </c>
      <c r="M14" s="25">
        <f>-M11*'Debt schedule'!M7</f>
        <v>-1560</v>
      </c>
      <c r="N14" s="25">
        <f>-N11*'Debt schedule'!N7</f>
        <v>-1170</v>
      </c>
      <c r="O14" s="25">
        <f>-O11*'Debt schedule'!O7</f>
        <v>-780</v>
      </c>
      <c r="P14" s="25">
        <f>-P11*'Debt schedule'!P7</f>
        <v>0</v>
      </c>
    </row>
    <row r="15" spans="2:16" x14ac:dyDescent="0.2"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2:16" x14ac:dyDescent="0.2">
      <c r="B16" s="1" t="s">
        <v>172</v>
      </c>
      <c r="G16" s="25">
        <f>'Sources &amp; Uses of funds'!C8</f>
        <v>60000</v>
      </c>
      <c r="H16" s="25">
        <f t="shared" ref="H16:P16" si="5">G18</f>
        <v>57000</v>
      </c>
      <c r="I16" s="25">
        <f t="shared" si="5"/>
        <v>54000</v>
      </c>
      <c r="J16" s="25">
        <f t="shared" si="5"/>
        <v>51000</v>
      </c>
      <c r="K16" s="25">
        <f t="shared" si="5"/>
        <v>48000</v>
      </c>
      <c r="L16" s="25">
        <f t="shared" si="5"/>
        <v>45000</v>
      </c>
      <c r="M16" s="25">
        <f t="shared" si="5"/>
        <v>42000</v>
      </c>
      <c r="N16" s="25">
        <f t="shared" si="5"/>
        <v>39000</v>
      </c>
      <c r="O16" s="25">
        <f t="shared" si="5"/>
        <v>36000</v>
      </c>
      <c r="P16" s="25">
        <f t="shared" si="5"/>
        <v>33000</v>
      </c>
    </row>
    <row r="17" spans="2:16" x14ac:dyDescent="0.2">
      <c r="B17" s="1" t="s">
        <v>173</v>
      </c>
      <c r="G17" s="25">
        <f>-$G16*'Debt schedule'!G14</f>
        <v>-3000</v>
      </c>
      <c r="H17" s="25">
        <f>-$G16*'Debt schedule'!H14</f>
        <v>-3000</v>
      </c>
      <c r="I17" s="25">
        <f>-$G16*'Debt schedule'!I14</f>
        <v>-3000</v>
      </c>
      <c r="J17" s="25">
        <f>-$G16*'Debt schedule'!J14</f>
        <v>-3000</v>
      </c>
      <c r="K17" s="25">
        <f>-$G16*'Debt schedule'!K14</f>
        <v>-3000</v>
      </c>
      <c r="L17" s="25">
        <f>-$G16*'Debt schedule'!L14</f>
        <v>-3000</v>
      </c>
      <c r="M17" s="25">
        <f>-$G16*'Debt schedule'!M14</f>
        <v>-3000</v>
      </c>
      <c r="N17" s="25">
        <f>-$G16*'Debt schedule'!N14</f>
        <v>-3000</v>
      </c>
      <c r="O17" s="25">
        <f>-$G16*'Debt schedule'!O14</f>
        <v>-3000</v>
      </c>
      <c r="P17" s="25">
        <f>-$G16*'Debt schedule'!P14</f>
        <v>-33000</v>
      </c>
    </row>
    <row r="18" spans="2:16" x14ac:dyDescent="0.2">
      <c r="B18" s="1" t="s">
        <v>174</v>
      </c>
      <c r="G18" s="25">
        <f t="shared" ref="G18:P18" si="6">G16+G17</f>
        <v>57000</v>
      </c>
      <c r="H18" s="25">
        <f t="shared" si="6"/>
        <v>54000</v>
      </c>
      <c r="I18" s="25">
        <f t="shared" si="6"/>
        <v>51000</v>
      </c>
      <c r="J18" s="25">
        <f t="shared" si="6"/>
        <v>48000</v>
      </c>
      <c r="K18" s="25">
        <f t="shared" si="6"/>
        <v>45000</v>
      </c>
      <c r="L18" s="25">
        <f t="shared" si="6"/>
        <v>42000</v>
      </c>
      <c r="M18" s="25">
        <f t="shared" si="6"/>
        <v>39000</v>
      </c>
      <c r="N18" s="25">
        <f t="shared" si="6"/>
        <v>36000</v>
      </c>
      <c r="O18" s="25">
        <f t="shared" si="6"/>
        <v>33000</v>
      </c>
      <c r="P18" s="25">
        <f t="shared" si="6"/>
        <v>0</v>
      </c>
    </row>
    <row r="19" spans="2:16" x14ac:dyDescent="0.2">
      <c r="B19" s="1" t="s">
        <v>175</v>
      </c>
      <c r="G19" s="25">
        <f>-G16*'Debt schedule'!G8</f>
        <v>-3600</v>
      </c>
      <c r="H19" s="25">
        <f>-H16*'Debt schedule'!H8</f>
        <v>-3705</v>
      </c>
      <c r="I19" s="25">
        <f>-I16*'Debt schedule'!I8</f>
        <v>-3510</v>
      </c>
      <c r="J19" s="25">
        <f>-J16*'Debt schedule'!J8</f>
        <v>-3570.0000000000005</v>
      </c>
      <c r="K19" s="25">
        <f>-K16*'Debt schedule'!K8</f>
        <v>-3360.0000000000005</v>
      </c>
      <c r="L19" s="25">
        <f>-L16*'Debt schedule'!L8</f>
        <v>-3150.0000000000005</v>
      </c>
      <c r="M19" s="25">
        <f>-M16*'Debt schedule'!M8</f>
        <v>-2940.0000000000005</v>
      </c>
      <c r="N19" s="25">
        <f>-N16*'Debt schedule'!N8</f>
        <v>-2730.0000000000005</v>
      </c>
      <c r="O19" s="25">
        <f>-O16*'Debt schedule'!O8</f>
        <v>-2520.0000000000005</v>
      </c>
      <c r="P19" s="25">
        <f>-P16*'Debt schedule'!P8</f>
        <v>-2310</v>
      </c>
    </row>
    <row r="22" spans="2:16" x14ac:dyDescent="0.2">
      <c r="B22" s="61" t="s">
        <v>184</v>
      </c>
    </row>
    <row r="23" spans="2:16" x14ac:dyDescent="0.2">
      <c r="B23" s="1" t="s">
        <v>155</v>
      </c>
      <c r="G23" s="25">
        <f ca="1">'Cash flow'!G13</f>
        <v>9356.2046373958656</v>
      </c>
      <c r="H23" s="25">
        <f ca="1">'Cash flow'!H13</f>
        <v>12229.965320458838</v>
      </c>
      <c r="I23" s="25">
        <f ca="1">'Cash flow'!I13</f>
        <v>14916.435860080483</v>
      </c>
      <c r="J23" s="25">
        <f ca="1">'Cash flow'!J13</f>
        <v>17379.79102578637</v>
      </c>
      <c r="K23" s="25">
        <f ca="1">'Cash flow'!K13</f>
        <v>19999.671027258228</v>
      </c>
      <c r="L23" s="25">
        <f ca="1">'Cash flow'!L13</f>
        <v>22815.920228862553</v>
      </c>
      <c r="M23" s="25">
        <f ca="1">'Cash flow'!M13</f>
        <v>25850.232313145338</v>
      </c>
      <c r="N23" s="25">
        <f ca="1">'Cash flow'!N13</f>
        <v>28280.384299421839</v>
      </c>
      <c r="O23" s="25">
        <f ca="1">'Cash flow'!O13</f>
        <v>32822.299462397321</v>
      </c>
      <c r="P23" s="25">
        <f ca="1">'Cash flow'!P13</f>
        <v>35738.114239323993</v>
      </c>
    </row>
    <row r="24" spans="2:16" x14ac:dyDescent="0.2">
      <c r="B24" s="1" t="s">
        <v>156</v>
      </c>
      <c r="G24" s="25">
        <f>'Cash flow'!G16</f>
        <v>-4156.5720000000019</v>
      </c>
      <c r="H24" s="25">
        <f>'Cash flow'!H16</f>
        <v>-4655.3606400000026</v>
      </c>
      <c r="I24" s="25">
        <f>'Cash flow'!I16</f>
        <v>-5214.003916800003</v>
      </c>
      <c r="J24" s="25">
        <f>'Cash flow'!J16</f>
        <v>-5683.2642693120042</v>
      </c>
      <c r="K24" s="25">
        <f>'Cash flow'!K16</f>
        <v>-6194.7580535500856</v>
      </c>
      <c r="L24" s="25">
        <f>'Cash flow'!L16</f>
        <v>-6752.2862783695928</v>
      </c>
      <c r="M24" s="25">
        <f>'Cash flow'!M16</f>
        <v>-7224.9463178554652</v>
      </c>
      <c r="N24" s="25">
        <f>'Cash flow'!N16</f>
        <v>-7730.6925601053481</v>
      </c>
      <c r="O24" s="25">
        <f>'Cash flow'!O16</f>
        <v>-8194.5341137116684</v>
      </c>
      <c r="P24" s="25">
        <f>'Cash flow'!P16</f>
        <v>-8604.2608193972537</v>
      </c>
    </row>
    <row r="25" spans="2:16" x14ac:dyDescent="0.2">
      <c r="B25" s="1" t="s">
        <v>185</v>
      </c>
      <c r="G25" s="25">
        <f ca="1">SUM('Cash flow'!G20:G23)</f>
        <v>-9000</v>
      </c>
      <c r="H25" s="25">
        <f ca="1">SUM('Cash flow'!H20:H23)</f>
        <v>-9000</v>
      </c>
      <c r="I25" s="25">
        <f ca="1">SUM('Cash flow'!I20:I23)</f>
        <v>-9000</v>
      </c>
      <c r="J25" s="25">
        <f ca="1">SUM('Cash flow'!J20:J23)</f>
        <v>-9000</v>
      </c>
      <c r="K25" s="25">
        <f ca="1">SUM('Cash flow'!K20:K23)</f>
        <v>-9000</v>
      </c>
      <c r="L25" s="25">
        <f ca="1">SUM('Cash flow'!L20:L23)</f>
        <v>-9000</v>
      </c>
      <c r="M25" s="25">
        <f ca="1">SUM('Cash flow'!M20:M23)</f>
        <v>-9000</v>
      </c>
      <c r="N25" s="25">
        <f ca="1">SUM('Cash flow'!N20:N23)</f>
        <v>-49000</v>
      </c>
      <c r="O25" s="25">
        <f ca="1">SUM('Cash flow'!O20:O23)</f>
        <v>-15000.000000000004</v>
      </c>
      <c r="P25" s="25">
        <f ca="1">SUM('Cash flow'!P20:P23)</f>
        <v>-33000</v>
      </c>
    </row>
    <row r="26" spans="2:16" x14ac:dyDescent="0.2">
      <c r="B26" s="19" t="s">
        <v>186</v>
      </c>
      <c r="G26" s="20">
        <f ca="1">SUM(G23:G25)</f>
        <v>-3800.3673626041364</v>
      </c>
      <c r="H26" s="20">
        <f t="shared" ref="H26:P26" ca="1" si="7">SUM(H23:H25)</f>
        <v>-1425.395319541165</v>
      </c>
      <c r="I26" s="20">
        <f t="shared" ca="1" si="7"/>
        <v>702.43194328048048</v>
      </c>
      <c r="J26" s="20">
        <f t="shared" ca="1" si="7"/>
        <v>2696.5267564743663</v>
      </c>
      <c r="K26" s="20">
        <f t="shared" ca="1" si="7"/>
        <v>4804.9129737081421</v>
      </c>
      <c r="L26" s="20">
        <f t="shared" ca="1" si="7"/>
        <v>7063.6339504929601</v>
      </c>
      <c r="M26" s="20">
        <f t="shared" ca="1" si="7"/>
        <v>9625.2859952898725</v>
      </c>
      <c r="N26" s="20">
        <f t="shared" ca="1" si="7"/>
        <v>-28450.308260683509</v>
      </c>
      <c r="O26" s="20">
        <f t="shared" ca="1" si="7"/>
        <v>9627.765348685647</v>
      </c>
      <c r="P26" s="20">
        <f t="shared" ca="1" si="7"/>
        <v>-5866.1465800732622</v>
      </c>
    </row>
    <row r="27" spans="2:16" x14ac:dyDescent="0.2">
      <c r="B27" s="1" t="s">
        <v>189</v>
      </c>
      <c r="G27" s="25">
        <f>'Balance sheet'!F6</f>
        <v>8820.1102079991761</v>
      </c>
      <c r="H27" s="25">
        <f ca="1">'Balance sheet'!G6</f>
        <v>8000</v>
      </c>
      <c r="I27" s="25">
        <f ca="1">'Balance sheet'!H6</f>
        <v>8000</v>
      </c>
      <c r="J27" s="25">
        <f ca="1">'Balance sheet'!I6</f>
        <v>8702.4319432804805</v>
      </c>
      <c r="K27" s="25">
        <f ca="1">'Balance sheet'!J6</f>
        <v>11398.958699754847</v>
      </c>
      <c r="L27" s="25">
        <f ca="1">'Balance sheet'!K6</f>
        <v>16203.871673462989</v>
      </c>
      <c r="M27" s="25">
        <f ca="1">'Balance sheet'!L6</f>
        <v>23267.505623955949</v>
      </c>
      <c r="N27" s="25">
        <f ca="1">'Balance sheet'!M6</f>
        <v>32892.791619245821</v>
      </c>
      <c r="O27" s="25">
        <f ca="1">'Balance sheet'!N6</f>
        <v>8000</v>
      </c>
      <c r="P27" s="25">
        <f ca="1">'Balance sheet'!O6</f>
        <v>17627.765348685647</v>
      </c>
    </row>
    <row r="28" spans="2:16" x14ac:dyDescent="0.2">
      <c r="B28" s="19" t="s">
        <v>187</v>
      </c>
      <c r="G28" s="20">
        <f ca="1">SUM(G26:G27)</f>
        <v>5019.7428453950397</v>
      </c>
      <c r="H28" s="20">
        <f t="shared" ref="H28:P28" ca="1" si="8">SUM(H26:H27)</f>
        <v>6574.604680458835</v>
      </c>
      <c r="I28" s="20">
        <f t="shared" ca="1" si="8"/>
        <v>8702.4319432804805</v>
      </c>
      <c r="J28" s="20">
        <f t="shared" ca="1" si="8"/>
        <v>11398.958699754847</v>
      </c>
      <c r="K28" s="20">
        <f t="shared" ca="1" si="8"/>
        <v>16203.871673462989</v>
      </c>
      <c r="L28" s="20">
        <f t="shared" ca="1" si="8"/>
        <v>23267.505623955949</v>
      </c>
      <c r="M28" s="20">
        <f t="shared" ca="1" si="8"/>
        <v>32892.791619245821</v>
      </c>
      <c r="N28" s="20">
        <f t="shared" ca="1" si="8"/>
        <v>4442.4833585623128</v>
      </c>
      <c r="O28" s="20">
        <f t="shared" ca="1" si="8"/>
        <v>17627.765348685647</v>
      </c>
      <c r="P28" s="20">
        <f t="shared" ca="1" si="8"/>
        <v>11761.618768612385</v>
      </c>
    </row>
    <row r="29" spans="2:16" x14ac:dyDescent="0.2">
      <c r="B29" s="1" t="s">
        <v>15</v>
      </c>
      <c r="G29" s="25">
        <f>Drivers!$C$17</f>
        <v>8000</v>
      </c>
      <c r="H29" s="25">
        <f>Drivers!$C$17</f>
        <v>8000</v>
      </c>
      <c r="I29" s="25">
        <f>Drivers!$C$17</f>
        <v>8000</v>
      </c>
      <c r="J29" s="25">
        <f>Drivers!$C$17</f>
        <v>8000</v>
      </c>
      <c r="K29" s="25">
        <f>Drivers!$C$17</f>
        <v>8000</v>
      </c>
      <c r="L29" s="25">
        <f>Drivers!$C$17</f>
        <v>8000</v>
      </c>
      <c r="M29" s="25">
        <f>Drivers!$C$17</f>
        <v>8000</v>
      </c>
      <c r="N29" s="25">
        <f>Drivers!$C$17</f>
        <v>8000</v>
      </c>
      <c r="O29" s="25">
        <f>Drivers!$C$17</f>
        <v>8000</v>
      </c>
      <c r="P29" s="25">
        <f>Drivers!$C$17</f>
        <v>8000</v>
      </c>
    </row>
    <row r="30" spans="2:16" x14ac:dyDescent="0.2">
      <c r="B30" s="19" t="s">
        <v>188</v>
      </c>
      <c r="G30" s="20">
        <f ca="1">G28-G29</f>
        <v>-2980.2571546049603</v>
      </c>
      <c r="H30" s="20">
        <f t="shared" ref="H30:P30" ca="1" si="9">H28-H29</f>
        <v>-1425.395319541165</v>
      </c>
      <c r="I30" s="20">
        <f t="shared" ca="1" si="9"/>
        <v>702.43194328048048</v>
      </c>
      <c r="J30" s="20">
        <f t="shared" ca="1" si="9"/>
        <v>3398.9586997548467</v>
      </c>
      <c r="K30" s="20">
        <f t="shared" ca="1" si="9"/>
        <v>8203.8716734629888</v>
      </c>
      <c r="L30" s="20">
        <f t="shared" ca="1" si="9"/>
        <v>15267.505623955949</v>
      </c>
      <c r="M30" s="20">
        <f t="shared" ca="1" si="9"/>
        <v>24892.791619245821</v>
      </c>
      <c r="N30" s="20">
        <f t="shared" ca="1" si="9"/>
        <v>-3557.5166414376872</v>
      </c>
      <c r="O30" s="20">
        <f t="shared" ca="1" si="9"/>
        <v>9627.765348685647</v>
      </c>
      <c r="P30" s="20">
        <f t="shared" ca="1" si="9"/>
        <v>3761.6187686123849</v>
      </c>
    </row>
    <row r="32" spans="2:16" x14ac:dyDescent="0.2">
      <c r="B32" s="1" t="s">
        <v>190</v>
      </c>
      <c r="G32" s="25">
        <f ca="1">IF(G30&lt;0,-G30,0)</f>
        <v>2980.2571546049603</v>
      </c>
      <c r="H32" s="25">
        <f t="shared" ref="H32:P32" ca="1" si="10">IF(H30&lt;0,-H30,0)</f>
        <v>1425.395319541165</v>
      </c>
      <c r="I32" s="25">
        <f t="shared" ca="1" si="10"/>
        <v>0</v>
      </c>
      <c r="J32" s="25">
        <f t="shared" ca="1" si="10"/>
        <v>0</v>
      </c>
      <c r="K32" s="25">
        <f t="shared" ca="1" si="10"/>
        <v>0</v>
      </c>
      <c r="L32" s="25">
        <f t="shared" ca="1" si="10"/>
        <v>0</v>
      </c>
      <c r="M32" s="25">
        <f t="shared" ca="1" si="10"/>
        <v>0</v>
      </c>
      <c r="N32" s="25">
        <f t="shared" ca="1" si="10"/>
        <v>3557.5166414376872</v>
      </c>
      <c r="O32" s="25">
        <f t="shared" ca="1" si="10"/>
        <v>0</v>
      </c>
      <c r="P32" s="25">
        <f t="shared" ca="1" si="10"/>
        <v>0</v>
      </c>
    </row>
    <row r="33" spans="2:16" x14ac:dyDescent="0.2">
      <c r="B33" s="1" t="s">
        <v>191</v>
      </c>
      <c r="G33" s="25">
        <f ca="1">IF(G30&gt;0,-MIN(G30,F33),0)</f>
        <v>0</v>
      </c>
      <c r="H33" s="25">
        <f t="shared" ref="H33:P33" ca="1" si="11">IF(H30&gt;0,-MIN(H30,G33),0)</f>
        <v>0</v>
      </c>
      <c r="I33" s="25">
        <f t="shared" ca="1" si="11"/>
        <v>0</v>
      </c>
      <c r="J33" s="25">
        <f t="shared" ca="1" si="11"/>
        <v>0</v>
      </c>
      <c r="K33" s="25">
        <f t="shared" ca="1" si="11"/>
        <v>0</v>
      </c>
      <c r="L33" s="25">
        <f t="shared" ca="1" si="11"/>
        <v>0</v>
      </c>
      <c r="M33" s="25">
        <f t="shared" ca="1" si="11"/>
        <v>0</v>
      </c>
      <c r="N33" s="25">
        <f t="shared" ca="1" si="11"/>
        <v>0</v>
      </c>
      <c r="O33" s="25">
        <f t="shared" ca="1" si="11"/>
        <v>0</v>
      </c>
      <c r="P33" s="25">
        <f t="shared" ca="1" si="11"/>
        <v>0</v>
      </c>
    </row>
    <row r="34" spans="2:16" x14ac:dyDescent="0.2">
      <c r="B34" s="61" t="s">
        <v>192</v>
      </c>
      <c r="G34" s="62">
        <f ca="1">G32+G33</f>
        <v>2980.2571546049603</v>
      </c>
      <c r="H34" s="62">
        <f ca="1">G34+H32+H33</f>
        <v>4405.6524741461253</v>
      </c>
      <c r="I34" s="62">
        <f t="shared" ref="I34:P34" ca="1" si="12">H34+I32+I33</f>
        <v>4405.6524741461253</v>
      </c>
      <c r="J34" s="62">
        <f t="shared" ca="1" si="12"/>
        <v>4405.6524741461253</v>
      </c>
      <c r="K34" s="62">
        <f t="shared" ca="1" si="12"/>
        <v>4405.6524741461253</v>
      </c>
      <c r="L34" s="62">
        <f t="shared" ca="1" si="12"/>
        <v>4405.6524741461253</v>
      </c>
      <c r="M34" s="62">
        <f t="shared" ca="1" si="12"/>
        <v>4405.6524741461253</v>
      </c>
      <c r="N34" s="62">
        <f t="shared" ca="1" si="12"/>
        <v>7963.1691155838125</v>
      </c>
      <c r="O34" s="62">
        <f t="shared" ca="1" si="12"/>
        <v>7963.1691155838125</v>
      </c>
      <c r="P34" s="62">
        <f t="shared" ca="1" si="12"/>
        <v>7963.1691155838125</v>
      </c>
    </row>
    <row r="35" spans="2:16" x14ac:dyDescent="0.2">
      <c r="B35" s="1" t="s">
        <v>193</v>
      </c>
      <c r="G35" s="25">
        <f ca="1">-G34*'Debt schedule'!G9</f>
        <v>-208.61800082234723</v>
      </c>
      <c r="H35" s="25">
        <f ca="1">-H34*'Debt schedule'!H9</f>
        <v>-330.42393556095942</v>
      </c>
      <c r="I35" s="25">
        <f ca="1">-I34*'Debt schedule'!I9</f>
        <v>-330.42393556095942</v>
      </c>
      <c r="J35" s="25">
        <f ca="1">-J34*'Debt schedule'!J9</f>
        <v>-352.45219793169002</v>
      </c>
      <c r="K35" s="25">
        <f ca="1">-K34*'Debt schedule'!K9</f>
        <v>-352.45219793169002</v>
      </c>
      <c r="L35" s="25">
        <f ca="1">-L34*'Debt schedule'!L9</f>
        <v>-352.45219793169002</v>
      </c>
      <c r="M35" s="25">
        <f ca="1">-M34*'Debt schedule'!M9</f>
        <v>-352.45219793169002</v>
      </c>
      <c r="N35" s="25">
        <f ca="1">-N34*'Debt schedule'!N9</f>
        <v>-637.05352924670501</v>
      </c>
      <c r="O35" s="25">
        <f ca="1">-O34*'Debt schedule'!O9</f>
        <v>-637.05352924670501</v>
      </c>
      <c r="P35" s="25">
        <f ca="1">-P34*'Debt schedule'!P9</f>
        <v>-637.05352924670501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E3B2-B954-432A-B68C-8166001F7F4B}">
  <dimension ref="B1:P11"/>
  <sheetViews>
    <sheetView zoomScale="130" zoomScaleNormal="130" workbookViewId="0">
      <selection activeCell="B5" sqref="B5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6" width="9.140625" style="1"/>
    <col min="17" max="17" width="2.140625" style="1" customWidth="1"/>
    <col min="18" max="18" width="15" style="1" bestFit="1" customWidth="1"/>
    <col min="19" max="19" width="9.85546875" style="1" bestFit="1" customWidth="1"/>
    <col min="20" max="16384" width="9.140625" style="1"/>
  </cols>
  <sheetData>
    <row r="1" spans="2:16" ht="15.75" x14ac:dyDescent="0.25">
      <c r="B1" s="4" t="s">
        <v>176</v>
      </c>
    </row>
    <row r="2" spans="2:16" x14ac:dyDescent="0.2">
      <c r="C2" s="7"/>
    </row>
    <row r="5" spans="2:16" x14ac:dyDescent="0.2">
      <c r="B5" s="14" t="str">
        <f>Drivers!C13&amp;" "&amp;Drivers!C14</f>
        <v>$ 000s</v>
      </c>
      <c r="C5" s="15">
        <f>D5-1</f>
        <v>2020</v>
      </c>
      <c r="D5" s="15">
        <f>E5-1</f>
        <v>2021</v>
      </c>
      <c r="E5" s="15">
        <f>G5-1</f>
        <v>2022</v>
      </c>
      <c r="F5" s="14" t="s">
        <v>54</v>
      </c>
      <c r="G5" s="16">
        <f>Drivers!C11</f>
        <v>2023</v>
      </c>
      <c r="H5" s="16">
        <f>G5+1</f>
        <v>2024</v>
      </c>
      <c r="I5" s="16">
        <f t="shared" ref="I5:P5" si="0">H5+1</f>
        <v>2025</v>
      </c>
      <c r="J5" s="16">
        <f t="shared" si="0"/>
        <v>2026</v>
      </c>
      <c r="K5" s="16">
        <f t="shared" si="0"/>
        <v>2027</v>
      </c>
      <c r="L5" s="16">
        <f t="shared" si="0"/>
        <v>2028</v>
      </c>
      <c r="M5" s="16">
        <f t="shared" si="0"/>
        <v>2029</v>
      </c>
      <c r="N5" s="16">
        <f t="shared" si="0"/>
        <v>2030</v>
      </c>
      <c r="O5" s="16">
        <f t="shared" si="0"/>
        <v>2031</v>
      </c>
      <c r="P5" s="16">
        <f t="shared" si="0"/>
        <v>2032</v>
      </c>
    </row>
    <row r="6" spans="2:16" x14ac:dyDescent="0.2">
      <c r="B6" s="1" t="s">
        <v>177</v>
      </c>
      <c r="C6" s="28"/>
      <c r="D6" s="5">
        <v>50930.124656259795</v>
      </c>
      <c r="E6" s="5">
        <v>58451.646250970705</v>
      </c>
      <c r="G6" s="25">
        <f>F11</f>
        <v>39581.512959999993</v>
      </c>
      <c r="H6" s="25">
        <f t="shared" ref="H6:P6" ca="1" si="1">G11</f>
        <v>47598.622559656578</v>
      </c>
      <c r="I6" s="25">
        <f t="shared" ca="1" si="1"/>
        <v>57152.062945339087</v>
      </c>
      <c r="J6" s="25">
        <f t="shared" ca="1" si="1"/>
        <v>69131.244343612925</v>
      </c>
      <c r="K6" s="25">
        <f t="shared" ca="1" si="1"/>
        <v>82616.185989451245</v>
      </c>
      <c r="L6" s="25">
        <f t="shared" ca="1" si="1"/>
        <v>98285.461193503244</v>
      </c>
      <c r="M6" s="25">
        <f t="shared" ca="1" si="1"/>
        <v>116296.23997600815</v>
      </c>
      <c r="N6" s="25">
        <f t="shared" ca="1" si="1"/>
        <v>136249.22970373015</v>
      </c>
      <c r="O6" s="25">
        <f t="shared" ca="1" si="1"/>
        <v>158146.25188526016</v>
      </c>
      <c r="P6" s="25">
        <f t="shared" ca="1" si="1"/>
        <v>183751.98815395968</v>
      </c>
    </row>
    <row r="7" spans="2:16" x14ac:dyDescent="0.2">
      <c r="B7" s="1" t="s">
        <v>35</v>
      </c>
      <c r="C7" s="28"/>
      <c r="D7" s="5">
        <v>7521.5215947109091</v>
      </c>
      <c r="E7" s="5">
        <v>9118.7860851036676</v>
      </c>
      <c r="G7" s="25">
        <f ca="1">'P&amp;L'!G20</f>
        <v>8017.1095996565837</v>
      </c>
      <c r="H7" s="25">
        <f ca="1">'P&amp;L'!H20</f>
        <v>9553.440385682512</v>
      </c>
      <c r="I7" s="25">
        <f ca="1">'P&amp;L'!I20</f>
        <v>11979.181398273842</v>
      </c>
      <c r="J7" s="25">
        <f ca="1">'P&amp;L'!J20</f>
        <v>13484.941645838324</v>
      </c>
      <c r="K7" s="25">
        <f ca="1">'P&amp;L'!K20</f>
        <v>15669.275204052003</v>
      </c>
      <c r="L7" s="25">
        <f ca="1">'P&amp;L'!L20</f>
        <v>18010.778782504902</v>
      </c>
      <c r="M7" s="25">
        <f ca="1">'P&amp;L'!M20</f>
        <v>19952.98972772199</v>
      </c>
      <c r="N7" s="25">
        <f ca="1">'P&amp;L'!N20</f>
        <v>21897.022181530025</v>
      </c>
      <c r="O7" s="25">
        <f ca="1">'P&amp;L'!O20</f>
        <v>25605.736268699518</v>
      </c>
      <c r="P7" s="25">
        <f ca="1">'P&amp;L'!P20</f>
        <v>27558.784588982431</v>
      </c>
    </row>
    <row r="8" spans="2:16" x14ac:dyDescent="0.2">
      <c r="B8" s="1" t="s">
        <v>178</v>
      </c>
      <c r="C8" s="28"/>
      <c r="D8" s="5">
        <v>0</v>
      </c>
      <c r="E8" s="5">
        <v>0</v>
      </c>
      <c r="G8" s="25">
        <f ca="1">IF('P&amp;L'!G$20&gt;0,'P&amp;L'!G$20*Drivers!$C69,0)</f>
        <v>0</v>
      </c>
      <c r="H8" s="25">
        <f ca="1">IF('P&amp;L'!H$20&gt;0,'P&amp;L'!H$20*Drivers!$C69,0)</f>
        <v>0</v>
      </c>
      <c r="I8" s="25">
        <f ca="1">IF('P&amp;L'!I$20&gt;0,'P&amp;L'!I$20*Drivers!$C69,0)</f>
        <v>0</v>
      </c>
      <c r="J8" s="25">
        <f ca="1">IF('P&amp;L'!J$20&gt;0,'P&amp;L'!J$20*Drivers!$C69,0)</f>
        <v>0</v>
      </c>
      <c r="K8" s="25">
        <f ca="1">IF('P&amp;L'!K$20&gt;0,'P&amp;L'!K$20*Drivers!$C69,0)</f>
        <v>0</v>
      </c>
      <c r="L8" s="25">
        <f ca="1">IF('P&amp;L'!L$20&gt;0,'P&amp;L'!L$20*Drivers!$C69,0)</f>
        <v>0</v>
      </c>
      <c r="M8" s="25">
        <f ca="1">IF('P&amp;L'!M$20&gt;0,'P&amp;L'!M$20*Drivers!$C69,0)</f>
        <v>0</v>
      </c>
      <c r="N8" s="25">
        <f ca="1">IF('P&amp;L'!N$20&gt;0,'P&amp;L'!N$20*Drivers!$C69,0)</f>
        <v>0</v>
      </c>
      <c r="O8" s="25">
        <f ca="1">IF('P&amp;L'!O$20&gt;0,'P&amp;L'!O$20*Drivers!$C69,0)</f>
        <v>0</v>
      </c>
      <c r="P8" s="25">
        <f ca="1">IF('P&amp;L'!P$20&gt;0,'P&amp;L'!P$20*Drivers!$C69,0)</f>
        <v>0</v>
      </c>
    </row>
    <row r="9" spans="2:16" x14ac:dyDescent="0.2">
      <c r="B9" s="1" t="s">
        <v>161</v>
      </c>
      <c r="C9" s="28"/>
      <c r="D9" s="5">
        <v>0</v>
      </c>
      <c r="E9" s="5">
        <v>-19866.358748075199</v>
      </c>
      <c r="G9" s="25">
        <f ca="1">IF('P&amp;L'!G$20&gt;0,'P&amp;L'!G$20*Drivers!$C70,0)</f>
        <v>0</v>
      </c>
      <c r="H9" s="25">
        <f ca="1">IF('P&amp;L'!H$20&gt;0,'P&amp;L'!H$20*Drivers!$C70,0)</f>
        <v>0</v>
      </c>
      <c r="I9" s="25">
        <f ca="1">IF('P&amp;L'!I$20&gt;0,'P&amp;L'!I$20*Drivers!$C70,0)</f>
        <v>0</v>
      </c>
      <c r="J9" s="25">
        <f ca="1">IF('P&amp;L'!J$20&gt;0,'P&amp;L'!J$20*Drivers!$C70,0)</f>
        <v>0</v>
      </c>
      <c r="K9" s="25">
        <f ca="1">IF('P&amp;L'!K$20&gt;0,'P&amp;L'!K$20*Drivers!$C70,0)</f>
        <v>0</v>
      </c>
      <c r="L9" s="25">
        <f ca="1">IF('P&amp;L'!L$20&gt;0,'P&amp;L'!L$20*Drivers!$C70,0)</f>
        <v>0</v>
      </c>
      <c r="M9" s="25">
        <f ca="1">IF('P&amp;L'!M$20&gt;0,'P&amp;L'!M$20*Drivers!$C70,0)</f>
        <v>0</v>
      </c>
      <c r="N9" s="25">
        <f ca="1">IF('P&amp;L'!N$20&gt;0,'P&amp;L'!N$20*Drivers!$C70,0)</f>
        <v>0</v>
      </c>
      <c r="O9" s="25">
        <f ca="1">IF('P&amp;L'!O$20&gt;0,'P&amp;L'!O$20*Drivers!$C70,0)</f>
        <v>0</v>
      </c>
      <c r="P9" s="25">
        <f ca="1">IF('P&amp;L'!P$20&gt;0,'P&amp;L'!P$20*Drivers!$C70,0)</f>
        <v>0</v>
      </c>
    </row>
    <row r="10" spans="2:16" x14ac:dyDescent="0.2">
      <c r="B10" s="1" t="s">
        <v>179</v>
      </c>
      <c r="C10" s="17">
        <v>0</v>
      </c>
      <c r="D10" s="17">
        <v>0</v>
      </c>
      <c r="E10" s="17">
        <v>0</v>
      </c>
      <c r="G10" s="25">
        <f>Drivers!$C$68</f>
        <v>0</v>
      </c>
      <c r="H10" s="25">
        <f>Drivers!$C$68</f>
        <v>0</v>
      </c>
      <c r="I10" s="25">
        <f>Drivers!$C$68</f>
        <v>0</v>
      </c>
      <c r="J10" s="25">
        <f>Drivers!$C$68</f>
        <v>0</v>
      </c>
      <c r="K10" s="25">
        <f>Drivers!$C$68</f>
        <v>0</v>
      </c>
      <c r="L10" s="25">
        <f>Drivers!$C$68</f>
        <v>0</v>
      </c>
      <c r="M10" s="25">
        <f>Drivers!$C$68</f>
        <v>0</v>
      </c>
      <c r="N10" s="25">
        <f>Drivers!$C$68</f>
        <v>0</v>
      </c>
      <c r="O10" s="25">
        <f>Drivers!$C$68</f>
        <v>0</v>
      </c>
      <c r="P10" s="25">
        <f>Drivers!$C$68</f>
        <v>0</v>
      </c>
    </row>
    <row r="11" spans="2:16" x14ac:dyDescent="0.2">
      <c r="B11" s="19" t="s">
        <v>180</v>
      </c>
      <c r="C11" s="20"/>
      <c r="D11" s="20">
        <f t="shared" ref="D11:P11" si="2">SUM(D6:D10)</f>
        <v>58451.646250970705</v>
      </c>
      <c r="E11" s="20">
        <f t="shared" si="2"/>
        <v>47704.07358799917</v>
      </c>
      <c r="F11" s="20">
        <f>'Balance Sheet@Transaction'!J24</f>
        <v>39581.512959999993</v>
      </c>
      <c r="G11" s="20">
        <f t="shared" ca="1" si="2"/>
        <v>47598.622559656578</v>
      </c>
      <c r="H11" s="20">
        <f t="shared" ca="1" si="2"/>
        <v>57152.062945339087</v>
      </c>
      <c r="I11" s="20">
        <f t="shared" ca="1" si="2"/>
        <v>69131.244343612925</v>
      </c>
      <c r="J11" s="20">
        <f t="shared" ca="1" si="2"/>
        <v>82616.185989451245</v>
      </c>
      <c r="K11" s="20">
        <f t="shared" ca="1" si="2"/>
        <v>98285.461193503244</v>
      </c>
      <c r="L11" s="20">
        <f t="shared" ca="1" si="2"/>
        <v>116296.23997600815</v>
      </c>
      <c r="M11" s="20">
        <f t="shared" ca="1" si="2"/>
        <v>136249.22970373015</v>
      </c>
      <c r="N11" s="20">
        <f t="shared" ca="1" si="2"/>
        <v>158146.25188526016</v>
      </c>
      <c r="O11" s="20">
        <f t="shared" ca="1" si="2"/>
        <v>183751.98815395968</v>
      </c>
      <c r="P11" s="20">
        <f t="shared" ca="1" si="2"/>
        <v>211310.77274294212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AB12-39FA-4AA0-8A26-6A1D50234E50}">
  <dimension ref="B1:P24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6" width="9.140625" style="1"/>
    <col min="17" max="17" width="2.140625" style="1" customWidth="1"/>
    <col min="18" max="18" width="15" style="1" bestFit="1" customWidth="1"/>
    <col min="19" max="19" width="9.85546875" style="1" bestFit="1" customWidth="1"/>
    <col min="20" max="16384" width="9.140625" style="1"/>
  </cols>
  <sheetData>
    <row r="1" spans="2:16" ht="15.75" x14ac:dyDescent="0.25">
      <c r="B1" s="4" t="s">
        <v>196</v>
      </c>
    </row>
    <row r="2" spans="2:16" x14ac:dyDescent="0.2">
      <c r="C2" s="7"/>
    </row>
    <row r="4" spans="2:16" x14ac:dyDescent="0.2">
      <c r="B4" s="1" t="s">
        <v>203</v>
      </c>
      <c r="C4" s="25">
        <f>'P&amp;L'!P14</f>
        <v>50662.529537091679</v>
      </c>
    </row>
    <row r="5" spans="2:16" x14ac:dyDescent="0.2">
      <c r="B5" s="1" t="s">
        <v>198</v>
      </c>
      <c r="C5" s="32">
        <f>Drivers!C75</f>
        <v>13.06470183881463</v>
      </c>
    </row>
    <row r="6" spans="2:16" x14ac:dyDescent="0.2">
      <c r="B6" s="19" t="s">
        <v>199</v>
      </c>
      <c r="C6" s="31">
        <f>C4*C5</f>
        <v>661890.84280224214</v>
      </c>
    </row>
    <row r="7" spans="2:16" x14ac:dyDescent="0.2">
      <c r="B7" s="1" t="s">
        <v>38</v>
      </c>
      <c r="C7" s="25">
        <f ca="1">'Balance sheet'!P6</f>
        <v>11761.618768612385</v>
      </c>
    </row>
    <row r="8" spans="2:16" x14ac:dyDescent="0.2">
      <c r="B8" s="1" t="s">
        <v>201</v>
      </c>
      <c r="C8" s="25">
        <f ca="1">-'Balance sheet'!P21</f>
        <v>-7963.1691155838125</v>
      </c>
    </row>
    <row r="9" spans="2:16" x14ac:dyDescent="0.2">
      <c r="B9" s="19" t="s">
        <v>202</v>
      </c>
      <c r="C9" s="31">
        <f ca="1">C6+C7+C8</f>
        <v>665689.29245527077</v>
      </c>
    </row>
    <row r="10" spans="2:16" x14ac:dyDescent="0.2">
      <c r="C10" s="25"/>
    </row>
    <row r="11" spans="2:16" x14ac:dyDescent="0.2">
      <c r="C11" s="25"/>
    </row>
    <row r="12" spans="2:16" x14ac:dyDescent="0.2">
      <c r="B12" s="14" t="str">
        <f>Drivers!C13&amp;" "&amp;Drivers!C14</f>
        <v>$ 000s</v>
      </c>
      <c r="C12" s="15"/>
      <c r="D12" s="15" t="s">
        <v>205</v>
      </c>
      <c r="E12" s="15"/>
      <c r="F12" s="14" t="s">
        <v>54</v>
      </c>
      <c r="G12" s="16">
        <f>Drivers!C11</f>
        <v>2023</v>
      </c>
      <c r="H12" s="16">
        <f>G12+1</f>
        <v>2024</v>
      </c>
      <c r="I12" s="16">
        <f t="shared" ref="I12:P12" si="0">H12+1</f>
        <v>2025</v>
      </c>
      <c r="J12" s="16">
        <f t="shared" si="0"/>
        <v>2026</v>
      </c>
      <c r="K12" s="16">
        <f t="shared" si="0"/>
        <v>2027</v>
      </c>
      <c r="L12" s="16">
        <f t="shared" si="0"/>
        <v>2028</v>
      </c>
      <c r="M12" s="16">
        <f t="shared" si="0"/>
        <v>2029</v>
      </c>
      <c r="N12" s="16">
        <f t="shared" si="0"/>
        <v>2030</v>
      </c>
      <c r="O12" s="16">
        <f t="shared" si="0"/>
        <v>2031</v>
      </c>
      <c r="P12" s="16">
        <f t="shared" si="0"/>
        <v>2032</v>
      </c>
    </row>
    <row r="13" spans="2:16" x14ac:dyDescent="0.2">
      <c r="B13" s="1" t="s">
        <v>204</v>
      </c>
      <c r="C13" s="25"/>
      <c r="D13" s="60">
        <f ca="1">IRR(F13:P13)</f>
        <v>0.31358824524159679</v>
      </c>
      <c r="F13" s="25">
        <f>-'Sources &amp; Uses of funds'!C9</f>
        <v>-43519.012959999993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25">
        <f ca="1">C9</f>
        <v>665689.29245527077</v>
      </c>
    </row>
    <row r="14" spans="2:16" x14ac:dyDescent="0.2">
      <c r="B14" s="1" t="s">
        <v>77</v>
      </c>
      <c r="C14" s="25"/>
      <c r="D14" s="60">
        <f t="shared" ref="D14:D16" si="1">IRR(F14:P14)</f>
        <v>6.1124299833575924E-2</v>
      </c>
      <c r="F14" s="25">
        <f>-'Sources &amp; Uses of funds'!C6-'Transaction fees'!I19</f>
        <v>-39000</v>
      </c>
      <c r="G14" s="25">
        <f>-(Financing!G7+Financing!G9)</f>
        <v>2000</v>
      </c>
      <c r="H14" s="25">
        <f>-(Financing!H7+Financing!H9)</f>
        <v>2200</v>
      </c>
      <c r="I14" s="25">
        <f>-(Financing!I7+Financing!I9)</f>
        <v>2200</v>
      </c>
      <c r="J14" s="25">
        <f>-(Financing!J7+Financing!J9)</f>
        <v>2400</v>
      </c>
      <c r="K14" s="25">
        <f>-(Financing!K7+Financing!K9)</f>
        <v>2400</v>
      </c>
      <c r="L14" s="25">
        <f>-(Financing!L7+Financing!L9)</f>
        <v>2400</v>
      </c>
      <c r="M14" s="25">
        <f>-(Financing!M7+Financing!M9)</f>
        <v>2400</v>
      </c>
      <c r="N14" s="25">
        <f>-(Financing!N7+Financing!N9)</f>
        <v>42400</v>
      </c>
      <c r="O14" s="25">
        <f>-(Financing!O7+Financing!O9)</f>
        <v>0</v>
      </c>
      <c r="P14" s="25">
        <f>-(Financing!P7+Financing!P9)</f>
        <v>0</v>
      </c>
    </row>
    <row r="15" spans="2:16" x14ac:dyDescent="0.2">
      <c r="B15" s="1" t="s">
        <v>79</v>
      </c>
      <c r="C15" s="25"/>
      <c r="D15" s="60">
        <f t="shared" si="1"/>
        <v>6.6379760947854027E-2</v>
      </c>
      <c r="F15" s="25">
        <f>-'Sources &amp; Uses of funds'!C7-'Transaction fees'!I20</f>
        <v>-58650</v>
      </c>
      <c r="G15" s="25">
        <f>-(Financing!G12+Financing!G14)</f>
        <v>9300</v>
      </c>
      <c r="H15" s="25">
        <f>-(Financing!H12+Financing!H14)</f>
        <v>9240</v>
      </c>
      <c r="I15" s="25">
        <f>-(Financing!I12+Financing!I14)</f>
        <v>8880</v>
      </c>
      <c r="J15" s="25">
        <f>-(Financing!J12+Financing!J14)</f>
        <v>8730</v>
      </c>
      <c r="K15" s="25">
        <f>-(Financing!K12+Financing!K14)</f>
        <v>8340</v>
      </c>
      <c r="L15" s="25">
        <f>-(Financing!L12+Financing!L14)</f>
        <v>7950</v>
      </c>
      <c r="M15" s="25">
        <f>-(Financing!M12+Financing!M14)</f>
        <v>7560</v>
      </c>
      <c r="N15" s="25">
        <f>-(Financing!N12+Financing!N14)</f>
        <v>7170</v>
      </c>
      <c r="O15" s="25">
        <f>-(Financing!O12+Financing!O14)</f>
        <v>12780.000000000004</v>
      </c>
      <c r="P15" s="25">
        <f>-(Financing!P12+Financing!P14)</f>
        <v>0</v>
      </c>
    </row>
    <row r="16" spans="2:16" x14ac:dyDescent="0.2">
      <c r="B16" s="1" t="s">
        <v>80</v>
      </c>
      <c r="C16" s="25"/>
      <c r="D16" s="60">
        <f t="shared" si="1"/>
        <v>7.0505791023386832E-2</v>
      </c>
      <c r="F16" s="25">
        <f>-'Sources &amp; Uses of funds'!C8-'Transaction fees'!I21</f>
        <v>-58800</v>
      </c>
      <c r="G16" s="25">
        <f>-(Financing!G17+Financing!G19)</f>
        <v>6600</v>
      </c>
      <c r="H16" s="25">
        <f>-(Financing!H17+Financing!H19)</f>
        <v>6705</v>
      </c>
      <c r="I16" s="25">
        <f>-(Financing!I17+Financing!I19)</f>
        <v>6510</v>
      </c>
      <c r="J16" s="25">
        <f>-(Financing!J17+Financing!J19)</f>
        <v>6570</v>
      </c>
      <c r="K16" s="25">
        <f>-(Financing!K17+Financing!K19)</f>
        <v>6360</v>
      </c>
      <c r="L16" s="25">
        <f>-(Financing!L17+Financing!L19)</f>
        <v>6150</v>
      </c>
      <c r="M16" s="25">
        <f>-(Financing!M17+Financing!M19)</f>
        <v>5940</v>
      </c>
      <c r="N16" s="25">
        <f>-(Financing!N17+Financing!N19)</f>
        <v>5730</v>
      </c>
      <c r="O16" s="25">
        <f>-(Financing!O17+Financing!O19)</f>
        <v>5520</v>
      </c>
      <c r="P16" s="25">
        <f>-(Financing!P17+Financing!P19)</f>
        <v>35310</v>
      </c>
    </row>
    <row r="17" spans="3:3" x14ac:dyDescent="0.2">
      <c r="C17" s="25"/>
    </row>
    <row r="18" spans="3:3" x14ac:dyDescent="0.2">
      <c r="C18" s="25"/>
    </row>
    <row r="19" spans="3:3" x14ac:dyDescent="0.2">
      <c r="C19" s="25"/>
    </row>
    <row r="20" spans="3:3" x14ac:dyDescent="0.2">
      <c r="C20" s="25"/>
    </row>
    <row r="21" spans="3:3" x14ac:dyDescent="0.2">
      <c r="C21" s="25"/>
    </row>
    <row r="22" spans="3:3" x14ac:dyDescent="0.2">
      <c r="C22" s="25"/>
    </row>
    <row r="23" spans="3:3" x14ac:dyDescent="0.2">
      <c r="C23" s="25"/>
    </row>
    <row r="24" spans="3:3" x14ac:dyDescent="0.2">
      <c r="C24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E895-377D-4A56-99E5-F3DE33136DCD}">
  <dimension ref="B1:P89"/>
  <sheetViews>
    <sheetView zoomScale="130" zoomScaleNormal="130" workbookViewId="0">
      <selection activeCell="D3" sqref="D3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bestFit="1" customWidth="1"/>
    <col min="4" max="4" width="9.140625" style="1" customWidth="1"/>
    <col min="5" max="16384" width="9.140625" style="1"/>
  </cols>
  <sheetData>
    <row r="1" spans="2:3" ht="15.75" x14ac:dyDescent="0.25">
      <c r="B1" s="4" t="s">
        <v>0</v>
      </c>
    </row>
    <row r="3" spans="2:3" ht="15" x14ac:dyDescent="0.25">
      <c r="B3" s="1" t="s">
        <v>2</v>
      </c>
      <c r="C3" s="12">
        <v>1</v>
      </c>
    </row>
    <row r="4" spans="2:3" x14ac:dyDescent="0.2">
      <c r="B4" s="5"/>
    </row>
    <row r="5" spans="2:3" x14ac:dyDescent="0.2">
      <c r="B5" s="1" t="s">
        <v>4</v>
      </c>
      <c r="C5" s="6" t="s">
        <v>3</v>
      </c>
    </row>
    <row r="6" spans="2:3" x14ac:dyDescent="0.2">
      <c r="B6" s="1" t="str">
        <f>C5&amp;" "&amp;"share price"</f>
        <v>ABC share price</v>
      </c>
      <c r="C6" s="5">
        <v>150</v>
      </c>
    </row>
    <row r="7" spans="2:3" x14ac:dyDescent="0.2">
      <c r="B7" s="1" t="s">
        <v>5</v>
      </c>
      <c r="C7" s="5">
        <v>1000000</v>
      </c>
    </row>
    <row r="8" spans="2:3" x14ac:dyDescent="0.2">
      <c r="B8" s="1" t="s">
        <v>6</v>
      </c>
      <c r="C8" s="7">
        <v>0.25</v>
      </c>
    </row>
    <row r="9" spans="2:3" x14ac:dyDescent="0.2">
      <c r="B9" s="1" t="s">
        <v>17</v>
      </c>
      <c r="C9" s="8">
        <v>45291</v>
      </c>
    </row>
    <row r="10" spans="2:3" x14ac:dyDescent="0.2">
      <c r="B10" s="1" t="s">
        <v>7</v>
      </c>
      <c r="C10" s="9">
        <v>44926</v>
      </c>
    </row>
    <row r="11" spans="2:3" x14ac:dyDescent="0.2">
      <c r="B11" s="1" t="s">
        <v>8</v>
      </c>
      <c r="C11" s="10">
        <v>2023</v>
      </c>
    </row>
    <row r="12" spans="2:3" x14ac:dyDescent="0.2">
      <c r="B12" s="1" t="s">
        <v>18</v>
      </c>
      <c r="C12" s="10">
        <v>365</v>
      </c>
    </row>
    <row r="13" spans="2:3" x14ac:dyDescent="0.2">
      <c r="B13" s="1" t="s">
        <v>9</v>
      </c>
      <c r="C13" s="11" t="s">
        <v>10</v>
      </c>
    </row>
    <row r="14" spans="2:3" x14ac:dyDescent="0.2">
      <c r="B14" s="1" t="s">
        <v>11</v>
      </c>
      <c r="C14" s="11" t="s">
        <v>12</v>
      </c>
    </row>
    <row r="15" spans="2:3" x14ac:dyDescent="0.2">
      <c r="B15" s="1" t="s">
        <v>13</v>
      </c>
      <c r="C15" s="11" t="s">
        <v>14</v>
      </c>
    </row>
    <row r="16" spans="2:3" x14ac:dyDescent="0.2">
      <c r="B16" s="1" t="s">
        <v>19</v>
      </c>
      <c r="C16" s="7">
        <v>0.27</v>
      </c>
    </row>
    <row r="17" spans="2:16" x14ac:dyDescent="0.2">
      <c r="B17" s="1" t="s">
        <v>15</v>
      </c>
      <c r="C17" s="5">
        <f>8000000/1000</f>
        <v>8000</v>
      </c>
    </row>
    <row r="18" spans="2:16" x14ac:dyDescent="0.2">
      <c r="B18" s="1" t="s">
        <v>16</v>
      </c>
      <c r="C18" s="7">
        <v>0.02</v>
      </c>
    </row>
    <row r="19" spans="2:16" x14ac:dyDescent="0.2">
      <c r="C19" s="7"/>
    </row>
    <row r="21" spans="2:16" x14ac:dyDescent="0.2">
      <c r="B21" s="33" t="s">
        <v>96</v>
      </c>
    </row>
    <row r="22" spans="2:16" x14ac:dyDescent="0.2">
      <c r="B22" s="1" t="s">
        <v>39</v>
      </c>
      <c r="C22" s="5">
        <v>-548</v>
      </c>
    </row>
    <row r="23" spans="2:16" x14ac:dyDescent="0.2">
      <c r="B23" s="1" t="s">
        <v>40</v>
      </c>
      <c r="C23" s="5">
        <v>-798</v>
      </c>
    </row>
    <row r="24" spans="2:16" x14ac:dyDescent="0.2">
      <c r="B24" s="1" t="s">
        <v>43</v>
      </c>
      <c r="C24" s="5">
        <v>4215</v>
      </c>
    </row>
    <row r="28" spans="2:16" x14ac:dyDescent="0.2">
      <c r="B28" s="41" t="s">
        <v>107</v>
      </c>
      <c r="C28" s="42">
        <f>D28-1</f>
        <v>2020</v>
      </c>
      <c r="D28" s="42">
        <f>E28-1</f>
        <v>2021</v>
      </c>
      <c r="E28" s="42">
        <f>G28-1</f>
        <v>2022</v>
      </c>
      <c r="F28" s="14"/>
      <c r="G28" s="16">
        <f>C11</f>
        <v>2023</v>
      </c>
      <c r="H28" s="16">
        <f>G28+1</f>
        <v>2024</v>
      </c>
      <c r="I28" s="16">
        <f t="shared" ref="I28:P28" si="0">H28+1</f>
        <v>2025</v>
      </c>
      <c r="J28" s="16">
        <f t="shared" si="0"/>
        <v>2026</v>
      </c>
      <c r="K28" s="16">
        <f t="shared" si="0"/>
        <v>2027</v>
      </c>
      <c r="L28" s="16">
        <f t="shared" si="0"/>
        <v>2028</v>
      </c>
      <c r="M28" s="16">
        <f t="shared" si="0"/>
        <v>2029</v>
      </c>
      <c r="N28" s="16">
        <f t="shared" si="0"/>
        <v>2030</v>
      </c>
      <c r="O28" s="16">
        <f t="shared" si="0"/>
        <v>2031</v>
      </c>
      <c r="P28" s="16">
        <f t="shared" si="0"/>
        <v>2032</v>
      </c>
    </row>
    <row r="29" spans="2:16" x14ac:dyDescent="0.2">
      <c r="B29" s="1" t="s">
        <v>22</v>
      </c>
      <c r="C29" s="43"/>
      <c r="D29" s="43"/>
      <c r="E29" s="43"/>
      <c r="G29" s="52">
        <f>G42+$C$18</f>
        <v>0.12000000000000001</v>
      </c>
      <c r="H29" s="52">
        <f t="shared" ref="H29:P29" si="1">H42+$C$18</f>
        <v>0.12000000000000001</v>
      </c>
      <c r="I29" s="52">
        <f t="shared" si="1"/>
        <v>0.12000000000000001</v>
      </c>
      <c r="J29" s="52">
        <f t="shared" si="1"/>
        <v>9.0000000000000011E-2</v>
      </c>
      <c r="K29" s="52">
        <f t="shared" si="1"/>
        <v>9.0000000000000011E-2</v>
      </c>
      <c r="L29" s="52">
        <f t="shared" si="1"/>
        <v>9.0000000000000011E-2</v>
      </c>
      <c r="M29" s="52">
        <f t="shared" si="1"/>
        <v>7.0000000000000007E-2</v>
      </c>
      <c r="N29" s="52">
        <f t="shared" si="1"/>
        <v>7.0000000000000007E-2</v>
      </c>
      <c r="O29" s="52">
        <f t="shared" si="1"/>
        <v>0.06</v>
      </c>
      <c r="P29" s="52">
        <f t="shared" si="1"/>
        <v>0.05</v>
      </c>
    </row>
    <row r="30" spans="2:16" x14ac:dyDescent="0.2">
      <c r="B30" s="1" t="s">
        <v>24</v>
      </c>
      <c r="C30" s="43"/>
      <c r="D30" s="43"/>
      <c r="E30" s="43"/>
      <c r="G30" s="52">
        <f t="shared" ref="G30:P30" si="2">G43+$C$18</f>
        <v>-0.48141098752641898</v>
      </c>
      <c r="H30" s="52">
        <f t="shared" si="2"/>
        <v>-0.48141098752641898</v>
      </c>
      <c r="I30" s="52">
        <f t="shared" si="2"/>
        <v>-0.48141098752641898</v>
      </c>
      <c r="J30" s="52">
        <f t="shared" si="2"/>
        <v>-0.48141098752641898</v>
      </c>
      <c r="K30" s="52">
        <f t="shared" si="2"/>
        <v>-0.48141098752641898</v>
      </c>
      <c r="L30" s="52">
        <f t="shared" si="2"/>
        <v>-0.48141098752641898</v>
      </c>
      <c r="M30" s="52">
        <f t="shared" si="2"/>
        <v>-0.48141098752641898</v>
      </c>
      <c r="N30" s="52">
        <f t="shared" si="2"/>
        <v>-0.48141098752641898</v>
      </c>
      <c r="O30" s="52">
        <f t="shared" si="2"/>
        <v>-0.48141098752641898</v>
      </c>
      <c r="P30" s="52">
        <f t="shared" si="2"/>
        <v>-0.48141098752641898</v>
      </c>
    </row>
    <row r="31" spans="2:16" x14ac:dyDescent="0.2">
      <c r="B31" s="1" t="s">
        <v>28</v>
      </c>
      <c r="C31" s="43"/>
      <c r="D31" s="43"/>
      <c r="E31" s="43"/>
      <c r="G31" s="52">
        <f t="shared" ref="G31:P31" si="3">G44+$C$18</f>
        <v>-0.2412177845766246</v>
      </c>
      <c r="H31" s="52">
        <f t="shared" si="3"/>
        <v>-0.2412177845766246</v>
      </c>
      <c r="I31" s="52">
        <f t="shared" si="3"/>
        <v>-0.2412177845766246</v>
      </c>
      <c r="J31" s="52">
        <f t="shared" si="3"/>
        <v>-0.2412177845766246</v>
      </c>
      <c r="K31" s="52">
        <f t="shared" si="3"/>
        <v>-0.2412177845766246</v>
      </c>
      <c r="L31" s="52">
        <f t="shared" si="3"/>
        <v>-0.2412177845766246</v>
      </c>
      <c r="M31" s="52">
        <f t="shared" si="3"/>
        <v>-0.2412177845766246</v>
      </c>
      <c r="N31" s="52">
        <f t="shared" si="3"/>
        <v>-0.2412177845766246</v>
      </c>
      <c r="O31" s="52">
        <f t="shared" si="3"/>
        <v>-0.2412177845766246</v>
      </c>
      <c r="P31" s="52">
        <f t="shared" si="3"/>
        <v>-0.2412177845766246</v>
      </c>
    </row>
    <row r="32" spans="2:16" x14ac:dyDescent="0.2">
      <c r="B32" s="1" t="s">
        <v>108</v>
      </c>
      <c r="C32" s="43"/>
      <c r="D32" s="43"/>
      <c r="E32" s="43"/>
      <c r="G32" s="53">
        <f>G45</f>
        <v>35.531377222665036</v>
      </c>
      <c r="H32" s="53">
        <f t="shared" ref="H32:P32" si="4">H45</f>
        <v>35.531377222665036</v>
      </c>
      <c r="I32" s="53">
        <f t="shared" si="4"/>
        <v>35.531377222665036</v>
      </c>
      <c r="J32" s="53">
        <f t="shared" si="4"/>
        <v>35.531377222665036</v>
      </c>
      <c r="K32" s="53">
        <f t="shared" si="4"/>
        <v>35.531377222665036</v>
      </c>
      <c r="L32" s="53">
        <f t="shared" si="4"/>
        <v>35.531377222665036</v>
      </c>
      <c r="M32" s="53">
        <f t="shared" si="4"/>
        <v>35.531377222665036</v>
      </c>
      <c r="N32" s="53">
        <f t="shared" si="4"/>
        <v>35.531377222665036</v>
      </c>
      <c r="O32" s="53">
        <f t="shared" si="4"/>
        <v>35.531377222665036</v>
      </c>
      <c r="P32" s="53">
        <f t="shared" si="4"/>
        <v>35.531377222665036</v>
      </c>
    </row>
    <row r="33" spans="2:16" x14ac:dyDescent="0.2">
      <c r="B33" s="1" t="s">
        <v>109</v>
      </c>
      <c r="C33" s="43"/>
      <c r="D33" s="43"/>
      <c r="E33" s="43"/>
      <c r="G33" s="53">
        <f t="shared" ref="G33:P33" si="5">G46</f>
        <v>90.961663094334497</v>
      </c>
      <c r="H33" s="53">
        <f t="shared" si="5"/>
        <v>90.961663094334497</v>
      </c>
      <c r="I33" s="53">
        <f t="shared" si="5"/>
        <v>90.961663094334497</v>
      </c>
      <c r="J33" s="53">
        <f t="shared" si="5"/>
        <v>90.961663094334497</v>
      </c>
      <c r="K33" s="53">
        <f t="shared" si="5"/>
        <v>90.961663094334497</v>
      </c>
      <c r="L33" s="53">
        <f t="shared" si="5"/>
        <v>90.961663094334497</v>
      </c>
      <c r="M33" s="53">
        <f t="shared" si="5"/>
        <v>90.961663094334497</v>
      </c>
      <c r="N33" s="53">
        <f t="shared" si="5"/>
        <v>90.961663094334497</v>
      </c>
      <c r="O33" s="53">
        <f t="shared" si="5"/>
        <v>90.961663094334497</v>
      </c>
      <c r="P33" s="53">
        <f t="shared" si="5"/>
        <v>90.961663094334497</v>
      </c>
    </row>
    <row r="34" spans="2:16" x14ac:dyDescent="0.2">
      <c r="B34" s="1" t="s">
        <v>110</v>
      </c>
      <c r="C34" s="43"/>
      <c r="D34" s="43"/>
      <c r="E34" s="43"/>
      <c r="G34" s="53">
        <f t="shared" ref="G34:P34" si="6">G47</f>
        <v>65.841099442031705</v>
      </c>
      <c r="H34" s="53">
        <f t="shared" si="6"/>
        <v>65.841099442031705</v>
      </c>
      <c r="I34" s="53">
        <f t="shared" si="6"/>
        <v>65.841099442031705</v>
      </c>
      <c r="J34" s="53">
        <f t="shared" si="6"/>
        <v>65.841099442031705</v>
      </c>
      <c r="K34" s="53">
        <f t="shared" si="6"/>
        <v>65.841099442031705</v>
      </c>
      <c r="L34" s="53">
        <f t="shared" si="6"/>
        <v>65.841099442031705</v>
      </c>
      <c r="M34" s="53">
        <f t="shared" si="6"/>
        <v>65.841099442031705</v>
      </c>
      <c r="N34" s="53">
        <f t="shared" si="6"/>
        <v>65.841099442031705</v>
      </c>
      <c r="O34" s="53">
        <f t="shared" si="6"/>
        <v>65.841099442031705</v>
      </c>
      <c r="P34" s="53">
        <f t="shared" si="6"/>
        <v>65.841099442031705</v>
      </c>
    </row>
    <row r="35" spans="2:16" x14ac:dyDescent="0.2">
      <c r="B35" s="1" t="s">
        <v>41</v>
      </c>
      <c r="C35" s="43"/>
      <c r="D35" s="43"/>
      <c r="E35" s="43"/>
      <c r="G35" s="24">
        <f t="shared" ref="G35:P35" si="7">G48</f>
        <v>0.16015714449909779</v>
      </c>
      <c r="H35" s="24">
        <f t="shared" si="7"/>
        <v>0.16015714449909779</v>
      </c>
      <c r="I35" s="24">
        <f t="shared" si="7"/>
        <v>0.16015714449909779</v>
      </c>
      <c r="J35" s="24">
        <f t="shared" si="7"/>
        <v>0.16015714449909779</v>
      </c>
      <c r="K35" s="24">
        <f t="shared" si="7"/>
        <v>0.16015714449909779</v>
      </c>
      <c r="L35" s="24">
        <f t="shared" si="7"/>
        <v>0.16015714449909779</v>
      </c>
      <c r="M35" s="24">
        <f t="shared" si="7"/>
        <v>0.16015714449909779</v>
      </c>
      <c r="N35" s="24">
        <f t="shared" si="7"/>
        <v>0.16015714449909779</v>
      </c>
      <c r="O35" s="24">
        <f t="shared" si="7"/>
        <v>0.16015714449909779</v>
      </c>
      <c r="P35" s="24">
        <f t="shared" si="7"/>
        <v>0.16015714449909779</v>
      </c>
    </row>
    <row r="36" spans="2:16" x14ac:dyDescent="0.2">
      <c r="B36" s="1" t="s">
        <v>45</v>
      </c>
      <c r="C36" s="43"/>
      <c r="D36" s="43"/>
      <c r="E36" s="43"/>
      <c r="G36" s="24">
        <f t="shared" ref="G36:P36" si="8">G49</f>
        <v>0.16815539816985764</v>
      </c>
      <c r="H36" s="24">
        <f t="shared" si="8"/>
        <v>0.16815539816985764</v>
      </c>
      <c r="I36" s="24">
        <f t="shared" si="8"/>
        <v>0.16815539816985764</v>
      </c>
      <c r="J36" s="24">
        <f t="shared" si="8"/>
        <v>0.16815539816985764</v>
      </c>
      <c r="K36" s="24">
        <f t="shared" si="8"/>
        <v>0.16815539816985764</v>
      </c>
      <c r="L36" s="24">
        <f t="shared" si="8"/>
        <v>0.16815539816985764</v>
      </c>
      <c r="M36" s="24">
        <f t="shared" si="8"/>
        <v>0.16815539816985764</v>
      </c>
      <c r="N36" s="24">
        <f t="shared" si="8"/>
        <v>0.16815539816985764</v>
      </c>
      <c r="O36" s="24">
        <f t="shared" si="8"/>
        <v>0.16815539816985764</v>
      </c>
      <c r="P36" s="24">
        <f t="shared" si="8"/>
        <v>0.16815539816985764</v>
      </c>
    </row>
    <row r="37" spans="2:16" x14ac:dyDescent="0.2">
      <c r="B37" s="1" t="s">
        <v>48</v>
      </c>
      <c r="C37" s="43"/>
      <c r="D37" s="43"/>
      <c r="E37" s="43"/>
      <c r="G37" s="24">
        <f t="shared" ref="G37:P37" si="9">G50</f>
        <v>7.4090636366157689E-2</v>
      </c>
      <c r="H37" s="24">
        <f t="shared" si="9"/>
        <v>7.4090636366157689E-2</v>
      </c>
      <c r="I37" s="24">
        <f t="shared" si="9"/>
        <v>7.4090636366157689E-2</v>
      </c>
      <c r="J37" s="24">
        <f t="shared" si="9"/>
        <v>7.4090636366157689E-2</v>
      </c>
      <c r="K37" s="24">
        <f t="shared" si="9"/>
        <v>7.4090636366157689E-2</v>
      </c>
      <c r="L37" s="24">
        <f t="shared" si="9"/>
        <v>7.4090636366157689E-2</v>
      </c>
      <c r="M37" s="24">
        <f t="shared" si="9"/>
        <v>7.4090636366157689E-2</v>
      </c>
      <c r="N37" s="24">
        <f t="shared" si="9"/>
        <v>7.4090636366157689E-2</v>
      </c>
      <c r="O37" s="24">
        <f t="shared" si="9"/>
        <v>7.4090636366157689E-2</v>
      </c>
      <c r="P37" s="24">
        <f t="shared" si="9"/>
        <v>7.4090636366157689E-2</v>
      </c>
    </row>
    <row r="38" spans="2:16" x14ac:dyDescent="0.2">
      <c r="B38" s="1" t="s">
        <v>50</v>
      </c>
      <c r="C38" s="43"/>
      <c r="D38" s="43"/>
      <c r="E38" s="43"/>
      <c r="G38" s="24">
        <f t="shared" ref="G38:P38" si="10">G51</f>
        <v>0.17954518899812577</v>
      </c>
      <c r="H38" s="24">
        <f t="shared" si="10"/>
        <v>0.17954518899812577</v>
      </c>
      <c r="I38" s="24">
        <f t="shared" si="10"/>
        <v>0.17954518899812577</v>
      </c>
      <c r="J38" s="24">
        <f t="shared" si="10"/>
        <v>0.17954518899812577</v>
      </c>
      <c r="K38" s="24">
        <f t="shared" si="10"/>
        <v>0.17954518899812577</v>
      </c>
      <c r="L38" s="24">
        <f t="shared" si="10"/>
        <v>0.17954518899812577</v>
      </c>
      <c r="M38" s="24">
        <f t="shared" si="10"/>
        <v>0.17954518899812577</v>
      </c>
      <c r="N38" s="24">
        <f t="shared" si="10"/>
        <v>0.17954518899812577</v>
      </c>
      <c r="O38" s="24">
        <f t="shared" si="10"/>
        <v>0.17954518899812577</v>
      </c>
      <c r="P38" s="24">
        <f t="shared" si="10"/>
        <v>0.17954518899812577</v>
      </c>
    </row>
    <row r="39" spans="2:16" x14ac:dyDescent="0.2">
      <c r="B39" s="1" t="s">
        <v>111</v>
      </c>
      <c r="C39" s="43"/>
      <c r="D39" s="43"/>
      <c r="E39" s="43"/>
      <c r="G39" s="24">
        <f t="shared" ref="G39:P39" si="11">G52</f>
        <v>4.7107288373246348E-2</v>
      </c>
      <c r="H39" s="24">
        <f t="shared" si="11"/>
        <v>4.7107288373246348E-2</v>
      </c>
      <c r="I39" s="24">
        <f t="shared" si="11"/>
        <v>4.7107288373246348E-2</v>
      </c>
      <c r="J39" s="24">
        <f t="shared" si="11"/>
        <v>4.7107288373246348E-2</v>
      </c>
      <c r="K39" s="24">
        <f t="shared" si="11"/>
        <v>4.7107288373246348E-2</v>
      </c>
      <c r="L39" s="24">
        <f t="shared" si="11"/>
        <v>4.7107288373246348E-2</v>
      </c>
      <c r="M39" s="24">
        <f t="shared" si="11"/>
        <v>4.7107288373246348E-2</v>
      </c>
      <c r="N39" s="24">
        <f t="shared" si="11"/>
        <v>4.7107288373246348E-2</v>
      </c>
      <c r="O39" s="24">
        <f t="shared" si="11"/>
        <v>4.7107288373246348E-2</v>
      </c>
      <c r="P39" s="24">
        <f t="shared" si="11"/>
        <v>4.7107288373246348E-2</v>
      </c>
    </row>
    <row r="40" spans="2:16" x14ac:dyDescent="0.2">
      <c r="C40" s="43"/>
      <c r="D40" s="43"/>
      <c r="E40" s="43"/>
    </row>
    <row r="41" spans="2:16" x14ac:dyDescent="0.2">
      <c r="B41" s="41" t="s">
        <v>112</v>
      </c>
      <c r="C41" s="42">
        <f>D41-1</f>
        <v>2020</v>
      </c>
      <c r="D41" s="42">
        <f>E41-1</f>
        <v>2021</v>
      </c>
      <c r="E41" s="42">
        <f>G41-1</f>
        <v>2022</v>
      </c>
      <c r="F41" s="14"/>
      <c r="G41" s="16">
        <f>C11</f>
        <v>2023</v>
      </c>
      <c r="H41" s="16">
        <f>G41+1</f>
        <v>2024</v>
      </c>
      <c r="I41" s="16">
        <f t="shared" ref="I41" si="12">H41+1</f>
        <v>2025</v>
      </c>
      <c r="J41" s="16">
        <f t="shared" ref="J41" si="13">I41+1</f>
        <v>2026</v>
      </c>
      <c r="K41" s="16">
        <f t="shared" ref="K41" si="14">J41+1</f>
        <v>2027</v>
      </c>
      <c r="L41" s="16">
        <f t="shared" ref="L41" si="15">K41+1</f>
        <v>2028</v>
      </c>
      <c r="M41" s="16">
        <f t="shared" ref="M41" si="16">L41+1</f>
        <v>2029</v>
      </c>
      <c r="N41" s="16">
        <f t="shared" ref="N41" si="17">M41+1</f>
        <v>2030</v>
      </c>
      <c r="O41" s="16">
        <f t="shared" ref="O41" si="18">N41+1</f>
        <v>2031</v>
      </c>
      <c r="P41" s="16">
        <f t="shared" ref="P41" si="19">O41+1</f>
        <v>2032</v>
      </c>
    </row>
    <row r="42" spans="2:16" x14ac:dyDescent="0.2">
      <c r="B42" s="1" t="s">
        <v>22</v>
      </c>
      <c r="C42" s="43"/>
      <c r="D42" s="44">
        <f>'P&amp;L'!D7</f>
        <v>6.7967546780763444E-2</v>
      </c>
      <c r="E42" s="44">
        <f>'P&amp;L'!E7</f>
        <v>0.13100953120856329</v>
      </c>
      <c r="G42" s="7">
        <v>0.1</v>
      </c>
      <c r="H42" s="7">
        <v>0.1</v>
      </c>
      <c r="I42" s="7">
        <v>0.1</v>
      </c>
      <c r="J42" s="7">
        <v>7.0000000000000007E-2</v>
      </c>
      <c r="K42" s="7">
        <v>7.0000000000000007E-2</v>
      </c>
      <c r="L42" s="7">
        <v>7.0000000000000007E-2</v>
      </c>
      <c r="M42" s="7">
        <v>0.05</v>
      </c>
      <c r="N42" s="7">
        <v>0.05</v>
      </c>
      <c r="O42" s="7">
        <v>0.04</v>
      </c>
      <c r="P42" s="7">
        <v>0.03</v>
      </c>
    </row>
    <row r="43" spans="2:16" x14ac:dyDescent="0.2">
      <c r="B43" s="1" t="s">
        <v>24</v>
      </c>
      <c r="C43" s="44">
        <f>'P&amp;L'!C9</f>
        <v>-0.43924635180240917</v>
      </c>
      <c r="D43" s="44">
        <f>'P&amp;L'!D9</f>
        <v>-0.53906052030955498</v>
      </c>
      <c r="E43" s="44">
        <f>'P&amp;L'!E9</f>
        <v>-0.52592609046729288</v>
      </c>
      <c r="G43" s="52">
        <f>AVERAGE($C$43:$E$43)</f>
        <v>-0.50141098752641899</v>
      </c>
      <c r="H43" s="52">
        <f t="shared" ref="H43:P43" si="20">AVERAGE($C$43:$E$43)</f>
        <v>-0.50141098752641899</v>
      </c>
      <c r="I43" s="52">
        <f t="shared" si="20"/>
        <v>-0.50141098752641899</v>
      </c>
      <c r="J43" s="52">
        <f t="shared" si="20"/>
        <v>-0.50141098752641899</v>
      </c>
      <c r="K43" s="52">
        <f t="shared" si="20"/>
        <v>-0.50141098752641899</v>
      </c>
      <c r="L43" s="52">
        <f t="shared" si="20"/>
        <v>-0.50141098752641899</v>
      </c>
      <c r="M43" s="52">
        <f t="shared" si="20"/>
        <v>-0.50141098752641899</v>
      </c>
      <c r="N43" s="52">
        <f t="shared" si="20"/>
        <v>-0.50141098752641899</v>
      </c>
      <c r="O43" s="52">
        <f t="shared" si="20"/>
        <v>-0.50141098752641899</v>
      </c>
      <c r="P43" s="52">
        <f t="shared" si="20"/>
        <v>-0.50141098752641899</v>
      </c>
    </row>
    <row r="44" spans="2:16" x14ac:dyDescent="0.2">
      <c r="B44" s="1" t="s">
        <v>28</v>
      </c>
      <c r="C44" s="44">
        <f>'P&amp;L'!C13</f>
        <v>-0.21535311551525013</v>
      </c>
      <c r="D44" s="44">
        <f>'P&amp;L'!D13</f>
        <v>-0.27611414765467046</v>
      </c>
      <c r="E44" s="44">
        <f>'P&amp;L'!E13</f>
        <v>-0.29218609055995315</v>
      </c>
      <c r="G44" s="52">
        <f>AVERAGE($C$44:$E$44)</f>
        <v>-0.26121778457662459</v>
      </c>
      <c r="H44" s="52">
        <f t="shared" ref="H44:P44" si="21">AVERAGE($C$44:$E$44)</f>
        <v>-0.26121778457662459</v>
      </c>
      <c r="I44" s="52">
        <f t="shared" si="21"/>
        <v>-0.26121778457662459</v>
      </c>
      <c r="J44" s="52">
        <f t="shared" si="21"/>
        <v>-0.26121778457662459</v>
      </c>
      <c r="K44" s="52">
        <f t="shared" si="21"/>
        <v>-0.26121778457662459</v>
      </c>
      <c r="L44" s="52">
        <f t="shared" si="21"/>
        <v>-0.26121778457662459</v>
      </c>
      <c r="M44" s="52">
        <f t="shared" si="21"/>
        <v>-0.26121778457662459</v>
      </c>
      <c r="N44" s="52">
        <f t="shared" si="21"/>
        <v>-0.26121778457662459</v>
      </c>
      <c r="O44" s="52">
        <f t="shared" si="21"/>
        <v>-0.26121778457662459</v>
      </c>
      <c r="P44" s="52">
        <f t="shared" si="21"/>
        <v>-0.26121778457662459</v>
      </c>
    </row>
    <row r="45" spans="2:16" x14ac:dyDescent="0.2">
      <c r="B45" s="1" t="s">
        <v>108</v>
      </c>
      <c r="C45" s="46">
        <f>'Balance sheet'!C7/'P&amp;L'!C6*Drivers!$C$12</f>
        <v>43.78230578142314</v>
      </c>
      <c r="D45" s="46">
        <f>'Balance sheet'!D7/'P&amp;L'!D6*Drivers!$C$12</f>
        <v>47.748220847244262</v>
      </c>
      <c r="E45" s="46">
        <f>'Balance sheet'!E7/'P&amp;L'!E6*Drivers!$C$12</f>
        <v>35.531377222665036</v>
      </c>
      <c r="G45" s="53">
        <f>$E45</f>
        <v>35.531377222665036</v>
      </c>
      <c r="H45" s="53">
        <f t="shared" ref="H45:P52" si="22">$E45</f>
        <v>35.531377222665036</v>
      </c>
      <c r="I45" s="53">
        <f t="shared" si="22"/>
        <v>35.531377222665036</v>
      </c>
      <c r="J45" s="53">
        <f t="shared" si="22"/>
        <v>35.531377222665036</v>
      </c>
      <c r="K45" s="53">
        <f t="shared" si="22"/>
        <v>35.531377222665036</v>
      </c>
      <c r="L45" s="53">
        <f t="shared" si="22"/>
        <v>35.531377222665036</v>
      </c>
      <c r="M45" s="53">
        <f t="shared" si="22"/>
        <v>35.531377222665036</v>
      </c>
      <c r="N45" s="53">
        <f t="shared" si="22"/>
        <v>35.531377222665036</v>
      </c>
      <c r="O45" s="53">
        <f t="shared" si="22"/>
        <v>35.531377222665036</v>
      </c>
      <c r="P45" s="53">
        <f t="shared" si="22"/>
        <v>35.531377222665036</v>
      </c>
    </row>
    <row r="46" spans="2:16" x14ac:dyDescent="0.2">
      <c r="B46" s="1" t="s">
        <v>109</v>
      </c>
      <c r="C46" s="46">
        <f>-'Balance sheet'!C8/'P&amp;L'!C$8*Drivers!$C$12</f>
        <v>109.97364206692042</v>
      </c>
      <c r="D46" s="46">
        <f>-'Balance sheet'!D8/'P&amp;L'!D$8*Drivers!$C$12</f>
        <v>102.01637865851723</v>
      </c>
      <c r="E46" s="46">
        <f>-'Balance sheet'!E8/'P&amp;L'!E$8*Drivers!$C$12</f>
        <v>90.961663094334497</v>
      </c>
      <c r="G46" s="53">
        <f t="shared" ref="G46:G52" si="23">$E46</f>
        <v>90.961663094334497</v>
      </c>
      <c r="H46" s="53">
        <f t="shared" si="22"/>
        <v>90.961663094334497</v>
      </c>
      <c r="I46" s="53">
        <f t="shared" si="22"/>
        <v>90.961663094334497</v>
      </c>
      <c r="J46" s="53">
        <f t="shared" si="22"/>
        <v>90.961663094334497</v>
      </c>
      <c r="K46" s="53">
        <f t="shared" si="22"/>
        <v>90.961663094334497</v>
      </c>
      <c r="L46" s="53">
        <f t="shared" si="22"/>
        <v>90.961663094334497</v>
      </c>
      <c r="M46" s="53">
        <f t="shared" si="22"/>
        <v>90.961663094334497</v>
      </c>
      <c r="N46" s="53">
        <f t="shared" si="22"/>
        <v>90.961663094334497</v>
      </c>
      <c r="O46" s="53">
        <f t="shared" si="22"/>
        <v>90.961663094334497</v>
      </c>
      <c r="P46" s="53">
        <f t="shared" si="22"/>
        <v>90.961663094334497</v>
      </c>
    </row>
    <row r="47" spans="2:16" x14ac:dyDescent="0.2">
      <c r="B47" s="1" t="s">
        <v>110</v>
      </c>
      <c r="C47" s="46">
        <f>-'Balance sheet'!C18/'P&amp;L'!C$8*Drivers!$C$12</f>
        <v>74.082300332492409</v>
      </c>
      <c r="D47" s="46">
        <f>-'Balance sheet'!D18/'P&amp;L'!D$8*Drivers!$C$12</f>
        <v>60.815634415992264</v>
      </c>
      <c r="E47" s="46">
        <f>-'Balance sheet'!E18/'P&amp;L'!E$8*Drivers!$C$12</f>
        <v>65.841099442031705</v>
      </c>
      <c r="G47" s="53">
        <f t="shared" si="23"/>
        <v>65.841099442031705</v>
      </c>
      <c r="H47" s="53">
        <f t="shared" si="22"/>
        <v>65.841099442031705</v>
      </c>
      <c r="I47" s="53">
        <f t="shared" si="22"/>
        <v>65.841099442031705</v>
      </c>
      <c r="J47" s="53">
        <f t="shared" si="22"/>
        <v>65.841099442031705</v>
      </c>
      <c r="K47" s="53">
        <f t="shared" si="22"/>
        <v>65.841099442031705</v>
      </c>
      <c r="L47" s="53">
        <f t="shared" si="22"/>
        <v>65.841099442031705</v>
      </c>
      <c r="M47" s="53">
        <f t="shared" si="22"/>
        <v>65.841099442031705</v>
      </c>
      <c r="N47" s="53">
        <f t="shared" si="22"/>
        <v>65.841099442031705</v>
      </c>
      <c r="O47" s="53">
        <f t="shared" si="22"/>
        <v>65.841099442031705</v>
      </c>
      <c r="P47" s="53">
        <f t="shared" si="22"/>
        <v>65.841099442031705</v>
      </c>
    </row>
    <row r="48" spans="2:16" x14ac:dyDescent="0.2">
      <c r="B48" s="1" t="s">
        <v>41</v>
      </c>
      <c r="C48" s="47">
        <f>'Balance sheet'!C9/'P&amp;L'!C$6</f>
        <v>0.19005480495512725</v>
      </c>
      <c r="D48" s="47">
        <f>'Balance sheet'!D9/'P&amp;L'!D$6</f>
        <v>0.1880899370291087</v>
      </c>
      <c r="E48" s="47">
        <f>'Balance sheet'!E9/'P&amp;L'!E$6</f>
        <v>0.16015714449909779</v>
      </c>
      <c r="G48" s="57">
        <f t="shared" si="23"/>
        <v>0.16015714449909779</v>
      </c>
      <c r="H48" s="57">
        <f t="shared" si="22"/>
        <v>0.16015714449909779</v>
      </c>
      <c r="I48" s="57">
        <f t="shared" si="22"/>
        <v>0.16015714449909779</v>
      </c>
      <c r="J48" s="57">
        <f t="shared" si="22"/>
        <v>0.16015714449909779</v>
      </c>
      <c r="K48" s="57">
        <f t="shared" si="22"/>
        <v>0.16015714449909779</v>
      </c>
      <c r="L48" s="57">
        <f t="shared" si="22"/>
        <v>0.16015714449909779</v>
      </c>
      <c r="M48" s="57">
        <f t="shared" si="22"/>
        <v>0.16015714449909779</v>
      </c>
      <c r="N48" s="57">
        <f t="shared" si="22"/>
        <v>0.16015714449909779</v>
      </c>
      <c r="O48" s="57">
        <f t="shared" si="22"/>
        <v>0.16015714449909779</v>
      </c>
      <c r="P48" s="57">
        <f t="shared" si="22"/>
        <v>0.16015714449909779</v>
      </c>
    </row>
    <row r="49" spans="2:16" x14ac:dyDescent="0.2">
      <c r="B49" s="1" t="s">
        <v>45</v>
      </c>
      <c r="C49" s="47">
        <f>'Balance sheet'!C14/'P&amp;L'!C$6</f>
        <v>0.31604723096602572</v>
      </c>
      <c r="D49" s="47">
        <f>'Balance sheet'!D14/'P&amp;L'!D$6</f>
        <v>0.18799884921082707</v>
      </c>
      <c r="E49" s="47">
        <f>'Balance sheet'!E14/'P&amp;L'!E$6</f>
        <v>0.16815539816985764</v>
      </c>
      <c r="G49" s="57">
        <f t="shared" si="23"/>
        <v>0.16815539816985764</v>
      </c>
      <c r="H49" s="57">
        <f t="shared" si="22"/>
        <v>0.16815539816985764</v>
      </c>
      <c r="I49" s="57">
        <f t="shared" si="22"/>
        <v>0.16815539816985764</v>
      </c>
      <c r="J49" s="57">
        <f t="shared" si="22"/>
        <v>0.16815539816985764</v>
      </c>
      <c r="K49" s="57">
        <f t="shared" si="22"/>
        <v>0.16815539816985764</v>
      </c>
      <c r="L49" s="57">
        <f t="shared" si="22"/>
        <v>0.16815539816985764</v>
      </c>
      <c r="M49" s="57">
        <f t="shared" si="22"/>
        <v>0.16815539816985764</v>
      </c>
      <c r="N49" s="57">
        <f t="shared" si="22"/>
        <v>0.16815539816985764</v>
      </c>
      <c r="O49" s="57">
        <f t="shared" si="22"/>
        <v>0.16815539816985764</v>
      </c>
      <c r="P49" s="57">
        <f t="shared" si="22"/>
        <v>0.16815539816985764</v>
      </c>
    </row>
    <row r="50" spans="2:16" x14ac:dyDescent="0.2">
      <c r="B50" s="1" t="s">
        <v>48</v>
      </c>
      <c r="C50" s="47">
        <f>'Balance sheet'!C19/'P&amp;L'!C$6</f>
        <v>0.10462722126965973</v>
      </c>
      <c r="D50" s="47">
        <f>'Balance sheet'!D19/'P&amp;L'!D$6</f>
        <v>9.8459262570672917E-2</v>
      </c>
      <c r="E50" s="47">
        <f>'Balance sheet'!E19/'P&amp;L'!E$6</f>
        <v>7.4090636366157689E-2</v>
      </c>
      <c r="G50" s="57">
        <f t="shared" si="23"/>
        <v>7.4090636366157689E-2</v>
      </c>
      <c r="H50" s="57">
        <f t="shared" si="22"/>
        <v>7.4090636366157689E-2</v>
      </c>
      <c r="I50" s="57">
        <f t="shared" si="22"/>
        <v>7.4090636366157689E-2</v>
      </c>
      <c r="J50" s="57">
        <f t="shared" si="22"/>
        <v>7.4090636366157689E-2</v>
      </c>
      <c r="K50" s="57">
        <f t="shared" si="22"/>
        <v>7.4090636366157689E-2</v>
      </c>
      <c r="L50" s="57">
        <f t="shared" si="22"/>
        <v>7.4090636366157689E-2</v>
      </c>
      <c r="M50" s="57">
        <f t="shared" si="22"/>
        <v>7.4090636366157689E-2</v>
      </c>
      <c r="N50" s="57">
        <f t="shared" si="22"/>
        <v>7.4090636366157689E-2</v>
      </c>
      <c r="O50" s="57">
        <f t="shared" si="22"/>
        <v>7.4090636366157689E-2</v>
      </c>
      <c r="P50" s="57">
        <f t="shared" si="22"/>
        <v>7.4090636366157689E-2</v>
      </c>
    </row>
    <row r="51" spans="2:16" x14ac:dyDescent="0.2">
      <c r="B51" s="1" t="s">
        <v>50</v>
      </c>
      <c r="C51" s="47">
        <f>'Balance sheet'!C22/'P&amp;L'!C$6</f>
        <v>0.21988968609397835</v>
      </c>
      <c r="D51" s="47">
        <f>'Balance sheet'!D22/'P&amp;L'!D$6</f>
        <v>0.18964434766504776</v>
      </c>
      <c r="E51" s="47">
        <f>'Balance sheet'!E22/'P&amp;L'!E$6</f>
        <v>0.17954518899812577</v>
      </c>
      <c r="G51" s="57">
        <f t="shared" si="23"/>
        <v>0.17954518899812577</v>
      </c>
      <c r="H51" s="57">
        <f t="shared" si="22"/>
        <v>0.17954518899812577</v>
      </c>
      <c r="I51" s="57">
        <f t="shared" si="22"/>
        <v>0.17954518899812577</v>
      </c>
      <c r="J51" s="57">
        <f t="shared" si="22"/>
        <v>0.17954518899812577</v>
      </c>
      <c r="K51" s="57">
        <f t="shared" si="22"/>
        <v>0.17954518899812577</v>
      </c>
      <c r="L51" s="57">
        <f t="shared" si="22"/>
        <v>0.17954518899812577</v>
      </c>
      <c r="M51" s="57">
        <f t="shared" si="22"/>
        <v>0.17954518899812577</v>
      </c>
      <c r="N51" s="57">
        <f t="shared" si="22"/>
        <v>0.17954518899812577</v>
      </c>
      <c r="O51" s="57">
        <f t="shared" si="22"/>
        <v>0.17954518899812577</v>
      </c>
      <c r="P51" s="57">
        <f t="shared" si="22"/>
        <v>0.17954518899812577</v>
      </c>
    </row>
    <row r="52" spans="2:16" x14ac:dyDescent="0.2">
      <c r="B52" s="1" t="s">
        <v>111</v>
      </c>
      <c r="C52" s="43"/>
      <c r="D52" s="47">
        <f>'Fixed assets roll forward'!D7/'P&amp;L'!D6</f>
        <v>5.2444439274786578E-2</v>
      </c>
      <c r="E52" s="47">
        <f>'Fixed assets roll forward'!E7/'P&amp;L'!E6</f>
        <v>4.7107288373246348E-2</v>
      </c>
      <c r="G52" s="24">
        <f t="shared" si="23"/>
        <v>4.7107288373246348E-2</v>
      </c>
      <c r="H52" s="24">
        <f t="shared" si="22"/>
        <v>4.7107288373246348E-2</v>
      </c>
      <c r="I52" s="24">
        <f t="shared" si="22"/>
        <v>4.7107288373246348E-2</v>
      </c>
      <c r="J52" s="24">
        <f t="shared" si="22"/>
        <v>4.7107288373246348E-2</v>
      </c>
      <c r="K52" s="24">
        <f t="shared" si="22"/>
        <v>4.7107288373246348E-2</v>
      </c>
      <c r="L52" s="24">
        <f t="shared" si="22"/>
        <v>4.7107288373246348E-2</v>
      </c>
      <c r="M52" s="24">
        <f t="shared" si="22"/>
        <v>4.7107288373246348E-2</v>
      </c>
      <c r="N52" s="24">
        <f t="shared" si="22"/>
        <v>4.7107288373246348E-2</v>
      </c>
      <c r="O52" s="24">
        <f t="shared" si="22"/>
        <v>4.7107288373246348E-2</v>
      </c>
      <c r="P52" s="24">
        <f t="shared" si="22"/>
        <v>4.7107288373246348E-2</v>
      </c>
    </row>
    <row r="53" spans="2:16" x14ac:dyDescent="0.2">
      <c r="C53" s="43"/>
      <c r="D53" s="43"/>
      <c r="E53" s="43"/>
    </row>
    <row r="54" spans="2:16" x14ac:dyDescent="0.2">
      <c r="B54" s="41" t="s">
        <v>113</v>
      </c>
      <c r="C54" s="42">
        <f>D54-1</f>
        <v>2020</v>
      </c>
      <c r="D54" s="42">
        <f>E54-1</f>
        <v>2021</v>
      </c>
      <c r="E54" s="42">
        <f>G54-1</f>
        <v>2022</v>
      </c>
      <c r="F54" s="14"/>
      <c r="G54" s="16">
        <f>C11</f>
        <v>2023</v>
      </c>
      <c r="H54" s="16">
        <f>G54+1</f>
        <v>2024</v>
      </c>
      <c r="I54" s="16">
        <f t="shared" ref="I54" si="24">H54+1</f>
        <v>2025</v>
      </c>
      <c r="J54" s="16">
        <f t="shared" ref="J54" si="25">I54+1</f>
        <v>2026</v>
      </c>
      <c r="K54" s="16">
        <f t="shared" ref="K54" si="26">J54+1</f>
        <v>2027</v>
      </c>
      <c r="L54" s="16">
        <f t="shared" ref="L54" si="27">K54+1</f>
        <v>2028</v>
      </c>
      <c r="M54" s="16">
        <f t="shared" ref="M54" si="28">L54+1</f>
        <v>2029</v>
      </c>
      <c r="N54" s="16">
        <f t="shared" ref="N54" si="29">M54+1</f>
        <v>2030</v>
      </c>
      <c r="O54" s="16">
        <f t="shared" ref="O54" si="30">N54+1</f>
        <v>2031</v>
      </c>
      <c r="P54" s="16">
        <f t="shared" ref="P54" si="31">O54+1</f>
        <v>2032</v>
      </c>
    </row>
    <row r="55" spans="2:16" x14ac:dyDescent="0.2">
      <c r="B55" s="1" t="s">
        <v>22</v>
      </c>
      <c r="C55" s="43"/>
      <c r="D55" s="43"/>
      <c r="E55" s="43"/>
      <c r="G55" s="52">
        <f>G42-$C$18</f>
        <v>0.08</v>
      </c>
      <c r="H55" s="52">
        <f t="shared" ref="H55:P55" si="32">H42-$C$18</f>
        <v>0.08</v>
      </c>
      <c r="I55" s="52">
        <f t="shared" si="32"/>
        <v>0.08</v>
      </c>
      <c r="J55" s="52">
        <f t="shared" si="32"/>
        <v>0.05</v>
      </c>
      <c r="K55" s="52">
        <f t="shared" si="32"/>
        <v>0.05</v>
      </c>
      <c r="L55" s="52">
        <f t="shared" si="32"/>
        <v>0.05</v>
      </c>
      <c r="M55" s="52">
        <f t="shared" si="32"/>
        <v>3.0000000000000002E-2</v>
      </c>
      <c r="N55" s="52">
        <f t="shared" si="32"/>
        <v>3.0000000000000002E-2</v>
      </c>
      <c r="O55" s="52">
        <f t="shared" si="32"/>
        <v>0.02</v>
      </c>
      <c r="P55" s="52">
        <f t="shared" si="32"/>
        <v>9.9999999999999985E-3</v>
      </c>
    </row>
    <row r="56" spans="2:16" x14ac:dyDescent="0.2">
      <c r="B56" s="1" t="s">
        <v>24</v>
      </c>
      <c r="C56" s="43"/>
      <c r="D56" s="43"/>
      <c r="E56" s="43"/>
      <c r="G56" s="52">
        <f t="shared" ref="G56:P56" si="33">G43-$C$18</f>
        <v>-0.52141098752641901</v>
      </c>
      <c r="H56" s="52">
        <f t="shared" si="33"/>
        <v>-0.52141098752641901</v>
      </c>
      <c r="I56" s="52">
        <f t="shared" si="33"/>
        <v>-0.52141098752641901</v>
      </c>
      <c r="J56" s="52">
        <f t="shared" si="33"/>
        <v>-0.52141098752641901</v>
      </c>
      <c r="K56" s="52">
        <f t="shared" si="33"/>
        <v>-0.52141098752641901</v>
      </c>
      <c r="L56" s="52">
        <f t="shared" si="33"/>
        <v>-0.52141098752641901</v>
      </c>
      <c r="M56" s="52">
        <f t="shared" si="33"/>
        <v>-0.52141098752641901</v>
      </c>
      <c r="N56" s="52">
        <f t="shared" si="33"/>
        <v>-0.52141098752641901</v>
      </c>
      <c r="O56" s="52">
        <f t="shared" si="33"/>
        <v>-0.52141098752641901</v>
      </c>
      <c r="P56" s="52">
        <f t="shared" si="33"/>
        <v>-0.52141098752641901</v>
      </c>
    </row>
    <row r="57" spans="2:16" x14ac:dyDescent="0.2">
      <c r="B57" s="1" t="s">
        <v>28</v>
      </c>
      <c r="C57" s="43"/>
      <c r="D57" s="43"/>
      <c r="E57" s="43"/>
      <c r="G57" s="52">
        <f t="shared" ref="G57:P57" si="34">G44-$C$18</f>
        <v>-0.28121778457662461</v>
      </c>
      <c r="H57" s="52">
        <f t="shared" si="34"/>
        <v>-0.28121778457662461</v>
      </c>
      <c r="I57" s="52">
        <f t="shared" si="34"/>
        <v>-0.28121778457662461</v>
      </c>
      <c r="J57" s="52">
        <f t="shared" si="34"/>
        <v>-0.28121778457662461</v>
      </c>
      <c r="K57" s="52">
        <f t="shared" si="34"/>
        <v>-0.28121778457662461</v>
      </c>
      <c r="L57" s="52">
        <f t="shared" si="34"/>
        <v>-0.28121778457662461</v>
      </c>
      <c r="M57" s="52">
        <f t="shared" si="34"/>
        <v>-0.28121778457662461</v>
      </c>
      <c r="N57" s="52">
        <f t="shared" si="34"/>
        <v>-0.28121778457662461</v>
      </c>
      <c r="O57" s="52">
        <f t="shared" si="34"/>
        <v>-0.28121778457662461</v>
      </c>
      <c r="P57" s="52">
        <f t="shared" si="34"/>
        <v>-0.28121778457662461</v>
      </c>
    </row>
    <row r="58" spans="2:16" x14ac:dyDescent="0.2">
      <c r="B58" s="1" t="s">
        <v>108</v>
      </c>
      <c r="C58" s="43"/>
      <c r="D58" s="43"/>
      <c r="E58" s="43"/>
      <c r="G58" s="53">
        <f>G45</f>
        <v>35.531377222665036</v>
      </c>
      <c r="H58" s="53">
        <f t="shared" ref="H58:P58" si="35">H45</f>
        <v>35.531377222665036</v>
      </c>
      <c r="I58" s="53">
        <f t="shared" si="35"/>
        <v>35.531377222665036</v>
      </c>
      <c r="J58" s="53">
        <f t="shared" si="35"/>
        <v>35.531377222665036</v>
      </c>
      <c r="K58" s="53">
        <f t="shared" si="35"/>
        <v>35.531377222665036</v>
      </c>
      <c r="L58" s="53">
        <f t="shared" si="35"/>
        <v>35.531377222665036</v>
      </c>
      <c r="M58" s="53">
        <f t="shared" si="35"/>
        <v>35.531377222665036</v>
      </c>
      <c r="N58" s="53">
        <f t="shared" si="35"/>
        <v>35.531377222665036</v>
      </c>
      <c r="O58" s="53">
        <f t="shared" si="35"/>
        <v>35.531377222665036</v>
      </c>
      <c r="P58" s="53">
        <f t="shared" si="35"/>
        <v>35.531377222665036</v>
      </c>
    </row>
    <row r="59" spans="2:16" x14ac:dyDescent="0.2">
      <c r="B59" s="1" t="s">
        <v>109</v>
      </c>
      <c r="C59" s="43"/>
      <c r="D59" s="43"/>
      <c r="E59" s="43"/>
      <c r="G59" s="53">
        <f t="shared" ref="G59:P59" si="36">G46</f>
        <v>90.961663094334497</v>
      </c>
      <c r="H59" s="53">
        <f t="shared" si="36"/>
        <v>90.961663094334497</v>
      </c>
      <c r="I59" s="53">
        <f t="shared" si="36"/>
        <v>90.961663094334497</v>
      </c>
      <c r="J59" s="53">
        <f t="shared" si="36"/>
        <v>90.961663094334497</v>
      </c>
      <c r="K59" s="53">
        <f t="shared" si="36"/>
        <v>90.961663094334497</v>
      </c>
      <c r="L59" s="53">
        <f t="shared" si="36"/>
        <v>90.961663094334497</v>
      </c>
      <c r="M59" s="53">
        <f t="shared" si="36"/>
        <v>90.961663094334497</v>
      </c>
      <c r="N59" s="53">
        <f t="shared" si="36"/>
        <v>90.961663094334497</v>
      </c>
      <c r="O59" s="53">
        <f t="shared" si="36"/>
        <v>90.961663094334497</v>
      </c>
      <c r="P59" s="53">
        <f t="shared" si="36"/>
        <v>90.961663094334497</v>
      </c>
    </row>
    <row r="60" spans="2:16" x14ac:dyDescent="0.2">
      <c r="B60" s="1" t="s">
        <v>110</v>
      </c>
      <c r="C60" s="43"/>
      <c r="D60" s="43"/>
      <c r="E60" s="43"/>
      <c r="G60" s="53">
        <f t="shared" ref="G60:P60" si="37">G47</f>
        <v>65.841099442031705</v>
      </c>
      <c r="H60" s="53">
        <f t="shared" si="37"/>
        <v>65.841099442031705</v>
      </c>
      <c r="I60" s="53">
        <f t="shared" si="37"/>
        <v>65.841099442031705</v>
      </c>
      <c r="J60" s="53">
        <f t="shared" si="37"/>
        <v>65.841099442031705</v>
      </c>
      <c r="K60" s="53">
        <f t="shared" si="37"/>
        <v>65.841099442031705</v>
      </c>
      <c r="L60" s="53">
        <f t="shared" si="37"/>
        <v>65.841099442031705</v>
      </c>
      <c r="M60" s="53">
        <f t="shared" si="37"/>
        <v>65.841099442031705</v>
      </c>
      <c r="N60" s="53">
        <f t="shared" si="37"/>
        <v>65.841099442031705</v>
      </c>
      <c r="O60" s="53">
        <f t="shared" si="37"/>
        <v>65.841099442031705</v>
      </c>
      <c r="P60" s="53">
        <f t="shared" si="37"/>
        <v>65.841099442031705</v>
      </c>
    </row>
    <row r="61" spans="2:16" x14ac:dyDescent="0.2">
      <c r="B61" s="1" t="s">
        <v>41</v>
      </c>
      <c r="C61" s="43"/>
      <c r="D61" s="43"/>
      <c r="E61" s="43"/>
      <c r="G61" s="24">
        <f t="shared" ref="G61:P61" si="38">G48</f>
        <v>0.16015714449909779</v>
      </c>
      <c r="H61" s="24">
        <f t="shared" si="38"/>
        <v>0.16015714449909779</v>
      </c>
      <c r="I61" s="24">
        <f t="shared" si="38"/>
        <v>0.16015714449909779</v>
      </c>
      <c r="J61" s="24">
        <f t="shared" si="38"/>
        <v>0.16015714449909779</v>
      </c>
      <c r="K61" s="24">
        <f t="shared" si="38"/>
        <v>0.16015714449909779</v>
      </c>
      <c r="L61" s="24">
        <f t="shared" si="38"/>
        <v>0.16015714449909779</v>
      </c>
      <c r="M61" s="24">
        <f t="shared" si="38"/>
        <v>0.16015714449909779</v>
      </c>
      <c r="N61" s="24">
        <f t="shared" si="38"/>
        <v>0.16015714449909779</v>
      </c>
      <c r="O61" s="24">
        <f t="shared" si="38"/>
        <v>0.16015714449909779</v>
      </c>
      <c r="P61" s="24">
        <f t="shared" si="38"/>
        <v>0.16015714449909779</v>
      </c>
    </row>
    <row r="62" spans="2:16" x14ac:dyDescent="0.2">
      <c r="B62" s="1" t="s">
        <v>45</v>
      </c>
      <c r="C62" s="43"/>
      <c r="D62" s="43"/>
      <c r="E62" s="43"/>
      <c r="G62" s="24">
        <f t="shared" ref="G62:P62" si="39">G49</f>
        <v>0.16815539816985764</v>
      </c>
      <c r="H62" s="24">
        <f t="shared" si="39"/>
        <v>0.16815539816985764</v>
      </c>
      <c r="I62" s="24">
        <f t="shared" si="39"/>
        <v>0.16815539816985764</v>
      </c>
      <c r="J62" s="24">
        <f t="shared" si="39"/>
        <v>0.16815539816985764</v>
      </c>
      <c r="K62" s="24">
        <f t="shared" si="39"/>
        <v>0.16815539816985764</v>
      </c>
      <c r="L62" s="24">
        <f t="shared" si="39"/>
        <v>0.16815539816985764</v>
      </c>
      <c r="M62" s="24">
        <f t="shared" si="39"/>
        <v>0.16815539816985764</v>
      </c>
      <c r="N62" s="24">
        <f t="shared" si="39"/>
        <v>0.16815539816985764</v>
      </c>
      <c r="O62" s="24">
        <f t="shared" si="39"/>
        <v>0.16815539816985764</v>
      </c>
      <c r="P62" s="24">
        <f t="shared" si="39"/>
        <v>0.16815539816985764</v>
      </c>
    </row>
    <row r="63" spans="2:16" x14ac:dyDescent="0.2">
      <c r="B63" s="1" t="s">
        <v>48</v>
      </c>
      <c r="C63" s="43"/>
      <c r="D63" s="43"/>
      <c r="E63" s="43"/>
      <c r="G63" s="24">
        <f t="shared" ref="G63:P63" si="40">G50</f>
        <v>7.4090636366157689E-2</v>
      </c>
      <c r="H63" s="24">
        <f t="shared" si="40"/>
        <v>7.4090636366157689E-2</v>
      </c>
      <c r="I63" s="24">
        <f t="shared" si="40"/>
        <v>7.4090636366157689E-2</v>
      </c>
      <c r="J63" s="24">
        <f t="shared" si="40"/>
        <v>7.4090636366157689E-2</v>
      </c>
      <c r="K63" s="24">
        <f t="shared" si="40"/>
        <v>7.4090636366157689E-2</v>
      </c>
      <c r="L63" s="24">
        <f t="shared" si="40"/>
        <v>7.4090636366157689E-2</v>
      </c>
      <c r="M63" s="24">
        <f t="shared" si="40"/>
        <v>7.4090636366157689E-2</v>
      </c>
      <c r="N63" s="24">
        <f t="shared" si="40"/>
        <v>7.4090636366157689E-2</v>
      </c>
      <c r="O63" s="24">
        <f t="shared" si="40"/>
        <v>7.4090636366157689E-2</v>
      </c>
      <c r="P63" s="24">
        <f t="shared" si="40"/>
        <v>7.4090636366157689E-2</v>
      </c>
    </row>
    <row r="64" spans="2:16" x14ac:dyDescent="0.2">
      <c r="B64" s="1" t="s">
        <v>50</v>
      </c>
      <c r="C64" s="43"/>
      <c r="D64" s="43"/>
      <c r="E64" s="43"/>
      <c r="G64" s="24">
        <f t="shared" ref="G64:P64" si="41">G51</f>
        <v>0.17954518899812577</v>
      </c>
      <c r="H64" s="24">
        <f t="shared" si="41"/>
        <v>0.17954518899812577</v>
      </c>
      <c r="I64" s="24">
        <f t="shared" si="41"/>
        <v>0.17954518899812577</v>
      </c>
      <c r="J64" s="24">
        <f t="shared" si="41"/>
        <v>0.17954518899812577</v>
      </c>
      <c r="K64" s="24">
        <f t="shared" si="41"/>
        <v>0.17954518899812577</v>
      </c>
      <c r="L64" s="24">
        <f t="shared" si="41"/>
        <v>0.17954518899812577</v>
      </c>
      <c r="M64" s="24">
        <f t="shared" si="41"/>
        <v>0.17954518899812577</v>
      </c>
      <c r="N64" s="24">
        <f t="shared" si="41"/>
        <v>0.17954518899812577</v>
      </c>
      <c r="O64" s="24">
        <f t="shared" si="41"/>
        <v>0.17954518899812577</v>
      </c>
      <c r="P64" s="24">
        <f t="shared" si="41"/>
        <v>0.17954518899812577</v>
      </c>
    </row>
    <row r="65" spans="2:16" x14ac:dyDescent="0.2">
      <c r="B65" s="1" t="s">
        <v>111</v>
      </c>
      <c r="C65" s="43"/>
      <c r="D65" s="43"/>
      <c r="E65" s="43"/>
      <c r="G65" s="24">
        <f t="shared" ref="G65:P65" si="42">G52</f>
        <v>4.7107288373246348E-2</v>
      </c>
      <c r="H65" s="24">
        <f t="shared" si="42"/>
        <v>4.7107288373246348E-2</v>
      </c>
      <c r="I65" s="24">
        <f t="shared" si="42"/>
        <v>4.7107288373246348E-2</v>
      </c>
      <c r="J65" s="24">
        <f t="shared" si="42"/>
        <v>4.7107288373246348E-2</v>
      </c>
      <c r="K65" s="24">
        <f t="shared" si="42"/>
        <v>4.7107288373246348E-2</v>
      </c>
      <c r="L65" s="24">
        <f t="shared" si="42"/>
        <v>4.7107288373246348E-2</v>
      </c>
      <c r="M65" s="24">
        <f t="shared" si="42"/>
        <v>4.7107288373246348E-2</v>
      </c>
      <c r="N65" s="24">
        <f t="shared" si="42"/>
        <v>4.7107288373246348E-2</v>
      </c>
      <c r="O65" s="24">
        <f t="shared" si="42"/>
        <v>4.7107288373246348E-2</v>
      </c>
      <c r="P65" s="24">
        <f t="shared" si="42"/>
        <v>4.7107288373246348E-2</v>
      </c>
    </row>
    <row r="67" spans="2:16" x14ac:dyDescent="0.2">
      <c r="B67" s="61" t="s">
        <v>181</v>
      </c>
    </row>
    <row r="68" spans="2:16" x14ac:dyDescent="0.2">
      <c r="B68" s="1" t="s">
        <v>159</v>
      </c>
      <c r="C68" s="7">
        <v>0</v>
      </c>
    </row>
    <row r="69" spans="2:16" x14ac:dyDescent="0.2">
      <c r="B69" s="1" t="s">
        <v>182</v>
      </c>
      <c r="C69" s="7">
        <v>0</v>
      </c>
    </row>
    <row r="70" spans="2:16" x14ac:dyDescent="0.2">
      <c r="B70" s="1" t="s">
        <v>183</v>
      </c>
      <c r="C70" s="7">
        <v>0</v>
      </c>
    </row>
    <row r="71" spans="2:16" x14ac:dyDescent="0.2">
      <c r="B71" s="1" t="s">
        <v>157</v>
      </c>
      <c r="C71" s="5">
        <v>0</v>
      </c>
    </row>
    <row r="73" spans="2:16" x14ac:dyDescent="0.2">
      <c r="B73" s="61" t="s">
        <v>200</v>
      </c>
      <c r="C73" s="25"/>
    </row>
    <row r="74" spans="2:16" x14ac:dyDescent="0.2">
      <c r="B74" s="1" t="s">
        <v>197</v>
      </c>
      <c r="C74" s="32">
        <f>Valuation!C12</f>
        <v>13.06470183881463</v>
      </c>
    </row>
    <row r="75" spans="2:16" x14ac:dyDescent="0.2">
      <c r="B75" s="1" t="s">
        <v>198</v>
      </c>
      <c r="C75" s="32">
        <f>C74</f>
        <v>13.06470183881463</v>
      </c>
    </row>
    <row r="76" spans="2:16" x14ac:dyDescent="0.2">
      <c r="C76" s="25"/>
    </row>
    <row r="77" spans="2:16" x14ac:dyDescent="0.2">
      <c r="C77" s="25"/>
    </row>
    <row r="78" spans="2:16" x14ac:dyDescent="0.2">
      <c r="C78" s="25"/>
    </row>
    <row r="79" spans="2:16" x14ac:dyDescent="0.2">
      <c r="C79" s="25"/>
    </row>
    <row r="80" spans="2:16" x14ac:dyDescent="0.2">
      <c r="C80" s="25"/>
    </row>
    <row r="81" spans="3:3" x14ac:dyDescent="0.2">
      <c r="C81" s="25"/>
    </row>
    <row r="82" spans="3:3" x14ac:dyDescent="0.2">
      <c r="C82" s="25"/>
    </row>
    <row r="83" spans="3:3" x14ac:dyDescent="0.2">
      <c r="C83" s="25"/>
    </row>
    <row r="84" spans="3:3" x14ac:dyDescent="0.2">
      <c r="C84" s="25"/>
    </row>
    <row r="85" spans="3:3" x14ac:dyDescent="0.2">
      <c r="C85" s="25"/>
    </row>
    <row r="86" spans="3:3" x14ac:dyDescent="0.2">
      <c r="C86" s="25"/>
    </row>
    <row r="87" spans="3:3" x14ac:dyDescent="0.2">
      <c r="C87" s="25"/>
    </row>
    <row r="88" spans="3:3" x14ac:dyDescent="0.2">
      <c r="C88" s="25"/>
    </row>
    <row r="89" spans="3:3" x14ac:dyDescent="0.2">
      <c r="C89" s="25"/>
    </row>
  </sheetData>
  <dataValidations count="1">
    <dataValidation type="list" allowBlank="1" showInputMessage="1" showErrorMessage="1" sqref="C3" xr:uid="{41D315E2-B5F8-4A55-9664-5C8107A6322D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BC3F-7CCB-4172-9B62-61597E708B86}">
  <dimension ref="B1:P20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bestFit="1" customWidth="1"/>
    <col min="4" max="4" width="9.140625" style="1" customWidth="1"/>
    <col min="5" max="5" width="9.140625" style="1"/>
    <col min="6" max="6" width="2" style="1" customWidth="1"/>
    <col min="7" max="16384" width="9.140625" style="1"/>
  </cols>
  <sheetData>
    <row r="1" spans="2:16" ht="15.75" x14ac:dyDescent="0.25">
      <c r="B1" s="4" t="s">
        <v>20</v>
      </c>
    </row>
    <row r="2" spans="2:16" x14ac:dyDescent="0.2">
      <c r="C2" s="7"/>
    </row>
    <row r="3" spans="2:16" x14ac:dyDescent="0.2">
      <c r="B3" s="1" t="s">
        <v>21</v>
      </c>
      <c r="C3" s="13">
        <f>Drivers!C3</f>
        <v>1</v>
      </c>
    </row>
    <row r="5" spans="2:16" x14ac:dyDescent="0.2">
      <c r="B5" s="14" t="str">
        <f>Drivers!C13&amp;" "&amp;Drivers!C14</f>
        <v>$ 000s</v>
      </c>
      <c r="C5" s="15">
        <f>D5-1</f>
        <v>2020</v>
      </c>
      <c r="D5" s="15">
        <f>E5-1</f>
        <v>2021</v>
      </c>
      <c r="E5" s="15">
        <f>G5-1</f>
        <v>2022</v>
      </c>
      <c r="F5" s="14"/>
      <c r="G5" s="16">
        <f>Drivers!C11</f>
        <v>2023</v>
      </c>
      <c r="H5" s="16">
        <f>G5+1</f>
        <v>2024</v>
      </c>
      <c r="I5" s="16">
        <f t="shared" ref="I5:P5" si="0">H5+1</f>
        <v>2025</v>
      </c>
      <c r="J5" s="16">
        <f t="shared" si="0"/>
        <v>2026</v>
      </c>
      <c r="K5" s="16">
        <f t="shared" si="0"/>
        <v>2027</v>
      </c>
      <c r="L5" s="16">
        <f t="shared" si="0"/>
        <v>2028</v>
      </c>
      <c r="M5" s="16">
        <f t="shared" si="0"/>
        <v>2029</v>
      </c>
      <c r="N5" s="16">
        <f t="shared" si="0"/>
        <v>2030</v>
      </c>
      <c r="O5" s="16">
        <f t="shared" si="0"/>
        <v>2031</v>
      </c>
      <c r="P5" s="16">
        <f t="shared" si="0"/>
        <v>2032</v>
      </c>
    </row>
    <row r="6" spans="2:16" x14ac:dyDescent="0.2">
      <c r="B6" s="1" t="s">
        <v>22</v>
      </c>
      <c r="C6" s="17">
        <v>65223.613961913579</v>
      </c>
      <c r="D6" s="17">
        <v>69656.702995080399</v>
      </c>
      <c r="E6" s="17">
        <v>78782.395000000004</v>
      </c>
      <c r="G6" s="25">
        <f>E6*(1+G7)</f>
        <v>88236.282400000011</v>
      </c>
      <c r="H6" s="25">
        <f>G6*(H7+1)</f>
        <v>98824.636288000023</v>
      </c>
      <c r="I6" s="25">
        <f t="shared" ref="I6:P6" si="1">H6*(I7+1)</f>
        <v>110683.59264256003</v>
      </c>
      <c r="J6" s="25">
        <f t="shared" si="1"/>
        <v>120645.11598039044</v>
      </c>
      <c r="K6" s="25">
        <f t="shared" si="1"/>
        <v>131503.1764186256</v>
      </c>
      <c r="L6" s="25">
        <f t="shared" si="1"/>
        <v>143338.46229630191</v>
      </c>
      <c r="M6" s="25">
        <f t="shared" si="1"/>
        <v>153372.15465704305</v>
      </c>
      <c r="N6" s="25">
        <f t="shared" si="1"/>
        <v>164108.20548303609</v>
      </c>
      <c r="O6" s="25">
        <f t="shared" si="1"/>
        <v>173954.69781201825</v>
      </c>
      <c r="P6" s="25">
        <f t="shared" si="1"/>
        <v>182652.43270261917</v>
      </c>
    </row>
    <row r="7" spans="2:16" x14ac:dyDescent="0.2">
      <c r="B7" s="18" t="s">
        <v>23</v>
      </c>
      <c r="D7" s="23">
        <f>D6/C6-1</f>
        <v>6.7967546780763444E-2</v>
      </c>
      <c r="E7" s="23">
        <f>E6/D6-1</f>
        <v>0.13100953120856329</v>
      </c>
      <c r="G7" s="23">
        <f>CHOOSE(Drivers!$C$3,Drivers!G29,Drivers!G42,Drivers!G55)</f>
        <v>0.12000000000000001</v>
      </c>
      <c r="H7" s="23">
        <f>CHOOSE(Drivers!$C$3,Drivers!H29,Drivers!H42,Drivers!H55)</f>
        <v>0.12000000000000001</v>
      </c>
      <c r="I7" s="23">
        <f>CHOOSE(Drivers!$C$3,Drivers!I29,Drivers!I42,Drivers!I55)</f>
        <v>0.12000000000000001</v>
      </c>
      <c r="J7" s="23">
        <f>CHOOSE(Drivers!$C$3,Drivers!J29,Drivers!J42,Drivers!J55)</f>
        <v>9.0000000000000011E-2</v>
      </c>
      <c r="K7" s="23">
        <f>CHOOSE(Drivers!$C$3,Drivers!K29,Drivers!K42,Drivers!K55)</f>
        <v>9.0000000000000011E-2</v>
      </c>
      <c r="L7" s="23">
        <f>CHOOSE(Drivers!$C$3,Drivers!L29,Drivers!L42,Drivers!L55)</f>
        <v>9.0000000000000011E-2</v>
      </c>
      <c r="M7" s="23">
        <f>CHOOSE(Drivers!$C$3,Drivers!M29,Drivers!M42,Drivers!M55)</f>
        <v>7.0000000000000007E-2</v>
      </c>
      <c r="N7" s="23">
        <f>CHOOSE(Drivers!$C$3,Drivers!N29,Drivers!N42,Drivers!N55)</f>
        <v>7.0000000000000007E-2</v>
      </c>
      <c r="O7" s="23">
        <f>CHOOSE(Drivers!$C$3,Drivers!O29,Drivers!O42,Drivers!O55)</f>
        <v>0.06</v>
      </c>
      <c r="P7" s="23">
        <f>CHOOSE(Drivers!$C$3,Drivers!P29,Drivers!P42,Drivers!P55)</f>
        <v>0.05</v>
      </c>
    </row>
    <row r="8" spans="2:16" x14ac:dyDescent="0.2">
      <c r="B8" s="1" t="s">
        <v>24</v>
      </c>
      <c r="C8" s="17">
        <v>-28649.234484139219</v>
      </c>
      <c r="D8" s="17">
        <v>-37549.178559576176</v>
      </c>
      <c r="E8" s="17">
        <v>-41433.717000000004</v>
      </c>
      <c r="G8" s="25">
        <f>G9*G$6</f>
        <v>-42477.915845843985</v>
      </c>
      <c r="H8" s="25">
        <f t="shared" ref="H8:P8" si="2">H9*H$6</f>
        <v>-47575.265747345271</v>
      </c>
      <c r="I8" s="25">
        <f t="shared" si="2"/>
        <v>-53284.297637026706</v>
      </c>
      <c r="J8" s="25">
        <f t="shared" si="2"/>
        <v>-58079.884424359116</v>
      </c>
      <c r="K8" s="25">
        <f t="shared" si="2"/>
        <v>-63307.074022551446</v>
      </c>
      <c r="L8" s="25">
        <f t="shared" si="2"/>
        <v>-69004.710684581078</v>
      </c>
      <c r="M8" s="25">
        <f t="shared" si="2"/>
        <v>-73835.040432501759</v>
      </c>
      <c r="N8" s="25">
        <f t="shared" si="2"/>
        <v>-79003.493262776887</v>
      </c>
      <c r="O8" s="25">
        <f t="shared" si="2"/>
        <v>-83743.702858543504</v>
      </c>
      <c r="P8" s="25">
        <f t="shared" si="2"/>
        <v>-87930.888001470681</v>
      </c>
    </row>
    <row r="9" spans="2:16" x14ac:dyDescent="0.2">
      <c r="B9" s="18" t="s">
        <v>25</v>
      </c>
      <c r="C9" s="23">
        <f>C8/C$6</f>
        <v>-0.43924635180240917</v>
      </c>
      <c r="D9" s="23">
        <f t="shared" ref="D9:E9" si="3">D8/D$6</f>
        <v>-0.53906052030955498</v>
      </c>
      <c r="E9" s="23">
        <f t="shared" si="3"/>
        <v>-0.52592609046729288</v>
      </c>
      <c r="G9" s="23">
        <f>CHOOSE(Drivers!$C$3,Drivers!G30,Drivers!G43,Drivers!G56)</f>
        <v>-0.48141098752641898</v>
      </c>
      <c r="H9" s="23">
        <f>CHOOSE(Drivers!$C$3,Drivers!H30,Drivers!H43,Drivers!H56)</f>
        <v>-0.48141098752641898</v>
      </c>
      <c r="I9" s="23">
        <f>CHOOSE(Drivers!$C$3,Drivers!I30,Drivers!I43,Drivers!I56)</f>
        <v>-0.48141098752641898</v>
      </c>
      <c r="J9" s="23">
        <f>CHOOSE(Drivers!$C$3,Drivers!J30,Drivers!J43,Drivers!J56)</f>
        <v>-0.48141098752641898</v>
      </c>
      <c r="K9" s="23">
        <f>CHOOSE(Drivers!$C$3,Drivers!K30,Drivers!K43,Drivers!K56)</f>
        <v>-0.48141098752641898</v>
      </c>
      <c r="L9" s="23">
        <f>CHOOSE(Drivers!$C$3,Drivers!L30,Drivers!L43,Drivers!L56)</f>
        <v>-0.48141098752641898</v>
      </c>
      <c r="M9" s="23">
        <f>CHOOSE(Drivers!$C$3,Drivers!M30,Drivers!M43,Drivers!M56)</f>
        <v>-0.48141098752641898</v>
      </c>
      <c r="N9" s="23">
        <f>CHOOSE(Drivers!$C$3,Drivers!N30,Drivers!N43,Drivers!N56)</f>
        <v>-0.48141098752641898</v>
      </c>
      <c r="O9" s="23">
        <f>CHOOSE(Drivers!$C$3,Drivers!O30,Drivers!O43,Drivers!O56)</f>
        <v>-0.48141098752641898</v>
      </c>
      <c r="P9" s="23">
        <f>CHOOSE(Drivers!$C$3,Drivers!P30,Drivers!P43,Drivers!P56)</f>
        <v>-0.48141098752641898</v>
      </c>
    </row>
    <row r="10" spans="2:16" x14ac:dyDescent="0.2">
      <c r="B10" s="19" t="s">
        <v>26</v>
      </c>
      <c r="C10" s="20">
        <f>C6+C8</f>
        <v>36574.379477774361</v>
      </c>
      <c r="D10" s="20">
        <f>D6+D8</f>
        <v>32107.524435504223</v>
      </c>
      <c r="E10" s="20">
        <f>E6+E8</f>
        <v>37348.678</v>
      </c>
      <c r="G10" s="20">
        <f t="shared" ref="G10:P10" si="4">G6+G8</f>
        <v>45758.366554156026</v>
      </c>
      <c r="H10" s="20">
        <f t="shared" si="4"/>
        <v>51249.370540654752</v>
      </c>
      <c r="I10" s="20">
        <f t="shared" si="4"/>
        <v>57399.295005533328</v>
      </c>
      <c r="J10" s="20">
        <f t="shared" si="4"/>
        <v>62565.231556031329</v>
      </c>
      <c r="K10" s="20">
        <f t="shared" si="4"/>
        <v>68196.102396074159</v>
      </c>
      <c r="L10" s="20">
        <f t="shared" si="4"/>
        <v>74333.751611720829</v>
      </c>
      <c r="M10" s="20">
        <f t="shared" si="4"/>
        <v>79537.114224541292</v>
      </c>
      <c r="N10" s="20">
        <f t="shared" si="4"/>
        <v>85104.7122202592</v>
      </c>
      <c r="O10" s="20">
        <f t="shared" si="4"/>
        <v>90210.994953474743</v>
      </c>
      <c r="P10" s="20">
        <f t="shared" si="4"/>
        <v>94721.544701148494</v>
      </c>
    </row>
    <row r="11" spans="2:16" x14ac:dyDescent="0.2">
      <c r="B11" s="18" t="s">
        <v>27</v>
      </c>
      <c r="C11" s="23">
        <f t="shared" ref="C11:P11" si="5">C10/C$6</f>
        <v>0.56075364819759088</v>
      </c>
      <c r="D11" s="23">
        <f t="shared" si="5"/>
        <v>0.46093947969044502</v>
      </c>
      <c r="E11" s="23">
        <f t="shared" si="5"/>
        <v>0.47407390953270712</v>
      </c>
      <c r="G11" s="23">
        <f t="shared" si="5"/>
        <v>0.51858901247358102</v>
      </c>
      <c r="H11" s="23">
        <f t="shared" si="5"/>
        <v>0.51858901247358102</v>
      </c>
      <c r="I11" s="23">
        <f t="shared" si="5"/>
        <v>0.51858901247358102</v>
      </c>
      <c r="J11" s="23">
        <f t="shared" si="5"/>
        <v>0.51858901247358102</v>
      </c>
      <c r="K11" s="23">
        <f t="shared" si="5"/>
        <v>0.51858901247358102</v>
      </c>
      <c r="L11" s="23">
        <f t="shared" si="5"/>
        <v>0.51858901247358102</v>
      </c>
      <c r="M11" s="23">
        <f t="shared" si="5"/>
        <v>0.51858901247358102</v>
      </c>
      <c r="N11" s="23">
        <f t="shared" si="5"/>
        <v>0.51858901247358102</v>
      </c>
      <c r="O11" s="23">
        <f t="shared" si="5"/>
        <v>0.51858901247358102</v>
      </c>
      <c r="P11" s="23">
        <f t="shared" si="5"/>
        <v>0.51858901247358102</v>
      </c>
    </row>
    <row r="12" spans="2:16" x14ac:dyDescent="0.2">
      <c r="B12" s="1" t="s">
        <v>28</v>
      </c>
      <c r="C12" s="17">
        <v>-14046.108471862057</v>
      </c>
      <c r="D12" s="17">
        <v>-19233.201175921156</v>
      </c>
      <c r="E12" s="17">
        <v>-23019.120000000003</v>
      </c>
      <c r="G12" s="25">
        <f>G13*G$6</f>
        <v>-21284.160559805416</v>
      </c>
      <c r="H12" s="25">
        <f t="shared" ref="H12:P12" si="6">H13*H$6</f>
        <v>-23838.259826982066</v>
      </c>
      <c r="I12" s="25">
        <f t="shared" si="6"/>
        <v>-26698.851006219917</v>
      </c>
      <c r="J12" s="25">
        <f t="shared" si="6"/>
        <v>-29101.747596779711</v>
      </c>
      <c r="K12" s="25">
        <f t="shared" si="6"/>
        <v>-31720.904880489892</v>
      </c>
      <c r="L12" s="25">
        <f t="shared" si="6"/>
        <v>-34575.786319733983</v>
      </c>
      <c r="M12" s="25">
        <f t="shared" si="6"/>
        <v>-36996.09136211536</v>
      </c>
      <c r="N12" s="25">
        <f t="shared" si="6"/>
        <v>-39585.817757463439</v>
      </c>
      <c r="O12" s="25">
        <f t="shared" si="6"/>
        <v>-41960.96682291125</v>
      </c>
      <c r="P12" s="25">
        <f t="shared" si="6"/>
        <v>-44059.015164056815</v>
      </c>
    </row>
    <row r="13" spans="2:16" x14ac:dyDescent="0.2">
      <c r="B13" s="18" t="s">
        <v>25</v>
      </c>
      <c r="C13" s="23">
        <f t="shared" ref="C13:E13" si="7">C12/C$6</f>
        <v>-0.21535311551525013</v>
      </c>
      <c r="D13" s="23">
        <f t="shared" si="7"/>
        <v>-0.27611414765467046</v>
      </c>
      <c r="E13" s="23">
        <f t="shared" si="7"/>
        <v>-0.29218609055995315</v>
      </c>
      <c r="G13" s="23">
        <f>CHOOSE(Drivers!$C$3,Drivers!G31,Drivers!G44,Drivers!G57)</f>
        <v>-0.2412177845766246</v>
      </c>
      <c r="H13" s="23">
        <f>CHOOSE(Drivers!$C$3,Drivers!H31,Drivers!H44,Drivers!H57)</f>
        <v>-0.2412177845766246</v>
      </c>
      <c r="I13" s="23">
        <f>CHOOSE(Drivers!$C$3,Drivers!I31,Drivers!I44,Drivers!I57)</f>
        <v>-0.2412177845766246</v>
      </c>
      <c r="J13" s="23">
        <f>CHOOSE(Drivers!$C$3,Drivers!J31,Drivers!J44,Drivers!J57)</f>
        <v>-0.2412177845766246</v>
      </c>
      <c r="K13" s="23">
        <f>CHOOSE(Drivers!$C$3,Drivers!K31,Drivers!K44,Drivers!K57)</f>
        <v>-0.2412177845766246</v>
      </c>
      <c r="L13" s="23">
        <f>CHOOSE(Drivers!$C$3,Drivers!L31,Drivers!L44,Drivers!L57)</f>
        <v>-0.2412177845766246</v>
      </c>
      <c r="M13" s="23">
        <f>CHOOSE(Drivers!$C$3,Drivers!M31,Drivers!M44,Drivers!M57)</f>
        <v>-0.2412177845766246</v>
      </c>
      <c r="N13" s="23">
        <f>CHOOSE(Drivers!$C$3,Drivers!N31,Drivers!N44,Drivers!N57)</f>
        <v>-0.2412177845766246</v>
      </c>
      <c r="O13" s="23">
        <f>CHOOSE(Drivers!$C$3,Drivers!O31,Drivers!O44,Drivers!O57)</f>
        <v>-0.2412177845766246</v>
      </c>
      <c r="P13" s="23">
        <f>CHOOSE(Drivers!$C$3,Drivers!P31,Drivers!P44,Drivers!P57)</f>
        <v>-0.2412177845766246</v>
      </c>
    </row>
    <row r="14" spans="2:16" x14ac:dyDescent="0.2">
      <c r="B14" s="19" t="s">
        <v>29</v>
      </c>
      <c r="C14" s="20">
        <f>C10+C12</f>
        <v>22528.271005912306</v>
      </c>
      <c r="D14" s="20">
        <f>D10+D12</f>
        <v>12874.323259583067</v>
      </c>
      <c r="E14" s="20">
        <f>E10+E12</f>
        <v>14329.557999999997</v>
      </c>
      <c r="G14" s="20">
        <f t="shared" ref="G14:P14" si="8">G10+G12</f>
        <v>24474.20599435061</v>
      </c>
      <c r="H14" s="20">
        <f t="shared" si="8"/>
        <v>27411.110713672686</v>
      </c>
      <c r="I14" s="20">
        <f t="shared" si="8"/>
        <v>30700.443999313411</v>
      </c>
      <c r="J14" s="20">
        <f t="shared" si="8"/>
        <v>33463.483959251622</v>
      </c>
      <c r="K14" s="20">
        <f t="shared" si="8"/>
        <v>36475.197515584267</v>
      </c>
      <c r="L14" s="20">
        <f t="shared" si="8"/>
        <v>39757.965291986846</v>
      </c>
      <c r="M14" s="20">
        <f t="shared" si="8"/>
        <v>42541.022862425933</v>
      </c>
      <c r="N14" s="20">
        <f t="shared" si="8"/>
        <v>45518.894462795761</v>
      </c>
      <c r="O14" s="20">
        <f t="shared" si="8"/>
        <v>48250.028130563493</v>
      </c>
      <c r="P14" s="20">
        <f t="shared" si="8"/>
        <v>50662.529537091679</v>
      </c>
    </row>
    <row r="15" spans="2:16" x14ac:dyDescent="0.2">
      <c r="B15" s="1" t="s">
        <v>30</v>
      </c>
      <c r="C15" s="17">
        <v>-1337.5114134600308</v>
      </c>
      <c r="D15" s="17">
        <v>-1510.3767303073387</v>
      </c>
      <c r="E15" s="17">
        <v>-1870.3969999999999</v>
      </c>
      <c r="G15" s="25">
        <f ca="1">'Fixed assets roll forward'!G37</f>
        <v>-4383.2460761904758</v>
      </c>
      <c r="H15" s="25">
        <f ca="1">'Fixed assets roll forward'!H37</f>
        <v>-4848.7821401904757</v>
      </c>
      <c r="I15" s="25">
        <f ca="1">'Fixed assets roll forward'!I37</f>
        <v>-5370.1825318704759</v>
      </c>
      <c r="J15" s="25">
        <f ca="1">'Fixed assets roll forward'!J37</f>
        <v>-5938.5089588016763</v>
      </c>
      <c r="K15" s="25">
        <f ca="1">'Fixed assets roll forward'!K37</f>
        <v>-6557.9847641566848</v>
      </c>
      <c r="L15" s="25">
        <f ca="1">'Fixed assets roll forward'!L37</f>
        <v>-7233.2133919936441</v>
      </c>
      <c r="M15" s="25">
        <f ca="1">'Fixed assets roll forward'!M37</f>
        <v>-7955.7080237791906</v>
      </c>
      <c r="N15" s="25">
        <f ca="1">'Fixed assets roll forward'!N37</f>
        <v>-8585.9201369325838</v>
      </c>
      <c r="O15" s="25">
        <f ca="1">'Fixed assets roll forward'!O37</f>
        <v>-9236.6235483037508</v>
      </c>
      <c r="P15" s="25">
        <f ca="1">'Fixed assets roll forward'!P37</f>
        <v>-9963.7162969101428</v>
      </c>
    </row>
    <row r="16" spans="2:16" x14ac:dyDescent="0.2">
      <c r="B16" s="19" t="s">
        <v>31</v>
      </c>
      <c r="C16" s="20">
        <f>SUM(C14:C15)</f>
        <v>21190.759592452276</v>
      </c>
      <c r="D16" s="20">
        <f>SUM(D14:D15)</f>
        <v>11363.946529275729</v>
      </c>
      <c r="E16" s="20">
        <f>SUM(E14:E15)</f>
        <v>12459.160999999996</v>
      </c>
      <c r="G16" s="20">
        <f t="shared" ref="G16:P16" ca="1" si="9">SUM(G14:G15)</f>
        <v>20090.959918160133</v>
      </c>
      <c r="H16" s="20">
        <f t="shared" ca="1" si="9"/>
        <v>22562.328573482209</v>
      </c>
      <c r="I16" s="20">
        <f t="shared" ca="1" si="9"/>
        <v>25330.261467442935</v>
      </c>
      <c r="J16" s="20">
        <f t="shared" ca="1" si="9"/>
        <v>27524.975000449944</v>
      </c>
      <c r="K16" s="20">
        <f t="shared" ca="1" si="9"/>
        <v>29917.212751427582</v>
      </c>
      <c r="L16" s="20">
        <f t="shared" ca="1" si="9"/>
        <v>32524.7518999932</v>
      </c>
      <c r="M16" s="20">
        <f t="shared" ca="1" si="9"/>
        <v>34585.314838646744</v>
      </c>
      <c r="N16" s="20">
        <f t="shared" ca="1" si="9"/>
        <v>36932.974325863179</v>
      </c>
      <c r="O16" s="20">
        <f t="shared" ca="1" si="9"/>
        <v>39013.40458225974</v>
      </c>
      <c r="P16" s="20">
        <f t="shared" ca="1" si="9"/>
        <v>40698.813240181538</v>
      </c>
    </row>
    <row r="17" spans="2:16" x14ac:dyDescent="0.2">
      <c r="B17" s="1" t="s">
        <v>32</v>
      </c>
      <c r="C17" s="17">
        <v>-237.70412868917001</v>
      </c>
      <c r="D17" s="17">
        <v>-281.80288722760201</v>
      </c>
      <c r="E17" s="17">
        <v>-225</v>
      </c>
      <c r="G17" s="25">
        <f ca="1">Financing!G9+Financing!G14+Financing!G19+Financing!G35</f>
        <v>-9108.6180008223473</v>
      </c>
      <c r="H17" s="25">
        <f ca="1">Financing!H9+Financing!H14+Financing!H19+Financing!H35</f>
        <v>-9475.4239355609589</v>
      </c>
      <c r="I17" s="25">
        <f ca="1">Financing!I9+Financing!I14+Financing!I19+Financing!I35</f>
        <v>-8920.4239355609589</v>
      </c>
      <c r="J17" s="25">
        <f ca="1">Financing!J9+Financing!J14+Financing!J19+Financing!J35</f>
        <v>-9052.4521979316905</v>
      </c>
      <c r="K17" s="25">
        <f ca="1">Financing!K9+Financing!K14+Financing!K19+Financing!K35</f>
        <v>-8452.4521979316905</v>
      </c>
      <c r="L17" s="25">
        <f ca="1">Financing!L9+Financing!L14+Financing!L19+Financing!L35</f>
        <v>-7852.4521979316896</v>
      </c>
      <c r="M17" s="25">
        <f ca="1">Financing!M9+Financing!M14+Financing!M19+Financing!M35</f>
        <v>-7252.4521979316896</v>
      </c>
      <c r="N17" s="25">
        <f ca="1">Financing!N9+Financing!N14+Financing!N19+Financing!N35</f>
        <v>-6937.0535292467048</v>
      </c>
      <c r="O17" s="25">
        <f ca="1">Financing!O9+Financing!O14+Financing!O19+Financing!O35</f>
        <v>-3937.0535292467057</v>
      </c>
      <c r="P17" s="25">
        <f ca="1">Financing!P9+Financing!P14+Financing!P19+Financing!P35</f>
        <v>-2947.0535292467048</v>
      </c>
    </row>
    <row r="18" spans="2:16" x14ac:dyDescent="0.2">
      <c r="B18" s="19" t="s">
        <v>33</v>
      </c>
      <c r="C18" s="20">
        <f>SUM(C16:C17)</f>
        <v>20953.055463763107</v>
      </c>
      <c r="D18" s="20">
        <f>SUM(D16:D17)</f>
        <v>11082.143642048126</v>
      </c>
      <c r="E18" s="20">
        <f>SUM(E16:E17)</f>
        <v>12234.160999999996</v>
      </c>
      <c r="G18" s="20">
        <f t="shared" ref="G18:P18" ca="1" si="10">SUM(G16:G17)</f>
        <v>10982.341917337786</v>
      </c>
      <c r="H18" s="20">
        <f t="shared" ca="1" si="10"/>
        <v>13086.90463792125</v>
      </c>
      <c r="I18" s="20">
        <f t="shared" ca="1" si="10"/>
        <v>16409.837531881974</v>
      </c>
      <c r="J18" s="20">
        <f t="shared" ca="1" si="10"/>
        <v>18472.522802518251</v>
      </c>
      <c r="K18" s="20">
        <f t="shared" ca="1" si="10"/>
        <v>21464.760553495893</v>
      </c>
      <c r="L18" s="20">
        <f t="shared" ca="1" si="10"/>
        <v>24672.299702061511</v>
      </c>
      <c r="M18" s="20">
        <f t="shared" ca="1" si="10"/>
        <v>27332.862640715055</v>
      </c>
      <c r="N18" s="20">
        <f t="shared" ca="1" si="10"/>
        <v>29995.920796616476</v>
      </c>
      <c r="O18" s="20">
        <f t="shared" ca="1" si="10"/>
        <v>35076.351053013037</v>
      </c>
      <c r="P18" s="20">
        <f t="shared" ca="1" si="10"/>
        <v>37751.759710934835</v>
      </c>
    </row>
    <row r="19" spans="2:16" x14ac:dyDescent="0.2">
      <c r="B19" s="1" t="s">
        <v>34</v>
      </c>
      <c r="C19" s="17">
        <v>-3115.6416928968301</v>
      </c>
      <c r="D19" s="17">
        <v>-3561.1509553394399</v>
      </c>
      <c r="E19" s="17">
        <v>-3115.9799999999996</v>
      </c>
      <c r="G19" s="25">
        <f ca="1">IF(G18&gt;0,-G18*Drivers!$C$16,0)</f>
        <v>-2965.2323176812024</v>
      </c>
      <c r="H19" s="25">
        <f ca="1">IF(H18&gt;0,-H18*Drivers!$C$16,0)</f>
        <v>-3533.464252238738</v>
      </c>
      <c r="I19" s="25">
        <f ca="1">IF(I18&gt;0,-I18*Drivers!$C$16,0)</f>
        <v>-4430.6561336081331</v>
      </c>
      <c r="J19" s="25">
        <f ca="1">IF(J18&gt;0,-J18*Drivers!$C$16,0)</f>
        <v>-4987.5811566799284</v>
      </c>
      <c r="K19" s="25">
        <f ca="1">IF(K18&gt;0,-K18*Drivers!$C$16,0)</f>
        <v>-5795.4853494438912</v>
      </c>
      <c r="L19" s="25">
        <f ca="1">IF(L18&gt;0,-L18*Drivers!$C$16,0)</f>
        <v>-6661.5209195566085</v>
      </c>
      <c r="M19" s="25">
        <f ca="1">IF(M18&gt;0,-M18*Drivers!$C$16,0)</f>
        <v>-7379.8729129930653</v>
      </c>
      <c r="N19" s="25">
        <f ca="1">IF(N18&gt;0,-N18*Drivers!$C$16,0)</f>
        <v>-8098.8986150864494</v>
      </c>
      <c r="O19" s="25">
        <f ca="1">IF(O18&gt;0,-O18*Drivers!$C$16,0)</f>
        <v>-9470.6147843135204</v>
      </c>
      <c r="P19" s="25">
        <f ca="1">IF(P18&gt;0,-P18*Drivers!$C$16,0)</f>
        <v>-10192.975121952406</v>
      </c>
    </row>
    <row r="20" spans="2:16" ht="12.75" thickBot="1" x14ac:dyDescent="0.25">
      <c r="B20" s="21" t="s">
        <v>35</v>
      </c>
      <c r="C20" s="22">
        <f>SUM(C18:C19)</f>
        <v>17837.413770866275</v>
      </c>
      <c r="D20" s="22">
        <f t="shared" ref="D20:P20" si="11">SUM(D18:D19)</f>
        <v>7520.9926867086861</v>
      </c>
      <c r="E20" s="22">
        <f t="shared" si="11"/>
        <v>9118.1809999999969</v>
      </c>
      <c r="G20" s="22">
        <f t="shared" ca="1" si="11"/>
        <v>8017.1095996565837</v>
      </c>
      <c r="H20" s="22">
        <f t="shared" ca="1" si="11"/>
        <v>9553.440385682512</v>
      </c>
      <c r="I20" s="22">
        <f t="shared" ca="1" si="11"/>
        <v>11979.181398273842</v>
      </c>
      <c r="J20" s="22">
        <f t="shared" ca="1" si="11"/>
        <v>13484.941645838324</v>
      </c>
      <c r="K20" s="22">
        <f t="shared" ca="1" si="11"/>
        <v>15669.275204052003</v>
      </c>
      <c r="L20" s="22">
        <f t="shared" ca="1" si="11"/>
        <v>18010.778782504902</v>
      </c>
      <c r="M20" s="22">
        <f t="shared" ca="1" si="11"/>
        <v>19952.98972772199</v>
      </c>
      <c r="N20" s="22">
        <f t="shared" ca="1" si="11"/>
        <v>21897.022181530025</v>
      </c>
      <c r="O20" s="22">
        <f t="shared" ca="1" si="11"/>
        <v>25605.736268699518</v>
      </c>
      <c r="P20" s="22">
        <f t="shared" ca="1" si="11"/>
        <v>27558.784588982431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B9DF-CC9E-4D29-B9FC-0DF9C049C770}">
  <dimension ref="B1:P28"/>
  <sheetViews>
    <sheetView zoomScale="130" zoomScaleNormal="130" workbookViewId="0">
      <selection activeCell="H28" sqref="H28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6384" width="9.140625" style="1"/>
  </cols>
  <sheetData>
    <row r="1" spans="2:16" ht="15.75" x14ac:dyDescent="0.25">
      <c r="B1" s="4" t="s">
        <v>37</v>
      </c>
    </row>
    <row r="2" spans="2:16" x14ac:dyDescent="0.2">
      <c r="C2" s="7"/>
    </row>
    <row r="3" spans="2:16" x14ac:dyDescent="0.2">
      <c r="B3" s="1" t="s">
        <v>21</v>
      </c>
      <c r="C3" s="13">
        <f>Drivers!C3</f>
        <v>1</v>
      </c>
    </row>
    <row r="5" spans="2:16" x14ac:dyDescent="0.2">
      <c r="B5" s="14" t="str">
        <f>Drivers!C13&amp;" "&amp;Drivers!C14</f>
        <v>$ 000s</v>
      </c>
      <c r="C5" s="15">
        <f>D5-1</f>
        <v>2020</v>
      </c>
      <c r="D5" s="15">
        <f>E5-1</f>
        <v>2021</v>
      </c>
      <c r="E5" s="15">
        <f>G5-1</f>
        <v>2022</v>
      </c>
      <c r="F5" s="14" t="s">
        <v>54</v>
      </c>
      <c r="G5" s="16">
        <f>Drivers!C11</f>
        <v>2023</v>
      </c>
      <c r="H5" s="16">
        <f>G5+1</f>
        <v>2024</v>
      </c>
      <c r="I5" s="16">
        <f t="shared" ref="I5:P5" si="0">H5+1</f>
        <v>2025</v>
      </c>
      <c r="J5" s="16">
        <f t="shared" si="0"/>
        <v>2026</v>
      </c>
      <c r="K5" s="16">
        <f t="shared" si="0"/>
        <v>2027</v>
      </c>
      <c r="L5" s="16">
        <f t="shared" si="0"/>
        <v>2028</v>
      </c>
      <c r="M5" s="16">
        <f t="shared" si="0"/>
        <v>2029</v>
      </c>
      <c r="N5" s="16">
        <f t="shared" si="0"/>
        <v>2030</v>
      </c>
      <c r="O5" s="16">
        <f t="shared" si="0"/>
        <v>2031</v>
      </c>
      <c r="P5" s="16">
        <f t="shared" si="0"/>
        <v>2032</v>
      </c>
    </row>
    <row r="6" spans="2:16" x14ac:dyDescent="0.2">
      <c r="B6" s="1" t="s">
        <v>38</v>
      </c>
      <c r="C6" s="17">
        <v>6880.0800000000017</v>
      </c>
      <c r="D6" s="17">
        <v>19866.358748075221</v>
      </c>
      <c r="E6" s="17">
        <v>8820.1102079991742</v>
      </c>
      <c r="F6" s="30">
        <f>'Balance Sheet@Transaction'!J6</f>
        <v>8820.1102079991761</v>
      </c>
      <c r="G6" s="30">
        <f ca="1">F6+'Cash flow'!G26</f>
        <v>8000</v>
      </c>
      <c r="H6" s="30">
        <f ca="1">G6+'Cash flow'!H26</f>
        <v>8000</v>
      </c>
      <c r="I6" s="30">
        <f ca="1">H6+'Cash flow'!I26</f>
        <v>8702.4319432804805</v>
      </c>
      <c r="J6" s="30">
        <f ca="1">I6+'Cash flow'!J26</f>
        <v>11398.958699754847</v>
      </c>
      <c r="K6" s="30">
        <f ca="1">J6+'Cash flow'!K26</f>
        <v>16203.871673462989</v>
      </c>
      <c r="L6" s="30">
        <f ca="1">K6+'Cash flow'!L26</f>
        <v>23267.505623955949</v>
      </c>
      <c r="M6" s="30">
        <f ca="1">L6+'Cash flow'!M26</f>
        <v>32892.791619245821</v>
      </c>
      <c r="N6" s="30">
        <f ca="1">M6+'Cash flow'!N26</f>
        <v>8000</v>
      </c>
      <c r="O6" s="30">
        <f ca="1">N6+'Cash flow'!O26</f>
        <v>17627.765348685647</v>
      </c>
      <c r="P6" s="30">
        <f ca="1">O6+'Cash flow'!P26</f>
        <v>11761.618768612385</v>
      </c>
    </row>
    <row r="7" spans="2:16" x14ac:dyDescent="0.2">
      <c r="B7" s="1" t="s">
        <v>39</v>
      </c>
      <c r="C7" s="17">
        <v>7823.6718099999998</v>
      </c>
      <c r="D7" s="17">
        <v>9112.2839399999993</v>
      </c>
      <c r="E7" s="17">
        <v>7669.1698500000002</v>
      </c>
      <c r="F7" s="30">
        <f>'Balance Sheet@Transaction'!J7</f>
        <v>7121.1698500000002</v>
      </c>
      <c r="G7" s="30">
        <f>'Working capital'!G6</f>
        <v>8589.4702319999997</v>
      </c>
      <c r="H7" s="30">
        <f>'Working capital'!H6</f>
        <v>9620.2066598400015</v>
      </c>
      <c r="I7" s="30">
        <f>'Working capital'!I6</f>
        <v>10774.631459020802</v>
      </c>
      <c r="J7" s="30">
        <f>'Working capital'!J6</f>
        <v>11744.348290332675</v>
      </c>
      <c r="K7" s="30">
        <f>'Working capital'!K6</f>
        <v>12801.339636462619</v>
      </c>
      <c r="L7" s="30">
        <f>'Working capital'!L6</f>
        <v>13953.460203744255</v>
      </c>
      <c r="M7" s="30">
        <f>'Working capital'!M6</f>
        <v>14930.202418006353</v>
      </c>
      <c r="N7" s="30">
        <f>'Working capital'!N6</f>
        <v>15975.316587266801</v>
      </c>
      <c r="O7" s="30">
        <f>'Working capital'!O6</f>
        <v>16933.835582502805</v>
      </c>
      <c r="P7" s="30">
        <f>'Working capital'!P6</f>
        <v>17780.527361627948</v>
      </c>
    </row>
    <row r="8" spans="2:16" x14ac:dyDescent="0.2">
      <c r="B8" s="1" t="s">
        <v>40</v>
      </c>
      <c r="C8" s="17">
        <v>8631.9470099999999</v>
      </c>
      <c r="D8" s="17">
        <v>10494.88005</v>
      </c>
      <c r="E8" s="17">
        <v>10325.6981</v>
      </c>
      <c r="F8" s="30">
        <f>'Balance Sheet@Transaction'!J8</f>
        <v>9527.6980999999996</v>
      </c>
      <c r="G8" s="30">
        <f>'Working capital'!G7</f>
        <v>10585.922931833298</v>
      </c>
      <c r="H8" s="30">
        <f>'Working capital'!H7</f>
        <v>11856.233683653294</v>
      </c>
      <c r="I8" s="30">
        <f>'Working capital'!I7</f>
        <v>13278.98172569169</v>
      </c>
      <c r="J8" s="30">
        <f>'Working capital'!J7</f>
        <v>14474.090081003944</v>
      </c>
      <c r="K8" s="30">
        <f>'Working capital'!K7</f>
        <v>15776.7581882943</v>
      </c>
      <c r="L8" s="30">
        <f>'Working capital'!L7</f>
        <v>17196.66642524079</v>
      </c>
      <c r="M8" s="30">
        <f>'Working capital'!M7</f>
        <v>18400.433075007644</v>
      </c>
      <c r="N8" s="30">
        <f>'Working capital'!N7</f>
        <v>19688.463390258181</v>
      </c>
      <c r="O8" s="30">
        <f>'Working capital'!O7</f>
        <v>20869.771193673674</v>
      </c>
      <c r="P8" s="30">
        <f>'Working capital'!P7</f>
        <v>21913.259753357357</v>
      </c>
    </row>
    <row r="9" spans="2:16" x14ac:dyDescent="0.2">
      <c r="B9" s="1" t="s">
        <v>41</v>
      </c>
      <c r="C9" s="17">
        <v>12396.061229999999</v>
      </c>
      <c r="D9" s="17">
        <v>13101.72488</v>
      </c>
      <c r="E9" s="17">
        <v>12617.56342</v>
      </c>
      <c r="F9" s="30">
        <f>'Balance Sheet@Transaction'!J9</f>
        <v>12617.56342</v>
      </c>
      <c r="G9" s="30">
        <f>CHOOSE(Drivers!$C$3,Drivers!G35,Drivers!G48,Drivers!G61)*'P&amp;L'!G$6</f>
        <v>14131.671030400001</v>
      </c>
      <c r="H9" s="30">
        <f>CHOOSE(Drivers!$C$3,Drivers!H35,Drivers!H48,Drivers!H61)*'P&amp;L'!H$6</f>
        <v>15827.471554048003</v>
      </c>
      <c r="I9" s="30">
        <f>CHOOSE(Drivers!$C$3,Drivers!I35,Drivers!I48,Drivers!I61)*'P&amp;L'!I$6</f>
        <v>17726.768140533764</v>
      </c>
      <c r="J9" s="30">
        <f>CHOOSE(Drivers!$C$3,Drivers!J35,Drivers!J48,Drivers!J61)*'P&amp;L'!J$6</f>
        <v>19322.177273181806</v>
      </c>
      <c r="K9" s="30">
        <f>CHOOSE(Drivers!$C$3,Drivers!K35,Drivers!K48,Drivers!K61)*'P&amp;L'!K$6</f>
        <v>21061.173227768169</v>
      </c>
      <c r="L9" s="30">
        <f>CHOOSE(Drivers!$C$3,Drivers!L35,Drivers!L48,Drivers!L61)*'P&amp;L'!L$6</f>
        <v>22956.678818267304</v>
      </c>
      <c r="M9" s="30">
        <f>CHOOSE(Drivers!$C$3,Drivers!M35,Drivers!M48,Drivers!M61)*'P&amp;L'!M$6</f>
        <v>24563.646335546018</v>
      </c>
      <c r="N9" s="30">
        <f>CHOOSE(Drivers!$C$3,Drivers!N35,Drivers!N48,Drivers!N61)*'P&amp;L'!N$6</f>
        <v>26283.101579034243</v>
      </c>
      <c r="O9" s="30">
        <f>CHOOSE(Drivers!$C$3,Drivers!O35,Drivers!O48,Drivers!O61)*'P&amp;L'!O$6</f>
        <v>27860.087673776296</v>
      </c>
      <c r="P9" s="30">
        <f>CHOOSE(Drivers!$C$3,Drivers!P35,Drivers!P48,Drivers!P61)*'P&amp;L'!P$6</f>
        <v>29253.092057465114</v>
      </c>
    </row>
    <row r="10" spans="2:16" x14ac:dyDescent="0.2">
      <c r="C10" s="26"/>
      <c r="D10" s="26"/>
      <c r="E10" s="26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spans="2:16" x14ac:dyDescent="0.2">
      <c r="B11" s="1" t="s">
        <v>42</v>
      </c>
      <c r="C11" s="17">
        <v>0</v>
      </c>
      <c r="D11" s="17">
        <v>0</v>
      </c>
      <c r="E11" s="17">
        <v>0</v>
      </c>
      <c r="F11" s="30">
        <f>'Balance Sheet@Transaction'!J11</f>
        <v>3550</v>
      </c>
      <c r="G11" s="30">
        <f>'Transaction fees'!G9</f>
        <v>3105.0595238095239</v>
      </c>
      <c r="H11" s="30">
        <f>'Transaction fees'!H9</f>
        <v>2660.1190476190477</v>
      </c>
      <c r="I11" s="30">
        <f>'Transaction fees'!I9</f>
        <v>2215.1785714285716</v>
      </c>
      <c r="J11" s="30">
        <f>'Transaction fees'!J9</f>
        <v>1770.2380952380954</v>
      </c>
      <c r="K11" s="30">
        <f>'Transaction fees'!K9</f>
        <v>1325.2976190476193</v>
      </c>
      <c r="L11" s="30">
        <f>'Transaction fees'!L9</f>
        <v>880.357142857143</v>
      </c>
      <c r="M11" s="30">
        <f>'Transaction fees'!M9</f>
        <v>435.41666666666674</v>
      </c>
      <c r="N11" s="30">
        <f>'Transaction fees'!N9</f>
        <v>133.33333333333337</v>
      </c>
      <c r="O11" s="30">
        <f>'Transaction fees'!O9</f>
        <v>0</v>
      </c>
      <c r="P11" s="30">
        <f>'Transaction fees'!P9</f>
        <v>0</v>
      </c>
    </row>
    <row r="12" spans="2:16" x14ac:dyDescent="0.2">
      <c r="B12" s="1" t="s">
        <v>43</v>
      </c>
      <c r="C12" s="17">
        <v>27027.925999999999</v>
      </c>
      <c r="D12" s="17">
        <v>29170.655999999999</v>
      </c>
      <c r="E12" s="17">
        <v>31011.484</v>
      </c>
      <c r="F12" s="30">
        <f>'Balance Sheet@Transaction'!J12</f>
        <v>35226.483999999997</v>
      </c>
      <c r="G12" s="30">
        <f ca="1">'Fixed assets roll forward'!G9</f>
        <v>35444.750399999997</v>
      </c>
      <c r="H12" s="30">
        <f ca="1">'Fixed assets roll forward'!H9</f>
        <v>35696.269376000004</v>
      </c>
      <c r="I12" s="30">
        <f ca="1">'Fixed assets roll forward'!I9</f>
        <v>35985.031237120005</v>
      </c>
      <c r="J12" s="30">
        <f ca="1">'Fixed assets roll forward'!J9</f>
        <v>36174.727023820815</v>
      </c>
      <c r="K12" s="30">
        <f ca="1">'Fixed assets roll forward'!K9</f>
        <v>36256.440789404696</v>
      </c>
      <c r="L12" s="30">
        <f ca="1">'Fixed assets roll forward'!L9</f>
        <v>36220.454151971127</v>
      </c>
      <c r="M12" s="30">
        <f ca="1">'Fixed assets roll forward'!M9</f>
        <v>35934.632922237877</v>
      </c>
      <c r="N12" s="30">
        <f ca="1">'Fixed assets roll forward'!N9</f>
        <v>35381.488678743975</v>
      </c>
      <c r="O12" s="30">
        <f ca="1">'Fixed assets roll forward'!O9</f>
        <v>34472.732577485229</v>
      </c>
      <c r="P12" s="30">
        <f ca="1">'Fixed assets roll forward'!P9</f>
        <v>33113.277099972343</v>
      </c>
    </row>
    <row r="13" spans="2:16" x14ac:dyDescent="0.2">
      <c r="B13" s="1" t="s">
        <v>44</v>
      </c>
      <c r="C13" s="17">
        <v>0</v>
      </c>
      <c r="D13" s="17">
        <v>0</v>
      </c>
      <c r="E13" s="17">
        <v>0</v>
      </c>
      <c r="F13" s="30">
        <f>'Balance Sheet@Transaction'!J13</f>
        <v>136926.92641200084</v>
      </c>
      <c r="G13" s="30">
        <f>'Fixed assets roll forward'!G14</f>
        <v>136926.92641200084</v>
      </c>
      <c r="H13" s="30">
        <f>'Fixed assets roll forward'!H14</f>
        <v>136926.92641200084</v>
      </c>
      <c r="I13" s="30">
        <f>'Fixed assets roll forward'!I14</f>
        <v>136926.92641200084</v>
      </c>
      <c r="J13" s="30">
        <f>'Fixed assets roll forward'!J14</f>
        <v>136926.92641200084</v>
      </c>
      <c r="K13" s="30">
        <f>'Fixed assets roll forward'!K14</f>
        <v>136926.92641200084</v>
      </c>
      <c r="L13" s="30">
        <f>'Fixed assets roll forward'!L14</f>
        <v>136926.92641200084</v>
      </c>
      <c r="M13" s="30">
        <f>'Fixed assets roll forward'!M14</f>
        <v>136926.92641200084</v>
      </c>
      <c r="N13" s="30">
        <f>'Fixed assets roll forward'!N14</f>
        <v>136926.92641200084</v>
      </c>
      <c r="O13" s="30">
        <f>'Fixed assets roll forward'!O14</f>
        <v>136926.92641200084</v>
      </c>
      <c r="P13" s="30">
        <f>'Fixed assets roll forward'!P14</f>
        <v>136926.92641200084</v>
      </c>
    </row>
    <row r="14" spans="2:16" x14ac:dyDescent="0.2">
      <c r="B14" s="1" t="s">
        <v>45</v>
      </c>
      <c r="C14" s="17">
        <v>20613.742586259799</v>
      </c>
      <c r="D14" s="17">
        <v>13095.380002895487</v>
      </c>
      <c r="E14" s="17">
        <v>13247.685000000003</v>
      </c>
      <c r="F14" s="30">
        <f>'Balance Sheet@Transaction'!J14</f>
        <v>13247.685000000003</v>
      </c>
      <c r="G14" s="30">
        <f>CHOOSE(Drivers!$C$3,Drivers!G36,Drivers!G49,Drivers!G62)*'P&amp;L'!G$6</f>
        <v>14837.407200000003</v>
      </c>
      <c r="H14" s="30">
        <f>CHOOSE(Drivers!$C$3,Drivers!H36,Drivers!H49,Drivers!H62)*'P&amp;L'!H$6</f>
        <v>16617.896064000008</v>
      </c>
      <c r="I14" s="30">
        <f>CHOOSE(Drivers!$C$3,Drivers!I36,Drivers!I49,Drivers!I62)*'P&amp;L'!I$6</f>
        <v>18612.043591680009</v>
      </c>
      <c r="J14" s="30">
        <f>CHOOSE(Drivers!$C$3,Drivers!J36,Drivers!J49,Drivers!J62)*'P&amp;L'!J$6</f>
        <v>20287.12751493121</v>
      </c>
      <c r="K14" s="30">
        <f>CHOOSE(Drivers!$C$3,Drivers!K36,Drivers!K49,Drivers!K62)*'P&amp;L'!K$6</f>
        <v>22112.968991275022</v>
      </c>
      <c r="L14" s="30">
        <f>CHOOSE(Drivers!$C$3,Drivers!L36,Drivers!L49,Drivers!L62)*'P&amp;L'!L$6</f>
        <v>24103.136200489775</v>
      </c>
      <c r="M14" s="30">
        <f>CHOOSE(Drivers!$C$3,Drivers!M36,Drivers!M49,Drivers!M62)*'P&amp;L'!M$6</f>
        <v>25790.355734524059</v>
      </c>
      <c r="N14" s="30">
        <f>CHOOSE(Drivers!$C$3,Drivers!N36,Drivers!N49,Drivers!N62)*'P&amp;L'!N$6</f>
        <v>27595.680635940749</v>
      </c>
      <c r="O14" s="30">
        <f>CHOOSE(Drivers!$C$3,Drivers!O36,Drivers!O49,Drivers!O62)*'P&amp;L'!O$6</f>
        <v>29251.421474097191</v>
      </c>
      <c r="P14" s="30">
        <f>CHOOSE(Drivers!$C$3,Drivers!P36,Drivers!P49,Drivers!P62)*'P&amp;L'!P$6</f>
        <v>30713.992547802052</v>
      </c>
    </row>
    <row r="15" spans="2:16" x14ac:dyDescent="0.2">
      <c r="C15" s="26"/>
      <c r="D15" s="26"/>
      <c r="E15" s="26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2:16" ht="12.75" thickBot="1" x14ac:dyDescent="0.25">
      <c r="B16" s="21" t="s">
        <v>46</v>
      </c>
      <c r="C16" s="27">
        <f>SUM(C6:C15)</f>
        <v>83373.428636259792</v>
      </c>
      <c r="D16" s="27">
        <f>SUM(D6:D15)</f>
        <v>94841.283620970702</v>
      </c>
      <c r="E16" s="27">
        <f>SUM(E6:E15)</f>
        <v>83691.710577999169</v>
      </c>
      <c r="F16" s="27">
        <f>SUM(F6:F15)</f>
        <v>227037.63699000003</v>
      </c>
      <c r="G16" s="27">
        <f t="shared" ref="G16:P16" ca="1" si="1">SUM(G6:G15)</f>
        <v>231621.20773004368</v>
      </c>
      <c r="H16" s="27">
        <f t="shared" ca="1" si="1"/>
        <v>237205.1227971612</v>
      </c>
      <c r="I16" s="27">
        <f t="shared" ca="1" si="1"/>
        <v>244221.99308075616</v>
      </c>
      <c r="J16" s="27">
        <f t="shared" ca="1" si="1"/>
        <v>252098.59339026423</v>
      </c>
      <c r="K16" s="27">
        <f t="shared" ca="1" si="1"/>
        <v>262464.77653771627</v>
      </c>
      <c r="L16" s="27">
        <f t="shared" ca="1" si="1"/>
        <v>275505.18497852719</v>
      </c>
      <c r="M16" s="27">
        <f t="shared" ca="1" si="1"/>
        <v>289874.4051832353</v>
      </c>
      <c r="N16" s="27">
        <f t="shared" ca="1" si="1"/>
        <v>269984.31061657815</v>
      </c>
      <c r="O16" s="27">
        <f t="shared" ca="1" si="1"/>
        <v>283942.54026222171</v>
      </c>
      <c r="P16" s="27">
        <f t="shared" ca="1" si="1"/>
        <v>281462.69400083803</v>
      </c>
    </row>
    <row r="17" spans="2:16" x14ac:dyDescent="0.2"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2:16" x14ac:dyDescent="0.2">
      <c r="B18" s="1" t="s">
        <v>47</v>
      </c>
      <c r="C18" s="17">
        <v>5814.7977899999996</v>
      </c>
      <c r="D18" s="17">
        <v>6256.3756599999997</v>
      </c>
      <c r="E18" s="17">
        <v>7474.0862500000003</v>
      </c>
      <c r="F18" s="30">
        <f>'Balance Sheet@Transaction'!J18</f>
        <v>7474.0862500000003</v>
      </c>
      <c r="G18" s="28">
        <f>'Working capital'!G8</f>
        <v>7662.4457021821045</v>
      </c>
      <c r="H18" s="28">
        <f>'Working capital'!H8</f>
        <v>8581.9391864439585</v>
      </c>
      <c r="I18" s="28">
        <f>'Working capital'!I8</f>
        <v>9611.7718888172349</v>
      </c>
      <c r="J18" s="28">
        <f>'Working capital'!J8</f>
        <v>10476.831358810787</v>
      </c>
      <c r="K18" s="28">
        <f>'Working capital'!K8</f>
        <v>11419.746181103757</v>
      </c>
      <c r="L18" s="28">
        <f>'Working capital'!L8</f>
        <v>12447.523337403098</v>
      </c>
      <c r="M18" s="28">
        <f>'Working capital'!M8</f>
        <v>13318.849971021315</v>
      </c>
      <c r="N18" s="28">
        <f>'Working capital'!N8</f>
        <v>14251.169468992808</v>
      </c>
      <c r="O18" s="28">
        <f>'Working capital'!O8</f>
        <v>15106.239637132378</v>
      </c>
      <c r="P18" s="28">
        <f>'Working capital'!P8</f>
        <v>15861.551618988995</v>
      </c>
    </row>
    <row r="19" spans="2:16" x14ac:dyDescent="0.2">
      <c r="B19" s="1" t="s">
        <v>48</v>
      </c>
      <c r="C19" s="17">
        <v>6824.1654900000003</v>
      </c>
      <c r="D19" s="17">
        <v>6858.3476099999998</v>
      </c>
      <c r="E19" s="17">
        <v>5837.0377799999997</v>
      </c>
      <c r="F19" s="30">
        <f>'Balance Sheet@Transaction'!J19</f>
        <v>5837.0377799999997</v>
      </c>
      <c r="G19" s="28">
        <f>CHOOSE(Drivers!$C$3,Drivers!G37,Drivers!G50,Drivers!G63)*'P&amp;L'!G$6</f>
        <v>6537.4823136000005</v>
      </c>
      <c r="H19" s="28">
        <f>CHOOSE(Drivers!$C$3,Drivers!H37,Drivers!H50,Drivers!H63)*'P&amp;L'!H$6</f>
        <v>7321.9801912320017</v>
      </c>
      <c r="I19" s="28">
        <f>CHOOSE(Drivers!$C$3,Drivers!I37,Drivers!I50,Drivers!I63)*'P&amp;L'!I$6</f>
        <v>8200.6178141798428</v>
      </c>
      <c r="J19" s="28">
        <f>CHOOSE(Drivers!$C$3,Drivers!J37,Drivers!J50,Drivers!J63)*'P&amp;L'!J$6</f>
        <v>8938.6734174560279</v>
      </c>
      <c r="K19" s="28">
        <f>CHOOSE(Drivers!$C$3,Drivers!K37,Drivers!K50,Drivers!K63)*'P&amp;L'!K$6</f>
        <v>9743.1540250270718</v>
      </c>
      <c r="L19" s="28">
        <f>CHOOSE(Drivers!$C$3,Drivers!L37,Drivers!L50,Drivers!L63)*'P&amp;L'!L$6</f>
        <v>10620.037887279508</v>
      </c>
      <c r="M19" s="28">
        <f>CHOOSE(Drivers!$C$3,Drivers!M37,Drivers!M50,Drivers!M63)*'P&amp;L'!M$6</f>
        <v>11363.440539389076</v>
      </c>
      <c r="N19" s="28">
        <f>CHOOSE(Drivers!$C$3,Drivers!N37,Drivers!N50,Drivers!N63)*'P&amp;L'!N$6</f>
        <v>12158.881377146312</v>
      </c>
      <c r="O19" s="28">
        <f>CHOOSE(Drivers!$C$3,Drivers!O37,Drivers!O50,Drivers!O63)*'P&amp;L'!O$6</f>
        <v>12888.414259775091</v>
      </c>
      <c r="P19" s="28">
        <f>CHOOSE(Drivers!$C$3,Drivers!P37,Drivers!P50,Drivers!P63)*'P&amp;L'!P$6</f>
        <v>13532.834972763847</v>
      </c>
    </row>
    <row r="20" spans="2:16" x14ac:dyDescent="0.2"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2:16" x14ac:dyDescent="0.2">
      <c r="B21" s="1" t="s">
        <v>49</v>
      </c>
      <c r="C21" s="17">
        <v>5462.3406999999997</v>
      </c>
      <c r="D21" s="17">
        <v>10064.9141</v>
      </c>
      <c r="E21" s="17">
        <v>8531.51296</v>
      </c>
      <c r="F21" s="30">
        <f>'Balance Sheet@Transaction'!J21</f>
        <v>160000</v>
      </c>
      <c r="G21" s="28">
        <f ca="1">Financing!G8+Financing!G13+Financing!G18+Financing!G34</f>
        <v>153980.25715460497</v>
      </c>
      <c r="H21" s="28">
        <f ca="1">Financing!H8+Financing!H13+Financing!H18+Financing!H34</f>
        <v>146405.65247414613</v>
      </c>
      <c r="I21" s="28">
        <f ca="1">Financing!I8+Financing!I13+Financing!I18+Financing!I34</f>
        <v>137405.65247414613</v>
      </c>
      <c r="J21" s="28">
        <f ca="1">Financing!J8+Financing!J13+Financing!J18+Financing!J34</f>
        <v>128405.65247414613</v>
      </c>
      <c r="K21" s="28">
        <f ca="1">Financing!K8+Financing!K13+Financing!K18+Financing!K34</f>
        <v>119405.65247414613</v>
      </c>
      <c r="L21" s="28">
        <f ca="1">Financing!L8+Financing!L13+Financing!L18+Financing!L34</f>
        <v>110405.65247414613</v>
      </c>
      <c r="M21" s="28">
        <f ca="1">Financing!M8+Financing!M13+Financing!M18+Financing!M34</f>
        <v>101405.65247414613</v>
      </c>
      <c r="N21" s="28">
        <f ca="1">Financing!N8+Financing!N13+Financing!N18+Financing!N34</f>
        <v>55963.169115583813</v>
      </c>
      <c r="O21" s="28">
        <f ca="1">Financing!O8+Financing!O13+Financing!O18+Financing!O34</f>
        <v>40963.169115583813</v>
      </c>
      <c r="P21" s="28">
        <f ca="1">Financing!P8+Financing!P13+Financing!P18+Financing!P34</f>
        <v>7963.1691155838125</v>
      </c>
    </row>
    <row r="22" spans="2:16" x14ac:dyDescent="0.2">
      <c r="B22" s="1" t="s">
        <v>50</v>
      </c>
      <c r="C22" s="17">
        <v>14342</v>
      </c>
      <c r="D22" s="17">
        <v>13210</v>
      </c>
      <c r="E22" s="17">
        <v>14145</v>
      </c>
      <c r="F22" s="30">
        <f>'Balance Sheet@Transaction'!J22</f>
        <v>14145</v>
      </c>
      <c r="G22" s="28">
        <f>CHOOSE(Drivers!$C$3,Drivers!G38,Drivers!G51,Drivers!G64)*'P&amp;L'!G$6</f>
        <v>15842.400000000001</v>
      </c>
      <c r="H22" s="28">
        <f>CHOOSE(Drivers!$C$3,Drivers!H38,Drivers!H51,Drivers!H64)*'P&amp;L'!H$6</f>
        <v>17743.488000000001</v>
      </c>
      <c r="I22" s="28">
        <f>CHOOSE(Drivers!$C$3,Drivers!I38,Drivers!I51,Drivers!I64)*'P&amp;L'!I$6</f>
        <v>19872.706560000006</v>
      </c>
      <c r="J22" s="28">
        <f>CHOOSE(Drivers!$C$3,Drivers!J38,Drivers!J51,Drivers!J64)*'P&amp;L'!J$6</f>
        <v>21661.250150400007</v>
      </c>
      <c r="K22" s="28">
        <f>CHOOSE(Drivers!$C$3,Drivers!K38,Drivers!K51,Drivers!K64)*'P&amp;L'!K$6</f>
        <v>23610.76266393601</v>
      </c>
      <c r="L22" s="28">
        <f>CHOOSE(Drivers!$C$3,Drivers!L38,Drivers!L51,Drivers!L64)*'P&amp;L'!L$6</f>
        <v>25735.731303690252</v>
      </c>
      <c r="M22" s="28">
        <f>CHOOSE(Drivers!$C$3,Drivers!M38,Drivers!M51,Drivers!M64)*'P&amp;L'!M$6</f>
        <v>27537.23249494857</v>
      </c>
      <c r="N22" s="28">
        <f>CHOOSE(Drivers!$C$3,Drivers!N38,Drivers!N51,Drivers!N64)*'P&amp;L'!N$6</f>
        <v>29464.838769594975</v>
      </c>
      <c r="O22" s="28">
        <f>CHOOSE(Drivers!$C$3,Drivers!O38,Drivers!O51,Drivers!O64)*'P&amp;L'!O$6</f>
        <v>31232.729095770672</v>
      </c>
      <c r="P22" s="28">
        <f>CHOOSE(Drivers!$C$3,Drivers!P38,Drivers!P51,Drivers!P64)*'P&amp;L'!P$6</f>
        <v>32794.365550559211</v>
      </c>
    </row>
    <row r="23" spans="2:16" x14ac:dyDescent="0.2"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2:16" x14ac:dyDescent="0.2">
      <c r="B24" s="1" t="s">
        <v>51</v>
      </c>
      <c r="C24" s="17">
        <v>50930.124656259795</v>
      </c>
      <c r="D24" s="17">
        <v>58451.646250970705</v>
      </c>
      <c r="E24" s="17">
        <v>47704.073587999163</v>
      </c>
      <c r="F24" s="30">
        <f>'Balance Sheet@Transaction'!J24</f>
        <v>39581.512959999993</v>
      </c>
      <c r="G24" s="28">
        <f ca="1">'Equity schedule'!G11</f>
        <v>47598.622559656578</v>
      </c>
      <c r="H24" s="28">
        <f ca="1">'Equity schedule'!H11</f>
        <v>57152.062945339087</v>
      </c>
      <c r="I24" s="28">
        <f ca="1">'Equity schedule'!I11</f>
        <v>69131.244343612925</v>
      </c>
      <c r="J24" s="28">
        <f ca="1">'Equity schedule'!J11</f>
        <v>82616.185989451245</v>
      </c>
      <c r="K24" s="28">
        <f ca="1">'Equity schedule'!K11</f>
        <v>98285.461193503244</v>
      </c>
      <c r="L24" s="28">
        <f ca="1">'Equity schedule'!L11</f>
        <v>116296.23997600815</v>
      </c>
      <c r="M24" s="28">
        <f ca="1">'Equity schedule'!M11</f>
        <v>136249.22970373015</v>
      </c>
      <c r="N24" s="28">
        <f ca="1">'Equity schedule'!N11</f>
        <v>158146.25188526016</v>
      </c>
      <c r="O24" s="28">
        <f ca="1">'Equity schedule'!O11</f>
        <v>183751.98815395968</v>
      </c>
      <c r="P24" s="28">
        <f ca="1">'Equity schedule'!P11</f>
        <v>211310.77274294212</v>
      </c>
    </row>
    <row r="25" spans="2:16" x14ac:dyDescent="0.2">
      <c r="D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2:16" ht="12.75" thickBot="1" x14ac:dyDescent="0.25">
      <c r="B26" s="21" t="s">
        <v>52</v>
      </c>
      <c r="C26" s="27">
        <f t="shared" ref="C26:P26" si="2">SUM(C17:C25)</f>
        <v>83373.428636259792</v>
      </c>
      <c r="D26" s="27">
        <f t="shared" si="2"/>
        <v>94841.283620970702</v>
      </c>
      <c r="E26" s="27">
        <f t="shared" si="2"/>
        <v>83691.710577999154</v>
      </c>
      <c r="F26" s="27">
        <f t="shared" si="2"/>
        <v>227037.63699</v>
      </c>
      <c r="G26" s="27">
        <f t="shared" ca="1" si="2"/>
        <v>231621.20773004368</v>
      </c>
      <c r="H26" s="27">
        <f t="shared" ca="1" si="2"/>
        <v>237205.12279716117</v>
      </c>
      <c r="I26" s="27">
        <f t="shared" ca="1" si="2"/>
        <v>244221.99308075616</v>
      </c>
      <c r="J26" s="27">
        <f t="shared" ca="1" si="2"/>
        <v>252098.5933902642</v>
      </c>
      <c r="K26" s="27">
        <f t="shared" ca="1" si="2"/>
        <v>262464.77653771621</v>
      </c>
      <c r="L26" s="27">
        <f t="shared" ca="1" si="2"/>
        <v>275505.18497852713</v>
      </c>
      <c r="M26" s="27">
        <f t="shared" ca="1" si="2"/>
        <v>289874.40518323524</v>
      </c>
      <c r="N26" s="27">
        <f t="shared" ca="1" si="2"/>
        <v>269984.31061657809</v>
      </c>
      <c r="O26" s="27">
        <f t="shared" ca="1" si="2"/>
        <v>283942.54026222165</v>
      </c>
      <c r="P26" s="27">
        <f t="shared" ca="1" si="2"/>
        <v>281462.69400083798</v>
      </c>
    </row>
    <row r="28" spans="2:16" x14ac:dyDescent="0.2">
      <c r="B28" s="18" t="s">
        <v>53</v>
      </c>
      <c r="C28" s="29">
        <f t="shared" ref="C28:P28" si="3">C16-C26</f>
        <v>0</v>
      </c>
      <c r="D28" s="29">
        <f t="shared" si="3"/>
        <v>0</v>
      </c>
      <c r="E28" s="29">
        <f t="shared" si="3"/>
        <v>0</v>
      </c>
      <c r="F28" s="29">
        <f t="shared" si="3"/>
        <v>0</v>
      </c>
      <c r="G28" s="29">
        <f t="shared" ca="1" si="3"/>
        <v>0</v>
      </c>
      <c r="H28" s="29">
        <f t="shared" ca="1" si="3"/>
        <v>0</v>
      </c>
      <c r="I28" s="29">
        <f t="shared" ca="1" si="3"/>
        <v>0</v>
      </c>
      <c r="J28" s="29">
        <f t="shared" ca="1" si="3"/>
        <v>0</v>
      </c>
      <c r="K28" s="29">
        <f t="shared" ca="1" si="3"/>
        <v>0</v>
      </c>
      <c r="L28" s="29">
        <f t="shared" ca="1" si="3"/>
        <v>0</v>
      </c>
      <c r="M28" s="29">
        <f t="shared" ca="1" si="3"/>
        <v>0</v>
      </c>
      <c r="N28" s="29">
        <f t="shared" ca="1" si="3"/>
        <v>0</v>
      </c>
      <c r="O28" s="29">
        <f t="shared" ca="1" si="3"/>
        <v>0</v>
      </c>
      <c r="P28" s="29">
        <f t="shared" ca="1" si="3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370B-5ED9-4A93-8A78-C948EE485160}">
  <dimension ref="B1:P26"/>
  <sheetViews>
    <sheetView zoomScale="130" zoomScaleNormal="130" workbookViewId="0">
      <selection activeCell="G8" sqref="G8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6384" width="9.140625" style="1"/>
  </cols>
  <sheetData>
    <row r="1" spans="2:16" ht="15.75" x14ac:dyDescent="0.25">
      <c r="B1" s="4" t="s">
        <v>152</v>
      </c>
    </row>
    <row r="2" spans="2:16" x14ac:dyDescent="0.2">
      <c r="C2" s="7"/>
    </row>
    <row r="3" spans="2:16" x14ac:dyDescent="0.2">
      <c r="B3" s="1" t="s">
        <v>21</v>
      </c>
      <c r="C3" s="13">
        <f>Drivers!C3</f>
        <v>1</v>
      </c>
    </row>
    <row r="5" spans="2:16" x14ac:dyDescent="0.2">
      <c r="B5" s="14" t="str">
        <f>Drivers!C13&amp;" "&amp;Drivers!C14</f>
        <v>$ 000s</v>
      </c>
      <c r="C5" s="15">
        <f>D5-1</f>
        <v>2020</v>
      </c>
      <c r="D5" s="15">
        <f>E5-1</f>
        <v>2021</v>
      </c>
      <c r="E5" s="15">
        <f>G5-1</f>
        <v>2022</v>
      </c>
      <c r="F5" s="61"/>
      <c r="G5" s="16">
        <f>Drivers!C11</f>
        <v>2023</v>
      </c>
      <c r="H5" s="16">
        <f>G5+1</f>
        <v>2024</v>
      </c>
      <c r="I5" s="16">
        <f t="shared" ref="I5:P5" si="0">H5+1</f>
        <v>2025</v>
      </c>
      <c r="J5" s="16">
        <f t="shared" si="0"/>
        <v>2026</v>
      </c>
      <c r="K5" s="16">
        <f t="shared" si="0"/>
        <v>2027</v>
      </c>
      <c r="L5" s="16">
        <f t="shared" si="0"/>
        <v>2028</v>
      </c>
      <c r="M5" s="16">
        <f t="shared" si="0"/>
        <v>2029</v>
      </c>
      <c r="N5" s="16">
        <f t="shared" si="0"/>
        <v>2030</v>
      </c>
      <c r="O5" s="16">
        <f t="shared" si="0"/>
        <v>2031</v>
      </c>
      <c r="P5" s="16">
        <f t="shared" si="0"/>
        <v>2032</v>
      </c>
    </row>
    <row r="6" spans="2:16" x14ac:dyDescent="0.2">
      <c r="B6" s="1" t="s">
        <v>35</v>
      </c>
      <c r="C6" s="25">
        <f>'P&amp;L'!C20</f>
        <v>17837.413770866275</v>
      </c>
      <c r="D6" s="25">
        <f>'P&amp;L'!D20</f>
        <v>7520.9926867086861</v>
      </c>
      <c r="E6" s="25">
        <f>'P&amp;L'!E20</f>
        <v>9118.1809999999969</v>
      </c>
      <c r="G6" s="25">
        <f ca="1">'P&amp;L'!G20</f>
        <v>8017.1095996565837</v>
      </c>
      <c r="H6" s="25">
        <f ca="1">'P&amp;L'!H20</f>
        <v>9553.440385682512</v>
      </c>
      <c r="I6" s="25">
        <f ca="1">'P&amp;L'!I20</f>
        <v>11979.181398273842</v>
      </c>
      <c r="J6" s="25">
        <f ca="1">'P&amp;L'!J20</f>
        <v>13484.941645838324</v>
      </c>
      <c r="K6" s="25">
        <f ca="1">'P&amp;L'!K20</f>
        <v>15669.275204052003</v>
      </c>
      <c r="L6" s="25">
        <f ca="1">'P&amp;L'!L20</f>
        <v>18010.778782504902</v>
      </c>
      <c r="M6" s="25">
        <f ca="1">'P&amp;L'!M20</f>
        <v>19952.98972772199</v>
      </c>
      <c r="N6" s="25">
        <f ca="1">'P&amp;L'!N20</f>
        <v>21897.022181530025</v>
      </c>
      <c r="O6" s="25">
        <f ca="1">'P&amp;L'!O20</f>
        <v>25605.736268699518</v>
      </c>
      <c r="P6" s="25">
        <f ca="1">'P&amp;L'!P20</f>
        <v>27558.784588982431</v>
      </c>
    </row>
    <row r="7" spans="2:16" x14ac:dyDescent="0.2">
      <c r="B7" s="1" t="s">
        <v>153</v>
      </c>
      <c r="C7" s="25">
        <f>-'P&amp;L'!C15</f>
        <v>1337.5114134600308</v>
      </c>
      <c r="D7" s="25">
        <f>-'P&amp;L'!D15</f>
        <v>1510.3767303073387</v>
      </c>
      <c r="E7" s="25">
        <f>-'P&amp;L'!E15</f>
        <v>1870.3969999999999</v>
      </c>
      <c r="G7" s="25">
        <f ca="1">-'P&amp;L'!G15</f>
        <v>4383.2460761904758</v>
      </c>
      <c r="H7" s="25">
        <f ca="1">-'P&amp;L'!H15</f>
        <v>4848.7821401904757</v>
      </c>
      <c r="I7" s="25">
        <f ca="1">-'P&amp;L'!I15</f>
        <v>5370.1825318704759</v>
      </c>
      <c r="J7" s="25">
        <f ca="1">-'P&amp;L'!J15</f>
        <v>5938.5089588016763</v>
      </c>
      <c r="K7" s="25">
        <f ca="1">-'P&amp;L'!K15</f>
        <v>6557.9847641566848</v>
      </c>
      <c r="L7" s="25">
        <f ca="1">-'P&amp;L'!L15</f>
        <v>7233.2133919936441</v>
      </c>
      <c r="M7" s="25">
        <f ca="1">-'P&amp;L'!M15</f>
        <v>7955.7080237791906</v>
      </c>
      <c r="N7" s="25">
        <f ca="1">-'P&amp;L'!N15</f>
        <v>8585.9201369325838</v>
      </c>
      <c r="O7" s="25">
        <f ca="1">-'P&amp;L'!O15</f>
        <v>9236.6235483037508</v>
      </c>
      <c r="P7" s="25">
        <f ca="1">-'P&amp;L'!P15</f>
        <v>9963.7162969101428</v>
      </c>
    </row>
    <row r="8" spans="2:16" x14ac:dyDescent="0.2">
      <c r="B8" s="1" t="s">
        <v>154</v>
      </c>
      <c r="C8" s="25"/>
      <c r="D8" s="25">
        <f>-('Working capital'!D9-'Working capital'!C9)</f>
        <v>-2709.9673000000021</v>
      </c>
      <c r="E8" s="25">
        <f>-('Working capital'!E9-'Working capital'!D9)</f>
        <v>2830.0066300000017</v>
      </c>
      <c r="G8" s="25">
        <f>-('Working capital'!G9-'Working capital'!F9)</f>
        <v>-2338.1657616511948</v>
      </c>
      <c r="H8" s="25">
        <f>-('Working capital'!H9-'Working capital'!G9)</f>
        <v>-1381.5536953981446</v>
      </c>
      <c r="I8" s="25">
        <f>-('Working capital'!I9-'Working capital'!H9)</f>
        <v>-1547.3401388459188</v>
      </c>
      <c r="J8" s="25">
        <f>-('Working capital'!J9-'Working capital'!I9)</f>
        <v>-1299.7657166305744</v>
      </c>
      <c r="K8" s="25">
        <f>-('Working capital'!K9-'Working capital'!J9)</f>
        <v>-1416.7446311273288</v>
      </c>
      <c r="L8" s="25">
        <f>-('Working capital'!L9-'Working capital'!K9)</f>
        <v>-1544.2516479287879</v>
      </c>
      <c r="M8" s="25">
        <f>-('Working capital'!M9-'Working capital'!L9)</f>
        <v>-1309.18223041073</v>
      </c>
      <c r="N8" s="25">
        <f>-('Working capital'!N9-'Working capital'!M9)</f>
        <v>-1400.8249865394937</v>
      </c>
      <c r="O8" s="25">
        <f>-('Working capital'!O9-'Working capital'!N9)</f>
        <v>-1284.756630511929</v>
      </c>
      <c r="P8" s="25">
        <f>-('Working capital'!P9-'Working capital'!O9)</f>
        <v>-1134.8683569522036</v>
      </c>
    </row>
    <row r="9" spans="2:16" x14ac:dyDescent="0.2">
      <c r="B9" s="1" t="s">
        <v>41</v>
      </c>
      <c r="C9" s="25"/>
      <c r="D9" s="25">
        <f>-('Balance sheet'!D9-'Balance sheet'!C9)</f>
        <v>-705.66365000000042</v>
      </c>
      <c r="E9" s="25">
        <f>-('Balance sheet'!E9-'Balance sheet'!D9)</f>
        <v>484.16145999999935</v>
      </c>
      <c r="G9" s="25">
        <f>-('Balance sheet'!G9-'Balance sheet'!F9)</f>
        <v>-1514.1076104000003</v>
      </c>
      <c r="H9" s="25">
        <f>-('Balance sheet'!H9-'Balance sheet'!G9)</f>
        <v>-1695.8005236480021</v>
      </c>
      <c r="I9" s="25">
        <f>-('Balance sheet'!I9-'Balance sheet'!H9)</f>
        <v>-1899.2965864857615</v>
      </c>
      <c r="J9" s="25">
        <f>-('Balance sheet'!J9-'Balance sheet'!I9)</f>
        <v>-1595.4091326480411</v>
      </c>
      <c r="K9" s="25">
        <f>-('Balance sheet'!K9-'Balance sheet'!J9)</f>
        <v>-1738.995954586364</v>
      </c>
      <c r="L9" s="25">
        <f>-('Balance sheet'!L9-'Balance sheet'!K9)</f>
        <v>-1895.505590499135</v>
      </c>
      <c r="M9" s="25">
        <f>-('Balance sheet'!M9-'Balance sheet'!L9)</f>
        <v>-1606.9675172787138</v>
      </c>
      <c r="N9" s="25">
        <f>-('Balance sheet'!N9-'Balance sheet'!M9)</f>
        <v>-1719.4552434882244</v>
      </c>
      <c r="O9" s="25">
        <f>-('Balance sheet'!O9-'Balance sheet'!N9)</f>
        <v>-1576.986094742053</v>
      </c>
      <c r="P9" s="25">
        <f>-('Balance sheet'!P9-'Balance sheet'!O9)</f>
        <v>-1393.0043836888181</v>
      </c>
    </row>
    <row r="10" spans="2:16" x14ac:dyDescent="0.2">
      <c r="B10" s="1" t="s">
        <v>48</v>
      </c>
      <c r="C10" s="25"/>
      <c r="D10" s="25">
        <f>'Balance sheet'!D19-'Balance sheet'!C19</f>
        <v>34.182119999999486</v>
      </c>
      <c r="E10" s="25">
        <f>'Balance sheet'!E19-'Balance sheet'!D19</f>
        <v>-1021.3098300000001</v>
      </c>
      <c r="G10" s="25">
        <f>'Balance sheet'!G19-'Balance sheet'!F19</f>
        <v>700.4445336000008</v>
      </c>
      <c r="H10" s="25">
        <f>'Balance sheet'!H19-'Balance sheet'!G19</f>
        <v>784.49787763200129</v>
      </c>
      <c r="I10" s="25">
        <f>'Balance sheet'!I19-'Balance sheet'!H19</f>
        <v>878.63762294784101</v>
      </c>
      <c r="J10" s="25">
        <f>'Balance sheet'!J19-'Balance sheet'!I19</f>
        <v>738.05560327618514</v>
      </c>
      <c r="K10" s="25">
        <f>'Balance sheet'!K19-'Balance sheet'!J19</f>
        <v>804.48060757104395</v>
      </c>
      <c r="L10" s="25">
        <f>'Balance sheet'!L19-'Balance sheet'!K19</f>
        <v>876.8838622524363</v>
      </c>
      <c r="M10" s="25">
        <f>'Balance sheet'!M19-'Balance sheet'!L19</f>
        <v>743.4026521095675</v>
      </c>
      <c r="N10" s="25">
        <f>'Balance sheet'!N19-'Balance sheet'!M19</f>
        <v>795.4408377572363</v>
      </c>
      <c r="O10" s="25">
        <f>'Balance sheet'!O19-'Balance sheet'!N19</f>
        <v>729.53288262877868</v>
      </c>
      <c r="P10" s="25">
        <f>'Balance sheet'!P19-'Balance sheet'!O19</f>
        <v>644.42071298875635</v>
      </c>
    </row>
    <row r="11" spans="2:16" x14ac:dyDescent="0.2">
      <c r="B11" s="1" t="s">
        <v>45</v>
      </c>
      <c r="C11" s="25"/>
      <c r="D11" s="25">
        <f>-('Balance sheet'!D14-'Balance sheet'!C14)</f>
        <v>7518.3625833643127</v>
      </c>
      <c r="E11" s="25">
        <f>-('Balance sheet'!E14-'Balance sheet'!D14)</f>
        <v>-152.30499710451659</v>
      </c>
      <c r="G11" s="25">
        <f>-('Balance sheet'!G14-'Balance sheet'!F14)</f>
        <v>-1589.7222000000002</v>
      </c>
      <c r="H11" s="25">
        <f>-('Balance sheet'!H14-'Balance sheet'!G14)</f>
        <v>-1780.4888640000045</v>
      </c>
      <c r="I11" s="25">
        <f>-('Balance sheet'!I14-'Balance sheet'!H14)</f>
        <v>-1994.1475276800011</v>
      </c>
      <c r="J11" s="25">
        <f>-('Balance sheet'!J14-'Balance sheet'!I14)</f>
        <v>-1675.0839232512008</v>
      </c>
      <c r="K11" s="25">
        <f>-('Balance sheet'!K14-'Balance sheet'!J14)</f>
        <v>-1825.8414763438122</v>
      </c>
      <c r="L11" s="25">
        <f>-('Balance sheet'!L14-'Balance sheet'!K14)</f>
        <v>-1990.1672092147528</v>
      </c>
      <c r="M11" s="25">
        <f>-('Balance sheet'!M14-'Balance sheet'!L14)</f>
        <v>-1687.2195340342842</v>
      </c>
      <c r="N11" s="25">
        <f>-('Balance sheet'!N14-'Balance sheet'!M14)</f>
        <v>-1805.3249014166904</v>
      </c>
      <c r="O11" s="25">
        <f>-('Balance sheet'!O14-'Balance sheet'!N14)</f>
        <v>-1655.7408381564419</v>
      </c>
      <c r="P11" s="25">
        <f>-('Balance sheet'!P14-'Balance sheet'!O14)</f>
        <v>-1462.5710737048612</v>
      </c>
    </row>
    <row r="12" spans="2:16" x14ac:dyDescent="0.2">
      <c r="B12" s="1" t="s">
        <v>50</v>
      </c>
      <c r="C12" s="25"/>
      <c r="D12" s="25">
        <f>'Balance sheet'!D22-'Balance sheet'!C22</f>
        <v>-1132</v>
      </c>
      <c r="E12" s="25">
        <f>'Balance sheet'!E22-'Balance sheet'!D22</f>
        <v>935</v>
      </c>
      <c r="G12" s="25">
        <f>'Balance sheet'!G22-'Balance sheet'!F22</f>
        <v>1697.4000000000015</v>
      </c>
      <c r="H12" s="25">
        <f>'Balance sheet'!H22-'Balance sheet'!G22</f>
        <v>1901.0879999999997</v>
      </c>
      <c r="I12" s="25">
        <f>'Balance sheet'!I22-'Balance sheet'!H22</f>
        <v>2129.2185600000048</v>
      </c>
      <c r="J12" s="25">
        <f>'Balance sheet'!J22-'Balance sheet'!I22</f>
        <v>1788.5435904000005</v>
      </c>
      <c r="K12" s="25">
        <f>'Balance sheet'!K22-'Balance sheet'!J22</f>
        <v>1949.5125135360031</v>
      </c>
      <c r="L12" s="25">
        <f>'Balance sheet'!L22-'Balance sheet'!K22</f>
        <v>2124.9686397542428</v>
      </c>
      <c r="M12" s="25">
        <f>'Balance sheet'!M22-'Balance sheet'!L22</f>
        <v>1801.5011912583177</v>
      </c>
      <c r="N12" s="25">
        <f>'Balance sheet'!N22-'Balance sheet'!M22</f>
        <v>1927.6062746464049</v>
      </c>
      <c r="O12" s="25">
        <f>'Balance sheet'!O22-'Balance sheet'!N22</f>
        <v>1767.8903261756968</v>
      </c>
      <c r="P12" s="25">
        <f>'Balance sheet'!P22-'Balance sheet'!O22</f>
        <v>1561.6364547885387</v>
      </c>
    </row>
    <row r="13" spans="2:16" x14ac:dyDescent="0.2">
      <c r="B13" s="19" t="s">
        <v>155</v>
      </c>
      <c r="C13" s="31">
        <f>SUM(C6:C12)</f>
        <v>19174.925184326305</v>
      </c>
      <c r="D13" s="31">
        <f t="shared" ref="D13:P13" si="1">SUM(D6:D12)</f>
        <v>12036.283170380335</v>
      </c>
      <c r="E13" s="31">
        <f t="shared" si="1"/>
        <v>14064.131262895482</v>
      </c>
      <c r="F13" s="62"/>
      <c r="G13" s="31">
        <f t="shared" ca="1" si="1"/>
        <v>9356.2046373958656</v>
      </c>
      <c r="H13" s="31">
        <f t="shared" ca="1" si="1"/>
        <v>12229.965320458838</v>
      </c>
      <c r="I13" s="31">
        <f t="shared" ca="1" si="1"/>
        <v>14916.435860080483</v>
      </c>
      <c r="J13" s="31">
        <f t="shared" ca="1" si="1"/>
        <v>17379.79102578637</v>
      </c>
      <c r="K13" s="31">
        <f t="shared" ca="1" si="1"/>
        <v>19999.671027258228</v>
      </c>
      <c r="L13" s="31">
        <f t="shared" ca="1" si="1"/>
        <v>22815.920228862553</v>
      </c>
      <c r="M13" s="31">
        <f t="shared" ca="1" si="1"/>
        <v>25850.232313145338</v>
      </c>
      <c r="N13" s="31">
        <f t="shared" ca="1" si="1"/>
        <v>28280.384299421839</v>
      </c>
      <c r="O13" s="31">
        <f t="shared" ca="1" si="1"/>
        <v>32822.299462397321</v>
      </c>
      <c r="P13" s="31">
        <f t="shared" ca="1" si="1"/>
        <v>35738.114239323993</v>
      </c>
    </row>
    <row r="15" spans="2:16" x14ac:dyDescent="0.2">
      <c r="B15" s="1" t="s">
        <v>116</v>
      </c>
      <c r="D15" s="25">
        <f>-'Fixed assets roll forward'!D7</f>
        <v>-3653.1067303073382</v>
      </c>
      <c r="E15" s="25">
        <f>-'Fixed assets roll forward'!E7</f>
        <v>-3711.2250000000013</v>
      </c>
      <c r="F15" s="25"/>
      <c r="G15" s="25">
        <f>-'Fixed assets roll forward'!G7</f>
        <v>-4156.5720000000019</v>
      </c>
      <c r="H15" s="25">
        <f>-'Fixed assets roll forward'!H7</f>
        <v>-4655.3606400000026</v>
      </c>
      <c r="I15" s="25">
        <f>-'Fixed assets roll forward'!I7</f>
        <v>-5214.003916800003</v>
      </c>
      <c r="J15" s="25">
        <f>-'Fixed assets roll forward'!J7</f>
        <v>-5683.2642693120042</v>
      </c>
      <c r="K15" s="25">
        <f>-'Fixed assets roll forward'!K7</f>
        <v>-6194.7580535500856</v>
      </c>
      <c r="L15" s="25">
        <f>-'Fixed assets roll forward'!L7</f>
        <v>-6752.2862783695928</v>
      </c>
      <c r="M15" s="25">
        <f>-'Fixed assets roll forward'!M7</f>
        <v>-7224.9463178554652</v>
      </c>
      <c r="N15" s="25">
        <f>-'Fixed assets roll forward'!N7</f>
        <v>-7730.6925601053481</v>
      </c>
      <c r="O15" s="25">
        <f>-'Fixed assets roll forward'!O7</f>
        <v>-8194.5341137116684</v>
      </c>
      <c r="P15" s="25">
        <f>-'Fixed assets roll forward'!P7</f>
        <v>-8604.2608193972537</v>
      </c>
    </row>
    <row r="16" spans="2:16" x14ac:dyDescent="0.2">
      <c r="B16" s="19" t="s">
        <v>156</v>
      </c>
      <c r="C16" s="31">
        <f>C15</f>
        <v>0</v>
      </c>
      <c r="D16" s="31">
        <f>D15</f>
        <v>-3653.1067303073382</v>
      </c>
      <c r="E16" s="31">
        <f>E15</f>
        <v>-3711.2250000000013</v>
      </c>
      <c r="G16" s="31">
        <f t="shared" ref="G16:P16" si="2">G15</f>
        <v>-4156.5720000000019</v>
      </c>
      <c r="H16" s="31">
        <f t="shared" si="2"/>
        <v>-4655.3606400000026</v>
      </c>
      <c r="I16" s="31">
        <f t="shared" si="2"/>
        <v>-5214.003916800003</v>
      </c>
      <c r="J16" s="31">
        <f t="shared" si="2"/>
        <v>-5683.2642693120042</v>
      </c>
      <c r="K16" s="31">
        <f t="shared" si="2"/>
        <v>-6194.7580535500856</v>
      </c>
      <c r="L16" s="31">
        <f t="shared" si="2"/>
        <v>-6752.2862783695928</v>
      </c>
      <c r="M16" s="31">
        <f t="shared" si="2"/>
        <v>-7224.9463178554652</v>
      </c>
      <c r="N16" s="31">
        <f t="shared" si="2"/>
        <v>-7730.6925601053481</v>
      </c>
      <c r="O16" s="31">
        <f t="shared" si="2"/>
        <v>-8194.5341137116684</v>
      </c>
      <c r="P16" s="31">
        <f t="shared" si="2"/>
        <v>-8604.2608193972537</v>
      </c>
    </row>
    <row r="18" spans="2:16" x14ac:dyDescent="0.2">
      <c r="B18" s="1" t="s">
        <v>145</v>
      </c>
      <c r="G18" s="25">
        <f ca="1">SUM(Financing!G32:G33)</f>
        <v>2980.2571546049603</v>
      </c>
      <c r="H18" s="25">
        <f ca="1">SUM(Financing!H32:H33)</f>
        <v>1425.395319541165</v>
      </c>
      <c r="I18" s="25">
        <f ca="1">SUM(Financing!I32:I33)</f>
        <v>0</v>
      </c>
      <c r="J18" s="25">
        <f ca="1">SUM(Financing!J32:J33)</f>
        <v>0</v>
      </c>
      <c r="K18" s="25">
        <f ca="1">SUM(Financing!K32:K33)</f>
        <v>0</v>
      </c>
      <c r="L18" s="25">
        <f ca="1">SUM(Financing!L32:L33)</f>
        <v>0</v>
      </c>
      <c r="M18" s="25">
        <f ca="1">SUM(Financing!M32:M33)</f>
        <v>0</v>
      </c>
      <c r="N18" s="25">
        <f ca="1">SUM(Financing!N32:N33)</f>
        <v>3557.5166414376872</v>
      </c>
      <c r="O18" s="25">
        <f ca="1">SUM(Financing!O32:O33)</f>
        <v>0</v>
      </c>
      <c r="P18" s="25">
        <f ca="1">SUM(Financing!P32:P33)</f>
        <v>0</v>
      </c>
    </row>
    <row r="19" spans="2:16" x14ac:dyDescent="0.2">
      <c r="B19" s="1" t="s">
        <v>157</v>
      </c>
      <c r="G19" s="25">
        <f>Drivers!$C$71</f>
        <v>0</v>
      </c>
      <c r="H19" s="25">
        <f>Drivers!$C$71</f>
        <v>0</v>
      </c>
      <c r="I19" s="25">
        <f>Drivers!$C$71</f>
        <v>0</v>
      </c>
      <c r="J19" s="25">
        <f>Drivers!$C$71</f>
        <v>0</v>
      </c>
      <c r="K19" s="25">
        <f>Drivers!$C$71</f>
        <v>0</v>
      </c>
      <c r="L19" s="25">
        <f>Drivers!$C$71</f>
        <v>0</v>
      </c>
      <c r="M19" s="25">
        <f>Drivers!$C$71</f>
        <v>0</v>
      </c>
      <c r="N19" s="25">
        <f>Drivers!$C$71</f>
        <v>0</v>
      </c>
      <c r="O19" s="25">
        <f>Drivers!$C$71</f>
        <v>0</v>
      </c>
      <c r="P19" s="25">
        <f>Drivers!$C$71</f>
        <v>0</v>
      </c>
    </row>
    <row r="20" spans="2:16" x14ac:dyDescent="0.2">
      <c r="B20" s="1" t="s">
        <v>158</v>
      </c>
      <c r="G20" s="25">
        <f>Financing!G7+Financing!G12+Financing!G17</f>
        <v>-9000</v>
      </c>
      <c r="H20" s="25">
        <f>Financing!H7+Financing!H12+Financing!H17</f>
        <v>-9000</v>
      </c>
      <c r="I20" s="25">
        <f>Financing!I7+Financing!I12+Financing!I17</f>
        <v>-9000</v>
      </c>
      <c r="J20" s="25">
        <f>Financing!J7+Financing!J12+Financing!J17</f>
        <v>-9000</v>
      </c>
      <c r="K20" s="25">
        <f>Financing!K7+Financing!K12+Financing!K17</f>
        <v>-9000</v>
      </c>
      <c r="L20" s="25">
        <f>Financing!L7+Financing!L12+Financing!L17</f>
        <v>-9000</v>
      </c>
      <c r="M20" s="25">
        <f>Financing!M7+Financing!M12+Financing!M17</f>
        <v>-9000</v>
      </c>
      <c r="N20" s="25">
        <f>Financing!N7+Financing!N12+Financing!N17</f>
        <v>-49000</v>
      </c>
      <c r="O20" s="25">
        <f>Financing!O7+Financing!O12+Financing!O17</f>
        <v>-15000.000000000004</v>
      </c>
      <c r="P20" s="25">
        <f>Financing!P7+Financing!P12+Financing!P17</f>
        <v>-33000</v>
      </c>
    </row>
    <row r="21" spans="2:16" x14ac:dyDescent="0.2">
      <c r="B21" s="1" t="s">
        <v>159</v>
      </c>
      <c r="G21" s="25">
        <f>'Equity schedule'!G10</f>
        <v>0</v>
      </c>
      <c r="H21" s="25">
        <f>'Equity schedule'!H10</f>
        <v>0</v>
      </c>
      <c r="I21" s="25">
        <f>'Equity schedule'!I10</f>
        <v>0</v>
      </c>
      <c r="J21" s="25">
        <f>'Equity schedule'!J10</f>
        <v>0</v>
      </c>
      <c r="K21" s="25">
        <f>'Equity schedule'!K10</f>
        <v>0</v>
      </c>
      <c r="L21" s="25">
        <f>'Equity schedule'!L10</f>
        <v>0</v>
      </c>
      <c r="M21" s="25">
        <f>'Equity schedule'!M10</f>
        <v>0</v>
      </c>
      <c r="N21" s="25">
        <f>'Equity schedule'!N10</f>
        <v>0</v>
      </c>
      <c r="O21" s="25">
        <f>'Equity schedule'!O10</f>
        <v>0</v>
      </c>
      <c r="P21" s="25">
        <f>'Equity schedule'!P10</f>
        <v>0</v>
      </c>
    </row>
    <row r="22" spans="2:16" x14ac:dyDescent="0.2">
      <c r="B22" s="1" t="s">
        <v>160</v>
      </c>
      <c r="G22" s="25">
        <f ca="1">'Equity schedule'!G8</f>
        <v>0</v>
      </c>
      <c r="H22" s="25">
        <f ca="1">'Equity schedule'!H8</f>
        <v>0</v>
      </c>
      <c r="I22" s="25">
        <f ca="1">'Equity schedule'!I8</f>
        <v>0</v>
      </c>
      <c r="J22" s="25">
        <f ca="1">'Equity schedule'!J8</f>
        <v>0</v>
      </c>
      <c r="K22" s="25">
        <f ca="1">'Equity schedule'!K8</f>
        <v>0</v>
      </c>
      <c r="L22" s="25">
        <f ca="1">'Equity schedule'!L8</f>
        <v>0</v>
      </c>
      <c r="M22" s="25">
        <f ca="1">'Equity schedule'!M8</f>
        <v>0</v>
      </c>
      <c r="N22" s="25">
        <f ca="1">'Equity schedule'!N8</f>
        <v>0</v>
      </c>
      <c r="O22" s="25">
        <f ca="1">'Equity schedule'!O8</f>
        <v>0</v>
      </c>
      <c r="P22" s="25">
        <f ca="1">'Equity schedule'!P8</f>
        <v>0</v>
      </c>
    </row>
    <row r="23" spans="2:16" x14ac:dyDescent="0.2">
      <c r="B23" s="1" t="s">
        <v>161</v>
      </c>
      <c r="G23" s="25">
        <f ca="1">'Equity schedule'!G9</f>
        <v>0</v>
      </c>
      <c r="H23" s="25">
        <f ca="1">'Equity schedule'!H9</f>
        <v>0</v>
      </c>
      <c r="I23" s="25">
        <f ca="1">'Equity schedule'!I9</f>
        <v>0</v>
      </c>
      <c r="J23" s="25">
        <f ca="1">'Equity schedule'!J9</f>
        <v>0</v>
      </c>
      <c r="K23" s="25">
        <f ca="1">'Equity schedule'!K9</f>
        <v>0</v>
      </c>
      <c r="L23" s="25">
        <f ca="1">'Equity schedule'!L9</f>
        <v>0</v>
      </c>
      <c r="M23" s="25">
        <f ca="1">'Equity schedule'!M9</f>
        <v>0</v>
      </c>
      <c r="N23" s="25">
        <f ca="1">'Equity schedule'!N9</f>
        <v>0</v>
      </c>
      <c r="O23" s="25">
        <f ca="1">'Equity schedule'!O9</f>
        <v>0</v>
      </c>
      <c r="P23" s="25">
        <f ca="1">'Equity schedule'!P9</f>
        <v>0</v>
      </c>
    </row>
    <row r="24" spans="2:16" x14ac:dyDescent="0.2">
      <c r="B24" s="19" t="s">
        <v>162</v>
      </c>
      <c r="C24" s="31">
        <f>SUM(C18:C23)</f>
        <v>0</v>
      </c>
      <c r="D24" s="31">
        <f>SUM(D18:D23)</f>
        <v>0</v>
      </c>
      <c r="E24" s="31">
        <f>SUM(E18:E23)</f>
        <v>0</v>
      </c>
      <c r="G24" s="31">
        <f t="shared" ref="G24:P24" ca="1" si="3">SUM(G18:G23)</f>
        <v>-6019.7428453950397</v>
      </c>
      <c r="H24" s="31">
        <f t="shared" ca="1" si="3"/>
        <v>-7574.604680458835</v>
      </c>
      <c r="I24" s="31">
        <f t="shared" ca="1" si="3"/>
        <v>-9000</v>
      </c>
      <c r="J24" s="31">
        <f t="shared" ca="1" si="3"/>
        <v>-9000</v>
      </c>
      <c r="K24" s="31">
        <f t="shared" ca="1" si="3"/>
        <v>-9000</v>
      </c>
      <c r="L24" s="31">
        <f t="shared" ca="1" si="3"/>
        <v>-9000</v>
      </c>
      <c r="M24" s="31">
        <f t="shared" ca="1" si="3"/>
        <v>-9000</v>
      </c>
      <c r="N24" s="31">
        <f t="shared" ca="1" si="3"/>
        <v>-45442.483358562313</v>
      </c>
      <c r="O24" s="31">
        <f t="shared" ca="1" si="3"/>
        <v>-15000.000000000004</v>
      </c>
      <c r="P24" s="31">
        <f t="shared" ca="1" si="3"/>
        <v>-33000</v>
      </c>
    </row>
    <row r="26" spans="2:16" ht="12.75" thickBot="1" x14ac:dyDescent="0.25">
      <c r="B26" s="21" t="s">
        <v>163</v>
      </c>
      <c r="C26" s="22">
        <f>C13+C16+C24</f>
        <v>19174.925184326305</v>
      </c>
      <c r="D26" s="22">
        <f>D13+D16+D24</f>
        <v>8383.1764400729971</v>
      </c>
      <c r="E26" s="22">
        <f>E13+E16+E24</f>
        <v>10352.906262895482</v>
      </c>
      <c r="G26" s="22">
        <f t="shared" ref="G26:P26" ca="1" si="4">G13+G16+G24</f>
        <v>-820.11020799917605</v>
      </c>
      <c r="H26" s="22">
        <f t="shared" ca="1" si="4"/>
        <v>0</v>
      </c>
      <c r="I26" s="22">
        <f t="shared" ca="1" si="4"/>
        <v>702.43194328048048</v>
      </c>
      <c r="J26" s="22">
        <f t="shared" ca="1" si="4"/>
        <v>2696.5267564743663</v>
      </c>
      <c r="K26" s="22">
        <f t="shared" ca="1" si="4"/>
        <v>4804.9129737081421</v>
      </c>
      <c r="L26" s="22">
        <f t="shared" ca="1" si="4"/>
        <v>7063.6339504929601</v>
      </c>
      <c r="M26" s="22">
        <f t="shared" ca="1" si="4"/>
        <v>9625.2859952898725</v>
      </c>
      <c r="N26" s="22">
        <f t="shared" ca="1" si="4"/>
        <v>-24892.791619245821</v>
      </c>
      <c r="O26" s="22">
        <f t="shared" ca="1" si="4"/>
        <v>9627.765348685647</v>
      </c>
      <c r="P26" s="22">
        <f t="shared" ca="1" si="4"/>
        <v>-5866.1465800732622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547B-2558-48F3-A928-B3DF79AB6065}">
  <dimension ref="B1:C12"/>
  <sheetViews>
    <sheetView zoomScale="130" zoomScaleNormal="130" workbookViewId="0">
      <selection activeCell="C12" sqref="C12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bestFit="1" customWidth="1"/>
    <col min="4" max="4" width="9.140625" style="1" customWidth="1"/>
    <col min="5" max="5" width="9.140625" style="1"/>
    <col min="6" max="6" width="2" style="1" customWidth="1"/>
    <col min="7" max="16384" width="9.140625" style="1"/>
  </cols>
  <sheetData>
    <row r="1" spans="2:3" ht="15.75" x14ac:dyDescent="0.25">
      <c r="B1" s="4" t="s">
        <v>36</v>
      </c>
    </row>
    <row r="2" spans="2:3" x14ac:dyDescent="0.2">
      <c r="C2" s="7"/>
    </row>
    <row r="3" spans="2:3" x14ac:dyDescent="0.2">
      <c r="B3" s="1" t="str">
        <f>"Current"&amp;" "&amp;Drivers!B6</f>
        <v>Current ABC share price</v>
      </c>
      <c r="C3" s="1">
        <f>Drivers!C6</f>
        <v>150</v>
      </c>
    </row>
    <row r="4" spans="2:3" x14ac:dyDescent="0.2">
      <c r="B4" s="1" t="str">
        <f>Drivers!B8</f>
        <v>Acquisition premium</v>
      </c>
      <c r="C4" s="24">
        <f>Drivers!C8</f>
        <v>0.25</v>
      </c>
    </row>
    <row r="5" spans="2:3" x14ac:dyDescent="0.2">
      <c r="B5" s="19" t="s">
        <v>57</v>
      </c>
      <c r="C5" s="19">
        <f>C3*(1+C4)</f>
        <v>187.5</v>
      </c>
    </row>
    <row r="6" spans="2:3" x14ac:dyDescent="0.2">
      <c r="B6" s="1" t="str">
        <f>Drivers!B7</f>
        <v>Fully diluted shares outstanding</v>
      </c>
      <c r="C6" s="25">
        <f>Drivers!C7</f>
        <v>1000000</v>
      </c>
    </row>
    <row r="7" spans="2:3" x14ac:dyDescent="0.2">
      <c r="B7" s="19" t="s">
        <v>55</v>
      </c>
      <c r="C7" s="31">
        <f>C5*C6/1000</f>
        <v>187500</v>
      </c>
    </row>
    <row r="8" spans="2:3" x14ac:dyDescent="0.2">
      <c r="B8" s="1" t="s">
        <v>56</v>
      </c>
      <c r="C8" s="25">
        <f>'Balance sheet'!E21-'Balance sheet'!E6</f>
        <v>-288.59724799917421</v>
      </c>
    </row>
    <row r="9" spans="2:3" x14ac:dyDescent="0.2">
      <c r="B9" s="19" t="s">
        <v>58</v>
      </c>
      <c r="C9" s="20">
        <f>C7+C8</f>
        <v>187211.40275200084</v>
      </c>
    </row>
    <row r="11" spans="2:3" x14ac:dyDescent="0.2">
      <c r="B11" s="1" t="s">
        <v>29</v>
      </c>
      <c r="C11" s="25">
        <f>'P&amp;L'!E14</f>
        <v>14329.557999999997</v>
      </c>
    </row>
    <row r="12" spans="2:3" x14ac:dyDescent="0.2">
      <c r="B12" s="1" t="s">
        <v>59</v>
      </c>
      <c r="C12" s="32">
        <f>C9/C11</f>
        <v>13.06470183881463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A7CC-3AE5-4924-8448-66944F4C2DF0}">
  <dimension ref="B1:P30"/>
  <sheetViews>
    <sheetView zoomScale="130" zoomScaleNormal="130" workbookViewId="0">
      <selection activeCell="O5" sqref="O5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bestFit="1" customWidth="1"/>
    <col min="4" max="4" width="9.140625" style="1" customWidth="1"/>
    <col min="5" max="5" width="9.140625" style="1"/>
    <col min="6" max="6" width="2" style="1" customWidth="1"/>
    <col min="7" max="9" width="9.140625" style="1"/>
    <col min="10" max="10" width="9.7109375" style="1" bestFit="1" customWidth="1"/>
    <col min="11" max="11" width="12.42578125" style="1" bestFit="1" customWidth="1"/>
    <col min="12" max="16384" width="9.140625" style="1"/>
  </cols>
  <sheetData>
    <row r="1" spans="2:16" ht="15.75" x14ac:dyDescent="0.25">
      <c r="B1" s="4" t="s">
        <v>60</v>
      </c>
    </row>
    <row r="2" spans="2:16" x14ac:dyDescent="0.2">
      <c r="C2" s="7"/>
    </row>
    <row r="5" spans="2:16" x14ac:dyDescent="0.2">
      <c r="B5" s="14" t="str">
        <f>Drivers!C13&amp;" "&amp;Drivers!C14</f>
        <v>$ 000s</v>
      </c>
      <c r="C5" s="15">
        <f>D5-1</f>
        <v>2020</v>
      </c>
      <c r="D5" s="15">
        <f>E5-1</f>
        <v>2021</v>
      </c>
      <c r="E5" s="15">
        <f>G5-1</f>
        <v>2022</v>
      </c>
      <c r="F5" s="14"/>
      <c r="G5" s="16">
        <f>Drivers!C11</f>
        <v>2023</v>
      </c>
      <c r="H5" s="16">
        <f>G5+1</f>
        <v>2024</v>
      </c>
      <c r="I5" s="16">
        <f t="shared" ref="I5:P5" si="0">H5+1</f>
        <v>2025</v>
      </c>
      <c r="J5" s="16">
        <f t="shared" si="0"/>
        <v>2026</v>
      </c>
      <c r="K5" s="16">
        <f t="shared" si="0"/>
        <v>2027</v>
      </c>
      <c r="L5" s="16">
        <f t="shared" si="0"/>
        <v>2028</v>
      </c>
      <c r="M5" s="16">
        <f t="shared" si="0"/>
        <v>2029</v>
      </c>
      <c r="N5" s="16">
        <f t="shared" si="0"/>
        <v>2030</v>
      </c>
      <c r="O5" s="16">
        <f t="shared" si="0"/>
        <v>2031</v>
      </c>
      <c r="P5" s="16">
        <f t="shared" si="0"/>
        <v>2032</v>
      </c>
    </row>
    <row r="6" spans="2:16" x14ac:dyDescent="0.2">
      <c r="B6" s="1" t="s">
        <v>61</v>
      </c>
      <c r="C6" s="5">
        <v>0</v>
      </c>
      <c r="D6" s="5">
        <v>0</v>
      </c>
      <c r="E6" s="5">
        <v>0</v>
      </c>
      <c r="G6" s="28">
        <f>E9</f>
        <v>0</v>
      </c>
      <c r="H6" s="28">
        <f>G9</f>
        <v>3105.0595238095239</v>
      </c>
      <c r="I6" s="28">
        <f t="shared" ref="I6:P6" si="1">H9</f>
        <v>2660.1190476190477</v>
      </c>
      <c r="J6" s="28">
        <f t="shared" si="1"/>
        <v>2215.1785714285716</v>
      </c>
      <c r="K6" s="28">
        <f t="shared" si="1"/>
        <v>1770.2380952380954</v>
      </c>
      <c r="L6" s="28">
        <f t="shared" si="1"/>
        <v>1325.2976190476193</v>
      </c>
      <c r="M6" s="28">
        <f t="shared" si="1"/>
        <v>880.357142857143</v>
      </c>
      <c r="N6" s="28">
        <f t="shared" si="1"/>
        <v>435.41666666666674</v>
      </c>
      <c r="O6" s="28">
        <f t="shared" si="1"/>
        <v>133.33333333333337</v>
      </c>
      <c r="P6" s="28">
        <f t="shared" si="1"/>
        <v>0</v>
      </c>
    </row>
    <row r="7" spans="2:16" x14ac:dyDescent="0.2">
      <c r="B7" s="1" t="s">
        <v>62</v>
      </c>
      <c r="C7" s="5">
        <v>0</v>
      </c>
      <c r="D7" s="5">
        <v>0</v>
      </c>
      <c r="E7" s="5">
        <v>0</v>
      </c>
      <c r="G7" s="28">
        <f>-C12</f>
        <v>3550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2:16" x14ac:dyDescent="0.2">
      <c r="B8" s="1" t="s">
        <v>63</v>
      </c>
      <c r="C8" s="5">
        <v>0</v>
      </c>
      <c r="D8" s="5">
        <v>0</v>
      </c>
      <c r="E8" s="5">
        <v>0</v>
      </c>
      <c r="G8" s="28">
        <f>G30</f>
        <v>-444.94047619047626</v>
      </c>
      <c r="H8" s="28">
        <f t="shared" ref="H8:P8" si="2">H30</f>
        <v>-444.94047619047626</v>
      </c>
      <c r="I8" s="28">
        <f t="shared" si="2"/>
        <v>-444.94047619047626</v>
      </c>
      <c r="J8" s="28">
        <f t="shared" si="2"/>
        <v>-444.94047619047626</v>
      </c>
      <c r="K8" s="28">
        <f t="shared" si="2"/>
        <v>-444.94047619047626</v>
      </c>
      <c r="L8" s="28">
        <f t="shared" si="2"/>
        <v>-444.94047619047626</v>
      </c>
      <c r="M8" s="28">
        <f t="shared" si="2"/>
        <v>-444.94047619047626</v>
      </c>
      <c r="N8" s="28">
        <f t="shared" si="2"/>
        <v>-302.08333333333337</v>
      </c>
      <c r="O8" s="28">
        <f t="shared" si="2"/>
        <v>-133.33333333333334</v>
      </c>
      <c r="P8" s="28">
        <f t="shared" si="2"/>
        <v>0</v>
      </c>
    </row>
    <row r="9" spans="2:16" x14ac:dyDescent="0.2">
      <c r="B9" s="19" t="s">
        <v>64</v>
      </c>
      <c r="C9" s="37">
        <f>SUM(C6:C8)</f>
        <v>0</v>
      </c>
      <c r="D9" s="37">
        <f t="shared" ref="D9:P9" si="3">SUM(D6:D8)</f>
        <v>0</v>
      </c>
      <c r="E9" s="37">
        <f t="shared" si="3"/>
        <v>0</v>
      </c>
      <c r="F9" s="37">
        <f t="shared" si="3"/>
        <v>0</v>
      </c>
      <c r="G9" s="37">
        <f t="shared" si="3"/>
        <v>3105.0595238095239</v>
      </c>
      <c r="H9" s="37">
        <f t="shared" si="3"/>
        <v>2660.1190476190477</v>
      </c>
      <c r="I9" s="37">
        <f t="shared" si="3"/>
        <v>2215.1785714285716</v>
      </c>
      <c r="J9" s="37">
        <f t="shared" si="3"/>
        <v>1770.2380952380954</v>
      </c>
      <c r="K9" s="37">
        <f t="shared" si="3"/>
        <v>1325.2976190476193</v>
      </c>
      <c r="L9" s="37">
        <f t="shared" si="3"/>
        <v>880.357142857143</v>
      </c>
      <c r="M9" s="37">
        <f t="shared" si="3"/>
        <v>435.41666666666674</v>
      </c>
      <c r="N9" s="37">
        <f t="shared" si="3"/>
        <v>133.33333333333337</v>
      </c>
      <c r="O9" s="37">
        <f t="shared" si="3"/>
        <v>0</v>
      </c>
      <c r="P9" s="37">
        <f t="shared" si="3"/>
        <v>0</v>
      </c>
    </row>
    <row r="11" spans="2:16" x14ac:dyDescent="0.2">
      <c r="B11" s="1" t="s">
        <v>65</v>
      </c>
      <c r="C11" s="25">
        <f>SUMIF($J$15:$J$23,"Expensed",$I$15:$I$23)</f>
        <v>-3937.5</v>
      </c>
    </row>
    <row r="12" spans="2:16" x14ac:dyDescent="0.2">
      <c r="B12" s="1" t="s">
        <v>66</v>
      </c>
      <c r="C12" s="25">
        <f>SUMIF($J$15:$J$23,"Capitalized",$I$15:$I$23)</f>
        <v>-3550</v>
      </c>
    </row>
    <row r="14" spans="2:16" x14ac:dyDescent="0.2">
      <c r="B14" s="33" t="s">
        <v>67</v>
      </c>
      <c r="I14" s="35" t="s">
        <v>74</v>
      </c>
      <c r="J14" s="35" t="s">
        <v>68</v>
      </c>
      <c r="K14" s="35" t="s">
        <v>70</v>
      </c>
      <c r="L14" s="35" t="s">
        <v>75</v>
      </c>
    </row>
    <row r="15" spans="2:16" x14ac:dyDescent="0.2">
      <c r="B15" s="1" t="s">
        <v>72</v>
      </c>
      <c r="C15" s="34">
        <v>8.0000000000000002E-3</v>
      </c>
      <c r="D15" s="1" t="s">
        <v>73</v>
      </c>
      <c r="I15" s="25">
        <f>-L15*C15</f>
        <v>-1500</v>
      </c>
      <c r="J15" s="36" t="s">
        <v>69</v>
      </c>
      <c r="K15" s="1">
        <v>0</v>
      </c>
      <c r="L15" s="25">
        <f>Valuation!$C$7</f>
        <v>187500</v>
      </c>
    </row>
    <row r="16" spans="2:16" x14ac:dyDescent="0.2">
      <c r="B16" s="1" t="s">
        <v>71</v>
      </c>
      <c r="C16" s="34">
        <v>8.0000000000000002E-3</v>
      </c>
      <c r="D16" s="1" t="s">
        <v>73</v>
      </c>
      <c r="I16" s="25">
        <f>-L16*C16</f>
        <v>-1500</v>
      </c>
      <c r="J16" s="36" t="s">
        <v>69</v>
      </c>
      <c r="K16" s="1">
        <v>0</v>
      </c>
      <c r="L16" s="25">
        <f>Valuation!$C$7</f>
        <v>187500</v>
      </c>
    </row>
    <row r="17" spans="2:16" x14ac:dyDescent="0.2">
      <c r="J17" s="36"/>
    </row>
    <row r="18" spans="2:16" x14ac:dyDescent="0.2">
      <c r="B18" s="33" t="s">
        <v>76</v>
      </c>
      <c r="J18" s="36"/>
    </row>
    <row r="19" spans="2:16" x14ac:dyDescent="0.2">
      <c r="B19" s="1" t="s">
        <v>77</v>
      </c>
      <c r="C19" s="34">
        <v>2.5000000000000001E-2</v>
      </c>
      <c r="D19" s="1" t="s">
        <v>78</v>
      </c>
      <c r="I19" s="25">
        <f>-L19*C19</f>
        <v>-1000</v>
      </c>
      <c r="J19" s="36" t="s">
        <v>81</v>
      </c>
      <c r="K19" s="25">
        <f>'Debt schedule'!S12</f>
        <v>7</v>
      </c>
      <c r="L19" s="25">
        <f>'Sources &amp; Uses of funds'!C6</f>
        <v>40000</v>
      </c>
    </row>
    <row r="20" spans="2:16" x14ac:dyDescent="0.2">
      <c r="B20" s="1" t="s">
        <v>79</v>
      </c>
      <c r="C20" s="34">
        <v>2.2499999999999999E-2</v>
      </c>
      <c r="D20" s="1" t="s">
        <v>78</v>
      </c>
      <c r="I20" s="25">
        <f t="shared" ref="I20:I21" si="4">-L20*C20</f>
        <v>-1350</v>
      </c>
      <c r="J20" s="36" t="s">
        <v>81</v>
      </c>
      <c r="K20" s="25">
        <f>'Debt schedule'!S13</f>
        <v>8</v>
      </c>
      <c r="L20" s="25">
        <f>'Sources &amp; Uses of funds'!C7</f>
        <v>60000</v>
      </c>
    </row>
    <row r="21" spans="2:16" x14ac:dyDescent="0.2">
      <c r="B21" s="1" t="s">
        <v>80</v>
      </c>
      <c r="C21" s="34">
        <v>0.02</v>
      </c>
      <c r="D21" s="1" t="s">
        <v>78</v>
      </c>
      <c r="I21" s="25">
        <f t="shared" si="4"/>
        <v>-1200</v>
      </c>
      <c r="J21" s="36" t="s">
        <v>81</v>
      </c>
      <c r="K21" s="25">
        <f>'Debt schedule'!S14</f>
        <v>9</v>
      </c>
      <c r="L21" s="25">
        <f>'Sources &amp; Uses of funds'!C8</f>
        <v>60000</v>
      </c>
    </row>
    <row r="22" spans="2:16" x14ac:dyDescent="0.2">
      <c r="J22" s="36"/>
    </row>
    <row r="23" spans="2:16" x14ac:dyDescent="0.2">
      <c r="B23" s="33" t="s">
        <v>82</v>
      </c>
      <c r="C23" s="34">
        <v>5.0000000000000001E-3</v>
      </c>
      <c r="D23" s="1" t="s">
        <v>73</v>
      </c>
      <c r="I23" s="25">
        <f>-L23*C23</f>
        <v>-937.5</v>
      </c>
      <c r="J23" s="36" t="s">
        <v>69</v>
      </c>
      <c r="K23" s="1">
        <v>0</v>
      </c>
      <c r="L23" s="25">
        <f>Valuation!$C$7</f>
        <v>187500</v>
      </c>
    </row>
    <row r="26" spans="2:16" x14ac:dyDescent="0.2">
      <c r="B26" s="14" t="s">
        <v>151</v>
      </c>
      <c r="C26" s="51"/>
      <c r="D26" s="51"/>
      <c r="E26" s="51"/>
      <c r="F26" s="51"/>
      <c r="G26" s="51">
        <v>1</v>
      </c>
      <c r="H26" s="51">
        <v>2</v>
      </c>
      <c r="I26" s="51">
        <v>3</v>
      </c>
      <c r="J26" s="51">
        <v>4</v>
      </c>
      <c r="K26" s="51">
        <v>5</v>
      </c>
      <c r="L26" s="51">
        <v>6</v>
      </c>
      <c r="M26" s="51">
        <v>7</v>
      </c>
      <c r="N26" s="51">
        <v>8</v>
      </c>
      <c r="O26" s="51">
        <v>9</v>
      </c>
      <c r="P26" s="51">
        <v>10</v>
      </c>
    </row>
    <row r="27" spans="2:16" x14ac:dyDescent="0.2">
      <c r="B27" s="1" t="s">
        <v>77</v>
      </c>
      <c r="G27" s="25">
        <f>IF(G$26&lt;=$K19,$I19/$K19,0)</f>
        <v>-142.85714285714286</v>
      </c>
      <c r="H27" s="25">
        <f t="shared" ref="H27:P27" si="5">IF(H$26&lt;=$K19,$I19/$K19,0)</f>
        <v>-142.85714285714286</v>
      </c>
      <c r="I27" s="25">
        <f t="shared" si="5"/>
        <v>-142.85714285714286</v>
      </c>
      <c r="J27" s="25">
        <f t="shared" si="5"/>
        <v>-142.85714285714286</v>
      </c>
      <c r="K27" s="25">
        <f t="shared" si="5"/>
        <v>-142.85714285714286</v>
      </c>
      <c r="L27" s="25">
        <f t="shared" si="5"/>
        <v>-142.85714285714286</v>
      </c>
      <c r="M27" s="25">
        <f t="shared" si="5"/>
        <v>-142.85714285714286</v>
      </c>
      <c r="N27" s="25">
        <f t="shared" si="5"/>
        <v>0</v>
      </c>
      <c r="O27" s="25">
        <f t="shared" si="5"/>
        <v>0</v>
      </c>
      <c r="P27" s="25">
        <f t="shared" si="5"/>
        <v>0</v>
      </c>
    </row>
    <row r="28" spans="2:16" x14ac:dyDescent="0.2">
      <c r="B28" s="1" t="s">
        <v>79</v>
      </c>
      <c r="G28" s="25">
        <f t="shared" ref="G28:P28" si="6">IF(G$26&lt;=$K20,$I20/$K20,0)</f>
        <v>-168.75</v>
      </c>
      <c r="H28" s="25">
        <f t="shared" si="6"/>
        <v>-168.75</v>
      </c>
      <c r="I28" s="25">
        <f t="shared" si="6"/>
        <v>-168.75</v>
      </c>
      <c r="J28" s="25">
        <f t="shared" si="6"/>
        <v>-168.75</v>
      </c>
      <c r="K28" s="25">
        <f t="shared" si="6"/>
        <v>-168.75</v>
      </c>
      <c r="L28" s="25">
        <f t="shared" si="6"/>
        <v>-168.75</v>
      </c>
      <c r="M28" s="25">
        <f t="shared" si="6"/>
        <v>-168.75</v>
      </c>
      <c r="N28" s="25">
        <f t="shared" si="6"/>
        <v>-168.75</v>
      </c>
      <c r="O28" s="25">
        <f t="shared" si="6"/>
        <v>0</v>
      </c>
      <c r="P28" s="25">
        <f t="shared" si="6"/>
        <v>0</v>
      </c>
    </row>
    <row r="29" spans="2:16" x14ac:dyDescent="0.2">
      <c r="B29" s="1" t="s">
        <v>80</v>
      </c>
      <c r="G29" s="25">
        <f t="shared" ref="G29:P29" si="7">IF(G$26&lt;=$K21,$I21/$K21,0)</f>
        <v>-133.33333333333334</v>
      </c>
      <c r="H29" s="25">
        <f t="shared" si="7"/>
        <v>-133.33333333333334</v>
      </c>
      <c r="I29" s="25">
        <f t="shared" si="7"/>
        <v>-133.33333333333334</v>
      </c>
      <c r="J29" s="25">
        <f t="shared" si="7"/>
        <v>-133.33333333333334</v>
      </c>
      <c r="K29" s="25">
        <f t="shared" si="7"/>
        <v>-133.33333333333334</v>
      </c>
      <c r="L29" s="25">
        <f t="shared" si="7"/>
        <v>-133.33333333333334</v>
      </c>
      <c r="M29" s="25">
        <f t="shared" si="7"/>
        <v>-133.33333333333334</v>
      </c>
      <c r="N29" s="25">
        <f t="shared" si="7"/>
        <v>-133.33333333333334</v>
      </c>
      <c r="O29" s="25">
        <f t="shared" si="7"/>
        <v>-133.33333333333334</v>
      </c>
      <c r="P29" s="25">
        <f t="shared" si="7"/>
        <v>0</v>
      </c>
    </row>
    <row r="30" spans="2:16" ht="12.75" thickBot="1" x14ac:dyDescent="0.25">
      <c r="B30" s="21" t="s">
        <v>86</v>
      </c>
      <c r="C30" s="21"/>
      <c r="D30" s="21"/>
      <c r="E30" s="21"/>
      <c r="F30" s="21"/>
      <c r="G30" s="22">
        <f>SUM(G27:G29)</f>
        <v>-444.94047619047626</v>
      </c>
      <c r="H30" s="22">
        <f t="shared" ref="H30:P30" si="8">SUM(H27:H29)</f>
        <v>-444.94047619047626</v>
      </c>
      <c r="I30" s="22">
        <f t="shared" si="8"/>
        <v>-444.94047619047626</v>
      </c>
      <c r="J30" s="22">
        <f t="shared" si="8"/>
        <v>-444.94047619047626</v>
      </c>
      <c r="K30" s="22">
        <f t="shared" si="8"/>
        <v>-444.94047619047626</v>
      </c>
      <c r="L30" s="22">
        <f t="shared" si="8"/>
        <v>-444.94047619047626</v>
      </c>
      <c r="M30" s="22">
        <f t="shared" si="8"/>
        <v>-444.94047619047626</v>
      </c>
      <c r="N30" s="22">
        <f t="shared" si="8"/>
        <v>-302.08333333333337</v>
      </c>
      <c r="O30" s="22">
        <f t="shared" si="8"/>
        <v>-133.33333333333334</v>
      </c>
      <c r="P30" s="22">
        <f t="shared" si="8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8F3F-B24E-4FCF-8CDF-1A16771F75D7}">
  <dimension ref="B1:F13"/>
  <sheetViews>
    <sheetView zoomScale="130" zoomScaleNormal="130" workbookViewId="0">
      <selection activeCell="B1" sqref="B1"/>
    </sheetView>
  </sheetViews>
  <sheetFormatPr defaultColWidth="9.140625" defaultRowHeight="12" x14ac:dyDescent="0.2"/>
  <cols>
    <col min="1" max="1" width="2" style="1" customWidth="1"/>
    <col min="2" max="2" width="30" style="1" customWidth="1"/>
    <col min="3" max="3" width="11.5703125" style="1" bestFit="1" customWidth="1"/>
    <col min="4" max="4" width="11.5703125" style="1" customWidth="1"/>
    <col min="5" max="5" width="30" style="1" customWidth="1"/>
    <col min="6" max="6" width="9.140625" style="1"/>
    <col min="7" max="7" width="2" style="1" customWidth="1"/>
    <col min="8" max="10" width="9.140625" style="1"/>
    <col min="11" max="11" width="9.7109375" style="1" bestFit="1" customWidth="1"/>
    <col min="12" max="12" width="12.42578125" style="1" bestFit="1" customWidth="1"/>
    <col min="13" max="16384" width="9.140625" style="1"/>
  </cols>
  <sheetData>
    <row r="1" spans="2:6" ht="15.75" x14ac:dyDescent="0.25">
      <c r="B1" s="4" t="s">
        <v>83</v>
      </c>
    </row>
    <row r="2" spans="2:6" x14ac:dyDescent="0.2">
      <c r="C2" s="7"/>
      <c r="D2" s="7"/>
    </row>
    <row r="4" spans="2:6" x14ac:dyDescent="0.2">
      <c r="B4" s="38" t="s">
        <v>85</v>
      </c>
      <c r="E4" s="38" t="s">
        <v>87</v>
      </c>
    </row>
    <row r="5" spans="2:6" x14ac:dyDescent="0.2">
      <c r="B5" s="1" t="s">
        <v>84</v>
      </c>
      <c r="C5" s="5">
        <v>0</v>
      </c>
      <c r="E5" s="1" t="s">
        <v>89</v>
      </c>
      <c r="F5" s="25">
        <f>Valuation!C7</f>
        <v>187500</v>
      </c>
    </row>
    <row r="6" spans="2:6" x14ac:dyDescent="0.2">
      <c r="B6" s="1" t="s">
        <v>77</v>
      </c>
      <c r="C6" s="5">
        <v>40000</v>
      </c>
      <c r="E6" s="1" t="s">
        <v>91</v>
      </c>
      <c r="F6" s="25">
        <f>'Balance sheet'!E21</f>
        <v>8531.51296</v>
      </c>
    </row>
    <row r="7" spans="2:6" x14ac:dyDescent="0.2">
      <c r="B7" s="1" t="s">
        <v>79</v>
      </c>
      <c r="C7" s="5">
        <v>60000</v>
      </c>
      <c r="E7" s="1" t="s">
        <v>90</v>
      </c>
      <c r="F7" s="25">
        <f>-('Transaction fees'!C11+'Transaction fees'!C12)</f>
        <v>7487.5</v>
      </c>
    </row>
    <row r="8" spans="2:6" x14ac:dyDescent="0.2">
      <c r="B8" s="1" t="s">
        <v>80</v>
      </c>
      <c r="C8" s="5">
        <v>60000</v>
      </c>
    </row>
    <row r="9" spans="2:6" x14ac:dyDescent="0.2">
      <c r="B9" s="1" t="s">
        <v>88</v>
      </c>
      <c r="C9" s="5">
        <v>43519.012959999993</v>
      </c>
    </row>
    <row r="11" spans="2:6" ht="12.75" thickBot="1" x14ac:dyDescent="0.25">
      <c r="B11" s="27" t="s">
        <v>86</v>
      </c>
      <c r="C11" s="27">
        <f>SUM(C5:C10)</f>
        <v>203519.01295999999</v>
      </c>
      <c r="E11" s="27" t="s">
        <v>86</v>
      </c>
      <c r="F11" s="27">
        <f>SUM(F5:F10)</f>
        <v>203519.01295999999</v>
      </c>
    </row>
    <row r="13" spans="2:6" x14ac:dyDescent="0.2">
      <c r="C13" s="2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BE70-37EE-4A2E-8A2A-A7692C0082B2}">
  <dimension ref="B1:J26"/>
  <sheetViews>
    <sheetView zoomScale="130" zoomScaleNormal="130" workbookViewId="0">
      <selection activeCell="J6" sqref="J6:J26"/>
    </sheetView>
  </sheetViews>
  <sheetFormatPr defaultColWidth="9.140625" defaultRowHeight="12" x14ac:dyDescent="0.2"/>
  <cols>
    <col min="1" max="1" width="2" style="1" customWidth="1"/>
    <col min="2" max="2" width="23.42578125" style="1" customWidth="1"/>
    <col min="3" max="3" width="11.42578125" style="1" customWidth="1"/>
    <col min="4" max="4" width="11.5703125" style="1" customWidth="1"/>
    <col min="5" max="5" width="11.42578125" style="1" customWidth="1"/>
    <col min="6" max="6" width="20.42578125" style="1" bestFit="1" customWidth="1"/>
    <col min="7" max="7" width="11.42578125" style="1" customWidth="1"/>
    <col min="8" max="8" width="15.140625" style="1" bestFit="1" customWidth="1"/>
    <col min="9" max="9" width="24.85546875" style="1" customWidth="1"/>
    <col min="10" max="10" width="22.140625" style="1" customWidth="1"/>
    <col min="11" max="12" width="11.42578125" style="1" customWidth="1"/>
    <col min="13" max="16384" width="9.140625" style="1"/>
  </cols>
  <sheetData>
    <row r="1" spans="2:10" ht="15.75" x14ac:dyDescent="0.25">
      <c r="B1" s="4" t="s">
        <v>92</v>
      </c>
    </row>
    <row r="2" spans="2:10" x14ac:dyDescent="0.2">
      <c r="C2" s="7"/>
      <c r="D2" s="7"/>
    </row>
    <row r="3" spans="2:10" x14ac:dyDescent="0.2">
      <c r="B3" s="1" t="s">
        <v>93</v>
      </c>
    </row>
    <row r="4" spans="2:10" x14ac:dyDescent="0.2">
      <c r="C4" s="28"/>
    </row>
    <row r="5" spans="2:10" x14ac:dyDescent="0.2">
      <c r="B5" s="14" t="str">
        <f>Drivers!C13&amp;" "&amp;Drivers!C14</f>
        <v>$ 000s</v>
      </c>
      <c r="C5" s="39" t="s">
        <v>98</v>
      </c>
      <c r="D5" s="39" t="s">
        <v>97</v>
      </c>
      <c r="E5" s="40" t="s">
        <v>100</v>
      </c>
      <c r="F5" s="39" t="s">
        <v>94</v>
      </c>
      <c r="G5" s="39" t="s">
        <v>95</v>
      </c>
      <c r="H5" s="39" t="s">
        <v>101</v>
      </c>
      <c r="I5" s="39" t="s">
        <v>102</v>
      </c>
      <c r="J5" s="39" t="s">
        <v>99</v>
      </c>
    </row>
    <row r="6" spans="2:10" x14ac:dyDescent="0.2">
      <c r="B6" s="1" t="s">
        <v>38</v>
      </c>
      <c r="C6" s="17">
        <v>8820.1102079991742</v>
      </c>
      <c r="E6" s="28">
        <f>C6+D6</f>
        <v>8820.1102079991742</v>
      </c>
      <c r="F6" s="25">
        <f>-'Sources &amp; Uses of funds'!F5</f>
        <v>-187500</v>
      </c>
      <c r="G6" s="25">
        <f>'Sources &amp; Uses of funds'!C6+'Sources &amp; Uses of funds'!C7+'Sources &amp; Uses of funds'!C8+'Sources &amp; Uses of funds'!C9</f>
        <v>203519.01295999999</v>
      </c>
      <c r="H6" s="25">
        <f>('Transaction fees'!C11+'Transaction fees'!C12)</f>
        <v>-7487.5</v>
      </c>
      <c r="I6" s="25">
        <f>-'Sources &amp; Uses of funds'!F6</f>
        <v>-8531.51296</v>
      </c>
      <c r="J6" s="28">
        <f>SUM(E6:I6)</f>
        <v>8820.1102079991761</v>
      </c>
    </row>
    <row r="7" spans="2:10" x14ac:dyDescent="0.2">
      <c r="B7" s="1" t="s">
        <v>39</v>
      </c>
      <c r="C7" s="17">
        <v>7669.1698500000002</v>
      </c>
      <c r="D7" s="25">
        <f>Drivers!C22</f>
        <v>-548</v>
      </c>
      <c r="E7" s="28">
        <f t="shared" ref="E7:E14" si="0">C7+D7</f>
        <v>7121.1698500000002</v>
      </c>
      <c r="J7" s="28">
        <f t="shared" ref="J7:J14" si="1">SUM(E7:I7)</f>
        <v>7121.1698500000002</v>
      </c>
    </row>
    <row r="8" spans="2:10" x14ac:dyDescent="0.2">
      <c r="B8" s="1" t="s">
        <v>40</v>
      </c>
      <c r="C8" s="17">
        <v>10325.6981</v>
      </c>
      <c r="D8" s="25">
        <f>Drivers!C23</f>
        <v>-798</v>
      </c>
      <c r="E8" s="28">
        <f t="shared" si="0"/>
        <v>9527.6980999999996</v>
      </c>
      <c r="J8" s="28">
        <f t="shared" si="1"/>
        <v>9527.6980999999996</v>
      </c>
    </row>
    <row r="9" spans="2:10" x14ac:dyDescent="0.2">
      <c r="B9" s="1" t="s">
        <v>41</v>
      </c>
      <c r="C9" s="17">
        <v>12617.56342</v>
      </c>
      <c r="D9" s="25"/>
      <c r="E9" s="28">
        <f t="shared" si="0"/>
        <v>12617.56342</v>
      </c>
      <c r="J9" s="28">
        <f t="shared" si="1"/>
        <v>12617.56342</v>
      </c>
    </row>
    <row r="10" spans="2:10" x14ac:dyDescent="0.2">
      <c r="C10" s="26"/>
      <c r="D10" s="25"/>
      <c r="E10" s="28">
        <f t="shared" si="0"/>
        <v>0</v>
      </c>
      <c r="J10" s="28">
        <f t="shared" si="1"/>
        <v>0</v>
      </c>
    </row>
    <row r="11" spans="2:10" x14ac:dyDescent="0.2">
      <c r="B11" s="1" t="s">
        <v>42</v>
      </c>
      <c r="C11" s="17">
        <v>0</v>
      </c>
      <c r="D11" s="25"/>
      <c r="E11" s="28">
        <f t="shared" si="0"/>
        <v>0</v>
      </c>
      <c r="H11" s="25">
        <f>-'Transaction fees'!C12</f>
        <v>3550</v>
      </c>
      <c r="J11" s="28">
        <f t="shared" si="1"/>
        <v>3550</v>
      </c>
    </row>
    <row r="12" spans="2:10" x14ac:dyDescent="0.2">
      <c r="B12" s="1" t="s">
        <v>43</v>
      </c>
      <c r="C12" s="17">
        <v>31011.484</v>
      </c>
      <c r="D12" s="25">
        <f>Drivers!C24</f>
        <v>4215</v>
      </c>
      <c r="E12" s="28">
        <f t="shared" si="0"/>
        <v>35226.483999999997</v>
      </c>
      <c r="J12" s="28">
        <f t="shared" si="1"/>
        <v>35226.483999999997</v>
      </c>
    </row>
    <row r="13" spans="2:10" x14ac:dyDescent="0.2">
      <c r="B13" s="1" t="s">
        <v>44</v>
      </c>
      <c r="C13" s="17">
        <v>0</v>
      </c>
      <c r="E13" s="28">
        <f t="shared" si="0"/>
        <v>0</v>
      </c>
      <c r="F13" s="25">
        <f>Goodwill!C8</f>
        <v>136926.92641200084</v>
      </c>
      <c r="J13" s="28">
        <f t="shared" si="1"/>
        <v>136926.92641200084</v>
      </c>
    </row>
    <row r="14" spans="2:10" x14ac:dyDescent="0.2">
      <c r="B14" s="1" t="s">
        <v>45</v>
      </c>
      <c r="C14" s="17">
        <v>13247.685000000003</v>
      </c>
      <c r="E14" s="28">
        <f t="shared" si="0"/>
        <v>13247.685000000003</v>
      </c>
      <c r="J14" s="28">
        <f t="shared" si="1"/>
        <v>13247.685000000003</v>
      </c>
    </row>
    <row r="15" spans="2:10" x14ac:dyDescent="0.2">
      <c r="C15" s="26"/>
    </row>
    <row r="16" spans="2:10" ht="12.75" thickBot="1" x14ac:dyDescent="0.25">
      <c r="B16" s="21" t="s">
        <v>46</v>
      </c>
      <c r="C16" s="27">
        <f>SUM(C6:C15)</f>
        <v>83691.710577999169</v>
      </c>
      <c r="D16" s="27">
        <f t="shared" ref="D16:J16" si="2">SUM(D6:D15)</f>
        <v>2869</v>
      </c>
      <c r="E16" s="27">
        <f t="shared" si="2"/>
        <v>86560.710577999169</v>
      </c>
      <c r="F16" s="27">
        <f t="shared" si="2"/>
        <v>-50573.073587999155</v>
      </c>
      <c r="G16" s="27">
        <f t="shared" si="2"/>
        <v>203519.01295999999</v>
      </c>
      <c r="H16" s="27">
        <f t="shared" si="2"/>
        <v>-3937.5</v>
      </c>
      <c r="I16" s="27">
        <f t="shared" si="2"/>
        <v>-8531.51296</v>
      </c>
      <c r="J16" s="27">
        <f t="shared" si="2"/>
        <v>227037.63699000003</v>
      </c>
    </row>
    <row r="18" spans="2:10" x14ac:dyDescent="0.2">
      <c r="B18" s="1" t="s">
        <v>47</v>
      </c>
      <c r="C18" s="17">
        <v>7474.0862500000003</v>
      </c>
      <c r="E18" s="28">
        <f t="shared" ref="E18:E24" si="3">C18+D18</f>
        <v>7474.0862500000003</v>
      </c>
      <c r="J18" s="28">
        <f t="shared" ref="J18:J24" si="4">SUM(E18:I18)</f>
        <v>7474.0862500000003</v>
      </c>
    </row>
    <row r="19" spans="2:10" x14ac:dyDescent="0.2">
      <c r="B19" s="1" t="s">
        <v>48</v>
      </c>
      <c r="C19" s="17">
        <v>5837.0377799999997</v>
      </c>
      <c r="E19" s="28">
        <f t="shared" si="3"/>
        <v>5837.0377799999997</v>
      </c>
      <c r="J19" s="28">
        <f t="shared" si="4"/>
        <v>5837.0377799999997</v>
      </c>
    </row>
    <row r="20" spans="2:10" x14ac:dyDescent="0.2">
      <c r="E20" s="28">
        <f t="shared" si="3"/>
        <v>0</v>
      </c>
      <c r="J20" s="28">
        <f t="shared" si="4"/>
        <v>0</v>
      </c>
    </row>
    <row r="21" spans="2:10" x14ac:dyDescent="0.2">
      <c r="B21" s="1" t="s">
        <v>49</v>
      </c>
      <c r="C21" s="17">
        <v>8531.51296</v>
      </c>
      <c r="E21" s="28">
        <f t="shared" si="3"/>
        <v>8531.51296</v>
      </c>
      <c r="G21" s="25">
        <f>'Sources &amp; Uses of funds'!C6+'Sources &amp; Uses of funds'!C7+'Sources &amp; Uses of funds'!C8</f>
        <v>160000</v>
      </c>
      <c r="I21" s="25">
        <f>-'Sources &amp; Uses of funds'!F6</f>
        <v>-8531.51296</v>
      </c>
      <c r="J21" s="28">
        <f t="shared" si="4"/>
        <v>160000</v>
      </c>
    </row>
    <row r="22" spans="2:10" x14ac:dyDescent="0.2">
      <c r="B22" s="1" t="s">
        <v>50</v>
      </c>
      <c r="C22" s="17">
        <v>14145</v>
      </c>
      <c r="E22" s="28">
        <f t="shared" si="3"/>
        <v>14145</v>
      </c>
      <c r="G22" s="25"/>
      <c r="J22" s="28">
        <f t="shared" si="4"/>
        <v>14145</v>
      </c>
    </row>
    <row r="23" spans="2:10" x14ac:dyDescent="0.2">
      <c r="E23" s="28">
        <f t="shared" si="3"/>
        <v>0</v>
      </c>
      <c r="G23" s="25"/>
      <c r="J23" s="28">
        <f t="shared" si="4"/>
        <v>0</v>
      </c>
    </row>
    <row r="24" spans="2:10" x14ac:dyDescent="0.2">
      <c r="B24" s="1" t="s">
        <v>51</v>
      </c>
      <c r="C24" s="17">
        <v>47704.073587999163</v>
      </c>
      <c r="E24" s="28">
        <f t="shared" si="3"/>
        <v>47704.073587999163</v>
      </c>
      <c r="F24" s="28">
        <f>-E24</f>
        <v>-47704.073587999163</v>
      </c>
      <c r="G24" s="25">
        <f>'Sources &amp; Uses of funds'!C9</f>
        <v>43519.012959999993</v>
      </c>
      <c r="H24" s="25">
        <f>'Transaction fees'!C11</f>
        <v>-3937.5</v>
      </c>
      <c r="J24" s="28">
        <f t="shared" si="4"/>
        <v>39581.512959999993</v>
      </c>
    </row>
    <row r="26" spans="2:10" ht="12.75" thickBot="1" x14ac:dyDescent="0.25">
      <c r="B26" s="21" t="s">
        <v>52</v>
      </c>
      <c r="C26" s="27">
        <f t="shared" ref="C26:J26" si="5">SUM(C17:C25)</f>
        <v>83691.710577999154</v>
      </c>
      <c r="D26" s="27">
        <f t="shared" si="5"/>
        <v>0</v>
      </c>
      <c r="E26" s="27">
        <f t="shared" si="5"/>
        <v>83691.710577999154</v>
      </c>
      <c r="F26" s="27">
        <f t="shared" si="5"/>
        <v>-47704.073587999163</v>
      </c>
      <c r="G26" s="27">
        <f t="shared" si="5"/>
        <v>203519.01295999999</v>
      </c>
      <c r="H26" s="27">
        <f t="shared" si="5"/>
        <v>-3937.5</v>
      </c>
      <c r="I26" s="27">
        <f t="shared" si="5"/>
        <v>-8531.51296</v>
      </c>
      <c r="J26" s="27">
        <f t="shared" si="5"/>
        <v>227037.63699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</vt:lpstr>
      <vt:lpstr>Drivers</vt:lpstr>
      <vt:lpstr>P&amp;L</vt:lpstr>
      <vt:lpstr>Balance sheet</vt:lpstr>
      <vt:lpstr>Cash flow</vt:lpstr>
      <vt:lpstr>Valuation</vt:lpstr>
      <vt:lpstr>Transaction fees</vt:lpstr>
      <vt:lpstr>Sources &amp; Uses of funds</vt:lpstr>
      <vt:lpstr>Balance Sheet@Transaction</vt:lpstr>
      <vt:lpstr>Goodwill</vt:lpstr>
      <vt:lpstr>Fixed assets roll forward</vt:lpstr>
      <vt:lpstr>Working capital</vt:lpstr>
      <vt:lpstr>Debt schedule</vt:lpstr>
      <vt:lpstr>Financing</vt:lpstr>
      <vt:lpstr>Equity schedule</vt:lpstr>
      <vt:lpstr>Exit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2022-03-17T10:23:50Z</dcterms:created>
  <dcterms:modified xsi:type="dcterms:W3CDTF">2023-04-27T08:08:37Z</dcterms:modified>
</cp:coreProperties>
</file>