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17_Valuation Мultiples/"/>
    </mc:Choice>
  </mc:AlternateContent>
  <xr:revisionPtr revIDLastSave="3" documentId="13_ncr:1_{A649B26F-80BA-4BCB-B380-F6AE2936628E}" xr6:coauthVersionLast="47" xr6:coauthVersionMax="47" xr10:uidLastSave="{B149234C-339D-4B0B-91F2-5EF10D9D609F}"/>
  <bookViews>
    <workbookView xWindow="-120" yWindow="-120" windowWidth="29040" windowHeight="16440" activeTab="2" xr2:uid="{00000000-000D-0000-FFFF-FFFF00000000}"/>
  </bookViews>
  <sheets>
    <sheet name="General" sheetId="1" r:id="rId1"/>
    <sheet name="Financials" sheetId="3" r:id="rId2"/>
    <sheet name="Adjustments" sheetId="4" r:id="rId3"/>
  </sheets>
  <definedNames>
    <definedName name="_xlnm._FilterDatabase" localSheetId="0" hidden="1">General!$B$3:$F$14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D21" i="4"/>
  <c r="D18" i="4"/>
  <c r="H9" i="1" l="1"/>
  <c r="D19" i="4"/>
  <c r="S11" i="3"/>
  <c r="H13" i="1"/>
  <c r="H14" i="1"/>
  <c r="H12" i="1"/>
  <c r="H11" i="1"/>
  <c r="H10" i="1"/>
  <c r="H8" i="1"/>
  <c r="H7" i="1"/>
  <c r="H5" i="1"/>
  <c r="M12" i="3"/>
  <c r="D9" i="3" l="1"/>
  <c r="D17" i="4"/>
  <c r="D10" i="4"/>
  <c r="J10" i="4"/>
  <c r="G10" i="4"/>
  <c r="D3" i="4"/>
  <c r="J3" i="4"/>
  <c r="G3" i="4"/>
  <c r="M3" i="4"/>
  <c r="P9" i="3" l="1"/>
  <c r="P7" i="3"/>
  <c r="P5" i="3"/>
  <c r="J9" i="4"/>
  <c r="M11" i="3"/>
  <c r="J11" i="4" s="1"/>
  <c r="M7" i="3"/>
  <c r="J7" i="4" s="1"/>
  <c r="M5" i="3"/>
  <c r="J5" i="4" s="1"/>
  <c r="S12" i="3"/>
  <c r="D11" i="4"/>
  <c r="S9" i="3"/>
  <c r="D9" i="4" s="1"/>
  <c r="S7" i="3"/>
  <c r="D7" i="4" s="1"/>
  <c r="S5" i="3"/>
  <c r="D5" i="4" s="1"/>
  <c r="G5" i="1"/>
  <c r="J5" i="1" s="1"/>
  <c r="J9" i="3"/>
  <c r="J11" i="3"/>
  <c r="J7" i="3"/>
  <c r="G12" i="3"/>
  <c r="G12" i="4" s="1"/>
  <c r="G11" i="3"/>
  <c r="G11" i="4" s="1"/>
  <c r="G9" i="3"/>
  <c r="G9" i="4" s="1"/>
  <c r="G7" i="3"/>
  <c r="G7" i="4" s="1"/>
  <c r="G5" i="3"/>
  <c r="G5" i="4" s="1"/>
  <c r="D12" i="3"/>
  <c r="D11" i="3"/>
  <c r="D10" i="3"/>
  <c r="M9" i="4"/>
  <c r="D7" i="3"/>
  <c r="D5" i="3"/>
  <c r="P4" i="3"/>
  <c r="S4" i="3"/>
  <c r="D4" i="4" s="1"/>
  <c r="E10" i="4" s="1"/>
  <c r="J4" i="3"/>
  <c r="J14" i="1"/>
  <c r="K14" i="1"/>
  <c r="J13" i="1"/>
  <c r="G12" i="1"/>
  <c r="J12" i="1" s="1"/>
  <c r="G11" i="1"/>
  <c r="J11" i="1" s="1"/>
  <c r="G10" i="1"/>
  <c r="J10" i="1" s="1"/>
  <c r="J9" i="1"/>
  <c r="G8" i="1"/>
  <c r="J8" i="1" s="1"/>
  <c r="G7" i="1"/>
  <c r="J7" i="1" s="1"/>
  <c r="K9" i="1"/>
  <c r="M11" i="4" l="1"/>
  <c r="M12" i="4"/>
  <c r="M5" i="4"/>
  <c r="M7" i="4"/>
  <c r="M10" i="4"/>
  <c r="K7" i="1"/>
  <c r="M4" i="3"/>
  <c r="J4" i="4" s="1"/>
  <c r="M6" i="3"/>
  <c r="J6" i="4" s="1"/>
  <c r="K6" i="4" s="1"/>
  <c r="D4" i="3"/>
  <c r="G4" i="3"/>
  <c r="G4" i="4" s="1"/>
  <c r="T12" i="3"/>
  <c r="K5" i="1"/>
  <c r="T4" i="3"/>
  <c r="Q12" i="3"/>
  <c r="E5" i="4"/>
  <c r="E7" i="4"/>
  <c r="E9" i="4"/>
  <c r="E11" i="4"/>
  <c r="D12" i="4"/>
  <c r="E12" i="4" s="1"/>
  <c r="J12" i="4"/>
  <c r="K12" i="1"/>
  <c r="T5" i="3"/>
  <c r="Q5" i="3"/>
  <c r="K8" i="1"/>
  <c r="Q7" i="3"/>
  <c r="E4" i="4"/>
  <c r="K13" i="1"/>
  <c r="T7" i="3"/>
  <c r="Q9" i="3"/>
  <c r="K10" i="1"/>
  <c r="K11" i="1"/>
  <c r="T9" i="3"/>
  <c r="Q4" i="3"/>
  <c r="T10" i="3"/>
  <c r="Q10" i="3"/>
  <c r="T11" i="3"/>
  <c r="Q11" i="3"/>
  <c r="P6" i="3"/>
  <c r="S6" i="3"/>
  <c r="K10" i="3"/>
  <c r="K12" i="3"/>
  <c r="K11" i="3"/>
  <c r="K9" i="3"/>
  <c r="K7" i="3"/>
  <c r="K5" i="3"/>
  <c r="K4" i="3"/>
  <c r="J6" i="3"/>
  <c r="K6" i="3" s="1"/>
  <c r="M4" i="4" l="1"/>
  <c r="E9" i="3"/>
  <c r="E7" i="3"/>
  <c r="E11" i="3"/>
  <c r="E12" i="3"/>
  <c r="E10" i="3"/>
  <c r="E5" i="3"/>
  <c r="H4" i="4"/>
  <c r="N4" i="4"/>
  <c r="K4" i="4"/>
  <c r="N4" i="3"/>
  <c r="D6" i="3"/>
  <c r="E6" i="3" s="1"/>
  <c r="N9" i="3"/>
  <c r="E4" i="3"/>
  <c r="N12" i="3"/>
  <c r="K9" i="4"/>
  <c r="K12" i="4"/>
  <c r="N7" i="3"/>
  <c r="M8" i="3"/>
  <c r="N8" i="3" s="1"/>
  <c r="K11" i="4"/>
  <c r="N5" i="3"/>
  <c r="K5" i="4"/>
  <c r="K10" i="4"/>
  <c r="N11" i="3"/>
  <c r="N10" i="3"/>
  <c r="N6" i="3"/>
  <c r="K7" i="4"/>
  <c r="H5" i="4"/>
  <c r="N7" i="4"/>
  <c r="H10" i="3"/>
  <c r="H11" i="4"/>
  <c r="N11" i="4"/>
  <c r="N10" i="4"/>
  <c r="H12" i="4"/>
  <c r="N5" i="4"/>
  <c r="H7" i="4"/>
  <c r="H9" i="4"/>
  <c r="H10" i="4"/>
  <c r="N12" i="4"/>
  <c r="N9" i="4"/>
  <c r="D6" i="4"/>
  <c r="E6" i="4" s="1"/>
  <c r="T6" i="3"/>
  <c r="P8" i="3"/>
  <c r="Q6" i="3"/>
  <c r="H12" i="3"/>
  <c r="S8" i="3"/>
  <c r="H7" i="3"/>
  <c r="H11" i="3"/>
  <c r="H5" i="3"/>
  <c r="H4" i="3"/>
  <c r="H9" i="3"/>
  <c r="J8" i="3"/>
  <c r="G6" i="3"/>
  <c r="M13" i="3" l="1"/>
  <c r="N13" i="3" s="1"/>
  <c r="D8" i="3"/>
  <c r="M6" i="4"/>
  <c r="N6" i="4" s="1"/>
  <c r="J8" i="4"/>
  <c r="K8" i="4" s="1"/>
  <c r="D8" i="4"/>
  <c r="T8" i="3"/>
  <c r="S13" i="3"/>
  <c r="H6" i="3"/>
  <c r="G6" i="4"/>
  <c r="H6" i="4" s="1"/>
  <c r="Q8" i="3"/>
  <c r="P13" i="3"/>
  <c r="G8" i="3"/>
  <c r="H8" i="3" s="1"/>
  <c r="K8" i="3"/>
  <c r="J13" i="3"/>
  <c r="K13" i="3" s="1"/>
  <c r="M8" i="4" l="1"/>
  <c r="N8" i="4" s="1"/>
  <c r="E8" i="3"/>
  <c r="D13" i="3"/>
  <c r="E13" i="3" s="1"/>
  <c r="J13" i="4"/>
  <c r="K13" i="4" s="1"/>
  <c r="Q13" i="3"/>
  <c r="E8" i="4"/>
  <c r="D15" i="4"/>
  <c r="G13" i="3"/>
  <c r="G8" i="4"/>
  <c r="T13" i="3"/>
  <c r="D13" i="4"/>
  <c r="D22" i="4" l="1"/>
  <c r="M13" i="4"/>
  <c r="N13" i="4" s="1"/>
  <c r="E13" i="4"/>
  <c r="H8" i="4"/>
  <c r="H13" i="3"/>
  <c r="G13" i="4"/>
  <c r="H13" i="4" l="1"/>
</calcChain>
</file>

<file path=xl/sharedStrings.xml><?xml version="1.0" encoding="utf-8"?>
<sst xmlns="http://schemas.openxmlformats.org/spreadsheetml/2006/main" count="105" uniqueCount="70">
  <si>
    <t>Peer group</t>
  </si>
  <si>
    <t>Company</t>
  </si>
  <si>
    <t>%</t>
  </si>
  <si>
    <t>Country</t>
  </si>
  <si>
    <t>Revenue</t>
  </si>
  <si>
    <t>Tesla</t>
  </si>
  <si>
    <t>USA</t>
  </si>
  <si>
    <t>Target</t>
  </si>
  <si>
    <t>Net income</t>
  </si>
  <si>
    <t>Peer group - General</t>
  </si>
  <si>
    <t>Market cap ($m)</t>
  </si>
  <si>
    <t>Japan</t>
  </si>
  <si>
    <t>Cost of revenue</t>
  </si>
  <si>
    <t>Gross profit</t>
  </si>
  <si>
    <t>Operating expenses</t>
  </si>
  <si>
    <t>EBIT</t>
  </si>
  <si>
    <t>Interest expenses</t>
  </si>
  <si>
    <t>Taxes</t>
  </si>
  <si>
    <t>$ million</t>
  </si>
  <si>
    <t>Other income</t>
  </si>
  <si>
    <t>Other expenses</t>
  </si>
  <si>
    <t>Ajustments:</t>
  </si>
  <si>
    <t>EBIT adj.</t>
  </si>
  <si>
    <t>Market value of equity</t>
  </si>
  <si>
    <t>Debt</t>
  </si>
  <si>
    <t>Cash</t>
  </si>
  <si>
    <t>Enterprise Value</t>
  </si>
  <si>
    <t>Enterprise Value adj.</t>
  </si>
  <si>
    <t>EV/EBIT</t>
  </si>
  <si>
    <t>Valuation target</t>
  </si>
  <si>
    <t>Adjustments</t>
  </si>
  <si>
    <t>Impairment loss</t>
  </si>
  <si>
    <t>as a % of revenue</t>
  </si>
  <si>
    <t>P/E</t>
  </si>
  <si>
    <t>Germany</t>
  </si>
  <si>
    <t>Revenue / Employee</t>
  </si>
  <si>
    <t>Volkswagen</t>
  </si>
  <si>
    <t>Daimler</t>
  </si>
  <si>
    <t>Toyota</t>
  </si>
  <si>
    <t>Ford</t>
  </si>
  <si>
    <t>BMW</t>
  </si>
  <si>
    <t>Nissan</t>
  </si>
  <si>
    <t>Volvo</t>
  </si>
  <si>
    <t>GM</t>
  </si>
  <si>
    <t>Sweden</t>
  </si>
  <si>
    <t>USD/EUR</t>
  </si>
  <si>
    <t>USD/JPN</t>
  </si>
  <si>
    <t>Revenue 2020 ($m)</t>
  </si>
  <si>
    <t>Employees 2020</t>
  </si>
  <si>
    <t>USD/KRW</t>
  </si>
  <si>
    <t>USD/SEK</t>
  </si>
  <si>
    <t>Price / Revenue</t>
  </si>
  <si>
    <t>Peer group - Financials Comparison</t>
  </si>
  <si>
    <t>Financial services revenue</t>
  </si>
  <si>
    <t>Financial services cost</t>
  </si>
  <si>
    <t>Receivables financial services</t>
  </si>
  <si>
    <t>Other financial liabilities</t>
  </si>
  <si>
    <t>Retirement benefits</t>
  </si>
  <si>
    <t>Other financial assets</t>
  </si>
  <si>
    <t>Equity-method investments</t>
  </si>
  <si>
    <t>CAGR% 3y</t>
  </si>
  <si>
    <t>Rental income (non operating)</t>
  </si>
  <si>
    <t>Other income (one-off, equity method, etc.)</t>
  </si>
  <si>
    <t>Investment property</t>
  </si>
  <si>
    <t>Market Cap data reported as of 07/05/2021 - companiesmarketcap.com</t>
  </si>
  <si>
    <t>Currency</t>
  </si>
  <si>
    <t>EUR</t>
  </si>
  <si>
    <t>USD</t>
  </si>
  <si>
    <t>JPN</t>
  </si>
  <si>
    <t>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</si>
</sst>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1" xfId="0" applyFont="1" applyFill="1" applyBorder="1" applyAlignment="1">
      <alignment horizontal="right"/>
    </xf>
    <xf numFmtId="0" fontId="5" fillId="3" borderId="0" xfId="0" applyFont="1" applyFill="1"/>
    <xf numFmtId="164" fontId="2" fillId="2" borderId="0" xfId="0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/>
    <xf numFmtId="165" fontId="2" fillId="2" borderId="0" xfId="0" applyNumberFormat="1" applyFont="1" applyFill="1"/>
    <xf numFmtId="165" fontId="6" fillId="2" borderId="2" xfId="0" applyNumberFormat="1" applyFont="1" applyFill="1" applyBorder="1"/>
    <xf numFmtId="165" fontId="6" fillId="2" borderId="4" xfId="0" applyNumberFormat="1" applyFont="1" applyFill="1" applyBorder="1"/>
    <xf numFmtId="165" fontId="2" fillId="2" borderId="0" xfId="0" applyNumberFormat="1" applyFont="1" applyFill="1" applyBorder="1"/>
    <xf numFmtId="9" fontId="6" fillId="2" borderId="4" xfId="1" applyFont="1" applyFill="1" applyBorder="1"/>
    <xf numFmtId="9" fontId="2" fillId="2" borderId="0" xfId="1" applyFont="1" applyFill="1"/>
    <xf numFmtId="9" fontId="2" fillId="2" borderId="0" xfId="1" applyFont="1" applyFill="1" applyBorder="1"/>
    <xf numFmtId="9" fontId="6" fillId="2" borderId="2" xfId="1" applyFont="1" applyFill="1" applyBorder="1"/>
    <xf numFmtId="165" fontId="2" fillId="2" borderId="0" xfId="0" applyNumberFormat="1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7" fillId="2" borderId="0" xfId="0" applyFont="1" applyFill="1"/>
    <xf numFmtId="9" fontId="2" fillId="2" borderId="0" xfId="1" applyFont="1" applyFill="1" applyBorder="1" applyAlignment="1">
      <alignment horizontal="right"/>
    </xf>
    <xf numFmtId="9" fontId="6" fillId="2" borderId="2" xfId="1" applyFont="1" applyFill="1" applyBorder="1" applyAlignment="1">
      <alignment horizontal="right"/>
    </xf>
    <xf numFmtId="9" fontId="2" fillId="2" borderId="0" xfId="1" applyFont="1" applyFill="1" applyAlignment="1">
      <alignment horizontal="right"/>
    </xf>
    <xf numFmtId="9" fontId="6" fillId="2" borderId="4" xfId="1" applyFont="1" applyFill="1" applyBorder="1" applyAlignment="1">
      <alignment horizontal="right"/>
    </xf>
    <xf numFmtId="9" fontId="6" fillId="2" borderId="2" xfId="1" applyNumberFormat="1" applyFont="1" applyFill="1" applyBorder="1" applyAlignment="1">
      <alignment horizontal="right"/>
    </xf>
    <xf numFmtId="0" fontId="8" fillId="2" borderId="0" xfId="0" applyFont="1" applyFill="1"/>
    <xf numFmtId="9" fontId="8" fillId="2" borderId="0" xfId="1" applyFont="1" applyFill="1"/>
    <xf numFmtId="0" fontId="8" fillId="2" borderId="0" xfId="0" applyFont="1" applyFill="1" applyBorder="1"/>
    <xf numFmtId="2" fontId="2" fillId="2" borderId="0" xfId="0" applyNumberFormat="1" applyFont="1" applyFill="1"/>
    <xf numFmtId="0" fontId="6" fillId="2" borderId="0" xfId="0" applyFont="1" applyFill="1"/>
    <xf numFmtId="164" fontId="6" fillId="2" borderId="0" xfId="0" applyNumberFormat="1" applyFont="1" applyFill="1"/>
    <xf numFmtId="0" fontId="6" fillId="6" borderId="3" xfId="0" applyFont="1" applyFill="1" applyBorder="1"/>
    <xf numFmtId="0" fontId="6" fillId="6" borderId="3" xfId="0" applyFont="1" applyFill="1" applyBorder="1" applyAlignment="1">
      <alignment horizontal="right"/>
    </xf>
    <xf numFmtId="165" fontId="2" fillId="6" borderId="0" xfId="0" applyNumberFormat="1" applyFont="1" applyFill="1"/>
    <xf numFmtId="9" fontId="2" fillId="6" borderId="0" xfId="1" applyFont="1" applyFill="1" applyBorder="1"/>
    <xf numFmtId="165" fontId="6" fillId="6" borderId="2" xfId="0" applyNumberFormat="1" applyFont="1" applyFill="1" applyBorder="1"/>
    <xf numFmtId="9" fontId="6" fillId="6" borderId="2" xfId="1" applyFont="1" applyFill="1" applyBorder="1"/>
    <xf numFmtId="165" fontId="2" fillId="6" borderId="0" xfId="0" applyNumberFormat="1" applyFont="1" applyFill="1" applyBorder="1"/>
    <xf numFmtId="165" fontId="2" fillId="6" borderId="0" xfId="0" applyNumberFormat="1" applyFont="1" applyFill="1" applyAlignment="1">
      <alignment horizontal="right"/>
    </xf>
    <xf numFmtId="9" fontId="2" fillId="6" borderId="0" xfId="1" applyFont="1" applyFill="1"/>
    <xf numFmtId="165" fontId="6" fillId="6" borderId="4" xfId="0" applyNumberFormat="1" applyFont="1" applyFill="1" applyBorder="1"/>
    <xf numFmtId="9" fontId="6" fillId="6" borderId="4" xfId="1" applyFont="1" applyFill="1" applyBorder="1"/>
    <xf numFmtId="3" fontId="5" fillId="3" borderId="0" xfId="0" applyNumberFormat="1" applyFont="1" applyFill="1" applyBorder="1"/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4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2" fontId="2" fillId="4" borderId="0" xfId="0" applyNumberFormat="1" applyFont="1" applyFill="1"/>
    <xf numFmtId="3" fontId="2" fillId="4" borderId="0" xfId="0" applyNumberFormat="1" applyFont="1" applyFill="1"/>
    <xf numFmtId="9" fontId="4" fillId="2" borderId="0" xfId="1" applyFont="1" applyFill="1" applyBorder="1" applyAlignment="1">
      <alignment horizontal="right"/>
    </xf>
    <xf numFmtId="166" fontId="5" fillId="3" borderId="0" xfId="1" applyNumberFormat="1" applyFont="1" applyFill="1" applyAlignment="1">
      <alignment horizontal="right"/>
    </xf>
    <xf numFmtId="166" fontId="2" fillId="2" borderId="0" xfId="1" applyNumberFormat="1" applyFont="1" applyFill="1" applyAlignment="1">
      <alignment horizontal="right"/>
    </xf>
    <xf numFmtId="166" fontId="2" fillId="4" borderId="0" xfId="1" applyNumberFormat="1" applyFont="1" applyFill="1" applyAlignment="1">
      <alignment horizontal="right"/>
    </xf>
    <xf numFmtId="165" fontId="6" fillId="2" borderId="0" xfId="0" applyNumberFormat="1" applyFont="1" applyFill="1"/>
    <xf numFmtId="0" fontId="4" fillId="2" borderId="0" xfId="0" applyFont="1" applyFill="1"/>
    <xf numFmtId="0" fontId="5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workbookViewId="0">
      <selection activeCell="A4" sqref="A4"/>
    </sheetView>
  </sheetViews>
  <sheetFormatPr defaultRowHeight="12" x14ac:dyDescent="0.2"/>
  <cols>
    <col min="1" max="1" width="2" style="1" customWidth="1"/>
    <col min="2" max="2" width="19.7109375" style="1" customWidth="1"/>
    <col min="3" max="4" width="13.5703125" style="1" customWidth="1"/>
    <col min="5" max="5" width="16.28515625" style="1" customWidth="1"/>
    <col min="6" max="6" width="15.85546875" style="1" customWidth="1"/>
    <col min="7" max="7" width="16.7109375" style="1" bestFit="1" customWidth="1"/>
    <col min="8" max="8" width="10.5703125" style="1" bestFit="1" customWidth="1"/>
    <col min="9" max="9" width="9.140625" style="1"/>
    <col min="10" max="10" width="18.7109375" style="1" bestFit="1" customWidth="1"/>
    <col min="11" max="11" width="13.7109375" style="1" bestFit="1" customWidth="1"/>
    <col min="12" max="16384" width="9.140625" style="1"/>
  </cols>
  <sheetData>
    <row r="1" spans="2:11" ht="15.75" x14ac:dyDescent="0.25">
      <c r="B1" s="2" t="s">
        <v>9</v>
      </c>
      <c r="C1" s="2"/>
      <c r="D1" s="2"/>
    </row>
    <row r="3" spans="2:11" ht="12.75" thickBot="1" x14ac:dyDescent="0.25">
      <c r="B3" s="3" t="s">
        <v>1</v>
      </c>
      <c r="C3" s="3" t="s">
        <v>3</v>
      </c>
      <c r="D3" s="3" t="s">
        <v>65</v>
      </c>
      <c r="E3" s="6" t="s">
        <v>10</v>
      </c>
      <c r="F3" s="6" t="s">
        <v>48</v>
      </c>
      <c r="G3" s="6" t="s">
        <v>47</v>
      </c>
      <c r="H3" s="6" t="s">
        <v>60</v>
      </c>
      <c r="J3" s="6" t="s">
        <v>35</v>
      </c>
      <c r="K3" s="6" t="s">
        <v>51</v>
      </c>
    </row>
    <row r="4" spans="2:11" x14ac:dyDescent="0.2">
      <c r="B4" s="4" t="s">
        <v>7</v>
      </c>
      <c r="C4" s="4"/>
      <c r="D4" s="63"/>
      <c r="E4" s="4"/>
      <c r="F4" s="4"/>
      <c r="G4" s="4"/>
    </row>
    <row r="5" spans="2:11" x14ac:dyDescent="0.2">
      <c r="B5" s="7" t="s">
        <v>36</v>
      </c>
      <c r="C5" s="7" t="s">
        <v>34</v>
      </c>
      <c r="D5" s="7" t="s">
        <v>66</v>
      </c>
      <c r="E5" s="50">
        <v>133310</v>
      </c>
      <c r="F5" s="51">
        <v>665445</v>
      </c>
      <c r="G5" s="49">
        <f>222884/C17</f>
        <v>253277.27272727274</v>
      </c>
      <c r="H5" s="59">
        <f>(222.88/229.55)^(1/3)-1</f>
        <v>-9.7809722987838299E-3</v>
      </c>
      <c r="J5" s="35">
        <f>G5/F5</f>
        <v>0.38061338311546822</v>
      </c>
      <c r="K5" s="35">
        <f>E5/G5</f>
        <v>0.52634015900647868</v>
      </c>
    </row>
    <row r="6" spans="2:11" x14ac:dyDescent="0.2">
      <c r="B6" s="4" t="s">
        <v>0</v>
      </c>
      <c r="C6" s="4"/>
      <c r="D6" s="63"/>
      <c r="E6" s="52"/>
      <c r="F6" s="53"/>
      <c r="G6" s="52"/>
      <c r="H6" s="58"/>
      <c r="J6" s="8"/>
      <c r="K6" s="35"/>
    </row>
    <row r="7" spans="2:11" x14ac:dyDescent="0.2">
      <c r="B7" s="1" t="s">
        <v>38</v>
      </c>
      <c r="C7" s="1" t="s">
        <v>11</v>
      </c>
      <c r="D7" s="1" t="s">
        <v>66</v>
      </c>
      <c r="E7" s="55">
        <v>214430</v>
      </c>
      <c r="F7" s="55">
        <v>361907</v>
      </c>
      <c r="G7" s="54">
        <f>27214594/C18</f>
        <v>254913.76920194828</v>
      </c>
      <c r="H7" s="60">
        <f>(27.6/27.2)^(1/3)-1</f>
        <v>4.8781259777797015E-3</v>
      </c>
      <c r="J7" s="35">
        <f t="shared" ref="J7:J14" si="0">G7/F7</f>
        <v>0.7043626379206489</v>
      </c>
      <c r="K7" s="35">
        <f t="shared" ref="K7:K14" si="1">E7/G7</f>
        <v>0.84118641637644864</v>
      </c>
    </row>
    <row r="8" spans="2:11" x14ac:dyDescent="0.2">
      <c r="B8" s="1" t="s">
        <v>37</v>
      </c>
      <c r="C8" s="1" t="s">
        <v>34</v>
      </c>
      <c r="D8" s="1" t="s">
        <v>67</v>
      </c>
      <c r="E8" s="55">
        <v>85420</v>
      </c>
      <c r="F8" s="55">
        <v>293138</v>
      </c>
      <c r="G8" s="54">
        <f>154309/C17</f>
        <v>175351.13636363635</v>
      </c>
      <c r="H8" s="60">
        <f>(154.3/164.33)^(1/3)-1</f>
        <v>-2.0773802835137634E-2</v>
      </c>
      <c r="J8" s="35">
        <f t="shared" si="0"/>
        <v>0.59818630257297367</v>
      </c>
      <c r="K8" s="35">
        <f t="shared" si="1"/>
        <v>0.48713684879041408</v>
      </c>
    </row>
    <row r="9" spans="2:11" x14ac:dyDescent="0.2">
      <c r="B9" s="1" t="s">
        <v>39</v>
      </c>
      <c r="C9" s="1" t="s">
        <v>6</v>
      </c>
      <c r="D9" s="1" t="s">
        <v>66</v>
      </c>
      <c r="E9" s="55">
        <v>46060</v>
      </c>
      <c r="F9" s="55">
        <v>186000</v>
      </c>
      <c r="G9" s="54">
        <v>127144</v>
      </c>
      <c r="H9" s="61">
        <f>(127144/156776)^(1/3)-1</f>
        <v>-6.7450063346935707E-2</v>
      </c>
      <c r="J9" s="35">
        <f t="shared" si="0"/>
        <v>0.68356989247311828</v>
      </c>
      <c r="K9" s="35">
        <f t="shared" si="1"/>
        <v>0.36226640659409803</v>
      </c>
    </row>
    <row r="10" spans="2:11" x14ac:dyDescent="0.2">
      <c r="B10" s="1" t="s">
        <v>40</v>
      </c>
      <c r="C10" s="1" t="s">
        <v>34</v>
      </c>
      <c r="D10" s="1" t="s">
        <v>68</v>
      </c>
      <c r="E10" s="55">
        <v>58920</v>
      </c>
      <c r="F10" s="55">
        <v>120726</v>
      </c>
      <c r="G10" s="54">
        <f>98990/C17</f>
        <v>112488.63636363637</v>
      </c>
      <c r="H10" s="60">
        <f>(98.99/98.28)^(1/3)-1</f>
        <v>2.4023100266363784E-3</v>
      </c>
      <c r="J10" s="35">
        <f t="shared" si="0"/>
        <v>0.93176810598906923</v>
      </c>
      <c r="K10" s="35">
        <f t="shared" si="1"/>
        <v>0.52378624103444793</v>
      </c>
    </row>
    <row r="11" spans="2:11" x14ac:dyDescent="0.2">
      <c r="B11" s="1" t="s">
        <v>41</v>
      </c>
      <c r="C11" s="1" t="s">
        <v>11</v>
      </c>
      <c r="D11" s="1" t="s">
        <v>69</v>
      </c>
      <c r="E11" s="55">
        <v>18970</v>
      </c>
      <c r="F11" s="55">
        <v>138893</v>
      </c>
      <c r="G11" s="54">
        <f>7862572/C18</f>
        <v>73647.171225177968</v>
      </c>
      <c r="H11" s="61">
        <f>(73908/108996)^(1/3)-1</f>
        <v>-0.12146251470346825</v>
      </c>
      <c r="J11" s="35">
        <f t="shared" si="0"/>
        <v>0.53024393760072841</v>
      </c>
      <c r="K11" s="35">
        <f t="shared" si="1"/>
        <v>0.25757947908139983</v>
      </c>
    </row>
    <row r="12" spans="2:11" x14ac:dyDescent="0.2">
      <c r="B12" s="1" t="s">
        <v>42</v>
      </c>
      <c r="C12" s="1" t="s">
        <v>44</v>
      </c>
      <c r="D12" s="1" t="s">
        <v>67</v>
      </c>
      <c r="E12" s="55">
        <v>52450</v>
      </c>
      <c r="F12" s="55">
        <v>96194</v>
      </c>
      <c r="G12" s="57">
        <f>338446/C20</f>
        <v>37397.348066298342</v>
      </c>
      <c r="H12" s="60">
        <f>(334748/338446)^(1/3)-1</f>
        <v>-3.6554831792364739E-3</v>
      </c>
      <c r="J12" s="35">
        <f t="shared" si="0"/>
        <v>0.38877006950847603</v>
      </c>
      <c r="K12" s="35">
        <f t="shared" si="1"/>
        <v>1.4025058650419859</v>
      </c>
    </row>
    <row r="13" spans="2:11" x14ac:dyDescent="0.2">
      <c r="B13" s="1" t="s">
        <v>43</v>
      </c>
      <c r="C13" s="1" t="s">
        <v>6</v>
      </c>
      <c r="D13" s="1" t="s">
        <v>67</v>
      </c>
      <c r="E13" s="55">
        <v>85180</v>
      </c>
      <c r="F13" s="55">
        <v>155000</v>
      </c>
      <c r="G13" s="54">
        <v>122485</v>
      </c>
      <c r="H13" s="61">
        <f>(122485/145588)^(1/3)-1</f>
        <v>-5.5970044128430985E-2</v>
      </c>
      <c r="J13" s="35">
        <f t="shared" si="0"/>
        <v>0.79022580645161289</v>
      </c>
      <c r="K13" s="35">
        <f t="shared" si="1"/>
        <v>0.69543209372576231</v>
      </c>
    </row>
    <row r="14" spans="2:11" x14ac:dyDescent="0.2">
      <c r="B14" s="1" t="s">
        <v>5</v>
      </c>
      <c r="C14" s="1" t="s">
        <v>6</v>
      </c>
      <c r="D14" s="1" t="s">
        <v>68</v>
      </c>
      <c r="E14" s="55">
        <v>647710</v>
      </c>
      <c r="F14" s="55">
        <v>70757</v>
      </c>
      <c r="G14" s="54">
        <v>31536</v>
      </c>
      <c r="H14" s="61">
        <f>(31536/11759)^(1/3)-1</f>
        <v>0.38935130133639473</v>
      </c>
      <c r="J14" s="35">
        <f t="shared" si="0"/>
        <v>0.44569441892674927</v>
      </c>
      <c r="K14" s="56">
        <f t="shared" si="1"/>
        <v>20.538749365804161</v>
      </c>
    </row>
    <row r="15" spans="2:11" x14ac:dyDescent="0.2">
      <c r="J15" s="8"/>
    </row>
    <row r="17" spans="2:3" x14ac:dyDescent="0.2">
      <c r="B17" s="1" t="s">
        <v>45</v>
      </c>
      <c r="C17" s="1">
        <v>0.88</v>
      </c>
    </row>
    <row r="18" spans="2:3" x14ac:dyDescent="0.2">
      <c r="B18" s="1" t="s">
        <v>46</v>
      </c>
      <c r="C18" s="1">
        <v>106.76</v>
      </c>
    </row>
    <row r="19" spans="2:3" x14ac:dyDescent="0.2">
      <c r="B19" s="1" t="s">
        <v>49</v>
      </c>
      <c r="C19" s="1">
        <v>8.0000000000000004E-4</v>
      </c>
    </row>
    <row r="20" spans="2:3" x14ac:dyDescent="0.2">
      <c r="B20" s="1" t="s">
        <v>50</v>
      </c>
      <c r="C20" s="1">
        <v>9.0500000000000007</v>
      </c>
    </row>
    <row r="22" spans="2:3" x14ac:dyDescent="0.2">
      <c r="B22" s="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9E-011E-467A-982A-35CAD3771EA7}">
  <dimension ref="B1:T17"/>
  <sheetViews>
    <sheetView workbookViewId="0">
      <selection activeCell="S8" sqref="S8"/>
    </sheetView>
  </sheetViews>
  <sheetFormatPr defaultRowHeight="12" x14ac:dyDescent="0.2"/>
  <cols>
    <col min="1" max="1" width="2" style="1" customWidth="1"/>
    <col min="2" max="2" width="17" style="1" bestFit="1" customWidth="1"/>
    <col min="3" max="3" width="1.85546875" style="1" customWidth="1"/>
    <col min="4" max="4" width="13.5703125" style="1" customWidth="1"/>
    <col min="5" max="5" width="5.5703125" style="1" bestFit="1" customWidth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6.140625" style="1" bestFit="1" customWidth="1"/>
    <col min="12" max="12" width="3.7109375" style="1" customWidth="1"/>
    <col min="13" max="13" width="13.5703125" style="1" customWidth="1"/>
    <col min="14" max="14" width="5.5703125" style="1" customWidth="1"/>
    <col min="15" max="15" width="3.7109375" style="1" customWidth="1"/>
    <col min="16" max="17" width="9.140625" style="1"/>
    <col min="18" max="18" width="3.7109375" style="1" customWidth="1"/>
    <col min="19" max="19" width="11" style="1" bestFit="1" customWidth="1"/>
    <col min="20" max="16384" width="9.140625" style="1"/>
  </cols>
  <sheetData>
    <row r="1" spans="2:20" ht="15.75" x14ac:dyDescent="0.25">
      <c r="B1" s="2" t="s">
        <v>52</v>
      </c>
      <c r="C1" s="2"/>
      <c r="D1" s="2"/>
    </row>
    <row r="2" spans="2:20" x14ac:dyDescent="0.2">
      <c r="S2" s="64" t="s">
        <v>29</v>
      </c>
      <c r="T2" s="64"/>
    </row>
    <row r="3" spans="2:20" x14ac:dyDescent="0.2">
      <c r="B3" s="10" t="s">
        <v>18</v>
      </c>
      <c r="C3" s="11"/>
      <c r="D3" s="25" t="s">
        <v>38</v>
      </c>
      <c r="E3" s="25" t="s">
        <v>2</v>
      </c>
      <c r="G3" s="10" t="s">
        <v>37</v>
      </c>
      <c r="H3" s="25" t="s">
        <v>2</v>
      </c>
      <c r="I3" s="11"/>
      <c r="J3" s="38" t="s">
        <v>39</v>
      </c>
      <c r="K3" s="39" t="s">
        <v>2</v>
      </c>
      <c r="M3" s="25" t="s">
        <v>40</v>
      </c>
      <c r="N3" s="25" t="s">
        <v>2</v>
      </c>
      <c r="P3" s="38" t="s">
        <v>43</v>
      </c>
      <c r="Q3" s="39" t="s">
        <v>2</v>
      </c>
      <c r="S3" s="10" t="s">
        <v>36</v>
      </c>
      <c r="T3" s="25" t="s">
        <v>2</v>
      </c>
    </row>
    <row r="4" spans="2:20" x14ac:dyDescent="0.2">
      <c r="B4" s="1" t="s">
        <v>4</v>
      </c>
      <c r="D4" s="21">
        <f>General!G7</f>
        <v>254913.76920194828</v>
      </c>
      <c r="E4" s="19">
        <f t="shared" ref="E4:E13" si="0">D4/D$4</f>
        <v>1</v>
      </c>
      <c r="G4" s="13">
        <f>General!G8</f>
        <v>175351.13636363635</v>
      </c>
      <c r="H4" s="19">
        <f t="shared" ref="H4:H12" si="1">G4/G$4</f>
        <v>1</v>
      </c>
      <c r="J4" s="40">
        <f>General!G9</f>
        <v>127144</v>
      </c>
      <c r="K4" s="41">
        <f t="shared" ref="K4:K12" si="2">J4/J$4</f>
        <v>1</v>
      </c>
      <c r="M4" s="21">
        <f>General!G10</f>
        <v>112488.63636363637</v>
      </c>
      <c r="N4" s="19">
        <f t="shared" ref="N4:N13" si="3">M4/M$4</f>
        <v>1</v>
      </c>
      <c r="P4" s="40">
        <f>General!G13</f>
        <v>122485</v>
      </c>
      <c r="Q4" s="41">
        <f t="shared" ref="Q4:Q13" si="4">P4/P$4</f>
        <v>1</v>
      </c>
      <c r="S4" s="13">
        <f>General!G5</f>
        <v>253277.27272727274</v>
      </c>
      <c r="T4" s="19">
        <f t="shared" ref="T4:T13" si="5">S4/S$4</f>
        <v>1</v>
      </c>
    </row>
    <row r="5" spans="2:20" x14ac:dyDescent="0.2">
      <c r="B5" s="1" t="s">
        <v>12</v>
      </c>
      <c r="D5" s="21">
        <f>-21199890/General!C18</f>
        <v>-198575.21543649305</v>
      </c>
      <c r="E5" s="19">
        <f t="shared" si="0"/>
        <v>-0.77898975821575733</v>
      </c>
      <c r="G5" s="13">
        <f>-128721/General!C17</f>
        <v>-146273.86363636365</v>
      </c>
      <c r="H5" s="19">
        <f t="shared" si="1"/>
        <v>-0.83417687885994996</v>
      </c>
      <c r="J5" s="40">
        <v>-112752</v>
      </c>
      <c r="K5" s="41">
        <f t="shared" si="2"/>
        <v>-0.88680551186056755</v>
      </c>
      <c r="M5" s="21">
        <f>-85408/General!C17</f>
        <v>-97054.545454545456</v>
      </c>
      <c r="N5" s="19">
        <f t="shared" si="3"/>
        <v>-0.86279422163854935</v>
      </c>
      <c r="P5" s="40">
        <f>-97539</f>
        <v>-97539</v>
      </c>
      <c r="Q5" s="41">
        <f t="shared" si="4"/>
        <v>-0.79633424500959304</v>
      </c>
      <c r="S5" s="13">
        <f>-183937/General!C17</f>
        <v>-209019.31818181818</v>
      </c>
      <c r="T5" s="19">
        <f t="shared" si="5"/>
        <v>-0.82525887905816475</v>
      </c>
    </row>
    <row r="6" spans="2:20" x14ac:dyDescent="0.2">
      <c r="B6" s="9" t="s">
        <v>13</v>
      </c>
      <c r="C6" s="11"/>
      <c r="D6" s="22">
        <f>SUM(D4:D5)</f>
        <v>56338.553765455232</v>
      </c>
      <c r="E6" s="20">
        <f t="shared" si="0"/>
        <v>0.22101024178424272</v>
      </c>
      <c r="G6" s="14">
        <f>SUM(G4:G5)</f>
        <v>29077.272727272706</v>
      </c>
      <c r="H6" s="20">
        <f t="shared" si="1"/>
        <v>0.16582312114005004</v>
      </c>
      <c r="J6" s="42">
        <f>SUM(J4:J5)</f>
        <v>14392</v>
      </c>
      <c r="K6" s="43">
        <f t="shared" si="2"/>
        <v>0.11319448813943246</v>
      </c>
      <c r="M6" s="22">
        <f>SUM(M4:M5)</f>
        <v>15434.090909090912</v>
      </c>
      <c r="N6" s="20">
        <f t="shared" si="3"/>
        <v>0.13720577836145068</v>
      </c>
      <c r="P6" s="42">
        <f>SUM(P4:P5)</f>
        <v>24946</v>
      </c>
      <c r="Q6" s="43">
        <f t="shared" si="4"/>
        <v>0.20366575499040698</v>
      </c>
      <c r="S6" s="14">
        <f>SUM(S4:S5)</f>
        <v>44257.954545454559</v>
      </c>
      <c r="T6" s="20">
        <f t="shared" si="5"/>
        <v>0.17474112094183525</v>
      </c>
    </row>
    <row r="7" spans="2:20" x14ac:dyDescent="0.2">
      <c r="B7" s="1" t="s">
        <v>14</v>
      </c>
      <c r="D7" s="21">
        <f>(-1182330-2634625)/General!C18</f>
        <v>-35752.669539153241</v>
      </c>
      <c r="E7" s="19">
        <f t="shared" si="0"/>
        <v>-0.14025397549564766</v>
      </c>
      <c r="G7" s="13">
        <f>(-11058-3534-6116+2022-742+797-354)/General!C17</f>
        <v>-21573.863636363636</v>
      </c>
      <c r="H7" s="19">
        <f t="shared" si="1"/>
        <v>-0.12303235715350369</v>
      </c>
      <c r="J7" s="40">
        <f>-10193-8607</f>
        <v>-18800</v>
      </c>
      <c r="K7" s="41">
        <f t="shared" si="2"/>
        <v>-0.14786383942616246</v>
      </c>
      <c r="M7" s="21">
        <f>(-8795+43)/General!C17</f>
        <v>-9945.454545454546</v>
      </c>
      <c r="N7" s="19">
        <f t="shared" si="3"/>
        <v>-8.8412971007172436E-2</v>
      </c>
      <c r="P7" s="40">
        <f>-11274-7038</f>
        <v>-18312</v>
      </c>
      <c r="Q7" s="41">
        <f t="shared" si="4"/>
        <v>-0.14950402090051843</v>
      </c>
      <c r="S7" s="13">
        <f>(-18407-9399+12438-13904)/General!C17</f>
        <v>-33263.63636363636</v>
      </c>
      <c r="T7" s="19">
        <f t="shared" si="5"/>
        <v>-0.13133289065163939</v>
      </c>
    </row>
    <row r="8" spans="2:20" x14ac:dyDescent="0.2">
      <c r="B8" s="9" t="s">
        <v>15</v>
      </c>
      <c r="C8" s="11"/>
      <c r="D8" s="22">
        <f>SUM(D6:D7)</f>
        <v>20585.884226301991</v>
      </c>
      <c r="E8" s="20">
        <f t="shared" si="0"/>
        <v>8.075626628859503E-2</v>
      </c>
      <c r="G8" s="14">
        <f>SUM(G6:G7)</f>
        <v>7503.4090909090701</v>
      </c>
      <c r="H8" s="20">
        <f t="shared" si="1"/>
        <v>4.2790763986546361E-2</v>
      </c>
      <c r="J8" s="42">
        <f>SUM(J6:J7)</f>
        <v>-4408</v>
      </c>
      <c r="K8" s="43">
        <f t="shared" si="2"/>
        <v>-3.4669351286730009E-2</v>
      </c>
      <c r="M8" s="22">
        <f>SUM(M6:M7)</f>
        <v>5488.6363636363658</v>
      </c>
      <c r="N8" s="20">
        <f t="shared" si="3"/>
        <v>4.8792807354278225E-2</v>
      </c>
      <c r="P8" s="42">
        <f>SUM(P6:P7)</f>
        <v>6634</v>
      </c>
      <c r="Q8" s="43">
        <f t="shared" si="4"/>
        <v>5.4161734089888558E-2</v>
      </c>
      <c r="S8" s="14">
        <f>SUM(S6:S7)</f>
        <v>10994.318181818198</v>
      </c>
      <c r="T8" s="20">
        <f t="shared" si="5"/>
        <v>4.3408230290195859E-2</v>
      </c>
    </row>
    <row r="9" spans="2:20" x14ac:dyDescent="0.2">
      <c r="B9" s="5" t="s">
        <v>19</v>
      </c>
      <c r="C9" s="11"/>
      <c r="D9" s="23">
        <f>(351029+435229+15142)/General!C18</f>
        <v>7506.5567628325216</v>
      </c>
      <c r="E9" s="19">
        <f t="shared" si="0"/>
        <v>2.9447435445849386E-2</v>
      </c>
      <c r="G9" s="16">
        <f>220/General!C17</f>
        <v>250</v>
      </c>
      <c r="H9" s="19">
        <f t="shared" si="1"/>
        <v>1.4257107492109988E-3</v>
      </c>
      <c r="J9" s="44">
        <f>4899+42</f>
        <v>4941</v>
      </c>
      <c r="K9" s="41">
        <f t="shared" si="2"/>
        <v>3.8861448436418547E-2</v>
      </c>
      <c r="M9" s="23">
        <v>0</v>
      </c>
      <c r="N9" s="19">
        <f t="shared" si="3"/>
        <v>0</v>
      </c>
      <c r="P9" s="44">
        <f>1885+674</f>
        <v>2559</v>
      </c>
      <c r="Q9" s="41">
        <f t="shared" si="4"/>
        <v>2.0892354165816224E-2</v>
      </c>
      <c r="S9" s="16">
        <f>2756/General!C17+733/General!C17</f>
        <v>3964.7727272727275</v>
      </c>
      <c r="T9" s="19">
        <f t="shared" si="5"/>
        <v>1.5653882737208594E-2</v>
      </c>
    </row>
    <row r="10" spans="2:20" x14ac:dyDescent="0.2">
      <c r="B10" s="5" t="s">
        <v>20</v>
      </c>
      <c r="C10" s="11"/>
      <c r="D10" s="23">
        <f>-19257/General!C18</f>
        <v>-180.37654552266767</v>
      </c>
      <c r="E10" s="19">
        <f t="shared" si="0"/>
        <v>-7.0759828347981236E-4</v>
      </c>
      <c r="G10" s="16">
        <v>0</v>
      </c>
      <c r="H10" s="19">
        <f t="shared" si="1"/>
        <v>0</v>
      </c>
      <c r="J10" s="44">
        <v>0</v>
      </c>
      <c r="K10" s="41">
        <f t="shared" si="2"/>
        <v>0</v>
      </c>
      <c r="M10" s="23">
        <v>0</v>
      </c>
      <c r="N10" s="19">
        <f t="shared" si="3"/>
        <v>0</v>
      </c>
      <c r="P10" s="44">
        <v>0</v>
      </c>
      <c r="Q10" s="41">
        <f t="shared" si="4"/>
        <v>0</v>
      </c>
      <c r="S10" s="21">
        <v>0</v>
      </c>
      <c r="T10" s="19">
        <f t="shared" si="5"/>
        <v>0</v>
      </c>
    </row>
    <row r="11" spans="2:20" x14ac:dyDescent="0.2">
      <c r="B11" s="1" t="s">
        <v>16</v>
      </c>
      <c r="D11" s="21">
        <f>-47537/General!C18</f>
        <v>-445.26976395653799</v>
      </c>
      <c r="E11" s="18">
        <f t="shared" si="0"/>
        <v>-1.7467466169070903E-3</v>
      </c>
      <c r="G11" s="21">
        <f>-484/General!C17</f>
        <v>-550</v>
      </c>
      <c r="H11" s="18">
        <f t="shared" si="1"/>
        <v>-3.1365636482641973E-3</v>
      </c>
      <c r="J11" s="44">
        <f>-1603-46</f>
        <v>-1649</v>
      </c>
      <c r="K11" s="46">
        <f t="shared" si="2"/>
        <v>-1.2969546341156483E-2</v>
      </c>
      <c r="M11" s="21">
        <f>392/General!C17</f>
        <v>445.45454545454544</v>
      </c>
      <c r="N11" s="18">
        <f t="shared" si="3"/>
        <v>3.959995959187796E-3</v>
      </c>
      <c r="P11" s="45">
        <v>-1098</v>
      </c>
      <c r="Q11" s="46">
        <f t="shared" si="4"/>
        <v>-8.9643629832224358E-3</v>
      </c>
      <c r="S11" s="21">
        <f>(-2291+793)/General!C17</f>
        <v>-1702.2727272727273</v>
      </c>
      <c r="T11" s="18">
        <f t="shared" si="5"/>
        <v>-6.7209849069471113E-3</v>
      </c>
    </row>
    <row r="12" spans="2:20" x14ac:dyDescent="0.2">
      <c r="B12" s="1" t="s">
        <v>17</v>
      </c>
      <c r="D12" s="21">
        <f>-649976/General!C18</f>
        <v>-6088.1978269014608</v>
      </c>
      <c r="E12" s="18">
        <f t="shared" si="0"/>
        <v>-2.3883361993201149E-2</v>
      </c>
      <c r="G12" s="21">
        <f>-2330/General!C17</f>
        <v>-2647.7272727272725</v>
      </c>
      <c r="H12" s="18">
        <f t="shared" si="1"/>
        <v>-1.5099572934825577E-2</v>
      </c>
      <c r="J12" s="44">
        <v>-160</v>
      </c>
      <c r="K12" s="46">
        <f t="shared" si="2"/>
        <v>-1.2584156546907442E-3</v>
      </c>
      <c r="M12" s="21">
        <f>-1365/General!C17</f>
        <v>-1551.1363636363637</v>
      </c>
      <c r="N12" s="18">
        <f t="shared" si="3"/>
        <v>-1.3789271643600364E-2</v>
      </c>
      <c r="P12" s="45">
        <v>-1774</v>
      </c>
      <c r="Q12" s="46">
        <f t="shared" si="4"/>
        <v>-1.4483406131363024E-2</v>
      </c>
      <c r="S12" s="21">
        <f>-2843/General!C17</f>
        <v>-3230.681818181818</v>
      </c>
      <c r="T12" s="18">
        <f t="shared" si="5"/>
        <v>-1.275551407907252E-2</v>
      </c>
    </row>
    <row r="13" spans="2:20" ht="12.75" thickBot="1" x14ac:dyDescent="0.25">
      <c r="B13" s="12" t="s">
        <v>8</v>
      </c>
      <c r="D13" s="24">
        <f>SUM(D8:D12)</f>
        <v>21378.596852753846</v>
      </c>
      <c r="E13" s="17">
        <f t="shared" si="0"/>
        <v>8.386599484085637E-2</v>
      </c>
      <c r="G13" s="15">
        <f>SUM(G8:G12)</f>
        <v>4555.681818181798</v>
      </c>
      <c r="H13" s="17">
        <f>G13/G$4</f>
        <v>2.5980338152667586E-2</v>
      </c>
      <c r="J13" s="47">
        <f>SUM(J8:J12)</f>
        <v>-1276</v>
      </c>
      <c r="K13" s="48">
        <f>J13/J$4</f>
        <v>-1.0035864846158687E-2</v>
      </c>
      <c r="M13" s="24">
        <f>SUM(M8:M12)</f>
        <v>4382.9545454545469</v>
      </c>
      <c r="N13" s="17">
        <f t="shared" si="3"/>
        <v>3.8963531669865652E-2</v>
      </c>
      <c r="P13" s="47">
        <f>SUM(P8:P12)</f>
        <v>6321</v>
      </c>
      <c r="Q13" s="48">
        <f t="shared" si="4"/>
        <v>5.1606319141119322E-2</v>
      </c>
      <c r="S13" s="15">
        <f>SUM(S8:S12)</f>
        <v>10026.13636363638</v>
      </c>
      <c r="T13" s="17">
        <f t="shared" si="5"/>
        <v>3.9585614041384824E-2</v>
      </c>
    </row>
    <row r="16" spans="2:20" x14ac:dyDescent="0.2">
      <c r="J16" s="5"/>
      <c r="K16" s="5"/>
    </row>
    <row r="17" spans="10:11" x14ac:dyDescent="0.2">
      <c r="J17" s="5"/>
      <c r="K17" s="5"/>
    </row>
  </sheetData>
  <mergeCells count="1"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C272-CBAD-46C0-BEDF-45C547500EDA}">
  <dimension ref="B1:N40"/>
  <sheetViews>
    <sheetView tabSelected="1" zoomScale="130" zoomScaleNormal="130" workbookViewId="0">
      <pane xSplit="3" ySplit="3" topLeftCell="D7" activePane="bottomRight" state="frozen"/>
      <selection pane="topRight" activeCell="D1" sqref="D1"/>
      <selection pane="bottomLeft" activeCell="A4" sqref="A4"/>
      <selection pane="bottomRight"/>
    </sheetView>
  </sheetViews>
  <sheetFormatPr defaultRowHeight="12" x14ac:dyDescent="0.2"/>
  <cols>
    <col min="1" max="1" width="2" style="1" customWidth="1"/>
    <col min="2" max="2" width="33.5703125" style="1" customWidth="1"/>
    <col min="3" max="3" width="1.85546875" style="1" customWidth="1"/>
    <col min="4" max="4" width="11.28515625" style="1" bestFit="1" customWidth="1"/>
    <col min="5" max="5" width="9.140625" style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5.5703125" style="1" bestFit="1" customWidth="1"/>
    <col min="12" max="12" width="3.7109375" style="1" customWidth="1"/>
    <col min="13" max="13" width="13.5703125" style="1" customWidth="1"/>
    <col min="14" max="14" width="5.5703125" style="1" bestFit="1" customWidth="1"/>
    <col min="15" max="16384" width="9.140625" style="1"/>
  </cols>
  <sheetData>
    <row r="1" spans="2:14" ht="15.75" x14ac:dyDescent="0.25">
      <c r="B1" s="2" t="s">
        <v>30</v>
      </c>
      <c r="C1" s="2"/>
      <c r="M1" s="2"/>
    </row>
    <row r="2" spans="2:14" x14ac:dyDescent="0.2">
      <c r="D2" s="64" t="s">
        <v>29</v>
      </c>
      <c r="E2" s="64"/>
    </row>
    <row r="3" spans="2:14" x14ac:dyDescent="0.2">
      <c r="B3" s="10" t="s">
        <v>18</v>
      </c>
      <c r="C3" s="11"/>
      <c r="D3" s="25" t="str">
        <f>Financials!S3</f>
        <v>Volkswagen</v>
      </c>
      <c r="E3" s="25"/>
      <c r="G3" s="25" t="str">
        <f>Financials!G3</f>
        <v>Daimler</v>
      </c>
      <c r="H3" s="25"/>
      <c r="I3" s="11"/>
      <c r="J3" s="25" t="str">
        <f>Financials!M3</f>
        <v>BMW</v>
      </c>
      <c r="K3" s="25"/>
      <c r="M3" s="25" t="str">
        <f>Financials!D3</f>
        <v>Toyota</v>
      </c>
      <c r="N3" s="25"/>
    </row>
    <row r="4" spans="2:14" x14ac:dyDescent="0.2">
      <c r="B4" s="1" t="s">
        <v>4</v>
      </c>
      <c r="D4" s="13">
        <f>Financials!S4</f>
        <v>253277.27272727274</v>
      </c>
      <c r="E4" s="27">
        <f t="shared" ref="E4:E13" si="0">D4/D$4</f>
        <v>1</v>
      </c>
      <c r="G4" s="13">
        <f>Financials!G4</f>
        <v>175351.13636363635</v>
      </c>
      <c r="H4" s="27">
        <f t="shared" ref="H4:H13" si="1">G4/G$4</f>
        <v>1</v>
      </c>
      <c r="J4" s="13">
        <f>Financials!M4</f>
        <v>112488.63636363637</v>
      </c>
      <c r="K4" s="19">
        <f t="shared" ref="K4:K13" si="2">J4/J$4</f>
        <v>1</v>
      </c>
      <c r="M4" s="21">
        <f>Financials!D4</f>
        <v>254913.76920194828</v>
      </c>
      <c r="N4" s="19">
        <f t="shared" ref="N4:N13" si="3">M4/M$4</f>
        <v>1</v>
      </c>
    </row>
    <row r="5" spans="2:14" x14ac:dyDescent="0.2">
      <c r="B5" s="1" t="s">
        <v>12</v>
      </c>
      <c r="D5" s="13">
        <f>Financials!S5</f>
        <v>-209019.31818181818</v>
      </c>
      <c r="E5" s="27">
        <f t="shared" si="0"/>
        <v>-0.82525887905816475</v>
      </c>
      <c r="G5" s="13">
        <f>Financials!G5</f>
        <v>-146273.86363636365</v>
      </c>
      <c r="H5" s="27">
        <f t="shared" si="1"/>
        <v>-0.83417687885994996</v>
      </c>
      <c r="J5" s="13">
        <f>Financials!M5</f>
        <v>-97054.545454545456</v>
      </c>
      <c r="K5" s="19">
        <f t="shared" si="2"/>
        <v>-0.86279422163854935</v>
      </c>
      <c r="M5" s="21">
        <f>Financials!D5</f>
        <v>-198575.21543649305</v>
      </c>
      <c r="N5" s="19">
        <f t="shared" si="3"/>
        <v>-0.77898975821575733</v>
      </c>
    </row>
    <row r="6" spans="2:14" x14ac:dyDescent="0.2">
      <c r="B6" s="9" t="s">
        <v>13</v>
      </c>
      <c r="C6" s="11"/>
      <c r="D6" s="14">
        <f>Financials!S6</f>
        <v>44257.954545454559</v>
      </c>
      <c r="E6" s="28">
        <f t="shared" si="0"/>
        <v>0.17474112094183525</v>
      </c>
      <c r="G6" s="14">
        <f>Financials!G6</f>
        <v>29077.272727272706</v>
      </c>
      <c r="H6" s="28">
        <f t="shared" si="1"/>
        <v>0.16582312114005004</v>
      </c>
      <c r="J6" s="14">
        <f>Financials!M6</f>
        <v>15434.090909090912</v>
      </c>
      <c r="K6" s="20">
        <f t="shared" si="2"/>
        <v>0.13720577836145068</v>
      </c>
      <c r="M6" s="22">
        <f>Financials!D6</f>
        <v>56338.553765455232</v>
      </c>
      <c r="N6" s="20">
        <f t="shared" si="3"/>
        <v>0.22101024178424272</v>
      </c>
    </row>
    <row r="7" spans="2:14" x14ac:dyDescent="0.2">
      <c r="B7" s="1" t="s">
        <v>14</v>
      </c>
      <c r="D7" s="13">
        <f>Financials!S7</f>
        <v>-33263.63636363636</v>
      </c>
      <c r="E7" s="27">
        <f t="shared" si="0"/>
        <v>-0.13133289065163939</v>
      </c>
      <c r="G7" s="13">
        <f>Financials!G7</f>
        <v>-21573.863636363636</v>
      </c>
      <c r="H7" s="27">
        <f t="shared" si="1"/>
        <v>-0.12303235715350369</v>
      </c>
      <c r="J7" s="13">
        <f>Financials!M7</f>
        <v>-9945.454545454546</v>
      </c>
      <c r="K7" s="19">
        <f t="shared" si="2"/>
        <v>-8.8412971007172436E-2</v>
      </c>
      <c r="M7" s="21">
        <f>Financials!D7</f>
        <v>-35752.669539153241</v>
      </c>
      <c r="N7" s="19">
        <f t="shared" si="3"/>
        <v>-0.14025397549564766</v>
      </c>
    </row>
    <row r="8" spans="2:14" x14ac:dyDescent="0.2">
      <c r="B8" s="9" t="s">
        <v>15</v>
      </c>
      <c r="C8" s="11"/>
      <c r="D8" s="14">
        <f>Financials!S8</f>
        <v>10994.318181818198</v>
      </c>
      <c r="E8" s="31">
        <f t="shared" si="0"/>
        <v>4.3408230290195859E-2</v>
      </c>
      <c r="G8" s="14">
        <f>Financials!G8</f>
        <v>7503.4090909090701</v>
      </c>
      <c r="H8" s="28">
        <f t="shared" si="1"/>
        <v>4.2790763986546361E-2</v>
      </c>
      <c r="J8" s="14">
        <f>Financials!M8</f>
        <v>5488.6363636363658</v>
      </c>
      <c r="K8" s="20">
        <f t="shared" si="2"/>
        <v>4.8792807354278225E-2</v>
      </c>
      <c r="M8" s="22">
        <f>Financials!D8</f>
        <v>20585.884226301991</v>
      </c>
      <c r="N8" s="20">
        <f t="shared" si="3"/>
        <v>8.075626628859503E-2</v>
      </c>
    </row>
    <row r="9" spans="2:14" x14ac:dyDescent="0.2">
      <c r="B9" s="5" t="s">
        <v>19</v>
      </c>
      <c r="C9" s="11"/>
      <c r="D9" s="16">
        <f>Financials!S9</f>
        <v>3964.7727272727275</v>
      </c>
      <c r="E9" s="27">
        <f t="shared" si="0"/>
        <v>1.5653882737208594E-2</v>
      </c>
      <c r="G9" s="16">
        <f>Financials!G9</f>
        <v>250</v>
      </c>
      <c r="H9" s="27">
        <f t="shared" si="1"/>
        <v>1.4257107492109988E-3</v>
      </c>
      <c r="J9" s="21">
        <f>Financials!M9</f>
        <v>0</v>
      </c>
      <c r="K9" s="19">
        <f t="shared" si="2"/>
        <v>0</v>
      </c>
      <c r="M9" s="23">
        <f>Financials!D9</f>
        <v>7506.5567628325216</v>
      </c>
      <c r="N9" s="19">
        <f t="shared" si="3"/>
        <v>2.9447435445849386E-2</v>
      </c>
    </row>
    <row r="10" spans="2:14" x14ac:dyDescent="0.2">
      <c r="B10" s="5" t="s">
        <v>20</v>
      </c>
      <c r="C10" s="11"/>
      <c r="D10" s="21">
        <f>Financials!S10</f>
        <v>0</v>
      </c>
      <c r="E10" s="27">
        <f t="shared" si="0"/>
        <v>0</v>
      </c>
      <c r="G10" s="16">
        <f>Financials!G10</f>
        <v>0</v>
      </c>
      <c r="H10" s="27">
        <f t="shared" si="1"/>
        <v>0</v>
      </c>
      <c r="J10" s="21">
        <f>Financials!M10</f>
        <v>0</v>
      </c>
      <c r="K10" s="19">
        <f t="shared" si="2"/>
        <v>0</v>
      </c>
      <c r="M10" s="23">
        <f>Financials!D10</f>
        <v>-180.37654552266767</v>
      </c>
      <c r="N10" s="19">
        <f t="shared" si="3"/>
        <v>-7.0759828347981236E-4</v>
      </c>
    </row>
    <row r="11" spans="2:14" x14ac:dyDescent="0.2">
      <c r="B11" s="1" t="s">
        <v>16</v>
      </c>
      <c r="D11" s="21">
        <f>Financials!S11</f>
        <v>-1702.2727272727273</v>
      </c>
      <c r="E11" s="29">
        <f t="shared" si="0"/>
        <v>-6.7209849069471113E-3</v>
      </c>
      <c r="G11" s="21">
        <f>Financials!G11</f>
        <v>-550</v>
      </c>
      <c r="H11" s="29">
        <f t="shared" si="1"/>
        <v>-3.1365636482641973E-3</v>
      </c>
      <c r="J11" s="21">
        <f>Financials!M11</f>
        <v>445.45454545454544</v>
      </c>
      <c r="K11" s="18">
        <f t="shared" si="2"/>
        <v>3.959995959187796E-3</v>
      </c>
      <c r="M11" s="21">
        <f>Financials!D11</f>
        <v>-445.26976395653799</v>
      </c>
      <c r="N11" s="18">
        <f t="shared" si="3"/>
        <v>-1.7467466169070903E-3</v>
      </c>
    </row>
    <row r="12" spans="2:14" x14ac:dyDescent="0.2">
      <c r="B12" s="1" t="s">
        <v>17</v>
      </c>
      <c r="D12" s="21">
        <f>Financials!S12</f>
        <v>-3230.681818181818</v>
      </c>
      <c r="E12" s="29">
        <f t="shared" si="0"/>
        <v>-1.275551407907252E-2</v>
      </c>
      <c r="G12" s="21">
        <f>Financials!G12</f>
        <v>-2647.7272727272725</v>
      </c>
      <c r="H12" s="29">
        <f t="shared" si="1"/>
        <v>-1.5099572934825577E-2</v>
      </c>
      <c r="J12" s="21">
        <f>Financials!M12</f>
        <v>-1551.1363636363637</v>
      </c>
      <c r="K12" s="18">
        <f t="shared" si="2"/>
        <v>-1.3789271643600364E-2</v>
      </c>
      <c r="M12" s="21">
        <f>Financials!D12</f>
        <v>-6088.1978269014608</v>
      </c>
      <c r="N12" s="18">
        <f t="shared" si="3"/>
        <v>-2.3883361993201149E-2</v>
      </c>
    </row>
    <row r="13" spans="2:14" ht="12.75" thickBot="1" x14ac:dyDescent="0.25">
      <c r="B13" s="12" t="s">
        <v>8</v>
      </c>
      <c r="D13" s="15">
        <f>Financials!S13</f>
        <v>10026.13636363638</v>
      </c>
      <c r="E13" s="30">
        <f t="shared" si="0"/>
        <v>3.9585614041384824E-2</v>
      </c>
      <c r="G13" s="15">
        <f>Financials!G13</f>
        <v>4555.681818181798</v>
      </c>
      <c r="H13" s="30">
        <f t="shared" si="1"/>
        <v>2.5980338152667586E-2</v>
      </c>
      <c r="J13" s="15">
        <f>Financials!M13</f>
        <v>4382.9545454545469</v>
      </c>
      <c r="K13" s="17">
        <f t="shared" si="2"/>
        <v>3.8963531669865652E-2</v>
      </c>
      <c r="M13" s="24">
        <f>Financials!D13</f>
        <v>21378.596852753846</v>
      </c>
      <c r="N13" s="17">
        <f t="shared" si="3"/>
        <v>8.386599484085637E-2</v>
      </c>
    </row>
    <row r="15" spans="2:14" x14ac:dyDescent="0.2">
      <c r="B15" s="36" t="s">
        <v>15</v>
      </c>
      <c r="C15" s="36"/>
      <c r="D15" s="62">
        <f>D8</f>
        <v>10994.318181818198</v>
      </c>
      <c r="F15" s="36"/>
      <c r="G15" s="62"/>
      <c r="H15" s="36"/>
      <c r="I15" s="11"/>
      <c r="J15" s="62"/>
      <c r="K15" s="36"/>
      <c r="L15" s="36"/>
      <c r="M15" s="62"/>
      <c r="N15" s="36"/>
    </row>
    <row r="16" spans="2:14" x14ac:dyDescent="0.2">
      <c r="B16" s="26" t="s">
        <v>21</v>
      </c>
    </row>
    <row r="17" spans="2:14" x14ac:dyDescent="0.2">
      <c r="B17" s="1" t="s">
        <v>53</v>
      </c>
      <c r="D17" s="8">
        <f>-40778/General!C17</f>
        <v>-46338.63636363636</v>
      </c>
      <c r="G17" s="8"/>
      <c r="J17" s="13"/>
      <c r="K17" s="13"/>
      <c r="L17" s="13"/>
      <c r="M17" s="13"/>
    </row>
    <row r="18" spans="2:14" x14ac:dyDescent="0.2">
      <c r="B18" s="1" t="s">
        <v>54</v>
      </c>
      <c r="D18" s="8">
        <f>(33430+1140+2252+944)/General!C17</f>
        <v>42915.909090909088</v>
      </c>
      <c r="G18" s="8"/>
      <c r="J18" s="13"/>
      <c r="K18" s="13"/>
      <c r="L18" s="13"/>
      <c r="M18" s="13"/>
    </row>
    <row r="19" spans="2:14" x14ac:dyDescent="0.2">
      <c r="B19" s="1" t="s">
        <v>61</v>
      </c>
      <c r="D19" s="8">
        <f>(-58-10)/General!C17</f>
        <v>-77.272727272727266</v>
      </c>
      <c r="G19" s="8"/>
      <c r="J19" s="8"/>
      <c r="K19" s="13"/>
      <c r="L19" s="13"/>
      <c r="M19" s="8"/>
    </row>
    <row r="20" spans="2:14" x14ac:dyDescent="0.2">
      <c r="B20" s="1" t="s">
        <v>31</v>
      </c>
      <c r="D20" s="8">
        <f>356/General!C17</f>
        <v>404.54545454545456</v>
      </c>
      <c r="G20" s="8"/>
      <c r="J20" s="8"/>
      <c r="K20" s="13"/>
      <c r="L20" s="13"/>
      <c r="M20" s="8"/>
    </row>
    <row r="21" spans="2:14" x14ac:dyDescent="0.2">
      <c r="B21" s="1" t="s">
        <v>62</v>
      </c>
      <c r="D21" s="8">
        <f>-1001/General!C17-299/General!C17</f>
        <v>-1477.2727272727273</v>
      </c>
      <c r="G21" s="8"/>
      <c r="J21" s="8"/>
      <c r="K21" s="13"/>
      <c r="L21" s="13"/>
      <c r="M21" s="8"/>
    </row>
    <row r="22" spans="2:14" x14ac:dyDescent="0.2">
      <c r="B22" s="9" t="s">
        <v>22</v>
      </c>
      <c r="D22" s="22">
        <f>SUM(D15:D21)</f>
        <v>6421.5909090909272</v>
      </c>
      <c r="E22" s="31"/>
      <c r="G22" s="22"/>
      <c r="H22" s="28"/>
      <c r="J22" s="22"/>
      <c r="K22" s="28"/>
      <c r="M22" s="22"/>
      <c r="N22" s="20"/>
    </row>
    <row r="24" spans="2:14" x14ac:dyDescent="0.2">
      <c r="B24" s="1" t="s">
        <v>23</v>
      </c>
      <c r="D24" s="13"/>
      <c r="E24" s="13"/>
      <c r="G24" s="13"/>
      <c r="H24" s="13"/>
      <c r="I24" s="13"/>
      <c r="J24" s="13"/>
      <c r="K24" s="13"/>
      <c r="L24" s="13"/>
      <c r="M24" s="13"/>
    </row>
    <row r="25" spans="2:14" x14ac:dyDescent="0.2">
      <c r="B25" s="1" t="s">
        <v>24</v>
      </c>
      <c r="D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x14ac:dyDescent="0.2">
      <c r="B26" s="1" t="s">
        <v>25</v>
      </c>
      <c r="D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x14ac:dyDescent="0.2">
      <c r="B27" s="32" t="s">
        <v>32</v>
      </c>
      <c r="C27" s="32"/>
      <c r="D27" s="33"/>
      <c r="F27" s="32"/>
      <c r="G27" s="33"/>
      <c r="H27" s="32"/>
      <c r="I27" s="34"/>
      <c r="J27" s="33"/>
      <c r="M27" s="33"/>
      <c r="N27" s="32"/>
    </row>
    <row r="28" spans="2:14" x14ac:dyDescent="0.2">
      <c r="B28" s="9" t="s">
        <v>26</v>
      </c>
      <c r="D28" s="22"/>
      <c r="E28" s="31"/>
      <c r="G28" s="22"/>
      <c r="H28" s="28"/>
      <c r="J28" s="22"/>
      <c r="K28" s="28"/>
      <c r="M28" s="22"/>
      <c r="N28" s="20"/>
    </row>
    <row r="29" spans="2:14" x14ac:dyDescent="0.2">
      <c r="B29" s="26" t="s">
        <v>21</v>
      </c>
    </row>
    <row r="30" spans="2:14" x14ac:dyDescent="0.2">
      <c r="B30" s="1" t="s">
        <v>55</v>
      </c>
      <c r="D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2:14" x14ac:dyDescent="0.2">
      <c r="B31" s="1" t="s">
        <v>56</v>
      </c>
      <c r="D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2:14" x14ac:dyDescent="0.2">
      <c r="B32" s="1" t="s">
        <v>57</v>
      </c>
      <c r="D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x14ac:dyDescent="0.2">
      <c r="B33" s="1" t="s">
        <v>59</v>
      </c>
      <c r="D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2:14" x14ac:dyDescent="0.2">
      <c r="B34" s="1" t="s">
        <v>58</v>
      </c>
      <c r="D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2:14" x14ac:dyDescent="0.2">
      <c r="B35" s="1" t="s">
        <v>63</v>
      </c>
      <c r="D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2:14" x14ac:dyDescent="0.2">
      <c r="B36" s="9" t="s">
        <v>27</v>
      </c>
      <c r="D36" s="22"/>
      <c r="G36" s="22"/>
      <c r="J36" s="22"/>
      <c r="M36" s="22"/>
    </row>
    <row r="38" spans="2:14" ht="12.75" thickBot="1" x14ac:dyDescent="0.25">
      <c r="B38" s="12" t="s">
        <v>28</v>
      </c>
      <c r="D38" s="24"/>
      <c r="E38" s="30"/>
      <c r="G38" s="24"/>
      <c r="H38" s="30"/>
      <c r="J38" s="24"/>
      <c r="K38" s="30"/>
      <c r="M38" s="24"/>
      <c r="N38" s="17"/>
    </row>
    <row r="39" spans="2:14" x14ac:dyDescent="0.2">
      <c r="D39" s="8"/>
      <c r="G39" s="8"/>
      <c r="J39" s="8"/>
      <c r="M39" s="8"/>
    </row>
    <row r="40" spans="2:14" x14ac:dyDescent="0.2">
      <c r="B40" s="36" t="s">
        <v>33</v>
      </c>
      <c r="C40" s="36"/>
      <c r="D40" s="37"/>
      <c r="F40" s="36"/>
      <c r="G40" s="37"/>
      <c r="H40" s="36"/>
      <c r="I40" s="11"/>
      <c r="J40" s="37"/>
      <c r="K40" s="36"/>
      <c r="L40" s="36"/>
      <c r="M40" s="37"/>
      <c r="N40" s="36"/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Financials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2015-06-05T18:17:20Z</dcterms:created>
  <dcterms:modified xsi:type="dcterms:W3CDTF">2022-04-05T13:15:00Z</dcterms:modified>
</cp:coreProperties>
</file>